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drawings/drawing2.xml" ContentType="application/vnd.openxmlformats-officedocument.drawing+xml"/>
  <Override PartName="/xl/comments7.xml" ContentType="application/vnd.openxmlformats-officedocument.spreadsheetml.comments+xml"/>
  <Override PartName="/xl/drawings/drawing3.xml" ContentType="application/vnd.openxmlformats-officedocument.drawing+xml"/>
  <Override PartName="/xl/comments8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!! 417 -ФАКТ\!!! 131-23- факт. ч.2\кс-2,3_ССР2\для упд\"/>
    </mc:Choice>
  </mc:AlternateContent>
  <xr:revisionPtr revIDLastSave="0" documentId="13_ncr:1_{0258A425-82D1-49FA-821C-B7DB60BFED5A}" xr6:coauthVersionLast="47" xr6:coauthVersionMax="47" xr10:uidLastSave="{00000000-0000-0000-0000-000000000000}"/>
  <bookViews>
    <workbookView xWindow="-120" yWindow="-120" windowWidth="29040" windowHeight="15720" tabRatio="800" firstSheet="7" activeTab="7" xr2:uid="{00000000-000D-0000-FFFF-FFFF00000000}"/>
  </bookViews>
  <sheets>
    <sheet name="ССР" sheetId="8" state="hidden" r:id="rId1"/>
    <sheet name="на 04.06" sheetId="30" state="hidden" r:id="rId2"/>
    <sheet name="вар НВ (с 0,65 и без упл)" sheetId="32" state="hidden" r:id="rId3"/>
    <sheet name="реестр под ФАКТ суммы НВ" sheetId="36" state="hidden" r:id="rId4"/>
    <sheet name="реестр под ФАКТ суммы с накрут" sheetId="37" state="hidden" r:id="rId5"/>
    <sheet name="реестр под ФАКТ (ПЖ с замеч.)" sheetId="33" state="hidden" r:id="rId6"/>
    <sheet name="реестр под ФАКТ до соглас. " sheetId="34" state="hidden" r:id="rId7"/>
    <sheet name="утилизация корр" sheetId="35" r:id="rId8"/>
    <sheet name="реестр под ФАКТ" sheetId="31" state="hidden" r:id="rId9"/>
    <sheet name="свод реестров по кс-2" sheetId="29" state="hidden" r:id="rId10"/>
    <sheet name="аналитика" sheetId="26" state="hidden" r:id="rId11"/>
    <sheet name="ан-ка (на 95% мех и 5% вруч )" sheetId="27" state="hidden" r:id="rId12"/>
    <sheet name="реестр под ФАКТ с виброплит" sheetId="24" state="hidden" r:id="rId13"/>
    <sheet name="реестр под ФАКТ (2)" sheetId="28" state="hidden" r:id="rId14"/>
    <sheet name="реестр к Договору" sheetId="25" state="hidden" r:id="rId15"/>
  </sheets>
  <externalReferences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</externalReferences>
  <definedNames>
    <definedName name="_xlnm._FilterDatabase" localSheetId="10" hidden="1">аналитика!$A$3:$R$14</definedName>
    <definedName name="_xlnm._FilterDatabase" localSheetId="11" hidden="1">'ан-ка (на 95% мех и 5% вруч )'!$A$3:$R$14</definedName>
    <definedName name="_xlnm._FilterDatabase" localSheetId="2" hidden="1">'вар НВ (с 0,65 и без упл)'!$A$3:$W$50</definedName>
    <definedName name="_xlnm._FilterDatabase" localSheetId="1" hidden="1">'на 04.06'!$A$3:$W$52</definedName>
    <definedName name="_xlnm._FilterDatabase" localSheetId="14" hidden="1">'реестр к Договору'!$A$3:$U$26</definedName>
    <definedName name="_xlnm._FilterDatabase" localSheetId="8" hidden="1">'реестр под ФАКТ'!$A$3:$W$46</definedName>
    <definedName name="_xlnm._FilterDatabase" localSheetId="13" hidden="1">'реестр под ФАКТ (2)'!$A$3:$U$58</definedName>
    <definedName name="_xlnm._FilterDatabase" localSheetId="5" hidden="1">'реестр под ФАКТ (ПЖ с замеч.)'!$A$3:$W$45</definedName>
    <definedName name="_xlnm._FilterDatabase" localSheetId="6" hidden="1">'реестр под ФАКТ до соглас. '!$A$3:$W$47</definedName>
    <definedName name="_xlnm._FilterDatabase" localSheetId="12" hidden="1">'реестр под ФАКТ с виброплит'!$A$3:$W$50</definedName>
    <definedName name="_xlnm._FilterDatabase" localSheetId="3" hidden="1">'реестр под ФАКТ суммы НВ'!$A$3:$W$46</definedName>
    <definedName name="_xlnm._FilterDatabase" localSheetId="4" hidden="1">'реестр под ФАКТ суммы с накрут'!$A$3:$W$46</definedName>
    <definedName name="_xlnm._FilterDatabase" localSheetId="9" hidden="1">'свод реестров по кс-2'!$A$2:$M$16</definedName>
    <definedName name="_xlnm._FilterDatabase" localSheetId="7" hidden="1">'утилизация корр'!$A$3:$F$43</definedName>
    <definedName name="Excel_BuiltIn__FilterDatabase_4" localSheetId="14">#REF!</definedName>
    <definedName name="Excel_BuiltIn__FilterDatabase_4" localSheetId="6">#REF!</definedName>
    <definedName name="Excel_BuiltIn__FilterDatabase_4" localSheetId="9">#REF!</definedName>
    <definedName name="Excel_BuiltIn__FilterDatabase_4">#REF!</definedName>
    <definedName name="Excel_BuiltIn_Print_Area" localSheetId="14">#REF!</definedName>
    <definedName name="Excel_BuiltIn_Print_Area" localSheetId="6">#REF!</definedName>
    <definedName name="Excel_BuiltIn_Print_Area" localSheetId="9">#REF!</definedName>
    <definedName name="Excel_BuiltIn_Print_Area">#REF!</definedName>
    <definedName name="Excel_BuiltIn_Print_Area_1" localSheetId="14">#REF!</definedName>
    <definedName name="Excel_BuiltIn_Print_Area_1" localSheetId="6">#REF!</definedName>
    <definedName name="Excel_BuiltIn_Print_Area_1" localSheetId="9">#REF!</definedName>
    <definedName name="Excel_BuiltIn_Print_Area_1">#REF!</definedName>
    <definedName name="Excel_BuiltIn_Print_Area_13" localSheetId="14">#REF!</definedName>
    <definedName name="Excel_BuiltIn_Print_Area_13" localSheetId="6">#REF!</definedName>
    <definedName name="Excel_BuiltIn_Print_Area_13" localSheetId="9">#REF!</definedName>
    <definedName name="Excel_BuiltIn_Print_Area_13">#REF!</definedName>
    <definedName name="Excel_BuiltIn_Print_Area_2" localSheetId="14">#REF!</definedName>
    <definedName name="Excel_BuiltIn_Print_Area_2" localSheetId="6">#REF!</definedName>
    <definedName name="Excel_BuiltIn_Print_Area_2" localSheetId="9">#REF!</definedName>
    <definedName name="Excel_BuiltIn_Print_Area_2">#REF!</definedName>
    <definedName name="Excel_BuiltIn_Print_Area_3" localSheetId="14">#REF!</definedName>
    <definedName name="Excel_BuiltIn_Print_Area_3" localSheetId="6">#REF!</definedName>
    <definedName name="Excel_BuiltIn_Print_Area_3" localSheetId="9">#REF!</definedName>
    <definedName name="Excel_BuiltIn_Print_Area_3">#REF!</definedName>
    <definedName name="Excel_BuiltIn_Print_Area_4" localSheetId="14">#REF!</definedName>
    <definedName name="Excel_BuiltIn_Print_Area_4" localSheetId="6">#REF!</definedName>
    <definedName name="Excel_BuiltIn_Print_Area_4" localSheetId="9">#REF!</definedName>
    <definedName name="Excel_BuiltIn_Print_Area_4">#REF!</definedName>
    <definedName name="Excel_BuiltIn_Print_Area_5" localSheetId="14">#REF!</definedName>
    <definedName name="Excel_BuiltIn_Print_Area_5" localSheetId="6">#REF!</definedName>
    <definedName name="Excel_BuiltIn_Print_Area_5" localSheetId="9">#REF!</definedName>
    <definedName name="Excel_BuiltIn_Print_Area_5">#REF!</definedName>
    <definedName name="Excel_BuiltIn_Print_Area_6" localSheetId="14">#REF!</definedName>
    <definedName name="Excel_BuiltIn_Print_Area_6" localSheetId="6">#REF!</definedName>
    <definedName name="Excel_BuiltIn_Print_Area_6" localSheetId="9">#REF!</definedName>
    <definedName name="Excel_BuiltIn_Print_Area_6">#REF!</definedName>
    <definedName name="Excel_BuiltIn_Print_Area_7" localSheetId="14">#REF!</definedName>
    <definedName name="Excel_BuiltIn_Print_Area_7" localSheetId="6">#REF!</definedName>
    <definedName name="Excel_BuiltIn_Print_Area_7" localSheetId="9">#REF!</definedName>
    <definedName name="Excel_BuiltIn_Print_Area_7">#REF!</definedName>
    <definedName name="Excel_BuiltIn_Print_Area_8" localSheetId="14">#REF!</definedName>
    <definedName name="Excel_BuiltIn_Print_Area_8" localSheetId="6">#REF!</definedName>
    <definedName name="Excel_BuiltIn_Print_Area_8" localSheetId="9">#REF!</definedName>
    <definedName name="Excel_BuiltIn_Print_Area_8">#REF!</definedName>
    <definedName name="Excel_BuiltIn_Print_Titles" localSheetId="14">#REF!</definedName>
    <definedName name="Excel_BuiltIn_Print_Titles" localSheetId="6">#REF!</definedName>
    <definedName name="Excel_BuiltIn_Print_Titles" localSheetId="9">#REF!</definedName>
    <definedName name="Excel_BuiltIn_Print_Titles">#REF!</definedName>
    <definedName name="Fuck" localSheetId="14">#REF!</definedName>
    <definedName name="Fuck" localSheetId="6">#REF!</definedName>
    <definedName name="Fuck" localSheetId="9">#REF!</definedName>
    <definedName name="Fuck">#REF!</definedName>
    <definedName name="k">'[1]Текущие показатели'!$A$2</definedName>
    <definedName name="VES" localSheetId="14">#REF!</definedName>
    <definedName name="VES" localSheetId="6">#REF!</definedName>
    <definedName name="VES" localSheetId="9">#REF!</definedName>
    <definedName name="VES">#REF!</definedName>
    <definedName name="Z_32BE0561_3E43_11D1_AA21_0080C83F6713_.wvu.FilterData" localSheetId="14" hidden="1">#REF!</definedName>
    <definedName name="Z_32BE0561_3E43_11D1_AA21_0080C83F6713_.wvu.FilterData" localSheetId="6" hidden="1">#REF!</definedName>
    <definedName name="Z_32BE0561_3E43_11D1_AA21_0080C83F6713_.wvu.FilterData" localSheetId="9" hidden="1">#REF!</definedName>
    <definedName name="Z_32BE0561_3E43_11D1_AA21_0080C83F6713_.wvu.FilterData" hidden="1">#REF!</definedName>
    <definedName name="Z_32BE0561_3E43_11D1_AA21_0080C83F6713_.wvu.Rows" localSheetId="14" hidden="1">#REF!</definedName>
    <definedName name="Z_32BE0561_3E43_11D1_AA21_0080C83F6713_.wvu.Rows" localSheetId="6" hidden="1">#REF!</definedName>
    <definedName name="Z_32BE0561_3E43_11D1_AA21_0080C83F6713_.wvu.Rows" localSheetId="9" hidden="1">#REF!</definedName>
    <definedName name="Z_32BE0561_3E43_11D1_AA21_0080C83F6713_.wvu.Rows" hidden="1">#REF!</definedName>
    <definedName name="Z_361DAB21_3E43_11D1_9921_000021579852_.wvu.FilterData" localSheetId="14" hidden="1">#REF!</definedName>
    <definedName name="Z_361DAB21_3E43_11D1_9921_000021579852_.wvu.FilterData" localSheetId="6" hidden="1">#REF!</definedName>
    <definedName name="Z_361DAB21_3E43_11D1_9921_000021579852_.wvu.FilterData" localSheetId="9" hidden="1">#REF!</definedName>
    <definedName name="Z_361DAB21_3E43_11D1_9921_000021579852_.wvu.FilterData" hidden="1">#REF!</definedName>
    <definedName name="Z_6DAEFF01_3E3C_11D1_9921_000021579852_.wvu.FilterData" localSheetId="14" hidden="1">#REF!</definedName>
    <definedName name="Z_6DAEFF01_3E3C_11D1_9921_000021579852_.wvu.FilterData" localSheetId="6" hidden="1">#REF!</definedName>
    <definedName name="Z_6DAEFF01_3E3C_11D1_9921_000021579852_.wvu.FilterData" localSheetId="9" hidden="1">#REF!</definedName>
    <definedName name="Z_6DAEFF01_3E3C_11D1_9921_000021579852_.wvu.FilterData" hidden="1">#REF!</definedName>
    <definedName name="Z_6DAEFF01_3E3C_11D1_9921_000021579852_.wvu.Rows" localSheetId="14" hidden="1">#REF!</definedName>
    <definedName name="Z_6DAEFF01_3E3C_11D1_9921_000021579852_.wvu.Rows" localSheetId="6" hidden="1">#REF!</definedName>
    <definedName name="Z_6DAEFF01_3E3C_11D1_9921_000021579852_.wvu.Rows" localSheetId="9" hidden="1">#REF!</definedName>
    <definedName name="Z_6DAEFF01_3E3C_11D1_9921_000021579852_.wvu.Rows" hidden="1">#REF!</definedName>
    <definedName name="Z_7F3F38C1_B38F_11D1_B73A_0080C83F5DB9_.wvu.FilterData" localSheetId="14" hidden="1">#REF!</definedName>
    <definedName name="Z_7F3F38C1_B38F_11D1_B73A_0080C83F5DB9_.wvu.FilterData" localSheetId="6" hidden="1">#REF!</definedName>
    <definedName name="Z_7F3F38C1_B38F_11D1_B73A_0080C83F5DB9_.wvu.FilterData" localSheetId="9" hidden="1">#REF!</definedName>
    <definedName name="Z_7F3F38C1_B38F_11D1_B73A_0080C83F5DB9_.wvu.FilterData" hidden="1">#REF!</definedName>
    <definedName name="_xlnm.Database" localSheetId="14">#REF!</definedName>
    <definedName name="_xlnm.Database" localSheetId="6">#REF!</definedName>
    <definedName name="_xlnm.Database" localSheetId="9">#REF!</definedName>
    <definedName name="_xlnm.Database">#REF!</definedName>
    <definedName name="БИРЖА">'[2]исх дан'!$B$4</definedName>
    <definedName name="БИРЖА2">'[2]исх дан'!#REF!</definedName>
    <definedName name="вид_сметы">[3]база!$G$1:$G$65536</definedName>
    <definedName name="выдал">[3]база!$E$1:$E$65536</definedName>
    <definedName name="граница">'[2]исх дан'!$B$6</definedName>
    <definedName name="д" localSheetId="14">#REF!</definedName>
    <definedName name="д" localSheetId="6">#REF!</definedName>
    <definedName name="д" localSheetId="9">#REF!</definedName>
    <definedName name="д">#REF!</definedName>
    <definedName name="Дополнение01">[4]Смета!$I$1:$Q$65536,[4]Смета!$AA$1:$CK$65536</definedName>
    <definedName name="Дополнение02">[4]Смета!$I$1:$Z$65536,[4]Смета!$AJ$1:$CK$65536</definedName>
    <definedName name="Дополнение03">[4]Смета!$I$1:$AI$65536,[4]Смета!$AS$1:$AS$65536,[4]Смета!$AT$1:$CK$65536</definedName>
    <definedName name="Дополнение04">[4]Смета!$I$1:$AR$65536,[4]Смета!$BB$1:$CK$65536</definedName>
    <definedName name="Дополнение05">[4]Смета!$I$1:$BA$65536,[4]Смета!$BK$1:$CK$65536</definedName>
    <definedName name="Дополнение06">[4]Смета!$I$1:$BJ$65536,[4]Смета!$BT$1:$CK$65536</definedName>
    <definedName name="Дополнение07">[4]Смета!$I$1:$BS$65536,[4]Смета!$CC$1:$CK$65536</definedName>
    <definedName name="Дост_Кавказ" localSheetId="14">[5]Кабель!#REF!</definedName>
    <definedName name="Дост_Кавказ" localSheetId="6">[5]Кабель!#REF!</definedName>
    <definedName name="Дост_Кавказ" localSheetId="9">[5]Кабель!#REF!</definedName>
    <definedName name="Дост_Кавказ">[5]Кабель!#REF!</definedName>
    <definedName name="Дост_Промсервис">[5]Кабель!$BR$9</definedName>
    <definedName name="Доставка_Алюр" localSheetId="14">#REF!</definedName>
    <definedName name="Доставка_Алюр" localSheetId="6">#REF!</definedName>
    <definedName name="Доставка_Алюр" localSheetId="9">#REF!</definedName>
    <definedName name="Доставка_Алюр">#REF!</definedName>
    <definedName name="доставка_андромеда" localSheetId="14">#REF!</definedName>
    <definedName name="доставка_андромеда" localSheetId="6">#REF!</definedName>
    <definedName name="доставка_андромеда" localSheetId="9">#REF!</definedName>
    <definedName name="доставка_андромеда">#REF!</definedName>
    <definedName name="доставка_ВИМкабель" localSheetId="14">#REF!</definedName>
    <definedName name="доставка_ВИМкабель" localSheetId="6">#REF!</definedName>
    <definedName name="доставка_ВИМкабель" localSheetId="9">#REF!</definedName>
    <definedName name="доставка_ВИМкабель">#REF!</definedName>
    <definedName name="Доставка_Дилявер" localSheetId="14">#REF!</definedName>
    <definedName name="Доставка_Дилявер" localSheetId="6">#REF!</definedName>
    <definedName name="Доставка_Дилявер" localSheetId="9">#REF!</definedName>
    <definedName name="Доставка_Дилявер">#REF!</definedName>
    <definedName name="доставка_кавказ" localSheetId="14">#REF!</definedName>
    <definedName name="доставка_кавказ" localSheetId="6">#REF!</definedName>
    <definedName name="доставка_кавказ" localSheetId="9">#REF!</definedName>
    <definedName name="доставка_кавказ">#REF!</definedName>
    <definedName name="_xlnm.Print_Titles" localSheetId="0">ССР!$22:$22</definedName>
    <definedName name="заказчики">[3]база!$A$1:$A$65536</definedName>
    <definedName name="Заключение">[6]Списки!$I$2:$I$4</definedName>
    <definedName name="к1" localSheetId="14">#REF!</definedName>
    <definedName name="к1" localSheetId="6">#REF!</definedName>
    <definedName name="к1" localSheetId="9">#REF!</definedName>
    <definedName name="к1">#REF!</definedName>
    <definedName name="к2" localSheetId="14">#REF!</definedName>
    <definedName name="к2" localSheetId="6">#REF!</definedName>
    <definedName name="к2" localSheetId="9">#REF!</definedName>
    <definedName name="к2">#REF!</definedName>
    <definedName name="к3" localSheetId="14">#REF!</definedName>
    <definedName name="к3" localSheetId="6">#REF!</definedName>
    <definedName name="к3" localSheetId="9">#REF!</definedName>
    <definedName name="к3">#REF!</definedName>
    <definedName name="Код_1" localSheetId="14">[4]Смета!#REF!</definedName>
    <definedName name="Код_1" localSheetId="6">[4]Смета!#REF!</definedName>
    <definedName name="Код_1" localSheetId="9">[4]Смета!#REF!</definedName>
    <definedName name="Код_1">[4]Смета!#REF!</definedName>
    <definedName name="Кольч">'[2]исх дан'!$B$12</definedName>
    <definedName name="КОЛЬЧ_АВББШВ">'[2]исх дан'!#REF!</definedName>
    <definedName name="Конец" localSheetId="14">#REF!</definedName>
    <definedName name="Конец" localSheetId="6">#REF!</definedName>
    <definedName name="Конец" localSheetId="9">#REF!</definedName>
    <definedName name="Конец">#REF!</definedName>
    <definedName name="конкр150" localSheetId="6">'[2]исх дан'!#REF!</definedName>
    <definedName name="конкр150" localSheetId="9">'[2]исх дан'!#REF!</definedName>
    <definedName name="конкр150">'[2]исх дан'!#REF!</definedName>
    <definedName name="конкр230" localSheetId="6">'[2]исх дан'!#REF!</definedName>
    <definedName name="конкр230" localSheetId="9">'[2]исх дан'!#REF!</definedName>
    <definedName name="конкр230">'[2]исх дан'!#REF!</definedName>
    <definedName name="конкр240" localSheetId="6">'[2]исх дан'!#REF!</definedName>
    <definedName name="конкр240" localSheetId="9">'[2]исх дан'!#REF!</definedName>
    <definedName name="конкр240">'[2]исх дан'!#REF!</definedName>
    <definedName name="КОНТРОЛЬНИК" localSheetId="6">'[2]исх дан'!#REF!</definedName>
    <definedName name="КОНТРОЛЬНИК" localSheetId="9">'[2]исх дан'!#REF!</definedName>
    <definedName name="КОНТРОЛЬНИК">'[2]исх дан'!#REF!</definedName>
    <definedName name="Копилка_объем" localSheetId="6">[4]Материалы!#REF!</definedName>
    <definedName name="Копилка_объем" localSheetId="9">[4]Материалы!#REF!</definedName>
    <definedName name="Копилка_объем">[4]Материалы!#REF!</definedName>
    <definedName name="Копилка_сумма">[4]Материалы!#REF!</definedName>
    <definedName name="КОРОБ_ДОБ_РОЗН">'[2]исх дан'!#REF!</definedName>
    <definedName name="КОРОБ_РФ">'[2]исх дан'!#REF!</definedName>
    <definedName name="_xlnm.Criteria" localSheetId="14">#REF!</definedName>
    <definedName name="_xlnm.Criteria" localSheetId="6">#REF!</definedName>
    <definedName name="_xlnm.Criteria" localSheetId="9">#REF!</definedName>
    <definedName name="_xlnm.Criteria">#REF!</definedName>
    <definedName name="КУРС" localSheetId="6">'[2]исх дан'!#REF!</definedName>
    <definedName name="КУРС" localSheetId="9">'[2]исх дан'!#REF!</definedName>
    <definedName name="КУРС">'[2]исх дан'!#REF!</definedName>
    <definedName name="КУРС_2Й_ЛИСТ" localSheetId="6">'[2]исх дан'!#REF!</definedName>
    <definedName name="КУРС_2Й_ЛИСТ" localSheetId="9">'[2]исх дан'!#REF!</definedName>
    <definedName name="КУРС_2Й_ЛИСТ">'[2]исх дан'!#REF!</definedName>
    <definedName name="Курс_Диалин">'[7]Эл-доп'!$U$4</definedName>
    <definedName name="КУРС_ЗАПАЗД">'[2]исх дан'!#REF!</definedName>
    <definedName name="Курс_ИЭК">'[7]Эл-доп'!$Z$4</definedName>
    <definedName name="КУРС_КОЛЬЧ">'[2]исх дан'!#REF!</definedName>
    <definedName name="КУРС_ЛУК">'[2]исх дан'!#REF!</definedName>
    <definedName name="КУРС_ЛУКИ">'[2]исх дан'!#REF!</definedName>
    <definedName name="КУРС_РК">'[2]исх дан'!#REF!</definedName>
    <definedName name="левон_опт" localSheetId="14">#REF!</definedName>
    <definedName name="левон_опт" localSheetId="6">#REF!</definedName>
    <definedName name="левон_опт" localSheetId="9">#REF!</definedName>
    <definedName name="левон_опт">#REF!</definedName>
    <definedName name="левон_розн" localSheetId="14">#REF!</definedName>
    <definedName name="левон_розн" localSheetId="6">#REF!</definedName>
    <definedName name="левон_розн" localSheetId="9">#REF!</definedName>
    <definedName name="левон_розн">#REF!</definedName>
    <definedName name="лист1" localSheetId="14">[8]Кабель!$A$1:$A$123,[8]Кабель!$GF$1:$GG$123,#REF!,#REF!,[8]Кабель!$A$423:$A$1102,[8]Кабель!$GF$423:$GG$1102</definedName>
    <definedName name="лист1" localSheetId="6">[8]Кабель!$A$1:$A$123,[8]Кабель!$GF$1:$GG$123,#REF!,#REF!,[8]Кабель!$A$423:$A$1102,[8]Кабель!$GF$423:$GG$1102</definedName>
    <definedName name="лист1" localSheetId="9">[8]Кабель!$A$1:$A$123,[8]Кабель!$GF$1:$GG$123,#REF!,#REF!,[8]Кабель!$A$423:$A$1102,[8]Кабель!$GF$423:$GG$1102</definedName>
    <definedName name="лист1">[8]Кабель!$A$1:$A$123,[8]Кабель!$GF$1:$GG$123,#REF!,#REF!,[8]Кабель!$A$423:$A$1102,[8]Кабель!$GF$423:$GG$1102</definedName>
    <definedName name="лист1_txt" localSheetId="14">[8]Кабель!$A$10:$A$123,[8]Кабель!$GF$10:$GG$123,#REF!,[8]Кабель!$GF$438:$GG$850</definedName>
    <definedName name="лист1_txt" localSheetId="6">[8]Кабель!$A$10:$A$123,[8]Кабель!$GF$10:$GG$123,#REF!,[8]Кабель!$GF$438:$GG$850</definedName>
    <definedName name="лист1_txt" localSheetId="9">[8]Кабель!$A$10:$A$123,[8]Кабель!$GF$10:$GG$123,#REF!,[8]Кабель!$GF$438:$GG$850</definedName>
    <definedName name="лист1_txt">[8]Кабель!$A$10:$A$123,[8]Кабель!$GF$10:$GG$123,#REF!,[8]Кабель!$GF$438:$GG$850</definedName>
    <definedName name="лист10" localSheetId="14">#REF!,#REF!</definedName>
    <definedName name="лист10" localSheetId="6">#REF!,#REF!</definedName>
    <definedName name="лист10" localSheetId="9">#REF!,#REF!</definedName>
    <definedName name="лист10">#REF!,#REF!</definedName>
    <definedName name="лист2" localSheetId="14">[7]Электрика!#REF!,[7]Электрика!#REF!,[7]Электрика!$B$1:$B$24,[7]Электрика!$AY$1:$AZ$24,[7]Электрика!#REF!,[7]Электрика!#REF!</definedName>
    <definedName name="лист2" localSheetId="6">[7]Электрика!#REF!,[7]Электрика!#REF!,[7]Электрика!$B$1:$B$24,[7]Электрика!$AY$1:$AZ$24,[7]Электрика!#REF!,[7]Электрика!#REF!</definedName>
    <definedName name="лист2" localSheetId="9">[7]Электрика!#REF!,[7]Электрика!#REF!,[7]Электрика!$B$1:$B$24,[7]Электрика!$AY$1:$AZ$24,[7]Электрика!#REF!,[7]Электрика!#REF!</definedName>
    <definedName name="лист2">[7]Электрика!#REF!,[7]Электрика!#REF!,[7]Электрика!$B$1:$B$24,[7]Электрика!$AY$1:$AZ$24,[7]Электрика!#REF!,[7]Электрика!#REF!</definedName>
    <definedName name="лист2_txt" localSheetId="14">#REF!,[7]Электрика!$A$3:$B$24,[7]Электрика!$AY$3:$AZ$24,[7]Электрика!$AY$69:$AZ$129</definedName>
    <definedName name="лист2_txt" localSheetId="6">#REF!,[7]Электрика!$A$3:$B$24,[7]Электрика!$AY$3:$AZ$24,[7]Электрика!$AY$69:$AZ$129</definedName>
    <definedName name="лист2_txt" localSheetId="9">#REF!,[7]Электрика!$A$3:$B$24,[7]Электрика!$AY$3:$AZ$24,[7]Электрика!$AY$69:$AZ$129</definedName>
    <definedName name="лист2_txt">#REF!,[7]Электрика!$A$3:$B$24,[7]Электрика!$AY$3:$AZ$24,[7]Электрика!$AY$69:$AZ$129</definedName>
    <definedName name="лист3" localSheetId="14">#REF!,#REF!,#REF!,#REF!,#REF!,#REF!</definedName>
    <definedName name="лист3" localSheetId="6">#REF!,#REF!,#REF!,#REF!,#REF!,#REF!</definedName>
    <definedName name="лист3" localSheetId="9">#REF!,#REF!,#REF!,#REF!,#REF!,#REF!</definedName>
    <definedName name="лист3">#REF!,#REF!,#REF!,#REF!,#REF!,#REF!</definedName>
    <definedName name="лист3_txt" localSheetId="14">#REF!,#REF!,#REF!,#REF!</definedName>
    <definedName name="лист3_txt" localSheetId="6">#REF!,#REF!,#REF!,#REF!</definedName>
    <definedName name="лист3_txt" localSheetId="9">#REF!,#REF!,#REF!,#REF!</definedName>
    <definedName name="лист3_txt">#REF!,#REF!,#REF!,#REF!</definedName>
    <definedName name="лист4" localSheetId="14">#REF!,#REF!,#REF!,#REF!,#REF!,#REF!</definedName>
    <definedName name="лист4" localSheetId="6">#REF!,#REF!,#REF!,#REF!,#REF!,#REF!</definedName>
    <definedName name="лист4" localSheetId="9">#REF!,#REF!,#REF!,#REF!,#REF!,#REF!</definedName>
    <definedName name="лист4">#REF!,#REF!,#REF!,#REF!,#REF!,#REF!</definedName>
    <definedName name="лист4_txt" localSheetId="14">#REF!,#REF!,#REF!,#REF!</definedName>
    <definedName name="лист4_txt" localSheetId="6">#REF!,#REF!,#REF!,#REF!</definedName>
    <definedName name="лист4_txt" localSheetId="9">#REF!,#REF!,#REF!,#REF!</definedName>
    <definedName name="лист4_txt">#REF!,#REF!,#REF!,#REF!</definedName>
    <definedName name="лист8" localSheetId="14">#REF!,#REF!</definedName>
    <definedName name="лист8" localSheetId="6">#REF!,#REF!</definedName>
    <definedName name="лист8" localSheetId="9">#REF!,#REF!</definedName>
    <definedName name="лист8">#REF!,#REF!</definedName>
    <definedName name="ЛУКИ" localSheetId="14">#REF!</definedName>
    <definedName name="ЛУКИ" localSheetId="6">#REF!</definedName>
    <definedName name="ЛУКИ" localSheetId="9">#REF!</definedName>
    <definedName name="ЛУКИ">#REF!</definedName>
    <definedName name="ЛУКИ_МЕДЬ" localSheetId="14">'[2]исх дан'!#REF!</definedName>
    <definedName name="ЛУКИ_МЕДЬ" localSheetId="6">'[2]исх дан'!#REF!</definedName>
    <definedName name="ЛУКИ_МЕДЬ" localSheetId="9">'[2]исх дан'!#REF!</definedName>
    <definedName name="ЛУКИ_МЕДЬ">'[2]исх дан'!#REF!</definedName>
    <definedName name="Материалы01">[4]Материалы!$G$1:$O$65536,[4]Материалы!$Y$1:$CI$65536</definedName>
    <definedName name="Материалы02">[4]Материалы!$G$1:$X$65536,[4]Материалы!$AH$1:$CI$65536</definedName>
    <definedName name="Материалы03">[4]Материалы!$G$1:$AG$65536,[4]Материалы!$AQ$1:$CI$65536</definedName>
    <definedName name="Материалы04">[4]Материалы!$G$1:$AP$65536,[4]Материалы!$AZ$1:$CI$65536</definedName>
    <definedName name="Материалы05">[4]Материалы!$G$1:$AY$65536,[4]Материалы!$BI$1:$CI$65536</definedName>
    <definedName name="Материалы06">[4]Материалы!$G$1:$BH$65536,[4]Материалы!$BR$1:$CI$65536</definedName>
    <definedName name="Материалы07">[4]Материалы!$G$1:$BQ$65536,[4]Материалы!$CA$1:$CI$65536</definedName>
    <definedName name="Мин.нац." localSheetId="14">[5]Кабель!#REF!</definedName>
    <definedName name="Мин.нац." localSheetId="6">[5]Кабель!#REF!</definedName>
    <definedName name="Мин.нац." localSheetId="9">[5]Кабель!#REF!</definedName>
    <definedName name="Мин.нац.">[5]Кабель!#REF!</definedName>
    <definedName name="Мин_Нац">'[2]исх дан'!$B$9</definedName>
    <definedName name="ммм">'[2]исх дан'!#REF!</definedName>
    <definedName name="НаименованиеПород">[6]Списки!$B$2:$B$80</definedName>
    <definedName name="НАЦ_ГОФР">'[2]исх дан'!#REF!</definedName>
    <definedName name="НАЦ_ГОФР_СПЕЦ">'[2]исх дан'!#REF!</definedName>
    <definedName name="НАЦ_КОЛЬЧ">'[2]исх дан'!#REF!</definedName>
    <definedName name="НАЦ_КОРОБ">'[2]исх дан'!#REF!</definedName>
    <definedName name="нац_метрук">'[2]исх дан'!#REF!</definedName>
    <definedName name="нац_након" localSheetId="14">#REF!</definedName>
    <definedName name="нац_након" localSheetId="6">#REF!</definedName>
    <definedName name="нац_након" localSheetId="9">#REF!</definedName>
    <definedName name="нац_након">#REF!</definedName>
    <definedName name="НАЦ_НЕГОРЮЧ" localSheetId="14">#REF!</definedName>
    <definedName name="НАЦ_НЕГОРЮЧ" localSheetId="6">#REF!</definedName>
    <definedName name="НАЦ_НЕГОРЮЧ" localSheetId="9">#REF!</definedName>
    <definedName name="НАЦ_НЕГОРЮЧ">#REF!</definedName>
    <definedName name="НАЦ_ОПТ" localSheetId="14">'[2]исх дан'!#REF!</definedName>
    <definedName name="НАЦ_ОПТ" localSheetId="6">'[2]исх дан'!#REF!</definedName>
    <definedName name="НАЦ_ОПТ" localSheetId="9">'[2]исх дан'!#REF!</definedName>
    <definedName name="НАЦ_ОПТ">'[2]исх дан'!#REF!</definedName>
    <definedName name="НАЦ_ОПТ_КОЛЬЧ" localSheetId="14">'[2]исх дан'!#REF!</definedName>
    <definedName name="НАЦ_ОПТ_КОЛЬЧ" localSheetId="6">'[2]исх дан'!#REF!</definedName>
    <definedName name="НАЦ_ОПТ_КОЛЬЧ" localSheetId="9">'[2]исх дан'!#REF!</definedName>
    <definedName name="НАЦ_ОПТ_КОЛЬЧ">'[2]исх дан'!#REF!</definedName>
    <definedName name="НАЦ_ОПТ_КОЛЬЧ_тпп">'[2]исх дан'!#REF!</definedName>
    <definedName name="НАЦ_РЫБ">'[2]исх дан'!#REF!</definedName>
    <definedName name="НАЦ_РЫБ_КРУПН">'[2]исх дан'!#REF!</definedName>
    <definedName name="НАЦ_РЫБ_МЕЛК">'[2]исх дан'!#REF!</definedName>
    <definedName name="НАЦ_СМОЛ_АВВГ">'[2]исх дан'!#REF!</definedName>
    <definedName name="НАЦ_СМОЛ_АПВ">'[2]исх дан'!#REF!</definedName>
    <definedName name="НАЦ_СМОЛ_М">'[2]исх дан'!#REF!</definedName>
    <definedName name="НАЦ_ТУРЦ_ОПТ" localSheetId="14">#REF!</definedName>
    <definedName name="НАЦ_ТУРЦ_ОПТ" localSheetId="6">#REF!</definedName>
    <definedName name="НАЦ_ТУРЦ_ОПТ" localSheetId="9">#REF!</definedName>
    <definedName name="НАЦ_ТУРЦ_ОПТ">#REF!</definedName>
    <definedName name="НАЦ_ТУРЦ_РОЗН" localSheetId="14">#REF!</definedName>
    <definedName name="НАЦ_ТУРЦ_РОЗН" localSheetId="6">#REF!</definedName>
    <definedName name="НАЦ_ТУРЦ_РОЗН" localSheetId="9">#REF!</definedName>
    <definedName name="НАЦ_ТУРЦ_РОЗН">#REF!</definedName>
    <definedName name="НАЦЕНКА" localSheetId="14">'[2]исх дан'!#REF!</definedName>
    <definedName name="НАЦЕНКА" localSheetId="6">'[2]исх дан'!#REF!</definedName>
    <definedName name="НАЦЕНКА" localSheetId="9">'[2]исх дан'!#REF!</definedName>
    <definedName name="НАЦЕНКА">'[2]исх дан'!#REF!</definedName>
    <definedName name="НАЦЕНКА_150" localSheetId="14">'[2]исх дан'!#REF!</definedName>
    <definedName name="НАЦЕНКА_150" localSheetId="6">'[2]исх дан'!#REF!</definedName>
    <definedName name="НАЦЕНКА_150" localSheetId="9">'[2]исх дан'!#REF!</definedName>
    <definedName name="НАЦЕНКА_150">'[2]исх дан'!#REF!</definedName>
    <definedName name="НАЦЕНКА_СЧЕТЧ">'[2]исх дан'!#REF!</definedName>
    <definedName name="НАЦЕНКА_СЧЕТЧИКИ">'[2]исх дан'!#REF!</definedName>
    <definedName name="НДС">'[2]исх дан'!#REF!</definedName>
    <definedName name="Номер_сметы">[9]Справочник!$A:$A</definedName>
    <definedName name="_xlnm.Print_Area" localSheetId="10">аналитика!$A$1:$V$15</definedName>
    <definedName name="_xlnm.Print_Area" localSheetId="11">'ан-ка (на 95% мех и 5% вруч )'!$A$1:$V$15</definedName>
    <definedName name="_xlnm.Print_Area" localSheetId="2">'вар НВ (с 0,65 и без упл)'!$A$1:$Z$51</definedName>
    <definedName name="_xlnm.Print_Area" localSheetId="1">'на 04.06'!$A$1:$Z$53</definedName>
    <definedName name="_xlnm.Print_Area" localSheetId="14">'реестр к Договору'!$A$1:$W$42</definedName>
    <definedName name="_xlnm.Print_Area" localSheetId="8">'реестр под ФАКТ'!$A$1:$Z$47</definedName>
    <definedName name="_xlnm.Print_Area" localSheetId="13">'реестр под ФАКТ (2)'!$A$1:$X$59</definedName>
    <definedName name="_xlnm.Print_Area" localSheetId="5">'реестр под ФАКТ (ПЖ с замеч.)'!$A$1:$Z$46</definedName>
    <definedName name="_xlnm.Print_Area" localSheetId="6">'реестр под ФАКТ до соглас. '!$A$1:$Z$48</definedName>
    <definedName name="_xlnm.Print_Area" localSheetId="12">'реестр под ФАКТ с виброплит'!$A$1:$Z$51</definedName>
    <definedName name="_xlnm.Print_Area" localSheetId="3">'реестр под ФАКТ суммы НВ'!$A$1:$Z$47</definedName>
    <definedName name="_xlnm.Print_Area" localSheetId="4">'реестр под ФАКТ суммы с накрут'!$A$1:$Z$47</definedName>
    <definedName name="_xlnm.Print_Area" localSheetId="9">'свод реестров по кс-2'!$A$1:$J$35</definedName>
    <definedName name="_xlnm.Print_Area" localSheetId="0">ССР!$A$1:$H$92</definedName>
    <definedName name="_xlnm.Print_Area" localSheetId="7">'утилизация корр'!$A$1:$F$48</definedName>
    <definedName name="ООС" localSheetId="14">#REF!,#REF!</definedName>
    <definedName name="ООС" localSheetId="6">#REF!,#REF!</definedName>
    <definedName name="ООС" localSheetId="9">#REF!,#REF!</definedName>
    <definedName name="ООС">#REF!,#REF!</definedName>
    <definedName name="от_БИРЖЕВОГО" localSheetId="14">'[2]исх дан'!#REF!</definedName>
    <definedName name="от_БИРЖЕВОГО" localSheetId="6">'[2]исх дан'!#REF!</definedName>
    <definedName name="от_БИРЖЕВОГО" localSheetId="9">'[2]исх дан'!#REF!</definedName>
    <definedName name="от_БИРЖЕВОГО">'[2]исх дан'!#REF!</definedName>
    <definedName name="ПВ" localSheetId="14">'[2]исх дан'!#REF!</definedName>
    <definedName name="ПВ" localSheetId="6">'[2]исх дан'!#REF!</definedName>
    <definedName name="ПВ" localSheetId="9">'[2]исх дан'!#REF!</definedName>
    <definedName name="ПВ">'[2]исх дан'!#REF!</definedName>
    <definedName name="ПВС_ОПТ" localSheetId="14">'[2]исх дан'!#REF!</definedName>
    <definedName name="ПВС_ОПТ" localSheetId="6">'[2]исх дан'!#REF!</definedName>
    <definedName name="ПВС_ОПТ" localSheetId="9">'[2]исх дан'!#REF!</definedName>
    <definedName name="ПВС_ОПТ">'[2]исх дан'!#REF!</definedName>
    <definedName name="ПВС_РОЗН">[10]ПРОЦЕНТЫ!$AQ$7</definedName>
    <definedName name="пр" localSheetId="14">#REF!,#REF!,#REF!,#REF!</definedName>
    <definedName name="пр" localSheetId="6">#REF!,#REF!,#REF!,#REF!</definedName>
    <definedName name="пр" localSheetId="9">#REF!,#REF!,#REF!,#REF!</definedName>
    <definedName name="пр">#REF!,#REF!,#REF!,#REF!</definedName>
    <definedName name="Примечание">[6]Списки!$K$2:$K$25</definedName>
    <definedName name="ПУНП">'[2]исх дан'!#REF!</definedName>
    <definedName name="Расход_меди_кг_км_с_отходами" localSheetId="14">#REF!</definedName>
    <definedName name="Расход_меди_кг_км_с_отходами" localSheetId="6">#REF!</definedName>
    <definedName name="Расход_меди_кг_км_с_отходами" localSheetId="9">#REF!</definedName>
    <definedName name="Расход_меди_кг_км_с_отходами">#REF!</definedName>
    <definedName name="рома1" localSheetId="14">[5]Кабель!$A$1:$A$136,#REF!,[5]Кабель!$FQ$1:$FQ$136,#REF!,#REF!,#REF!,[5]Кабель!$A$420:$A$1102,#REF!,[5]Кабель!$FQ$420:$FQ$1102</definedName>
    <definedName name="рома1" localSheetId="6">[5]Кабель!$A$1:$A$136,#REF!,[5]Кабель!$FQ$1:$FQ$136,#REF!,#REF!,#REF!,[5]Кабель!$A$420:$A$1102,#REF!,[5]Кабель!$FQ$420:$FQ$1102</definedName>
    <definedName name="рома1" localSheetId="9">[5]Кабель!$A$1:$A$136,#REF!,[5]Кабель!$FQ$1:$FQ$136,#REF!,#REF!,#REF!,[5]Кабель!$A$420:$A$1102,#REF!,[5]Кабель!$FQ$420:$FQ$1102</definedName>
    <definedName name="рома1">[5]Кабель!$A$1:$A$136,#REF!,[5]Кабель!$FQ$1:$FQ$136,#REF!,#REF!,#REF!,[5]Кабель!$A$420:$A$1102,#REF!,[5]Кабель!$FQ$420:$FQ$1102</definedName>
    <definedName name="рома2" localSheetId="14">[7]Электрика!#REF!,[7]Электрика!#REF!,[7]Электрика!#REF!,[7]Электрика!$B$1:$B$24,[7]Электрика!$AY$1:$AZ$24,[7]Электрика!#REF!,[7]Электрика!#REF!</definedName>
    <definedName name="рома2" localSheetId="6">[7]Электрика!#REF!,[7]Электрика!#REF!,[7]Электрика!#REF!,[7]Электрика!$B$1:$B$24,[7]Электрика!$AY$1:$AZ$24,[7]Электрика!#REF!,[7]Электрика!#REF!</definedName>
    <definedName name="рома2" localSheetId="9">[7]Электрика!#REF!,[7]Электрика!#REF!,[7]Электрика!#REF!,[7]Электрика!$B$1:$B$24,[7]Электрика!$AY$1:$AZ$24,[7]Электрика!#REF!,[7]Электрика!#REF!</definedName>
    <definedName name="рома2">[7]Электрика!#REF!,[7]Электрика!#REF!,[7]Электрика!#REF!,[7]Электрика!$B$1:$B$24,[7]Электрика!$AY$1:$AZ$24,[7]Электрика!#REF!,[7]Электрика!#REF!</definedName>
    <definedName name="СКИДКА_в_КОЛЬЧУГ" localSheetId="14">#REF!</definedName>
    <definedName name="СКИДКА_в_КОЛЬЧУГ" localSheetId="6">#REF!</definedName>
    <definedName name="СКИДКА_в_КОЛЬЧУГ" localSheetId="9">#REF!</definedName>
    <definedName name="СКИДКА_в_КОЛЬЧУГ">#REF!</definedName>
    <definedName name="СКИДКА_КОЛЬЧ">'[2]исх дан'!$B$9</definedName>
    <definedName name="Смета">[4]Смета!#REF!</definedName>
    <definedName name="СПЕЦКУРС">'[2]исх дан'!$B$3</definedName>
    <definedName name="сроки">[3]Коэффициенты!$A$1:$A$65536</definedName>
    <definedName name="стадия_П">[3]база!$J$1:$J$65536</definedName>
    <definedName name="СТАР_КУРС">[10]ПРОЦЕНТЫ!$AQ$12</definedName>
    <definedName name="тек_курс">'[2]исх дан'!#REF!</definedName>
    <definedName name="текст1">[8]Кабель!$A$10:$A$123,[8]Кабель!$GF$10:$GG$123</definedName>
    <definedName name="текст10" localSheetId="14">#REF!,#REF!</definedName>
    <definedName name="текст10" localSheetId="6">#REF!,#REF!</definedName>
    <definedName name="текст10" localSheetId="9">#REF!,#REF!</definedName>
    <definedName name="текст10">#REF!,#REF!</definedName>
    <definedName name="текст11" localSheetId="14">#REF!,#REF!</definedName>
    <definedName name="текст11" localSheetId="6">#REF!,#REF!</definedName>
    <definedName name="текст11" localSheetId="9">#REF!,#REF!</definedName>
    <definedName name="текст11">#REF!,#REF!</definedName>
    <definedName name="текст12" localSheetId="14">#REF!,#REF!</definedName>
    <definedName name="текст12" localSheetId="6">#REF!,#REF!</definedName>
    <definedName name="текст12" localSheetId="9">#REF!,#REF!</definedName>
    <definedName name="текст12">#REF!,#REF!</definedName>
    <definedName name="текст2" localSheetId="14">[5]Кабель!$A$137:$A$419,#REF!</definedName>
    <definedName name="текст2" localSheetId="6">[5]Кабель!$A$137:$A$419,#REF!</definedName>
    <definedName name="текст2" localSheetId="9">[5]Кабель!$A$137:$A$419,#REF!</definedName>
    <definedName name="текст2">[5]Кабель!$A$137:$A$419,#REF!</definedName>
    <definedName name="текст3" localSheetId="14">#REF!,#REF!</definedName>
    <definedName name="текст3" localSheetId="6">#REF!,#REF!</definedName>
    <definedName name="текст3" localSheetId="9">#REF!,#REF!</definedName>
    <definedName name="текст3">#REF!,#REF!</definedName>
    <definedName name="текст4" localSheetId="14">[7]Электрика!#REF!,[7]Электрика!#REF!</definedName>
    <definedName name="текст4" localSheetId="6">[7]Электрика!#REF!,[7]Электрика!#REF!</definedName>
    <definedName name="текст4" localSheetId="9">[7]Электрика!#REF!,[7]Электрика!#REF!</definedName>
    <definedName name="текст4">[7]Электрика!#REF!,[7]Электрика!#REF!</definedName>
    <definedName name="текст5">[7]Электрика!$A$3:$B$24,[7]Электрика!$AY$4:$AZ$24</definedName>
    <definedName name="текст6" localSheetId="14">[7]Электрика!$A$32:$B$129,[7]Электрика!#REF!</definedName>
    <definedName name="текст6" localSheetId="6">[7]Электрика!$A$32:$B$129,[7]Электрика!#REF!</definedName>
    <definedName name="текст6" localSheetId="9">[7]Электрика!$A$32:$B$129,[7]Электрика!#REF!</definedName>
    <definedName name="текст6">[7]Электрика!$A$32:$B$129,[7]Электрика!#REF!</definedName>
    <definedName name="текст7" localSheetId="14">#REF!,#REF!</definedName>
    <definedName name="текст7" localSheetId="6">#REF!,#REF!</definedName>
    <definedName name="текст7" localSheetId="9">#REF!,#REF!</definedName>
    <definedName name="текст7">#REF!,#REF!</definedName>
    <definedName name="текст8" localSheetId="14">#REF!,#REF!</definedName>
    <definedName name="текст8" localSheetId="6">#REF!,#REF!</definedName>
    <definedName name="текст8" localSheetId="9">#REF!,#REF!</definedName>
    <definedName name="текст8">#REF!,#REF!</definedName>
    <definedName name="текст9" localSheetId="14">#REF!,#REF!</definedName>
    <definedName name="текст9" localSheetId="6">#REF!,#REF!</definedName>
    <definedName name="текст9" localSheetId="9">#REF!,#REF!</definedName>
    <definedName name="текст9">#REF!,#REF!</definedName>
    <definedName name="Титул00" localSheetId="14">#REF!</definedName>
    <definedName name="Титул00" localSheetId="6">#REF!</definedName>
    <definedName name="Титул00" localSheetId="9">#REF!</definedName>
    <definedName name="Титул00">#REF!</definedName>
    <definedName name="Титул01" localSheetId="14">#REF!,#REF!</definedName>
    <definedName name="Титул01" localSheetId="6">#REF!,#REF!</definedName>
    <definedName name="Титул01" localSheetId="9">#REF!,#REF!</definedName>
    <definedName name="Титул01">#REF!,#REF!</definedName>
    <definedName name="Титул02" localSheetId="14">#REF!,#REF!</definedName>
    <definedName name="Титул02" localSheetId="6">#REF!,#REF!</definedName>
    <definedName name="Титул02" localSheetId="9">#REF!,#REF!</definedName>
    <definedName name="Титул02">#REF!,#REF!</definedName>
    <definedName name="Титул03" localSheetId="14">#REF!,#REF!</definedName>
    <definedName name="Титул03" localSheetId="6">#REF!,#REF!</definedName>
    <definedName name="Титул03" localSheetId="9">#REF!,#REF!</definedName>
    <definedName name="Титул03">#REF!,#REF!</definedName>
    <definedName name="Титул04" localSheetId="14">#REF!,#REF!</definedName>
    <definedName name="Титул04" localSheetId="6">#REF!,#REF!</definedName>
    <definedName name="Титул04" localSheetId="9">#REF!,#REF!</definedName>
    <definedName name="Титул04">#REF!,#REF!</definedName>
    <definedName name="Титул05" localSheetId="14">#REF!,#REF!</definedName>
    <definedName name="Титул05" localSheetId="6">#REF!,#REF!</definedName>
    <definedName name="Титул05" localSheetId="9">#REF!,#REF!</definedName>
    <definedName name="Титул05">#REF!,#REF!</definedName>
    <definedName name="Титул06" localSheetId="14">#REF!</definedName>
    <definedName name="Титул06" localSheetId="6">#REF!</definedName>
    <definedName name="Титул06" localSheetId="9">#REF!</definedName>
    <definedName name="Титул06">#REF!</definedName>
    <definedName name="тула1" localSheetId="14">[5]Кабель!$A$1:$A$136,[5]Кабель!#REF!,[5]Кабель!$FQ$1:$FQ$136,#REF!,[5]Кабель!#REF!,#REF!,[5]Кабель!$A$420:$A$1102,[5]Кабель!#REF!,[5]Кабель!$FQ$420:$FQ$1102</definedName>
    <definedName name="тула1" localSheetId="6">[5]Кабель!$A$1:$A$136,[5]Кабель!#REF!,[5]Кабель!$FQ$1:$FQ$136,#REF!,[5]Кабель!#REF!,#REF!,[5]Кабель!$A$420:$A$1102,[5]Кабель!#REF!,[5]Кабель!$FQ$420:$FQ$1102</definedName>
    <definedName name="тула1" localSheetId="9">[5]Кабель!$A$1:$A$136,[5]Кабель!#REF!,[5]Кабель!$FQ$1:$FQ$136,#REF!,[5]Кабель!#REF!,#REF!,[5]Кабель!$A$420:$A$1102,[5]Кабель!#REF!,[5]Кабель!$FQ$420:$FQ$1102</definedName>
    <definedName name="тула1">[5]Кабель!$A$1:$A$136,[5]Кабель!#REF!,[5]Кабель!$FQ$1:$FQ$136,#REF!,[5]Кабель!#REF!,#REF!,[5]Кабель!$A$420:$A$1102,[5]Кабель!#REF!,[5]Кабель!$FQ$420:$FQ$1102</definedName>
    <definedName name="тула2" localSheetId="14">[7]Электрика!#REF!,[7]Электрика!#REF!,[7]Электрика!#REF!,[7]Электрика!$B$1:$B$24,[7]Электрика!$Y$1:$Y$2,[7]Электрика!$AZ$1:$AZ$24,[7]Электрика!#REF!,[7]Электрика!#REF!</definedName>
    <definedName name="тула2" localSheetId="6">[7]Электрика!#REF!,[7]Электрика!#REF!,[7]Электрика!#REF!,[7]Электрика!$B$1:$B$24,[7]Электрика!$Y$1:$Y$2,[7]Электрика!$AZ$1:$AZ$24,[7]Электрика!#REF!,[7]Электрика!#REF!</definedName>
    <definedName name="тула2" localSheetId="9">[7]Электрика!#REF!,[7]Электрика!#REF!,[7]Электрика!#REF!,[7]Электрика!$B$1:$B$24,[7]Электрика!$Y$1:$Y$2,[7]Электрика!$AZ$1:$AZ$24,[7]Электрика!#REF!,[7]Электрика!#REF!</definedName>
    <definedName name="тула2">[7]Электрика!#REF!,[7]Электрика!#REF!,[7]Электрика!#REF!,[7]Электрика!$B$1:$B$24,[7]Электрика!$Y$1:$Y$2,[7]Электрика!$AZ$1:$AZ$24,[7]Электрика!#REF!,[7]Электрика!#REF!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P44" i="36" l="1"/>
  <c r="AP24" i="36"/>
  <c r="AP19" i="36"/>
  <c r="AO44" i="36"/>
  <c r="AO24" i="36"/>
  <c r="AO19" i="36"/>
  <c r="AO57" i="36"/>
  <c r="AO56" i="36"/>
  <c r="AO55" i="36"/>
  <c r="AO53" i="36"/>
  <c r="AO48" i="36"/>
  <c r="AO43" i="36"/>
  <c r="AO42" i="36"/>
  <c r="AO41" i="36"/>
  <c r="AO40" i="36"/>
  <c r="AO39" i="36"/>
  <c r="AO38" i="36"/>
  <c r="AO37" i="36"/>
  <c r="AO36" i="36"/>
  <c r="AO35" i="36"/>
  <c r="AO34" i="36"/>
  <c r="AO33" i="36"/>
  <c r="AO30" i="36"/>
  <c r="AO29" i="36"/>
  <c r="AO28" i="36"/>
  <c r="AO27" i="36"/>
  <c r="AO23" i="36"/>
  <c r="AO22" i="36"/>
  <c r="AO21" i="36"/>
  <c r="AO20" i="36"/>
  <c r="AO18" i="36"/>
  <c r="AO17" i="36"/>
  <c r="AO16" i="36"/>
  <c r="AO15" i="36"/>
  <c r="AO14" i="36"/>
  <c r="AO13" i="36"/>
  <c r="AO12" i="36"/>
  <c r="AO11" i="36"/>
  <c r="AO10" i="36"/>
  <c r="AO9" i="36"/>
  <c r="AO8" i="36"/>
  <c r="AO7" i="36"/>
  <c r="AO6" i="36"/>
  <c r="AP46" i="37"/>
  <c r="AO46" i="37"/>
  <c r="U19" i="37"/>
  <c r="U44" i="37"/>
  <c r="V44" i="37" s="1"/>
  <c r="U24" i="37"/>
  <c r="AF24" i="37" s="1"/>
  <c r="H70" i="37"/>
  <c r="G70" i="37"/>
  <c r="D70" i="37"/>
  <c r="V57" i="37"/>
  <c r="V56" i="37"/>
  <c r="S56" i="37"/>
  <c r="V55" i="37"/>
  <c r="Z50" i="37"/>
  <c r="Y50" i="37"/>
  <c r="T50" i="37"/>
  <c r="Q50" i="37"/>
  <c r="P50" i="37"/>
  <c r="O50" i="37"/>
  <c r="N50" i="37"/>
  <c r="M50" i="37"/>
  <c r="L50" i="37"/>
  <c r="K50" i="37"/>
  <c r="J50" i="37"/>
  <c r="D50" i="37"/>
  <c r="V48" i="37"/>
  <c r="AC46" i="37"/>
  <c r="V43" i="37"/>
  <c r="U42" i="37"/>
  <c r="V42" i="37" s="1"/>
  <c r="AD41" i="37"/>
  <c r="V41" i="37"/>
  <c r="U41" i="37"/>
  <c r="U40" i="37"/>
  <c r="AD40" i="37" s="1"/>
  <c r="U39" i="37"/>
  <c r="V39" i="37" s="1"/>
  <c r="U38" i="37"/>
  <c r="T38" i="37"/>
  <c r="V38" i="37" s="1"/>
  <c r="U37" i="37"/>
  <c r="AD37" i="37" s="1"/>
  <c r="U36" i="37"/>
  <c r="AD36" i="37" s="1"/>
  <c r="S36" i="37"/>
  <c r="S38" i="37" s="1"/>
  <c r="AD35" i="37"/>
  <c r="V35" i="37"/>
  <c r="U35" i="37"/>
  <c r="U34" i="37"/>
  <c r="AD34" i="37" s="1"/>
  <c r="S34" i="37"/>
  <c r="S35" i="37" s="1"/>
  <c r="S37" i="37" s="1"/>
  <c r="U33" i="37"/>
  <c r="Z31" i="37"/>
  <c r="Z46" i="37" s="1"/>
  <c r="O31" i="37"/>
  <c r="O46" i="37" s="1"/>
  <c r="N31" i="37"/>
  <c r="N46" i="37" s="1"/>
  <c r="M31" i="37"/>
  <c r="M46" i="37" s="1"/>
  <c r="L31" i="37"/>
  <c r="L46" i="37" s="1"/>
  <c r="K31" i="37"/>
  <c r="K46" i="37" s="1"/>
  <c r="H31" i="37"/>
  <c r="H71" i="37" s="1"/>
  <c r="G31" i="37"/>
  <c r="G46" i="37" s="1"/>
  <c r="D31" i="37"/>
  <c r="D46" i="37" s="1"/>
  <c r="V30" i="37"/>
  <c r="P30" i="37"/>
  <c r="V29" i="37"/>
  <c r="P29" i="37"/>
  <c r="R28" i="37"/>
  <c r="P28" i="37"/>
  <c r="T28" i="37" s="1"/>
  <c r="V28" i="37" s="1"/>
  <c r="C28" i="37"/>
  <c r="P27" i="37"/>
  <c r="T27" i="37" s="1"/>
  <c r="V27" i="37" s="1"/>
  <c r="I27" i="37"/>
  <c r="I10" i="37" s="1"/>
  <c r="C27" i="37"/>
  <c r="Z26" i="37"/>
  <c r="X26" i="37"/>
  <c r="W26" i="37"/>
  <c r="AD25" i="37"/>
  <c r="AE24" i="37"/>
  <c r="P24" i="37"/>
  <c r="T24" i="37" s="1"/>
  <c r="V23" i="37"/>
  <c r="U23" i="37"/>
  <c r="T23" i="37"/>
  <c r="P23" i="37"/>
  <c r="U22" i="37"/>
  <c r="P22" i="37"/>
  <c r="T22" i="37" s="1"/>
  <c r="V22" i="37" s="1"/>
  <c r="AD21" i="37"/>
  <c r="U21" i="37"/>
  <c r="P21" i="37"/>
  <c r="T21" i="37" s="1"/>
  <c r="V21" i="37" s="1"/>
  <c r="I21" i="37"/>
  <c r="J21" i="37" s="1"/>
  <c r="Q21" i="37" s="1"/>
  <c r="U20" i="37"/>
  <c r="V20" i="37" s="1"/>
  <c r="T20" i="37"/>
  <c r="P20" i="37"/>
  <c r="AE19" i="37"/>
  <c r="AD19" i="37"/>
  <c r="P19" i="37"/>
  <c r="T19" i="37" s="1"/>
  <c r="V19" i="37" s="1"/>
  <c r="I19" i="37"/>
  <c r="I28" i="37" s="1"/>
  <c r="J28" i="37" s="1"/>
  <c r="Q28" i="37" s="1"/>
  <c r="U18" i="37"/>
  <c r="AD18" i="37" s="1"/>
  <c r="S18" i="37"/>
  <c r="P18" i="37"/>
  <c r="T18" i="37" s="1"/>
  <c r="V18" i="37" s="1"/>
  <c r="AD17" i="37"/>
  <c r="Y17" i="37"/>
  <c r="U17" i="37"/>
  <c r="P17" i="37"/>
  <c r="T17" i="37" s="1"/>
  <c r="V17" i="37" s="1"/>
  <c r="AB17" i="37" s="1"/>
  <c r="AD16" i="37"/>
  <c r="AA16" i="37"/>
  <c r="Y16" i="37"/>
  <c r="U16" i="37"/>
  <c r="P16" i="37"/>
  <c r="T16" i="37" s="1"/>
  <c r="V16" i="37" s="1"/>
  <c r="AD15" i="37"/>
  <c r="AA15" i="37"/>
  <c r="Y15" i="37"/>
  <c r="U15" i="37"/>
  <c r="P15" i="37"/>
  <c r="T15" i="37" s="1"/>
  <c r="V15" i="37" s="1"/>
  <c r="I15" i="37"/>
  <c r="J15" i="37" s="1"/>
  <c r="Q15" i="37" s="1"/>
  <c r="AD14" i="37"/>
  <c r="AA14" i="37"/>
  <c r="AB14" i="37" s="1"/>
  <c r="Y14" i="37"/>
  <c r="Y26" i="37" s="1"/>
  <c r="V14" i="37"/>
  <c r="U14" i="37"/>
  <c r="T14" i="37"/>
  <c r="P14" i="37"/>
  <c r="I14" i="37"/>
  <c r="J14" i="37" s="1"/>
  <c r="Q14" i="37" s="1"/>
  <c r="AA13" i="37"/>
  <c r="Y13" i="37"/>
  <c r="U13" i="37"/>
  <c r="V13" i="37" s="1"/>
  <c r="T13" i="37"/>
  <c r="S13" i="37"/>
  <c r="P13" i="37"/>
  <c r="I13" i="37"/>
  <c r="I22" i="37" s="1"/>
  <c r="J22" i="37" s="1"/>
  <c r="Q22" i="37" s="1"/>
  <c r="Y12" i="37"/>
  <c r="U12" i="37"/>
  <c r="AD12" i="37" s="1"/>
  <c r="T12" i="37"/>
  <c r="V12" i="37" s="1"/>
  <c r="AB12" i="37" s="1"/>
  <c r="P12" i="37"/>
  <c r="AA11" i="37"/>
  <c r="Y11" i="37"/>
  <c r="U11" i="37"/>
  <c r="AD11" i="37" s="1"/>
  <c r="T11" i="37"/>
  <c r="V11" i="37" s="1"/>
  <c r="P11" i="37"/>
  <c r="Y10" i="37"/>
  <c r="U10" i="37"/>
  <c r="AD10" i="37" s="1"/>
  <c r="P10" i="37"/>
  <c r="T10" i="37" s="1"/>
  <c r="V10" i="37" s="1"/>
  <c r="AB10" i="37" s="1"/>
  <c r="Y9" i="37"/>
  <c r="U9" i="37"/>
  <c r="AD9" i="37" s="1"/>
  <c r="P9" i="37"/>
  <c r="T9" i="37" s="1"/>
  <c r="V9" i="37" s="1"/>
  <c r="AB9" i="37" s="1"/>
  <c r="I9" i="37"/>
  <c r="I16" i="37" s="1"/>
  <c r="J16" i="37" s="1"/>
  <c r="Q16" i="37" s="1"/>
  <c r="AD8" i="37"/>
  <c r="T8" i="37"/>
  <c r="V8" i="37" s="1"/>
  <c r="P8" i="37"/>
  <c r="I8" i="37"/>
  <c r="J8" i="37" s="1"/>
  <c r="AD7" i="37"/>
  <c r="P7" i="37"/>
  <c r="T7" i="37" s="1"/>
  <c r="V7" i="37" s="1"/>
  <c r="J7" i="37"/>
  <c r="Q7" i="37" s="1"/>
  <c r="AD6" i="37"/>
  <c r="T6" i="37"/>
  <c r="V6" i="37" s="1"/>
  <c r="P6" i="37"/>
  <c r="J6" i="37"/>
  <c r="Q6" i="37" s="1"/>
  <c r="U19" i="36"/>
  <c r="U44" i="36"/>
  <c r="U24" i="36"/>
  <c r="AE19" i="36"/>
  <c r="U45" i="36"/>
  <c r="V44" i="36"/>
  <c r="V45" i="36" s="1"/>
  <c r="AD19" i="36"/>
  <c r="H70" i="36"/>
  <c r="G70" i="36"/>
  <c r="D70" i="36"/>
  <c r="V57" i="36"/>
  <c r="V56" i="36"/>
  <c r="S56" i="36"/>
  <c r="V55" i="36"/>
  <c r="Z50" i="36"/>
  <c r="Y50" i="36"/>
  <c r="T50" i="36"/>
  <c r="Q50" i="36"/>
  <c r="P50" i="36"/>
  <c r="O50" i="36"/>
  <c r="N50" i="36"/>
  <c r="M50" i="36"/>
  <c r="L50" i="36"/>
  <c r="K50" i="36"/>
  <c r="J50" i="36"/>
  <c r="D50" i="36"/>
  <c r="V48" i="36"/>
  <c r="AC46" i="36"/>
  <c r="N46" i="36"/>
  <c r="V43" i="36"/>
  <c r="U42" i="36"/>
  <c r="V42" i="36" s="1"/>
  <c r="U41" i="36"/>
  <c r="V41" i="36" s="1"/>
  <c r="U40" i="36"/>
  <c r="V40" i="36" s="1"/>
  <c r="U39" i="36"/>
  <c r="V39" i="36" s="1"/>
  <c r="U38" i="36"/>
  <c r="V38" i="36" s="1"/>
  <c r="T38" i="36"/>
  <c r="U37" i="36"/>
  <c r="V37" i="36" s="1"/>
  <c r="U36" i="36"/>
  <c r="AD36" i="36" s="1"/>
  <c r="U35" i="36"/>
  <c r="AD35" i="36" s="1"/>
  <c r="AD34" i="36"/>
  <c r="U34" i="36"/>
  <c r="V34" i="36" s="1"/>
  <c r="S34" i="36"/>
  <c r="S35" i="36" s="1"/>
  <c r="S37" i="36" s="1"/>
  <c r="U33" i="36"/>
  <c r="O31" i="36"/>
  <c r="O46" i="36" s="1"/>
  <c r="N31" i="36"/>
  <c r="M31" i="36"/>
  <c r="M46" i="36" s="1"/>
  <c r="L31" i="36"/>
  <c r="L46" i="36" s="1"/>
  <c r="K31" i="36"/>
  <c r="K46" i="36" s="1"/>
  <c r="H31" i="36"/>
  <c r="H71" i="36" s="1"/>
  <c r="G31" i="36"/>
  <c r="G71" i="36" s="1"/>
  <c r="D31" i="36"/>
  <c r="D46" i="36" s="1"/>
  <c r="V30" i="36"/>
  <c r="P30" i="36"/>
  <c r="V29" i="36"/>
  <c r="P29" i="36"/>
  <c r="R28" i="36"/>
  <c r="P28" i="36"/>
  <c r="T28" i="36" s="1"/>
  <c r="V28" i="36" s="1"/>
  <c r="C28" i="36"/>
  <c r="P27" i="36"/>
  <c r="T27" i="36" s="1"/>
  <c r="V27" i="36" s="1"/>
  <c r="I27" i="36"/>
  <c r="J27" i="36" s="1"/>
  <c r="Q27" i="36" s="1"/>
  <c r="C27" i="36"/>
  <c r="Z26" i="36"/>
  <c r="Z31" i="36" s="1"/>
  <c r="Z46" i="36" s="1"/>
  <c r="X26" i="36"/>
  <c r="W26" i="36"/>
  <c r="AD25" i="36"/>
  <c r="AE24" i="36"/>
  <c r="AF24" i="36" s="1"/>
  <c r="P24" i="36"/>
  <c r="T24" i="36" s="1"/>
  <c r="V24" i="36" s="1"/>
  <c r="U23" i="36"/>
  <c r="P23" i="36"/>
  <c r="T23" i="36" s="1"/>
  <c r="V23" i="36" s="1"/>
  <c r="U22" i="36"/>
  <c r="P22" i="36"/>
  <c r="T22" i="36" s="1"/>
  <c r="V22" i="36" s="1"/>
  <c r="AD21" i="36"/>
  <c r="U21" i="36"/>
  <c r="P21" i="36"/>
  <c r="T21" i="36" s="1"/>
  <c r="V21" i="36" s="1"/>
  <c r="U20" i="36"/>
  <c r="P20" i="36"/>
  <c r="T20" i="36" s="1"/>
  <c r="P19" i="36"/>
  <c r="T19" i="36" s="1"/>
  <c r="I19" i="36"/>
  <c r="I28" i="36" s="1"/>
  <c r="J28" i="36" s="1"/>
  <c r="Q28" i="36" s="1"/>
  <c r="AD18" i="36"/>
  <c r="U18" i="36"/>
  <c r="S18" i="36"/>
  <c r="P18" i="36"/>
  <c r="T18" i="36" s="1"/>
  <c r="V18" i="36" s="1"/>
  <c r="Y17" i="36"/>
  <c r="U17" i="36"/>
  <c r="AD17" i="36" s="1"/>
  <c r="P17" i="36"/>
  <c r="T17" i="36" s="1"/>
  <c r="AA16" i="36"/>
  <c r="Y16" i="36"/>
  <c r="U16" i="36"/>
  <c r="P16" i="36"/>
  <c r="T16" i="36" s="1"/>
  <c r="AA15" i="36"/>
  <c r="Y15" i="36"/>
  <c r="U15" i="36"/>
  <c r="AD15" i="36" s="1"/>
  <c r="T15" i="36"/>
  <c r="V15" i="36" s="1"/>
  <c r="P15" i="36"/>
  <c r="AA14" i="36"/>
  <c r="Y14" i="36"/>
  <c r="U14" i="36"/>
  <c r="AD14" i="36" s="1"/>
  <c r="P14" i="36"/>
  <c r="T14" i="36" s="1"/>
  <c r="I14" i="36"/>
  <c r="J14" i="36" s="1"/>
  <c r="Q14" i="36" s="1"/>
  <c r="AD13" i="36"/>
  <c r="AA13" i="36"/>
  <c r="Y13" i="36"/>
  <c r="U13" i="36"/>
  <c r="T13" i="36"/>
  <c r="V13" i="36" s="1"/>
  <c r="S13" i="36"/>
  <c r="P13" i="36"/>
  <c r="I13" i="36"/>
  <c r="I22" i="36" s="1"/>
  <c r="J22" i="36" s="1"/>
  <c r="Q22" i="36" s="1"/>
  <c r="Y12" i="36"/>
  <c r="U12" i="36"/>
  <c r="AD12" i="36" s="1"/>
  <c r="P12" i="36"/>
  <c r="T12" i="36" s="1"/>
  <c r="AA11" i="36"/>
  <c r="Y11" i="36"/>
  <c r="U11" i="36"/>
  <c r="AD11" i="36" s="1"/>
  <c r="P11" i="36"/>
  <c r="T11" i="36" s="1"/>
  <c r="V11" i="36" s="1"/>
  <c r="Y10" i="36"/>
  <c r="U10" i="36"/>
  <c r="AD10" i="36" s="1"/>
  <c r="P10" i="36"/>
  <c r="T10" i="36" s="1"/>
  <c r="V10" i="36" s="1"/>
  <c r="AB10" i="36" s="1"/>
  <c r="I10" i="36"/>
  <c r="I17" i="36" s="1"/>
  <c r="J17" i="36" s="1"/>
  <c r="Q17" i="36" s="1"/>
  <c r="Y9" i="36"/>
  <c r="U9" i="36"/>
  <c r="AD9" i="36" s="1"/>
  <c r="T9" i="36"/>
  <c r="V9" i="36" s="1"/>
  <c r="AB9" i="36" s="1"/>
  <c r="P9" i="36"/>
  <c r="I9" i="36"/>
  <c r="I16" i="36" s="1"/>
  <c r="J16" i="36" s="1"/>
  <c r="Q16" i="36" s="1"/>
  <c r="AD8" i="36"/>
  <c r="P8" i="36"/>
  <c r="T8" i="36" s="1"/>
  <c r="V8" i="36" s="1"/>
  <c r="I8" i="36"/>
  <c r="I20" i="36" s="1"/>
  <c r="AD7" i="36"/>
  <c r="P7" i="36"/>
  <c r="T7" i="36" s="1"/>
  <c r="V7" i="36" s="1"/>
  <c r="J7" i="36"/>
  <c r="Q7" i="36" s="1"/>
  <c r="AD6" i="36"/>
  <c r="P6" i="36"/>
  <c r="P31" i="36" s="1"/>
  <c r="P46" i="36" s="1"/>
  <c r="J6" i="36"/>
  <c r="D14" i="35"/>
  <c r="D7" i="35"/>
  <c r="D19" i="35"/>
  <c r="AO45" i="36" l="1"/>
  <c r="AO31" i="36"/>
  <c r="U45" i="37"/>
  <c r="V24" i="37"/>
  <c r="J10" i="37"/>
  <c r="Q10" i="37" s="1"/>
  <c r="I17" i="37"/>
  <c r="J17" i="37" s="1"/>
  <c r="Q17" i="37" s="1"/>
  <c r="V31" i="37"/>
  <c r="AB16" i="37"/>
  <c r="S39" i="37"/>
  <c r="S40" i="37"/>
  <c r="S42" i="37"/>
  <c r="AB13" i="37"/>
  <c r="Y31" i="37"/>
  <c r="Y46" i="37" s="1"/>
  <c r="AB11" i="37"/>
  <c r="AB15" i="37"/>
  <c r="H46" i="37"/>
  <c r="H50" i="37" s="1"/>
  <c r="V53" i="37"/>
  <c r="J9" i="37"/>
  <c r="Q9" i="37" s="1"/>
  <c r="AD20" i="37"/>
  <c r="V33" i="37"/>
  <c r="J27" i="37"/>
  <c r="Q27" i="37" s="1"/>
  <c r="AD33" i="37"/>
  <c r="J13" i="37"/>
  <c r="Q13" i="37" s="1"/>
  <c r="I20" i="37"/>
  <c r="P31" i="37"/>
  <c r="P46" i="37" s="1"/>
  <c r="V34" i="37"/>
  <c r="V37" i="37"/>
  <c r="V40" i="37"/>
  <c r="AD13" i="37"/>
  <c r="I11" i="37"/>
  <c r="T31" i="37"/>
  <c r="T46" i="37" s="1"/>
  <c r="D71" i="37"/>
  <c r="V36" i="37"/>
  <c r="U31" i="37"/>
  <c r="I38" i="37"/>
  <c r="S41" i="37"/>
  <c r="G50" i="37"/>
  <c r="G71" i="37"/>
  <c r="J19" i="37"/>
  <c r="Q19" i="37" s="1"/>
  <c r="AD40" i="36"/>
  <c r="AD41" i="36"/>
  <c r="I21" i="36"/>
  <c r="J21" i="36" s="1"/>
  <c r="Q21" i="36" s="1"/>
  <c r="AD37" i="36"/>
  <c r="J13" i="36"/>
  <c r="Q13" i="36" s="1"/>
  <c r="V16" i="36"/>
  <c r="AB16" i="36" s="1"/>
  <c r="I38" i="36"/>
  <c r="Y26" i="36"/>
  <c r="T6" i="36"/>
  <c r="V6" i="36" s="1"/>
  <c r="AB15" i="36"/>
  <c r="I15" i="36"/>
  <c r="J15" i="36" s="1"/>
  <c r="Q15" i="36" s="1"/>
  <c r="AD16" i="36"/>
  <c r="V35" i="36"/>
  <c r="V20" i="36"/>
  <c r="I11" i="36"/>
  <c r="V17" i="36"/>
  <c r="AB17" i="36" s="1"/>
  <c r="J19" i="36"/>
  <c r="Q19" i="36" s="1"/>
  <c r="V19" i="36"/>
  <c r="AB13" i="36"/>
  <c r="S40" i="36"/>
  <c r="S39" i="36"/>
  <c r="S42" i="36"/>
  <c r="AB11" i="36"/>
  <c r="J20" i="36"/>
  <c r="Q20" i="36" s="1"/>
  <c r="I12" i="36"/>
  <c r="J8" i="36"/>
  <c r="G46" i="36"/>
  <c r="AD20" i="36"/>
  <c r="S36" i="36"/>
  <c r="J9" i="36"/>
  <c r="Q9" i="36" s="1"/>
  <c r="V12" i="36"/>
  <c r="AB12" i="36" s="1"/>
  <c r="U31" i="36"/>
  <c r="H46" i="36"/>
  <c r="H50" i="36" s="1"/>
  <c r="V53" i="36"/>
  <c r="Q6" i="36"/>
  <c r="Y31" i="36"/>
  <c r="Y46" i="36" s="1"/>
  <c r="J10" i="36"/>
  <c r="Q10" i="36" s="1"/>
  <c r="V14" i="36"/>
  <c r="V33" i="36"/>
  <c r="V36" i="36"/>
  <c r="AD33" i="36"/>
  <c r="D71" i="36"/>
  <c r="G50" i="36"/>
  <c r="E44" i="35"/>
  <c r="F49" i="35"/>
  <c r="F33" i="35"/>
  <c r="F34" i="35"/>
  <c r="F35" i="35"/>
  <c r="F36" i="35"/>
  <c r="F37" i="35"/>
  <c r="F38" i="35"/>
  <c r="F39" i="35"/>
  <c r="F40" i="35"/>
  <c r="F41" i="35"/>
  <c r="F42" i="35"/>
  <c r="F32" i="35"/>
  <c r="F28" i="35"/>
  <c r="F27" i="35"/>
  <c r="F26" i="35"/>
  <c r="F8" i="35"/>
  <c r="F9" i="35"/>
  <c r="F10" i="35"/>
  <c r="F11" i="35"/>
  <c r="F12" i="35"/>
  <c r="F13" i="35"/>
  <c r="F14" i="35"/>
  <c r="F15" i="35"/>
  <c r="F16" i="35"/>
  <c r="F17" i="35"/>
  <c r="F18" i="35"/>
  <c r="F19" i="35"/>
  <c r="F20" i="35"/>
  <c r="F22" i="35"/>
  <c r="F23" i="35"/>
  <c r="F24" i="35"/>
  <c r="E30" i="35"/>
  <c r="D29" i="35"/>
  <c r="F29" i="35" s="1"/>
  <c r="D21" i="35"/>
  <c r="F21" i="35" s="1"/>
  <c r="F7" i="35"/>
  <c r="D6" i="35"/>
  <c r="F6" i="35" s="1"/>
  <c r="E43" i="35"/>
  <c r="D43" i="35"/>
  <c r="AE24" i="33"/>
  <c r="AF24" i="33"/>
  <c r="AE45" i="33"/>
  <c r="AE31" i="33"/>
  <c r="V52" i="33"/>
  <c r="U24" i="33"/>
  <c r="P24" i="33"/>
  <c r="T24" i="33" s="1"/>
  <c r="P23" i="33"/>
  <c r="T23" i="33" s="1"/>
  <c r="U23" i="33"/>
  <c r="U39" i="33"/>
  <c r="V39" i="33" s="1"/>
  <c r="U42" i="33"/>
  <c r="U38" i="33"/>
  <c r="U22" i="33"/>
  <c r="T38" i="33"/>
  <c r="AO46" i="36" l="1"/>
  <c r="AO50" i="36" s="1"/>
  <c r="U46" i="37"/>
  <c r="U50" i="37" s="1"/>
  <c r="J20" i="37"/>
  <c r="Q20" i="37" s="1"/>
  <c r="I12" i="37"/>
  <c r="V45" i="37"/>
  <c r="V46" i="37" s="1"/>
  <c r="J11" i="37"/>
  <c r="Q11" i="37" s="1"/>
  <c r="I18" i="37"/>
  <c r="J18" i="37" s="1"/>
  <c r="Q18" i="37" s="1"/>
  <c r="T31" i="36"/>
  <c r="T46" i="36" s="1"/>
  <c r="U46" i="36"/>
  <c r="U50" i="36" s="1"/>
  <c r="J11" i="36"/>
  <c r="Q11" i="36" s="1"/>
  <c r="I18" i="36"/>
  <c r="J18" i="36" s="1"/>
  <c r="Q18" i="36" s="1"/>
  <c r="V31" i="36"/>
  <c r="AB14" i="36"/>
  <c r="I23" i="36"/>
  <c r="J23" i="36" s="1"/>
  <c r="Q23" i="36" s="1"/>
  <c r="I24" i="36"/>
  <c r="J24" i="36" s="1"/>
  <c r="Q24" i="36" s="1"/>
  <c r="J12" i="36"/>
  <c r="Q12" i="36" s="1"/>
  <c r="S38" i="36"/>
  <c r="S41" i="36"/>
  <c r="E51" i="35"/>
  <c r="F43" i="35"/>
  <c r="F30" i="35"/>
  <c r="F44" i="35" s="1"/>
  <c r="D30" i="35"/>
  <c r="V24" i="33"/>
  <c r="V23" i="33"/>
  <c r="U20" i="33"/>
  <c r="U21" i="33"/>
  <c r="U19" i="33"/>
  <c r="U10" i="33"/>
  <c r="U17" i="33"/>
  <c r="U9" i="33"/>
  <c r="AD46" i="37" l="1"/>
  <c r="AA46" i="37"/>
  <c r="V50" i="37"/>
  <c r="I24" i="37"/>
  <c r="J24" i="37" s="1"/>
  <c r="Q24" i="37" s="1"/>
  <c r="J12" i="37"/>
  <c r="Q12" i="37" s="1"/>
  <c r="I23" i="37"/>
  <c r="J23" i="37" s="1"/>
  <c r="Q23" i="37" s="1"/>
  <c r="J31" i="37"/>
  <c r="V46" i="36"/>
  <c r="V50" i="36" s="1"/>
  <c r="J31" i="36"/>
  <c r="D51" i="35"/>
  <c r="D44" i="35"/>
  <c r="F51" i="35"/>
  <c r="U16" i="33"/>
  <c r="U40" i="33"/>
  <c r="U33" i="33"/>
  <c r="U41" i="33"/>
  <c r="J46" i="37" l="1"/>
  <c r="Q31" i="37"/>
  <c r="Q46" i="37" s="1"/>
  <c r="AE31" i="37"/>
  <c r="AA46" i="36"/>
  <c r="AD46" i="36"/>
  <c r="Q31" i="36"/>
  <c r="Q46" i="36" s="1"/>
  <c r="J46" i="36"/>
  <c r="AE31" i="36"/>
  <c r="U37" i="33"/>
  <c r="AD37" i="33" s="1"/>
  <c r="U36" i="33"/>
  <c r="AD36" i="33" s="1"/>
  <c r="U35" i="33"/>
  <c r="AD35" i="33" s="1"/>
  <c r="S34" i="33"/>
  <c r="S36" i="33" s="1"/>
  <c r="U34" i="33"/>
  <c r="AD34" i="33" s="1"/>
  <c r="AD40" i="33"/>
  <c r="AD41" i="33"/>
  <c r="AD33" i="33"/>
  <c r="AC45" i="33"/>
  <c r="D69" i="34"/>
  <c r="H68" i="34"/>
  <c r="G68" i="34"/>
  <c r="D68" i="34"/>
  <c r="V55" i="34"/>
  <c r="V54" i="34"/>
  <c r="S54" i="34"/>
  <c r="V53" i="34"/>
  <c r="O47" i="34"/>
  <c r="N47" i="34"/>
  <c r="M47" i="34"/>
  <c r="L47" i="34"/>
  <c r="K47" i="34"/>
  <c r="Z46" i="34"/>
  <c r="Y46" i="34"/>
  <c r="U46" i="34"/>
  <c r="T46" i="34"/>
  <c r="J46" i="34"/>
  <c r="I46" i="34"/>
  <c r="H46" i="34"/>
  <c r="G46" i="34"/>
  <c r="F46" i="34"/>
  <c r="E46" i="34"/>
  <c r="D46" i="34"/>
  <c r="D47" i="34" s="1"/>
  <c r="V45" i="34"/>
  <c r="U43" i="34"/>
  <c r="V42" i="34"/>
  <c r="V41" i="34"/>
  <c r="V40" i="34"/>
  <c r="V39" i="34"/>
  <c r="V38" i="34"/>
  <c r="V37" i="34"/>
  <c r="S37" i="34"/>
  <c r="V36" i="34"/>
  <c r="S36" i="34"/>
  <c r="V35" i="34"/>
  <c r="S35" i="34"/>
  <c r="V34" i="34"/>
  <c r="S34" i="34"/>
  <c r="V33" i="34"/>
  <c r="V43" i="34" s="1"/>
  <c r="V46" i="34" s="1"/>
  <c r="Z31" i="34"/>
  <c r="Z47" i="34" s="1"/>
  <c r="O31" i="34"/>
  <c r="N31" i="34"/>
  <c r="M31" i="34"/>
  <c r="L31" i="34"/>
  <c r="K31" i="34"/>
  <c r="H31" i="34"/>
  <c r="H69" i="34" s="1"/>
  <c r="G31" i="34"/>
  <c r="G69" i="34" s="1"/>
  <c r="D31" i="34"/>
  <c r="V30" i="34"/>
  <c r="P30" i="34"/>
  <c r="V29" i="34"/>
  <c r="P29" i="34"/>
  <c r="R28" i="34"/>
  <c r="P28" i="34"/>
  <c r="T28" i="34" s="1"/>
  <c r="V28" i="34" s="1"/>
  <c r="I28" i="34"/>
  <c r="J28" i="34" s="1"/>
  <c r="Q28" i="34" s="1"/>
  <c r="C28" i="34"/>
  <c r="T27" i="34"/>
  <c r="V27" i="34" s="1"/>
  <c r="P27" i="34"/>
  <c r="I27" i="34"/>
  <c r="J27" i="34" s="1"/>
  <c r="Q27" i="34" s="1"/>
  <c r="C27" i="34"/>
  <c r="T26" i="34"/>
  <c r="R26" i="34"/>
  <c r="P26" i="34"/>
  <c r="R25" i="34"/>
  <c r="P25" i="34"/>
  <c r="T25" i="34" s="1"/>
  <c r="T24" i="34"/>
  <c r="P24" i="34"/>
  <c r="Z23" i="34"/>
  <c r="X23" i="34"/>
  <c r="W23" i="34"/>
  <c r="P21" i="34"/>
  <c r="T21" i="34" s="1"/>
  <c r="V21" i="34" s="1"/>
  <c r="C21" i="34"/>
  <c r="S20" i="34"/>
  <c r="P20" i="34"/>
  <c r="T20" i="34" s="1"/>
  <c r="V20" i="34" s="1"/>
  <c r="C20" i="34"/>
  <c r="T19" i="34"/>
  <c r="V19" i="34" s="1"/>
  <c r="P19" i="34"/>
  <c r="I19" i="34"/>
  <c r="I9" i="34" s="1"/>
  <c r="C19" i="34"/>
  <c r="T18" i="34"/>
  <c r="V18" i="34" s="1"/>
  <c r="S18" i="34"/>
  <c r="P18" i="34"/>
  <c r="I18" i="34"/>
  <c r="J18" i="34" s="1"/>
  <c r="Q18" i="34" s="1"/>
  <c r="C18" i="34"/>
  <c r="Y17" i="34"/>
  <c r="S17" i="34"/>
  <c r="P17" i="34"/>
  <c r="T17" i="34" s="1"/>
  <c r="V17" i="34" s="1"/>
  <c r="AB17" i="34" s="1"/>
  <c r="C17" i="34"/>
  <c r="AA16" i="34"/>
  <c r="Y16" i="34"/>
  <c r="S16" i="34"/>
  <c r="P16" i="34"/>
  <c r="T16" i="34" s="1"/>
  <c r="V16" i="34" s="1"/>
  <c r="AB16" i="34" s="1"/>
  <c r="C16" i="34"/>
  <c r="AA15" i="34"/>
  <c r="Y15" i="34"/>
  <c r="S15" i="34"/>
  <c r="P15" i="34"/>
  <c r="T15" i="34" s="1"/>
  <c r="V15" i="34" s="1"/>
  <c r="I15" i="34"/>
  <c r="J15" i="34" s="1"/>
  <c r="Q15" i="34" s="1"/>
  <c r="C15" i="34"/>
  <c r="AA14" i="34"/>
  <c r="Y14" i="34"/>
  <c r="S14" i="34"/>
  <c r="P14" i="34"/>
  <c r="T14" i="34" s="1"/>
  <c r="V14" i="34" s="1"/>
  <c r="I14" i="34"/>
  <c r="I21" i="34" s="1"/>
  <c r="J21" i="34" s="1"/>
  <c r="Q21" i="34" s="1"/>
  <c r="C14" i="34"/>
  <c r="AA13" i="34"/>
  <c r="Y13" i="34"/>
  <c r="S13" i="34"/>
  <c r="P13" i="34"/>
  <c r="T13" i="34" s="1"/>
  <c r="V13" i="34" s="1"/>
  <c r="I13" i="34"/>
  <c r="J13" i="34" s="1"/>
  <c r="Q13" i="34" s="1"/>
  <c r="C13" i="34"/>
  <c r="Y12" i="34"/>
  <c r="T12" i="34"/>
  <c r="V12" i="34" s="1"/>
  <c r="AB12" i="34" s="1"/>
  <c r="S12" i="34"/>
  <c r="P12" i="34"/>
  <c r="C12" i="34"/>
  <c r="AA11" i="34"/>
  <c r="Y11" i="34"/>
  <c r="Y31" i="34" s="1"/>
  <c r="Y47" i="34" s="1"/>
  <c r="T11" i="34"/>
  <c r="V11" i="34" s="1"/>
  <c r="S11" i="34"/>
  <c r="P11" i="34"/>
  <c r="I11" i="34"/>
  <c r="J11" i="34" s="1"/>
  <c r="Q11" i="34" s="1"/>
  <c r="C11" i="34"/>
  <c r="Y10" i="34"/>
  <c r="Y23" i="34" s="1"/>
  <c r="T10" i="34"/>
  <c r="V10" i="34" s="1"/>
  <c r="AB10" i="34" s="1"/>
  <c r="P10" i="34"/>
  <c r="I10" i="34"/>
  <c r="I17" i="34" s="1"/>
  <c r="J17" i="34" s="1"/>
  <c r="Q17" i="34" s="1"/>
  <c r="C10" i="34"/>
  <c r="Y9" i="34"/>
  <c r="S9" i="34"/>
  <c r="P9" i="34"/>
  <c r="P31" i="34" s="1"/>
  <c r="P47" i="34" s="1"/>
  <c r="C9" i="34"/>
  <c r="P8" i="34"/>
  <c r="T8" i="34" s="1"/>
  <c r="V8" i="34" s="1"/>
  <c r="I8" i="34"/>
  <c r="I20" i="34" s="1"/>
  <c r="C8" i="34"/>
  <c r="T7" i="34"/>
  <c r="V7" i="34" s="1"/>
  <c r="Q7" i="34"/>
  <c r="P7" i="34"/>
  <c r="J7" i="34"/>
  <c r="C7" i="34"/>
  <c r="P6" i="34"/>
  <c r="T6" i="34" s="1"/>
  <c r="J6" i="34"/>
  <c r="Q6" i="34" s="1"/>
  <c r="C6" i="34"/>
  <c r="AE46" i="37" l="1"/>
  <c r="AA47" i="37"/>
  <c r="AA47" i="36"/>
  <c r="AE46" i="36"/>
  <c r="S41" i="33"/>
  <c r="S38" i="33"/>
  <c r="S35" i="33"/>
  <c r="S37" i="33" s="1"/>
  <c r="S39" i="33" s="1"/>
  <c r="AB13" i="34"/>
  <c r="AB15" i="34"/>
  <c r="AB11" i="34"/>
  <c r="I16" i="34"/>
  <c r="J9" i="34"/>
  <c r="Q9" i="34" s="1"/>
  <c r="AB14" i="34"/>
  <c r="J20" i="34"/>
  <c r="Q20" i="34" s="1"/>
  <c r="I12" i="34"/>
  <c r="V6" i="34"/>
  <c r="T31" i="34"/>
  <c r="T47" i="34" s="1"/>
  <c r="J14" i="34"/>
  <c r="Q14" i="34" s="1"/>
  <c r="T9" i="34"/>
  <c r="V9" i="34" s="1"/>
  <c r="AB9" i="34" s="1"/>
  <c r="J8" i="34"/>
  <c r="J19" i="34"/>
  <c r="Q19" i="34" s="1"/>
  <c r="I24" i="34"/>
  <c r="J24" i="34" s="1"/>
  <c r="Q24" i="34" s="1"/>
  <c r="U24" i="34" s="1"/>
  <c r="J10" i="34"/>
  <c r="Q10" i="34" s="1"/>
  <c r="G47" i="34"/>
  <c r="H47" i="34"/>
  <c r="S42" i="33" l="1"/>
  <c r="S40" i="33"/>
  <c r="I25" i="34"/>
  <c r="J25" i="34" s="1"/>
  <c r="Q25" i="34" s="1"/>
  <c r="U25" i="34" s="1"/>
  <c r="V25" i="34" s="1"/>
  <c r="J12" i="34"/>
  <c r="Q12" i="34" s="1"/>
  <c r="I26" i="34"/>
  <c r="J26" i="34" s="1"/>
  <c r="Q26" i="34" s="1"/>
  <c r="U26" i="34" s="1"/>
  <c r="V26" i="34" s="1"/>
  <c r="J16" i="34"/>
  <c r="Q16" i="34" s="1"/>
  <c r="V24" i="34"/>
  <c r="V31" i="34" s="1"/>
  <c r="V47" i="34" s="1"/>
  <c r="AA47" i="34" s="1"/>
  <c r="U31" i="34" l="1"/>
  <c r="U47" i="34" s="1"/>
  <c r="J31" i="34"/>
  <c r="J47" i="34" l="1"/>
  <c r="AA48" i="34" s="1"/>
  <c r="Q31" i="34"/>
  <c r="Q47" i="34" s="1"/>
  <c r="S18" i="33" l="1"/>
  <c r="U18" i="33"/>
  <c r="U11" i="33" l="1"/>
  <c r="U13" i="33"/>
  <c r="U15" i="33"/>
  <c r="U14" i="33" l="1"/>
  <c r="AD14" i="33" s="1"/>
  <c r="U12" i="33"/>
  <c r="AD12" i="33" s="1"/>
  <c r="AD7" i="33"/>
  <c r="AD8" i="33"/>
  <c r="AD9" i="33"/>
  <c r="AD10" i="33"/>
  <c r="AD11" i="33"/>
  <c r="AD13" i="33"/>
  <c r="AD15" i="33"/>
  <c r="AD16" i="33"/>
  <c r="AD17" i="33"/>
  <c r="AD18" i="33"/>
  <c r="AD19" i="33"/>
  <c r="AD20" i="33"/>
  <c r="AD21" i="33"/>
  <c r="AD25" i="33"/>
  <c r="AD6" i="33"/>
  <c r="V41" i="33"/>
  <c r="H69" i="33"/>
  <c r="G69" i="33"/>
  <c r="D69" i="33"/>
  <c r="V56" i="33"/>
  <c r="V55" i="33"/>
  <c r="S55" i="33"/>
  <c r="V54" i="33"/>
  <c r="Z49" i="33"/>
  <c r="Y49" i="33"/>
  <c r="T49" i="33"/>
  <c r="Q49" i="33"/>
  <c r="P49" i="33"/>
  <c r="O49" i="33"/>
  <c r="N49" i="33"/>
  <c r="M49" i="33"/>
  <c r="L49" i="33"/>
  <c r="K49" i="33"/>
  <c r="J49" i="33"/>
  <c r="D49" i="33"/>
  <c r="V47" i="33"/>
  <c r="U44" i="33"/>
  <c r="V43" i="33"/>
  <c r="V42" i="33"/>
  <c r="V40" i="33"/>
  <c r="V37" i="33"/>
  <c r="V36" i="33"/>
  <c r="V35" i="33"/>
  <c r="V34" i="33"/>
  <c r="V33" i="33"/>
  <c r="O31" i="33"/>
  <c r="O45" i="33" s="1"/>
  <c r="N31" i="33"/>
  <c r="N45" i="33" s="1"/>
  <c r="M31" i="33"/>
  <c r="M45" i="33" s="1"/>
  <c r="L31" i="33"/>
  <c r="L45" i="33" s="1"/>
  <c r="K31" i="33"/>
  <c r="K45" i="33" s="1"/>
  <c r="H31" i="33"/>
  <c r="H70" i="33" s="1"/>
  <c r="G31" i="33"/>
  <c r="D31" i="33"/>
  <c r="D70" i="33" s="1"/>
  <c r="V30" i="33"/>
  <c r="P30" i="33"/>
  <c r="V29" i="33"/>
  <c r="P29" i="33"/>
  <c r="P21" i="33"/>
  <c r="T21" i="33" s="1"/>
  <c r="V21" i="33" s="1"/>
  <c r="P22" i="33"/>
  <c r="T22" i="33" s="1"/>
  <c r="R28" i="33"/>
  <c r="P28" i="33"/>
  <c r="T28" i="33" s="1"/>
  <c r="V28" i="33" s="1"/>
  <c r="C28" i="33"/>
  <c r="P20" i="33"/>
  <c r="T20" i="33" s="1"/>
  <c r="P27" i="33"/>
  <c r="T27" i="33" s="1"/>
  <c r="V27" i="33" s="1"/>
  <c r="I27" i="33"/>
  <c r="J27" i="33" s="1"/>
  <c r="Q27" i="33" s="1"/>
  <c r="C27" i="33"/>
  <c r="Z26" i="33"/>
  <c r="Z31" i="33" s="1"/>
  <c r="X26" i="33"/>
  <c r="W26" i="33"/>
  <c r="P19" i="33"/>
  <c r="T19" i="33" s="1"/>
  <c r="V19" i="33" s="1"/>
  <c r="I19" i="33"/>
  <c r="I28" i="33" s="1"/>
  <c r="J28" i="33" s="1"/>
  <c r="Q28" i="33" s="1"/>
  <c r="P18" i="33"/>
  <c r="T18" i="33" s="1"/>
  <c r="V18" i="33" s="1"/>
  <c r="Y17" i="33"/>
  <c r="P17" i="33"/>
  <c r="T17" i="33" s="1"/>
  <c r="V17" i="33" s="1"/>
  <c r="AB17" i="33" s="1"/>
  <c r="AA16" i="33"/>
  <c r="Y16" i="33"/>
  <c r="P16" i="33"/>
  <c r="T16" i="33" s="1"/>
  <c r="V16" i="33" s="1"/>
  <c r="AA15" i="33"/>
  <c r="Y15" i="33"/>
  <c r="P15" i="33"/>
  <c r="T15" i="33" s="1"/>
  <c r="V15" i="33" s="1"/>
  <c r="AA14" i="33"/>
  <c r="Y14" i="33"/>
  <c r="P14" i="33"/>
  <c r="T14" i="33" s="1"/>
  <c r="I14" i="33"/>
  <c r="J14" i="33" s="1"/>
  <c r="Q14" i="33" s="1"/>
  <c r="AA13" i="33"/>
  <c r="Y13" i="33"/>
  <c r="S13" i="33"/>
  <c r="P13" i="33"/>
  <c r="T13" i="33" s="1"/>
  <c r="V13" i="33" s="1"/>
  <c r="I13" i="33"/>
  <c r="Y12" i="33"/>
  <c r="P12" i="33"/>
  <c r="T12" i="33" s="1"/>
  <c r="AA11" i="33"/>
  <c r="Y11" i="33"/>
  <c r="P11" i="33"/>
  <c r="T11" i="33" s="1"/>
  <c r="Y10" i="33"/>
  <c r="P10" i="33"/>
  <c r="T10" i="33" s="1"/>
  <c r="V10" i="33" s="1"/>
  <c r="AB10" i="33" s="1"/>
  <c r="Y9" i="33"/>
  <c r="P9" i="33"/>
  <c r="T9" i="33" s="1"/>
  <c r="V9" i="33" s="1"/>
  <c r="AB9" i="33" s="1"/>
  <c r="P8" i="33"/>
  <c r="T8" i="33" s="1"/>
  <c r="V8" i="33" s="1"/>
  <c r="I8" i="33"/>
  <c r="J8" i="33" s="1"/>
  <c r="P7" i="33"/>
  <c r="T7" i="33" s="1"/>
  <c r="J7" i="33"/>
  <c r="Q7" i="33" s="1"/>
  <c r="P6" i="33"/>
  <c r="J6" i="33"/>
  <c r="Q6" i="33" s="1"/>
  <c r="V57" i="31"/>
  <c r="S9" i="31"/>
  <c r="V14" i="33" l="1"/>
  <c r="AB14" i="33" s="1"/>
  <c r="I10" i="33"/>
  <c r="I17" i="33" s="1"/>
  <c r="J17" i="33" s="1"/>
  <c r="Q17" i="33" s="1"/>
  <c r="J13" i="33"/>
  <c r="Q13" i="33" s="1"/>
  <c r="I38" i="33"/>
  <c r="D45" i="33"/>
  <c r="V12" i="33"/>
  <c r="AB12" i="33" s="1"/>
  <c r="V11" i="33"/>
  <c r="AB11" i="33" s="1"/>
  <c r="Z45" i="33"/>
  <c r="I9" i="33"/>
  <c r="I16" i="33" s="1"/>
  <c r="I11" i="33"/>
  <c r="J11" i="33" s="1"/>
  <c r="I20" i="33"/>
  <c r="I12" i="33" s="1"/>
  <c r="I15" i="33"/>
  <c r="J15" i="33" s="1"/>
  <c r="Q15" i="33" s="1"/>
  <c r="J19" i="33"/>
  <c r="Q19" i="33" s="1"/>
  <c r="P31" i="33"/>
  <c r="P45" i="33" s="1"/>
  <c r="AB15" i="33"/>
  <c r="G70" i="33"/>
  <c r="Y26" i="33"/>
  <c r="Y31" i="33" s="1"/>
  <c r="Y45" i="33" s="1"/>
  <c r="T6" i="33"/>
  <c r="V6" i="33" s="1"/>
  <c r="AB13" i="33"/>
  <c r="G45" i="33"/>
  <c r="G49" i="33" s="1"/>
  <c r="V7" i="33"/>
  <c r="AB16" i="33"/>
  <c r="V20" i="33"/>
  <c r="I21" i="33"/>
  <c r="J21" i="33" s="1"/>
  <c r="Q21" i="33" s="1"/>
  <c r="H45" i="33"/>
  <c r="H49" i="33" s="1"/>
  <c r="I22" i="33"/>
  <c r="J22" i="33" s="1"/>
  <c r="Q22" i="33" s="1"/>
  <c r="V22" i="33" s="1"/>
  <c r="S18" i="31"/>
  <c r="S17" i="31"/>
  <c r="S16" i="31"/>
  <c r="S15" i="31"/>
  <c r="S14" i="31"/>
  <c r="S13" i="31"/>
  <c r="S12" i="31"/>
  <c r="S11" i="31"/>
  <c r="S36" i="31"/>
  <c r="S35" i="31"/>
  <c r="S34" i="31"/>
  <c r="S56" i="31"/>
  <c r="S37" i="31"/>
  <c r="AA25" i="31"/>
  <c r="AA28" i="31"/>
  <c r="AA27" i="31"/>
  <c r="AA11" i="31"/>
  <c r="AA16" i="31"/>
  <c r="AA14" i="31"/>
  <c r="AA13" i="31"/>
  <c r="AA15" i="31"/>
  <c r="W21" i="31"/>
  <c r="X21" i="31"/>
  <c r="Z21" i="31"/>
  <c r="Z31" i="31" s="1"/>
  <c r="U10" i="32"/>
  <c r="H72" i="32"/>
  <c r="G72" i="32"/>
  <c r="D72" i="32"/>
  <c r="H71" i="32"/>
  <c r="G71" i="32"/>
  <c r="D71" i="32"/>
  <c r="Z54" i="32"/>
  <c r="Y54" i="32"/>
  <c r="T54" i="32"/>
  <c r="Q54" i="32"/>
  <c r="P54" i="32"/>
  <c r="O54" i="32"/>
  <c r="N54" i="32"/>
  <c r="M54" i="32"/>
  <c r="L54" i="32"/>
  <c r="K54" i="32"/>
  <c r="J54" i="32"/>
  <c r="D54" i="32"/>
  <c r="V52" i="32"/>
  <c r="Z50" i="32"/>
  <c r="O50" i="32"/>
  <c r="N50" i="32"/>
  <c r="M50" i="32"/>
  <c r="L50" i="32"/>
  <c r="K50" i="32"/>
  <c r="H50" i="32"/>
  <c r="Z49" i="32"/>
  <c r="Y49" i="32"/>
  <c r="T49" i="32"/>
  <c r="J49" i="32"/>
  <c r="I49" i="32"/>
  <c r="H49" i="32"/>
  <c r="G49" i="32"/>
  <c r="F49" i="32"/>
  <c r="E49" i="32"/>
  <c r="D49" i="32"/>
  <c r="V48" i="32"/>
  <c r="V47" i="32"/>
  <c r="U45" i="32"/>
  <c r="U49" i="32" s="1"/>
  <c r="V44" i="32"/>
  <c r="V43" i="32"/>
  <c r="V42" i="32"/>
  <c r="V41" i="32"/>
  <c r="V40" i="32"/>
  <c r="S40" i="32"/>
  <c r="V39" i="32"/>
  <c r="S39" i="32"/>
  <c r="V38" i="32"/>
  <c r="V37" i="32"/>
  <c r="V36" i="32"/>
  <c r="V35" i="32"/>
  <c r="V34" i="32"/>
  <c r="V45" i="32" s="1"/>
  <c r="V49" i="32" s="1"/>
  <c r="Z32" i="32"/>
  <c r="O32" i="32"/>
  <c r="N32" i="32"/>
  <c r="M32" i="32"/>
  <c r="L32" i="32"/>
  <c r="K32" i="32"/>
  <c r="H32" i="32"/>
  <c r="H54" i="32" s="1"/>
  <c r="G32" i="32"/>
  <c r="G50" i="32" s="1"/>
  <c r="D32" i="32"/>
  <c r="D50" i="32" s="1"/>
  <c r="V31" i="32"/>
  <c r="P31" i="32"/>
  <c r="V30" i="32"/>
  <c r="P30" i="32"/>
  <c r="R29" i="32"/>
  <c r="P29" i="32"/>
  <c r="T29" i="32" s="1"/>
  <c r="I29" i="32"/>
  <c r="J29" i="32" s="1"/>
  <c r="Q29" i="32" s="1"/>
  <c r="U29" i="32" s="1"/>
  <c r="C29" i="32"/>
  <c r="R28" i="32"/>
  <c r="P28" i="32"/>
  <c r="T28" i="32" s="1"/>
  <c r="C28" i="32"/>
  <c r="T27" i="32"/>
  <c r="V27" i="32" s="1"/>
  <c r="P27" i="32"/>
  <c r="C27" i="32"/>
  <c r="P26" i="32"/>
  <c r="T26" i="32" s="1"/>
  <c r="V26" i="32" s="1"/>
  <c r="I26" i="32"/>
  <c r="J26" i="32" s="1"/>
  <c r="Q26" i="32" s="1"/>
  <c r="C26" i="32"/>
  <c r="R25" i="32"/>
  <c r="P25" i="32"/>
  <c r="T25" i="32" s="1"/>
  <c r="V25" i="32" s="1"/>
  <c r="I25" i="32"/>
  <c r="J25" i="32" s="1"/>
  <c r="Q25" i="32" s="1"/>
  <c r="C25" i="32"/>
  <c r="T24" i="32"/>
  <c r="R24" i="32"/>
  <c r="P24" i="32"/>
  <c r="C24" i="32"/>
  <c r="P23" i="32"/>
  <c r="T23" i="32" s="1"/>
  <c r="V23" i="32" s="1"/>
  <c r="I23" i="32"/>
  <c r="I11" i="32" s="1"/>
  <c r="C23" i="32"/>
  <c r="P22" i="32"/>
  <c r="T22" i="32" s="1"/>
  <c r="V22" i="32" s="1"/>
  <c r="I22" i="32"/>
  <c r="J22" i="32" s="1"/>
  <c r="Q22" i="32" s="1"/>
  <c r="C22" i="32"/>
  <c r="S18" i="32"/>
  <c r="P18" i="32"/>
  <c r="T18" i="32" s="1"/>
  <c r="V18" i="32" s="1"/>
  <c r="C18" i="32"/>
  <c r="Y17" i="32"/>
  <c r="S17" i="32"/>
  <c r="P17" i="32"/>
  <c r="T17" i="32" s="1"/>
  <c r="V17" i="32" s="1"/>
  <c r="C17" i="32"/>
  <c r="Y16" i="32"/>
  <c r="S16" i="32"/>
  <c r="P16" i="32"/>
  <c r="T16" i="32" s="1"/>
  <c r="V16" i="32" s="1"/>
  <c r="I16" i="32"/>
  <c r="J16" i="32" s="1"/>
  <c r="Q16" i="32" s="1"/>
  <c r="C16" i="32"/>
  <c r="Y15" i="32"/>
  <c r="S15" i="32"/>
  <c r="P15" i="32"/>
  <c r="T15" i="32" s="1"/>
  <c r="V15" i="32" s="1"/>
  <c r="I15" i="32"/>
  <c r="J15" i="32" s="1"/>
  <c r="Q15" i="32" s="1"/>
  <c r="C15" i="32"/>
  <c r="Y14" i="32"/>
  <c r="S14" i="32"/>
  <c r="P14" i="32"/>
  <c r="T14" i="32" s="1"/>
  <c r="V14" i="32" s="1"/>
  <c r="I14" i="32"/>
  <c r="J14" i="32" s="1"/>
  <c r="Q14" i="32" s="1"/>
  <c r="C14" i="32"/>
  <c r="Y13" i="32"/>
  <c r="Y32" i="32" s="1"/>
  <c r="Y50" i="32" s="1"/>
  <c r="T13" i="32"/>
  <c r="V13" i="32" s="1"/>
  <c r="S13" i="32"/>
  <c r="P13" i="32"/>
  <c r="I13" i="32"/>
  <c r="J13" i="32" s="1"/>
  <c r="Q13" i="32" s="1"/>
  <c r="C13" i="32"/>
  <c r="Y12" i="32"/>
  <c r="S12" i="32"/>
  <c r="P12" i="32"/>
  <c r="T12" i="32" s="1"/>
  <c r="V12" i="32" s="1"/>
  <c r="C12" i="32"/>
  <c r="Y11" i="32"/>
  <c r="S11" i="32"/>
  <c r="P11" i="32"/>
  <c r="T11" i="32" s="1"/>
  <c r="C11" i="32"/>
  <c r="Y10" i="32"/>
  <c r="S10" i="32"/>
  <c r="P10" i="32"/>
  <c r="T10" i="32" s="1"/>
  <c r="V10" i="32" s="1"/>
  <c r="AB10" i="32" s="1"/>
  <c r="I10" i="32"/>
  <c r="J10" i="32" s="1"/>
  <c r="Q10" i="32" s="1"/>
  <c r="C10" i="32"/>
  <c r="Y9" i="32"/>
  <c r="P9" i="32"/>
  <c r="T9" i="32" s="1"/>
  <c r="V9" i="32" s="1"/>
  <c r="I9" i="32"/>
  <c r="J9" i="32" s="1"/>
  <c r="Q9" i="32" s="1"/>
  <c r="C9" i="32"/>
  <c r="T8" i="32"/>
  <c r="V8" i="32" s="1"/>
  <c r="P8" i="32"/>
  <c r="I8" i="32"/>
  <c r="J8" i="32" s="1"/>
  <c r="C8" i="32"/>
  <c r="P7" i="32"/>
  <c r="T7" i="32" s="1"/>
  <c r="V7" i="32" s="1"/>
  <c r="J7" i="32"/>
  <c r="Q7" i="32" s="1"/>
  <c r="C7" i="32"/>
  <c r="T6" i="32"/>
  <c r="V6" i="32" s="1"/>
  <c r="P6" i="32"/>
  <c r="P32" i="32" s="1"/>
  <c r="P50" i="32" s="1"/>
  <c r="J6" i="32"/>
  <c r="Q6" i="32" s="1"/>
  <c r="C6" i="32"/>
  <c r="H70" i="31"/>
  <c r="G70" i="31"/>
  <c r="D70" i="31"/>
  <c r="Z50" i="31"/>
  <c r="Y50" i="31"/>
  <c r="T50" i="31"/>
  <c r="Q50" i="31"/>
  <c r="P50" i="31"/>
  <c r="O50" i="31"/>
  <c r="N50" i="31"/>
  <c r="M50" i="31"/>
  <c r="L50" i="31"/>
  <c r="K50" i="31"/>
  <c r="J50" i="31"/>
  <c r="D50" i="31"/>
  <c r="V48" i="31"/>
  <c r="Z45" i="31"/>
  <c r="Y45" i="31"/>
  <c r="T45" i="31"/>
  <c r="J45" i="31"/>
  <c r="I45" i="31"/>
  <c r="H45" i="31"/>
  <c r="G45" i="31"/>
  <c r="F45" i="31"/>
  <c r="E45" i="31"/>
  <c r="D45" i="31"/>
  <c r="V44" i="31"/>
  <c r="U42" i="31"/>
  <c r="U45" i="31" s="1"/>
  <c r="V41" i="31"/>
  <c r="V40" i="31"/>
  <c r="V39" i="31"/>
  <c r="V38" i="31"/>
  <c r="V55" i="31"/>
  <c r="V56" i="31"/>
  <c r="V37" i="31"/>
  <c r="V36" i="31"/>
  <c r="V35" i="31"/>
  <c r="V34" i="31"/>
  <c r="V33" i="31"/>
  <c r="O31" i="31"/>
  <c r="O46" i="31" s="1"/>
  <c r="N31" i="31"/>
  <c r="N46" i="31" s="1"/>
  <c r="M31" i="31"/>
  <c r="M46" i="31" s="1"/>
  <c r="L31" i="31"/>
  <c r="L46" i="31" s="1"/>
  <c r="K31" i="31"/>
  <c r="K46" i="31" s="1"/>
  <c r="H31" i="31"/>
  <c r="H71" i="31" s="1"/>
  <c r="G31" i="31"/>
  <c r="G71" i="31" s="1"/>
  <c r="D31" i="31"/>
  <c r="D71" i="31" s="1"/>
  <c r="V30" i="31"/>
  <c r="P30" i="31"/>
  <c r="V29" i="31"/>
  <c r="P29" i="31"/>
  <c r="R28" i="31"/>
  <c r="P28" i="31"/>
  <c r="T28" i="31" s="1"/>
  <c r="R27" i="31"/>
  <c r="P27" i="31"/>
  <c r="T27" i="31" s="1"/>
  <c r="P26" i="31"/>
  <c r="T26" i="31" s="1"/>
  <c r="V26" i="31" s="1"/>
  <c r="C26" i="31"/>
  <c r="P25" i="31"/>
  <c r="T25" i="31" s="1"/>
  <c r="R24" i="31"/>
  <c r="P24" i="31"/>
  <c r="T24" i="31" s="1"/>
  <c r="V24" i="31" s="1"/>
  <c r="C24" i="31"/>
  <c r="R23" i="31"/>
  <c r="P23" i="31"/>
  <c r="T23" i="31" s="1"/>
  <c r="C23" i="31"/>
  <c r="P22" i="31"/>
  <c r="T22" i="31" s="1"/>
  <c r="V22" i="31" s="1"/>
  <c r="I22" i="31"/>
  <c r="J22" i="31" s="1"/>
  <c r="Q22" i="31" s="1"/>
  <c r="C22" i="31"/>
  <c r="P19" i="31"/>
  <c r="T19" i="31" s="1"/>
  <c r="V19" i="31" s="1"/>
  <c r="I19" i="31"/>
  <c r="I24" i="31" s="1"/>
  <c r="J24" i="31" s="1"/>
  <c r="Q24" i="31" s="1"/>
  <c r="C19" i="31"/>
  <c r="P18" i="31"/>
  <c r="T18" i="31" s="1"/>
  <c r="V18" i="31" s="1"/>
  <c r="C18" i="31"/>
  <c r="Y17" i="31"/>
  <c r="P17" i="31"/>
  <c r="T17" i="31" s="1"/>
  <c r="V17" i="31" s="1"/>
  <c r="AB17" i="31" s="1"/>
  <c r="C17" i="31"/>
  <c r="Y16" i="31"/>
  <c r="P16" i="31"/>
  <c r="T16" i="31" s="1"/>
  <c r="V16" i="31" s="1"/>
  <c r="C16" i="31"/>
  <c r="Y15" i="31"/>
  <c r="P15" i="31"/>
  <c r="T15" i="31" s="1"/>
  <c r="V15" i="31" s="1"/>
  <c r="C15" i="31"/>
  <c r="Y14" i="31"/>
  <c r="P14" i="31"/>
  <c r="T14" i="31" s="1"/>
  <c r="V14" i="31" s="1"/>
  <c r="I14" i="31"/>
  <c r="I26" i="31" s="1"/>
  <c r="J26" i="31" s="1"/>
  <c r="Q26" i="31" s="1"/>
  <c r="C14" i="31"/>
  <c r="Y13" i="31"/>
  <c r="P13" i="31"/>
  <c r="T13" i="31" s="1"/>
  <c r="V13" i="31" s="1"/>
  <c r="I13" i="31"/>
  <c r="I25" i="31" s="1"/>
  <c r="J25" i="31" s="1"/>
  <c r="Q25" i="31" s="1"/>
  <c r="U25" i="31" s="1"/>
  <c r="C13" i="31"/>
  <c r="Y12" i="31"/>
  <c r="P12" i="31"/>
  <c r="T12" i="31" s="1"/>
  <c r="V12" i="31" s="1"/>
  <c r="AB12" i="31" s="1"/>
  <c r="C12" i="31"/>
  <c r="Y11" i="31"/>
  <c r="P11" i="31"/>
  <c r="T11" i="31" s="1"/>
  <c r="C11" i="31"/>
  <c r="Y10" i="31"/>
  <c r="P10" i="31"/>
  <c r="T10" i="31" s="1"/>
  <c r="V10" i="31" s="1"/>
  <c r="AB10" i="31" s="1"/>
  <c r="C10" i="31"/>
  <c r="Y9" i="31"/>
  <c r="P9" i="31"/>
  <c r="T9" i="31" s="1"/>
  <c r="V9" i="31" s="1"/>
  <c r="C9" i="31"/>
  <c r="P8" i="31"/>
  <c r="T8" i="31" s="1"/>
  <c r="V8" i="31" s="1"/>
  <c r="I8" i="31"/>
  <c r="I15" i="31" s="1"/>
  <c r="J15" i="31" s="1"/>
  <c r="Q15" i="31" s="1"/>
  <c r="C8" i="31"/>
  <c r="P7" i="31"/>
  <c r="T7" i="31" s="1"/>
  <c r="V7" i="31" s="1"/>
  <c r="J7" i="31"/>
  <c r="Q7" i="31" s="1"/>
  <c r="C7" i="31"/>
  <c r="P6" i="31"/>
  <c r="J6" i="31"/>
  <c r="C6" i="31"/>
  <c r="R24" i="24"/>
  <c r="R29" i="24"/>
  <c r="R28" i="24"/>
  <c r="R25" i="24"/>
  <c r="S40" i="24"/>
  <c r="S39" i="24"/>
  <c r="S38" i="24"/>
  <c r="S37" i="24"/>
  <c r="S36" i="24"/>
  <c r="S35" i="24"/>
  <c r="Z54" i="24"/>
  <c r="Y54" i="24"/>
  <c r="T54" i="24"/>
  <c r="Q54" i="24"/>
  <c r="P54" i="24"/>
  <c r="O54" i="24"/>
  <c r="N54" i="24"/>
  <c r="M54" i="24"/>
  <c r="L54" i="24"/>
  <c r="K54" i="24"/>
  <c r="J54" i="24"/>
  <c r="D54" i="24"/>
  <c r="S18" i="24"/>
  <c r="S17" i="24"/>
  <c r="S16" i="24"/>
  <c r="S15" i="24"/>
  <c r="S14" i="24"/>
  <c r="S13" i="24"/>
  <c r="S12" i="24"/>
  <c r="S11" i="24"/>
  <c r="S10" i="24"/>
  <c r="D72" i="30"/>
  <c r="H71" i="30"/>
  <c r="G71" i="30"/>
  <c r="D71" i="30"/>
  <c r="O52" i="30"/>
  <c r="Z51" i="30"/>
  <c r="Z52" i="30" s="1"/>
  <c r="Y51" i="30"/>
  <c r="T51" i="30"/>
  <c r="J51" i="30"/>
  <c r="I51" i="30"/>
  <c r="H51" i="30"/>
  <c r="G51" i="30"/>
  <c r="F51" i="30"/>
  <c r="E51" i="30"/>
  <c r="D51" i="30"/>
  <c r="D52" i="30" s="1"/>
  <c r="V50" i="30"/>
  <c r="V49" i="30"/>
  <c r="V48" i="30"/>
  <c r="U46" i="30"/>
  <c r="U51" i="30" s="1"/>
  <c r="V45" i="30"/>
  <c r="V44" i="30"/>
  <c r="V43" i="30"/>
  <c r="V42" i="30"/>
  <c r="S42" i="30"/>
  <c r="V41" i="30"/>
  <c r="V40" i="30"/>
  <c r="S40" i="30"/>
  <c r="V39" i="30"/>
  <c r="S39" i="30"/>
  <c r="V38" i="30"/>
  <c r="S38" i="30"/>
  <c r="V37" i="30"/>
  <c r="S37" i="30"/>
  <c r="V36" i="30"/>
  <c r="S36" i="30"/>
  <c r="V35" i="30"/>
  <c r="V46" i="30" s="1"/>
  <c r="V51" i="30" s="1"/>
  <c r="Z33" i="30"/>
  <c r="O33" i="30"/>
  <c r="N33" i="30"/>
  <c r="N52" i="30" s="1"/>
  <c r="M33" i="30"/>
  <c r="M52" i="30" s="1"/>
  <c r="L33" i="30"/>
  <c r="L52" i="30" s="1"/>
  <c r="K33" i="30"/>
  <c r="K52" i="30" s="1"/>
  <c r="H33" i="30"/>
  <c r="H72" i="30" s="1"/>
  <c r="G33" i="30"/>
  <c r="G72" i="30" s="1"/>
  <c r="D33" i="30"/>
  <c r="V32" i="30"/>
  <c r="P32" i="30"/>
  <c r="V31" i="30"/>
  <c r="P31" i="30"/>
  <c r="P30" i="30"/>
  <c r="T30" i="30" s="1"/>
  <c r="V30" i="30" s="1"/>
  <c r="C30" i="30"/>
  <c r="T29" i="30"/>
  <c r="V29" i="30" s="1"/>
  <c r="P29" i="30"/>
  <c r="C29" i="30"/>
  <c r="T28" i="30"/>
  <c r="V28" i="30" s="1"/>
  <c r="P28" i="30"/>
  <c r="C28" i="30"/>
  <c r="P27" i="30"/>
  <c r="T27" i="30" s="1"/>
  <c r="V27" i="30" s="1"/>
  <c r="C27" i="30"/>
  <c r="T26" i="30"/>
  <c r="V26" i="30" s="1"/>
  <c r="P26" i="30"/>
  <c r="C26" i="30"/>
  <c r="P25" i="30"/>
  <c r="T25" i="30" s="1"/>
  <c r="V25" i="30" s="1"/>
  <c r="C25" i="30"/>
  <c r="P24" i="30"/>
  <c r="T24" i="30" s="1"/>
  <c r="V24" i="30" s="1"/>
  <c r="J24" i="30"/>
  <c r="Q24" i="30" s="1"/>
  <c r="I24" i="30"/>
  <c r="C24" i="30"/>
  <c r="T23" i="30"/>
  <c r="V23" i="30" s="1"/>
  <c r="P23" i="30"/>
  <c r="J23" i="30"/>
  <c r="Q23" i="30" s="1"/>
  <c r="I23" i="30"/>
  <c r="I26" i="30" s="1"/>
  <c r="J26" i="30" s="1"/>
  <c r="Q26" i="30" s="1"/>
  <c r="C23" i="30"/>
  <c r="V19" i="30"/>
  <c r="T19" i="30"/>
  <c r="P19" i="30"/>
  <c r="C19" i="30"/>
  <c r="Y18" i="30"/>
  <c r="P18" i="30"/>
  <c r="T18" i="30" s="1"/>
  <c r="V18" i="30" s="1"/>
  <c r="C18" i="30"/>
  <c r="Y17" i="30"/>
  <c r="P17" i="30"/>
  <c r="T17" i="30" s="1"/>
  <c r="V17" i="30" s="1"/>
  <c r="C17" i="30"/>
  <c r="Y16" i="30"/>
  <c r="P16" i="30"/>
  <c r="T16" i="30" s="1"/>
  <c r="V16" i="30" s="1"/>
  <c r="C16" i="30"/>
  <c r="Y15" i="30"/>
  <c r="P15" i="30"/>
  <c r="T15" i="30" s="1"/>
  <c r="V15" i="30" s="1"/>
  <c r="AB15" i="30" s="1"/>
  <c r="J15" i="30"/>
  <c r="Q15" i="30" s="1"/>
  <c r="I15" i="30"/>
  <c r="I28" i="30" s="1"/>
  <c r="J28" i="30" s="1"/>
  <c r="Q28" i="30" s="1"/>
  <c r="C15" i="30"/>
  <c r="Y14" i="30"/>
  <c r="P14" i="30"/>
  <c r="T14" i="30" s="1"/>
  <c r="V14" i="30" s="1"/>
  <c r="I14" i="30"/>
  <c r="J14" i="30" s="1"/>
  <c r="Q14" i="30" s="1"/>
  <c r="C14" i="30"/>
  <c r="Y13" i="30"/>
  <c r="P13" i="30"/>
  <c r="T13" i="30" s="1"/>
  <c r="V13" i="30" s="1"/>
  <c r="C13" i="30"/>
  <c r="Y12" i="30"/>
  <c r="U12" i="30"/>
  <c r="P12" i="30"/>
  <c r="T12" i="30" s="1"/>
  <c r="V12" i="30" s="1"/>
  <c r="I12" i="30"/>
  <c r="I19" i="30" s="1"/>
  <c r="J19" i="30" s="1"/>
  <c r="Q19" i="30" s="1"/>
  <c r="C12" i="30"/>
  <c r="Y11" i="30"/>
  <c r="U11" i="30"/>
  <c r="U33" i="30" s="1"/>
  <c r="U52" i="30" s="1"/>
  <c r="T11" i="30"/>
  <c r="V11" i="30" s="1"/>
  <c r="P11" i="30"/>
  <c r="I11" i="30"/>
  <c r="I18" i="30" s="1"/>
  <c r="J18" i="30" s="1"/>
  <c r="Q18" i="30" s="1"/>
  <c r="C11" i="30"/>
  <c r="Y10" i="30"/>
  <c r="Y33" i="30" s="1"/>
  <c r="Y52" i="30" s="1"/>
  <c r="T10" i="30"/>
  <c r="V10" i="30" s="1"/>
  <c r="P10" i="30"/>
  <c r="I10" i="30"/>
  <c r="J10" i="30" s="1"/>
  <c r="Q10" i="30" s="1"/>
  <c r="C10" i="30"/>
  <c r="P9" i="30"/>
  <c r="T9" i="30" s="1"/>
  <c r="V9" i="30" s="1"/>
  <c r="J9" i="30"/>
  <c r="I9" i="30"/>
  <c r="I25" i="30" s="1"/>
  <c r="C9" i="30"/>
  <c r="P8" i="30"/>
  <c r="T8" i="30" s="1"/>
  <c r="V8" i="30" s="1"/>
  <c r="J8" i="30"/>
  <c r="Q8" i="30" s="1"/>
  <c r="C8" i="30"/>
  <c r="P7" i="30"/>
  <c r="P33" i="30" s="1"/>
  <c r="P52" i="30" s="1"/>
  <c r="J7" i="30"/>
  <c r="Q7" i="30" s="1"/>
  <c r="C7" i="30"/>
  <c r="U11" i="24"/>
  <c r="U45" i="24"/>
  <c r="U49" i="24" s="1"/>
  <c r="U10" i="24"/>
  <c r="P31" i="24"/>
  <c r="P30" i="24"/>
  <c r="V31" i="24"/>
  <c r="V30" i="24"/>
  <c r="J10" i="33" l="1"/>
  <c r="Q10" i="33" s="1"/>
  <c r="I24" i="33"/>
  <c r="J24" i="33" s="1"/>
  <c r="Q24" i="33" s="1"/>
  <c r="I23" i="33"/>
  <c r="J23" i="33" s="1"/>
  <c r="Q23" i="33" s="1"/>
  <c r="V38" i="33"/>
  <c r="J16" i="33"/>
  <c r="Q16" i="33" s="1"/>
  <c r="V31" i="33"/>
  <c r="J9" i="33"/>
  <c r="Q9" i="33" s="1"/>
  <c r="T31" i="33"/>
  <c r="T45" i="33" s="1"/>
  <c r="J20" i="33"/>
  <c r="Q20" i="33" s="1"/>
  <c r="J12" i="33"/>
  <c r="Q12" i="33" s="1"/>
  <c r="Q11" i="33"/>
  <c r="I18" i="33"/>
  <c r="J18" i="33" s="1"/>
  <c r="Q18" i="33" s="1"/>
  <c r="U31" i="33"/>
  <c r="U45" i="33" s="1"/>
  <c r="AB14" i="31"/>
  <c r="Y21" i="31"/>
  <c r="I10" i="31"/>
  <c r="J10" i="31" s="1"/>
  <c r="Q10" i="31" s="1"/>
  <c r="AB15" i="31"/>
  <c r="Z46" i="31"/>
  <c r="V42" i="31"/>
  <c r="V45" i="31" s="1"/>
  <c r="V25" i="31"/>
  <c r="AB16" i="31"/>
  <c r="AB9" i="31"/>
  <c r="I11" i="31"/>
  <c r="AB13" i="31"/>
  <c r="J14" i="31"/>
  <c r="Q14" i="31" s="1"/>
  <c r="P31" i="31"/>
  <c r="P46" i="31" s="1"/>
  <c r="Y31" i="31"/>
  <c r="Y46" i="31" s="1"/>
  <c r="V11" i="32"/>
  <c r="J11" i="32"/>
  <c r="Q11" i="32" s="1"/>
  <c r="I18" i="32"/>
  <c r="J18" i="32" s="1"/>
  <c r="Q18" i="32" s="1"/>
  <c r="AB15" i="32"/>
  <c r="AB18" i="32"/>
  <c r="AB13" i="32"/>
  <c r="V29" i="32"/>
  <c r="AB16" i="32"/>
  <c r="AB9" i="32"/>
  <c r="AB14" i="32"/>
  <c r="I24" i="32"/>
  <c r="I27" i="32"/>
  <c r="J27" i="32" s="1"/>
  <c r="Q27" i="32" s="1"/>
  <c r="J23" i="32"/>
  <c r="Q23" i="32" s="1"/>
  <c r="G54" i="32"/>
  <c r="I17" i="32"/>
  <c r="J17" i="32" s="1"/>
  <c r="Q17" i="32" s="1"/>
  <c r="T32" i="32"/>
  <c r="T50" i="32" s="1"/>
  <c r="V11" i="31"/>
  <c r="AB11" i="31" s="1"/>
  <c r="J19" i="31"/>
  <c r="Q19" i="31" s="1"/>
  <c r="T6" i="31"/>
  <c r="I9" i="31"/>
  <c r="G46" i="31"/>
  <c r="G50" i="31" s="1"/>
  <c r="J13" i="31"/>
  <c r="Q13" i="31" s="1"/>
  <c r="I23" i="31"/>
  <c r="J8" i="31"/>
  <c r="Q6" i="31"/>
  <c r="I17" i="31"/>
  <c r="J17" i="31" s="1"/>
  <c r="Q17" i="31" s="1"/>
  <c r="D46" i="31"/>
  <c r="H46" i="31"/>
  <c r="H50" i="31" s="1"/>
  <c r="AB10" i="30"/>
  <c r="AB16" i="30"/>
  <c r="J25" i="30"/>
  <c r="Q25" i="30" s="1"/>
  <c r="I13" i="30"/>
  <c r="AB14" i="30"/>
  <c r="AB18" i="30"/>
  <c r="I17" i="30"/>
  <c r="J12" i="30"/>
  <c r="Q12" i="30" s="1"/>
  <c r="I16" i="30"/>
  <c r="J16" i="30" s="1"/>
  <c r="Q16" i="30" s="1"/>
  <c r="G52" i="30"/>
  <c r="H52" i="30"/>
  <c r="T7" i="30"/>
  <c r="J11" i="30"/>
  <c r="Q11" i="30" s="1"/>
  <c r="I27" i="30"/>
  <c r="J27" i="30" s="1"/>
  <c r="Q27" i="30" s="1"/>
  <c r="V40" i="24"/>
  <c r="V52" i="24"/>
  <c r="V44" i="24"/>
  <c r="V47" i="24"/>
  <c r="V48" i="24"/>
  <c r="V38" i="24"/>
  <c r="V43" i="24"/>
  <c r="V42" i="24"/>
  <c r="V41" i="24"/>
  <c r="V37" i="24"/>
  <c r="V39" i="24"/>
  <c r="V34" i="24"/>
  <c r="V35" i="24"/>
  <c r="V36" i="24"/>
  <c r="J21" i="29"/>
  <c r="I18" i="29"/>
  <c r="H18" i="29"/>
  <c r="G18" i="29"/>
  <c r="F18" i="29"/>
  <c r="E18" i="29"/>
  <c r="D18" i="29"/>
  <c r="L16" i="29"/>
  <c r="M16" i="29" s="1"/>
  <c r="J16" i="29"/>
  <c r="L15" i="29"/>
  <c r="M15" i="29" s="1"/>
  <c r="J15" i="29"/>
  <c r="L14" i="29"/>
  <c r="M14" i="29" s="1"/>
  <c r="J14" i="29"/>
  <c r="L13" i="29"/>
  <c r="L18" i="29" s="1"/>
  <c r="J13" i="29"/>
  <c r="L12" i="29"/>
  <c r="M12" i="29" s="1"/>
  <c r="J12" i="29"/>
  <c r="L11" i="29"/>
  <c r="M11" i="29" s="1"/>
  <c r="J11" i="29"/>
  <c r="L10" i="29"/>
  <c r="M10" i="29" s="1"/>
  <c r="J10" i="29"/>
  <c r="L9" i="29"/>
  <c r="M9" i="29" s="1"/>
  <c r="J9" i="29"/>
  <c r="L8" i="29"/>
  <c r="M8" i="29" s="1"/>
  <c r="J8" i="29"/>
  <c r="J7" i="29"/>
  <c r="J6" i="29"/>
  <c r="J5" i="29"/>
  <c r="J4" i="29"/>
  <c r="J3" i="29"/>
  <c r="J18" i="29" s="1"/>
  <c r="P5" i="28"/>
  <c r="U49" i="33" l="1"/>
  <c r="V44" i="33"/>
  <c r="J31" i="33"/>
  <c r="J45" i="33" s="1"/>
  <c r="J11" i="31"/>
  <c r="Q11" i="31" s="1"/>
  <c r="I18" i="31"/>
  <c r="J18" i="31" s="1"/>
  <c r="Q18" i="31" s="1"/>
  <c r="J24" i="32"/>
  <c r="Q24" i="32" s="1"/>
  <c r="U24" i="32" s="1"/>
  <c r="I12" i="32"/>
  <c r="AB17" i="32"/>
  <c r="AB11" i="32"/>
  <c r="I12" i="31"/>
  <c r="J23" i="31"/>
  <c r="Q23" i="31" s="1"/>
  <c r="U23" i="31" s="1"/>
  <c r="I16" i="31"/>
  <c r="J9" i="31"/>
  <c r="V6" i="31"/>
  <c r="T31" i="31"/>
  <c r="T46" i="31" s="1"/>
  <c r="I29" i="30"/>
  <c r="J29" i="30" s="1"/>
  <c r="Q29" i="30" s="1"/>
  <c r="J13" i="30"/>
  <c r="V7" i="30"/>
  <c r="V33" i="30" s="1"/>
  <c r="V52" i="30" s="1"/>
  <c r="T33" i="30"/>
  <c r="T52" i="30" s="1"/>
  <c r="I30" i="30"/>
  <c r="J30" i="30" s="1"/>
  <c r="Q30" i="30" s="1"/>
  <c r="J17" i="30"/>
  <c r="AB11" i="30"/>
  <c r="J33" i="30"/>
  <c r="AB12" i="30"/>
  <c r="V45" i="24"/>
  <c r="V49" i="24" s="1"/>
  <c r="J22" i="29"/>
  <c r="M13" i="29"/>
  <c r="J8" i="28"/>
  <c r="V45" i="33" l="1"/>
  <c r="AD45" i="33" s="1"/>
  <c r="Q31" i="33"/>
  <c r="Q45" i="33" s="1"/>
  <c r="J12" i="32"/>
  <c r="I28" i="32"/>
  <c r="J28" i="32" s="1"/>
  <c r="Q28" i="32" s="1"/>
  <c r="U28" i="32" s="1"/>
  <c r="V28" i="32" s="1"/>
  <c r="V24" i="32"/>
  <c r="Q9" i="31"/>
  <c r="I28" i="31"/>
  <c r="J28" i="31" s="1"/>
  <c r="Q28" i="31" s="1"/>
  <c r="J16" i="31"/>
  <c r="V23" i="31"/>
  <c r="I27" i="31"/>
  <c r="J27" i="31" s="1"/>
  <c r="Q27" i="31" s="1"/>
  <c r="J12" i="31"/>
  <c r="Q17" i="30"/>
  <c r="AB17" i="30"/>
  <c r="Q13" i="30"/>
  <c r="AB13" i="30"/>
  <c r="Q33" i="30"/>
  <c r="Q52" i="30" s="1"/>
  <c r="J52" i="30"/>
  <c r="L20" i="28"/>
  <c r="V49" i="33" l="1"/>
  <c r="AA45" i="33"/>
  <c r="AA46" i="33" s="1"/>
  <c r="U27" i="31"/>
  <c r="V27" i="31" s="1"/>
  <c r="U28" i="31"/>
  <c r="V28" i="31" s="1"/>
  <c r="Q12" i="32"/>
  <c r="AB12" i="32"/>
  <c r="J32" i="32"/>
  <c r="V32" i="32"/>
  <c r="V50" i="32" s="1"/>
  <c r="U32" i="32"/>
  <c r="U50" i="32" s="1"/>
  <c r="U54" i="32" s="1"/>
  <c r="Q12" i="31"/>
  <c r="J31" i="31"/>
  <c r="Q16" i="31"/>
  <c r="K40" i="28"/>
  <c r="L40" i="28"/>
  <c r="M40" i="28"/>
  <c r="N40" i="28"/>
  <c r="O40" i="28"/>
  <c r="J40" i="28"/>
  <c r="X40" i="28"/>
  <c r="W40" i="28"/>
  <c r="T40" i="28"/>
  <c r="H40" i="28"/>
  <c r="G40" i="28"/>
  <c r="D40" i="28"/>
  <c r="T32" i="28"/>
  <c r="Q32" i="28"/>
  <c r="P32" i="28"/>
  <c r="T31" i="28"/>
  <c r="Q31" i="28"/>
  <c r="P31" i="28"/>
  <c r="T30" i="28"/>
  <c r="Q30" i="28"/>
  <c r="P30" i="28"/>
  <c r="Q29" i="28"/>
  <c r="P29" i="28"/>
  <c r="Q28" i="28"/>
  <c r="P28" i="28"/>
  <c r="W27" i="28"/>
  <c r="T27" i="28"/>
  <c r="Q27" i="28"/>
  <c r="P27" i="28"/>
  <c r="W26" i="28"/>
  <c r="T26" i="28"/>
  <c r="Q26" i="28"/>
  <c r="P26" i="28"/>
  <c r="W25" i="28"/>
  <c r="T25" i="28"/>
  <c r="Q25" i="28"/>
  <c r="P25" i="28"/>
  <c r="Q24" i="28"/>
  <c r="P24" i="28"/>
  <c r="Q23" i="28"/>
  <c r="P23" i="28"/>
  <c r="T23" i="28" s="1"/>
  <c r="Q22" i="28"/>
  <c r="P22" i="28"/>
  <c r="K20" i="28"/>
  <c r="M20" i="28"/>
  <c r="X20" i="28"/>
  <c r="X41" i="28" s="1"/>
  <c r="W20" i="28"/>
  <c r="T20" i="28"/>
  <c r="H20" i="28"/>
  <c r="H41" i="28" s="1"/>
  <c r="H78" i="28" s="1"/>
  <c r="G20" i="28"/>
  <c r="G41" i="28" s="1"/>
  <c r="G78" i="28" s="1"/>
  <c r="D20" i="28"/>
  <c r="D41" i="28" s="1"/>
  <c r="D78" i="28" s="1"/>
  <c r="C33" i="28"/>
  <c r="P33" i="28"/>
  <c r="T33" i="28"/>
  <c r="W33" i="28"/>
  <c r="C34" i="28"/>
  <c r="P34" i="28"/>
  <c r="T34" i="28"/>
  <c r="W34" i="28"/>
  <c r="C35" i="28"/>
  <c r="P35" i="28"/>
  <c r="T35" i="28"/>
  <c r="W35" i="28"/>
  <c r="C36" i="28"/>
  <c r="I36" i="28"/>
  <c r="J36" i="28" s="1"/>
  <c r="Q36" i="28" s="1"/>
  <c r="P36" i="28"/>
  <c r="T36" i="28"/>
  <c r="W36" i="28"/>
  <c r="C37" i="28"/>
  <c r="P37" i="28"/>
  <c r="T37" i="28"/>
  <c r="W37" i="28"/>
  <c r="C38" i="28"/>
  <c r="P38" i="28"/>
  <c r="T38" i="28"/>
  <c r="W38" i="28"/>
  <c r="C39" i="28"/>
  <c r="P39" i="28"/>
  <c r="T39" i="28"/>
  <c r="T42" i="28"/>
  <c r="T43" i="28"/>
  <c r="H77" i="28"/>
  <c r="G77" i="28"/>
  <c r="D77" i="28"/>
  <c r="X57" i="28"/>
  <c r="W57" i="28"/>
  <c r="I57" i="28"/>
  <c r="H57" i="28"/>
  <c r="G57" i="28"/>
  <c r="F57" i="28"/>
  <c r="E57" i="28"/>
  <c r="D57" i="28"/>
  <c r="T48" i="28"/>
  <c r="T57" i="28" s="1"/>
  <c r="T19" i="28"/>
  <c r="P19" i="28"/>
  <c r="T18" i="28"/>
  <c r="P18" i="28"/>
  <c r="T17" i="28"/>
  <c r="P17" i="28"/>
  <c r="P16" i="28"/>
  <c r="P15" i="28"/>
  <c r="W14" i="28"/>
  <c r="T14" i="28"/>
  <c r="P14" i="28"/>
  <c r="W13" i="28"/>
  <c r="T13" i="28"/>
  <c r="P13" i="28"/>
  <c r="Q13" i="28"/>
  <c r="W12" i="28"/>
  <c r="T12" i="28"/>
  <c r="P12" i="28"/>
  <c r="P11" i="28"/>
  <c r="P10" i="28"/>
  <c r="T10" i="28" s="1"/>
  <c r="I34" i="28"/>
  <c r="P9" i="28"/>
  <c r="Q9" i="28"/>
  <c r="T8" i="28"/>
  <c r="P8" i="28"/>
  <c r="I8" i="28"/>
  <c r="C8" i="28"/>
  <c r="T7" i="28"/>
  <c r="P7" i="28"/>
  <c r="J7" i="28"/>
  <c r="Q7" i="28" s="1"/>
  <c r="C7" i="28"/>
  <c r="T6" i="28"/>
  <c r="J6" i="28"/>
  <c r="J5" i="28" s="1"/>
  <c r="C6" i="28"/>
  <c r="V31" i="31" l="1"/>
  <c r="V46" i="31" s="1"/>
  <c r="AA46" i="31" s="1"/>
  <c r="U31" i="31"/>
  <c r="U46" i="31" s="1"/>
  <c r="U50" i="31" s="1"/>
  <c r="AA50" i="32"/>
  <c r="V54" i="32"/>
  <c r="J50" i="32"/>
  <c r="Q32" i="32"/>
  <c r="Q50" i="32" s="1"/>
  <c r="J46" i="31"/>
  <c r="Q31" i="31"/>
  <c r="Q46" i="31" s="1"/>
  <c r="P40" i="28"/>
  <c r="Q40" i="28"/>
  <c r="J20" i="28"/>
  <c r="K41" i="28"/>
  <c r="K58" i="28" s="1"/>
  <c r="L41" i="28"/>
  <c r="L58" i="28" s="1"/>
  <c r="M41" i="28"/>
  <c r="M58" i="28" s="1"/>
  <c r="I33" i="28"/>
  <c r="J33" i="28" s="1"/>
  <c r="Q33" i="28" s="1"/>
  <c r="I39" i="28"/>
  <c r="J39" i="28" s="1"/>
  <c r="Q39" i="28" s="1"/>
  <c r="J34" i="28"/>
  <c r="Q34" i="28" s="1"/>
  <c r="T41" i="28"/>
  <c r="T58" i="28" s="1"/>
  <c r="W41" i="28"/>
  <c r="W58" i="28" s="1"/>
  <c r="X58" i="28"/>
  <c r="J57" i="28"/>
  <c r="D58" i="28"/>
  <c r="Q15" i="28"/>
  <c r="H58" i="28"/>
  <c r="I37" i="28"/>
  <c r="J37" i="28" s="1"/>
  <c r="Q37" i="28" s="1"/>
  <c r="Q10" i="28"/>
  <c r="G58" i="28"/>
  <c r="Q14" i="28"/>
  <c r="I35" i="28"/>
  <c r="J35" i="28" s="1"/>
  <c r="Q35" i="28" s="1"/>
  <c r="T11" i="26"/>
  <c r="U13" i="26"/>
  <c r="V13" i="26" s="1"/>
  <c r="U13" i="27"/>
  <c r="V13" i="27" s="1"/>
  <c r="U12" i="27"/>
  <c r="V12" i="27" s="1"/>
  <c r="U9" i="27"/>
  <c r="V9" i="27" s="1"/>
  <c r="U8" i="27"/>
  <c r="V8" i="27" s="1"/>
  <c r="U7" i="27"/>
  <c r="V7" i="27" s="1"/>
  <c r="U6" i="27"/>
  <c r="H34" i="27"/>
  <c r="G34" i="27"/>
  <c r="D34" i="27"/>
  <c r="H33" i="27"/>
  <c r="G33" i="27"/>
  <c r="D33" i="27"/>
  <c r="R14" i="27"/>
  <c r="Q14" i="27"/>
  <c r="P14" i="27"/>
  <c r="O14" i="27"/>
  <c r="N14" i="27"/>
  <c r="M14" i="27"/>
  <c r="L14" i="27"/>
  <c r="K14" i="27"/>
  <c r="J14" i="27"/>
  <c r="T13" i="27"/>
  <c r="T12" i="27"/>
  <c r="U11" i="27"/>
  <c r="V11" i="27" s="1"/>
  <c r="T11" i="27"/>
  <c r="U10" i="27"/>
  <c r="S10" i="27"/>
  <c r="T10" i="27" s="1"/>
  <c r="T9" i="27"/>
  <c r="T8" i="27"/>
  <c r="T7" i="27"/>
  <c r="S6" i="27"/>
  <c r="T6" i="27" s="1"/>
  <c r="U5" i="27"/>
  <c r="T5" i="27"/>
  <c r="U9" i="26"/>
  <c r="V9" i="26" s="1"/>
  <c r="U8" i="26"/>
  <c r="V8" i="26" s="1"/>
  <c r="U7" i="26"/>
  <c r="V7" i="26" s="1"/>
  <c r="U6" i="26"/>
  <c r="U12" i="26"/>
  <c r="V12" i="26" s="1"/>
  <c r="U10" i="26"/>
  <c r="U11" i="26"/>
  <c r="V11" i="26"/>
  <c r="S10" i="26"/>
  <c r="S6" i="26"/>
  <c r="T7" i="26"/>
  <c r="T8" i="26"/>
  <c r="T9" i="26"/>
  <c r="T12" i="26"/>
  <c r="T13" i="26"/>
  <c r="T5" i="26"/>
  <c r="U5" i="26"/>
  <c r="V5" i="26" s="1"/>
  <c r="K14" i="26"/>
  <c r="L14" i="26"/>
  <c r="M14" i="26"/>
  <c r="N14" i="26"/>
  <c r="O14" i="26"/>
  <c r="P14" i="26"/>
  <c r="Q14" i="26"/>
  <c r="R14" i="26"/>
  <c r="J14" i="26"/>
  <c r="G34" i="26"/>
  <c r="H33" i="26"/>
  <c r="G33" i="26"/>
  <c r="D33" i="26"/>
  <c r="H34" i="26"/>
  <c r="D34" i="26"/>
  <c r="Y10" i="24"/>
  <c r="Y9" i="24"/>
  <c r="Y16" i="24"/>
  <c r="Y17" i="24"/>
  <c r="Y15" i="24"/>
  <c r="Y11" i="24"/>
  <c r="Y14" i="24"/>
  <c r="Y13" i="24"/>
  <c r="AA47" i="31" l="1"/>
  <c r="V50" i="31"/>
  <c r="AA51" i="32"/>
  <c r="I38" i="28"/>
  <c r="J38" i="28" s="1"/>
  <c r="Q38" i="28" s="1"/>
  <c r="Q17" i="28"/>
  <c r="Q11" i="28"/>
  <c r="Q12" i="28"/>
  <c r="V6" i="26"/>
  <c r="T14" i="27"/>
  <c r="V6" i="27"/>
  <c r="V10" i="27"/>
  <c r="S14" i="27"/>
  <c r="U14" i="27"/>
  <c r="V5" i="27"/>
  <c r="V10" i="26"/>
  <c r="S14" i="26"/>
  <c r="T10" i="26"/>
  <c r="T6" i="26"/>
  <c r="T14" i="26" s="1"/>
  <c r="U14" i="26"/>
  <c r="V14" i="26" l="1"/>
  <c r="V14" i="27"/>
  <c r="Q18" i="28" l="1"/>
  <c r="Z49" i="24"/>
  <c r="Z32" i="24"/>
  <c r="Y12" i="24"/>
  <c r="Y32" i="24" s="1"/>
  <c r="Y49" i="24"/>
  <c r="P9" i="24"/>
  <c r="T9" i="24" s="1"/>
  <c r="V9" i="24" s="1"/>
  <c r="I49" i="24"/>
  <c r="J49" i="24"/>
  <c r="E49" i="24"/>
  <c r="F49" i="24"/>
  <c r="G49" i="24"/>
  <c r="H49" i="24"/>
  <c r="D49" i="24"/>
  <c r="W40" i="25"/>
  <c r="W17" i="25"/>
  <c r="W16" i="25"/>
  <c r="W15" i="25"/>
  <c r="W14" i="25"/>
  <c r="W13" i="25"/>
  <c r="W11" i="25"/>
  <c r="W7" i="25"/>
  <c r="W6" i="25"/>
  <c r="W5" i="25"/>
  <c r="W26" i="25" s="1"/>
  <c r="W41" i="25" s="1"/>
  <c r="J45" i="25"/>
  <c r="H45" i="25"/>
  <c r="G45" i="25"/>
  <c r="D45" i="25"/>
  <c r="S26" i="25"/>
  <c r="O26" i="25"/>
  <c r="N26" i="25"/>
  <c r="P25" i="25"/>
  <c r="H25" i="25"/>
  <c r="F25" i="25"/>
  <c r="E25" i="25"/>
  <c r="D25" i="25"/>
  <c r="G25" i="25" s="1"/>
  <c r="C25" i="25"/>
  <c r="L24" i="25"/>
  <c r="P24" i="25" s="1"/>
  <c r="H24" i="25"/>
  <c r="F24" i="25"/>
  <c r="E24" i="25"/>
  <c r="D24" i="25"/>
  <c r="C24" i="25"/>
  <c r="P23" i="25"/>
  <c r="H23" i="25"/>
  <c r="F23" i="25"/>
  <c r="E23" i="25"/>
  <c r="D23" i="25"/>
  <c r="G23" i="25" s="1"/>
  <c r="C23" i="25"/>
  <c r="P22" i="25"/>
  <c r="H22" i="25"/>
  <c r="F22" i="25"/>
  <c r="E22" i="25"/>
  <c r="D22" i="25"/>
  <c r="C22" i="25"/>
  <c r="P21" i="25"/>
  <c r="I21" i="25"/>
  <c r="I25" i="25" s="1"/>
  <c r="H21" i="25"/>
  <c r="F21" i="25"/>
  <c r="E21" i="25"/>
  <c r="D21" i="25"/>
  <c r="G21" i="25" s="1"/>
  <c r="C21" i="25"/>
  <c r="P20" i="25"/>
  <c r="I20" i="25"/>
  <c r="H20" i="25"/>
  <c r="J20" i="25" s="1"/>
  <c r="Q20" i="25" s="1"/>
  <c r="T20" i="25" s="1"/>
  <c r="F20" i="25"/>
  <c r="E20" i="25"/>
  <c r="D20" i="25"/>
  <c r="C20" i="25"/>
  <c r="P19" i="25"/>
  <c r="I19" i="25"/>
  <c r="H19" i="25"/>
  <c r="J19" i="25" s="1"/>
  <c r="Q19" i="25" s="1"/>
  <c r="T19" i="25" s="1"/>
  <c r="F19" i="25"/>
  <c r="E19" i="25"/>
  <c r="D19" i="25"/>
  <c r="C19" i="25"/>
  <c r="P18" i="25"/>
  <c r="I18" i="25"/>
  <c r="H18" i="25"/>
  <c r="J18" i="25" s="1"/>
  <c r="Q18" i="25" s="1"/>
  <c r="T18" i="25" s="1"/>
  <c r="F18" i="25"/>
  <c r="E18" i="25"/>
  <c r="D18" i="25"/>
  <c r="C18" i="25"/>
  <c r="P17" i="25"/>
  <c r="I17" i="25"/>
  <c r="H17" i="25"/>
  <c r="J17" i="25" s="1"/>
  <c r="Q17" i="25" s="1"/>
  <c r="T17" i="25" s="1"/>
  <c r="F17" i="25"/>
  <c r="E17" i="25"/>
  <c r="D17" i="25"/>
  <c r="C17" i="25"/>
  <c r="P16" i="25"/>
  <c r="I16" i="25"/>
  <c r="H16" i="25"/>
  <c r="J16" i="25" s="1"/>
  <c r="Q16" i="25" s="1"/>
  <c r="T16" i="25" s="1"/>
  <c r="F16" i="25"/>
  <c r="E16" i="25"/>
  <c r="D16" i="25"/>
  <c r="G16" i="25" s="1"/>
  <c r="C16" i="25"/>
  <c r="P15" i="25"/>
  <c r="I15" i="25"/>
  <c r="H15" i="25"/>
  <c r="J15" i="25" s="1"/>
  <c r="Q15" i="25" s="1"/>
  <c r="T15" i="25" s="1"/>
  <c r="F15" i="25"/>
  <c r="E15" i="25"/>
  <c r="D15" i="25"/>
  <c r="C15" i="25"/>
  <c r="P14" i="25"/>
  <c r="H14" i="25"/>
  <c r="J14" i="25" s="1"/>
  <c r="Q14" i="25" s="1"/>
  <c r="T14" i="25" s="1"/>
  <c r="F14" i="25"/>
  <c r="E14" i="25"/>
  <c r="D14" i="25"/>
  <c r="G14" i="25" s="1"/>
  <c r="C14" i="25"/>
  <c r="P13" i="25"/>
  <c r="H13" i="25"/>
  <c r="F13" i="25"/>
  <c r="E13" i="25"/>
  <c r="D13" i="25"/>
  <c r="C13" i="25"/>
  <c r="P12" i="25"/>
  <c r="H12" i="25"/>
  <c r="F12" i="25"/>
  <c r="E12" i="25"/>
  <c r="D12" i="25"/>
  <c r="G12" i="25" s="1"/>
  <c r="C12" i="25"/>
  <c r="P11" i="25"/>
  <c r="I11" i="25"/>
  <c r="H11" i="25"/>
  <c r="J11" i="25" s="1"/>
  <c r="Q11" i="25" s="1"/>
  <c r="F11" i="25"/>
  <c r="E11" i="25"/>
  <c r="D11" i="25"/>
  <c r="G11" i="25" s="1"/>
  <c r="C11" i="25"/>
  <c r="L10" i="25"/>
  <c r="P10" i="25" s="1"/>
  <c r="I10" i="25"/>
  <c r="I14" i="25" s="1"/>
  <c r="I24" i="25" s="1"/>
  <c r="H10" i="25"/>
  <c r="J10" i="25" s="1"/>
  <c r="Q10" i="25" s="1"/>
  <c r="T10" i="25" s="1"/>
  <c r="F10" i="25"/>
  <c r="E10" i="25"/>
  <c r="D10" i="25"/>
  <c r="C10" i="25"/>
  <c r="P9" i="25"/>
  <c r="I9" i="25"/>
  <c r="H9" i="25"/>
  <c r="F9" i="25"/>
  <c r="E9" i="25"/>
  <c r="D9" i="25"/>
  <c r="G9" i="25" s="1"/>
  <c r="C9" i="25"/>
  <c r="R8" i="25"/>
  <c r="L8" i="25"/>
  <c r="K8" i="25"/>
  <c r="P8" i="25" s="1"/>
  <c r="I8" i="25"/>
  <c r="H8" i="25"/>
  <c r="J8" i="25" s="1"/>
  <c r="F8" i="25"/>
  <c r="E8" i="25"/>
  <c r="D8" i="25"/>
  <c r="C8" i="25"/>
  <c r="M7" i="25"/>
  <c r="P7" i="25" s="1"/>
  <c r="I7" i="25"/>
  <c r="H7" i="25"/>
  <c r="J7" i="25" s="1"/>
  <c r="Q7" i="25" s="1"/>
  <c r="T7" i="25" s="1"/>
  <c r="F7" i="25"/>
  <c r="E7" i="25"/>
  <c r="D7" i="25"/>
  <c r="C7" i="25"/>
  <c r="K6" i="25"/>
  <c r="P6" i="25" s="1"/>
  <c r="H6" i="25"/>
  <c r="J6" i="25" s="1"/>
  <c r="F6" i="25"/>
  <c r="E6" i="25"/>
  <c r="D6" i="25"/>
  <c r="G6" i="25" s="1"/>
  <c r="C6" i="25"/>
  <c r="L5" i="25"/>
  <c r="K5" i="25"/>
  <c r="P5" i="25" s="1"/>
  <c r="H5" i="25"/>
  <c r="J5" i="25" s="1"/>
  <c r="F5" i="25"/>
  <c r="E5" i="25"/>
  <c r="D5" i="25"/>
  <c r="C5" i="25"/>
  <c r="G5" i="25" l="1"/>
  <c r="G19" i="25"/>
  <c r="Z50" i="24"/>
  <c r="G8" i="25"/>
  <c r="G7" i="25"/>
  <c r="G20" i="25"/>
  <c r="G24" i="25"/>
  <c r="L26" i="25"/>
  <c r="J24" i="25"/>
  <c r="Q24" i="25" s="1"/>
  <c r="T24" i="25" s="1"/>
  <c r="G10" i="25"/>
  <c r="G22" i="25"/>
  <c r="H26" i="25"/>
  <c r="H46" i="25" s="1"/>
  <c r="G18" i="25"/>
  <c r="G13" i="25"/>
  <c r="G15" i="25"/>
  <c r="J25" i="25"/>
  <c r="Q25" i="25" s="1"/>
  <c r="T25" i="25" s="1"/>
  <c r="J9" i="25"/>
  <c r="Q9" i="25" s="1"/>
  <c r="T9" i="25" s="1"/>
  <c r="G17" i="25"/>
  <c r="P26" i="25"/>
  <c r="Q8" i="25"/>
  <c r="T8" i="25" s="1"/>
  <c r="Q6" i="25"/>
  <c r="R6" i="25" s="1"/>
  <c r="T6" i="25" s="1"/>
  <c r="K26" i="25"/>
  <c r="Y50" i="24"/>
  <c r="Q5" i="25"/>
  <c r="R11" i="25"/>
  <c r="T11" i="25" s="1"/>
  <c r="J21" i="25"/>
  <c r="Q21" i="25" s="1"/>
  <c r="T21" i="25" s="1"/>
  <c r="D26" i="25"/>
  <c r="D46" i="25" s="1"/>
  <c r="I13" i="25"/>
  <c r="M26" i="25"/>
  <c r="I12" i="25"/>
  <c r="G26" i="25" l="1"/>
  <c r="G46" i="25" s="1"/>
  <c r="Q16" i="28"/>
  <c r="R5" i="25"/>
  <c r="R26" i="25" s="1"/>
  <c r="I22" i="25"/>
  <c r="J22" i="25" s="1"/>
  <c r="Q22" i="25" s="1"/>
  <c r="T22" i="25" s="1"/>
  <c r="J12" i="25"/>
  <c r="I23" i="25"/>
  <c r="J23" i="25" s="1"/>
  <c r="Q23" i="25" s="1"/>
  <c r="T23" i="25" s="1"/>
  <c r="J13" i="25"/>
  <c r="Q13" i="25" s="1"/>
  <c r="T13" i="25" s="1"/>
  <c r="T5" i="25" l="1"/>
  <c r="Q12" i="25"/>
  <c r="J26" i="25"/>
  <c r="J46" i="25" l="1"/>
  <c r="T12" i="25"/>
  <c r="T26" i="25" s="1"/>
  <c r="Q26" i="25"/>
  <c r="T49" i="24" l="1"/>
  <c r="H71" i="24" l="1"/>
  <c r="G71" i="24"/>
  <c r="D71" i="24"/>
  <c r="O32" i="24"/>
  <c r="O50" i="24" s="1"/>
  <c r="N32" i="24"/>
  <c r="N50" i="24" s="1"/>
  <c r="P29" i="24"/>
  <c r="T29" i="24" s="1"/>
  <c r="C29" i="24"/>
  <c r="C28" i="24"/>
  <c r="P18" i="24"/>
  <c r="T18" i="24" s="1"/>
  <c r="C18" i="24"/>
  <c r="P17" i="24"/>
  <c r="T17" i="24" s="1"/>
  <c r="V17" i="24" s="1"/>
  <c r="C17" i="24"/>
  <c r="P16" i="24"/>
  <c r="T16" i="24" s="1"/>
  <c r="V16" i="24" s="1"/>
  <c r="C16" i="24"/>
  <c r="P27" i="24"/>
  <c r="T27" i="24" s="1"/>
  <c r="V27" i="24" s="1"/>
  <c r="C27" i="24"/>
  <c r="P26" i="24"/>
  <c r="T26" i="24" s="1"/>
  <c r="V26" i="24" s="1"/>
  <c r="C26" i="24"/>
  <c r="P25" i="24"/>
  <c r="T25" i="24" s="1"/>
  <c r="V25" i="24" s="1"/>
  <c r="C25" i="24"/>
  <c r="P15" i="24"/>
  <c r="T15" i="24" s="1"/>
  <c r="V15" i="24" s="1"/>
  <c r="C15" i="24"/>
  <c r="P14" i="24"/>
  <c r="T14" i="24" s="1"/>
  <c r="V14" i="24" s="1"/>
  <c r="I14" i="24"/>
  <c r="I27" i="24" s="1"/>
  <c r="J27" i="24" s="1"/>
  <c r="C14" i="24"/>
  <c r="P13" i="24"/>
  <c r="T13" i="24" s="1"/>
  <c r="V13" i="24" s="1"/>
  <c r="I13" i="24"/>
  <c r="I26" i="24" s="1"/>
  <c r="C13" i="24"/>
  <c r="P12" i="24"/>
  <c r="T12" i="24" s="1"/>
  <c r="V12" i="24" s="1"/>
  <c r="C12" i="24"/>
  <c r="P11" i="24"/>
  <c r="T11" i="24" s="1"/>
  <c r="V11" i="24" s="1"/>
  <c r="C11" i="24"/>
  <c r="P10" i="24"/>
  <c r="T10" i="24" s="1"/>
  <c r="V10" i="24" s="1"/>
  <c r="C10" i="24"/>
  <c r="C9" i="24"/>
  <c r="P24" i="24"/>
  <c r="T24" i="24" s="1"/>
  <c r="C24" i="24"/>
  <c r="P23" i="24"/>
  <c r="I23" i="24"/>
  <c r="I10" i="24" s="1"/>
  <c r="I17" i="24" s="1"/>
  <c r="C23" i="24"/>
  <c r="P22" i="24"/>
  <c r="T22" i="24" s="1"/>
  <c r="V22" i="24" s="1"/>
  <c r="I22" i="24"/>
  <c r="I9" i="24" s="1"/>
  <c r="I16" i="24" s="1"/>
  <c r="C22" i="24"/>
  <c r="M32" i="24"/>
  <c r="M50" i="24" s="1"/>
  <c r="I8" i="24"/>
  <c r="C8" i="24"/>
  <c r="P7" i="24"/>
  <c r="T7" i="24" s="1"/>
  <c r="V7" i="24" s="1"/>
  <c r="J7" i="24"/>
  <c r="C7" i="24"/>
  <c r="C6" i="24"/>
  <c r="I15" i="24" l="1"/>
  <c r="J15" i="24" s="1"/>
  <c r="Q15" i="24" s="1"/>
  <c r="J8" i="24"/>
  <c r="T23" i="24"/>
  <c r="V23" i="24" s="1"/>
  <c r="J13" i="24"/>
  <c r="Q13" i="24" s="1"/>
  <c r="J14" i="24"/>
  <c r="Q14" i="24" s="1"/>
  <c r="Q27" i="24"/>
  <c r="P28" i="24"/>
  <c r="T28" i="24" s="1"/>
  <c r="J22" i="24"/>
  <c r="Q22" i="24" s="1"/>
  <c r="J26" i="24"/>
  <c r="Q26" i="24" s="1"/>
  <c r="J9" i="24"/>
  <c r="Q7" i="24"/>
  <c r="D32" i="24"/>
  <c r="I11" i="24"/>
  <c r="I18" i="24" s="1"/>
  <c r="J18" i="24" s="1"/>
  <c r="H32" i="24"/>
  <c r="J6" i="24"/>
  <c r="Q6" i="24" s="1"/>
  <c r="K32" i="24"/>
  <c r="K50" i="24" s="1"/>
  <c r="L32" i="24"/>
  <c r="L50" i="24" s="1"/>
  <c r="J10" i="24"/>
  <c r="Q10" i="24" s="1"/>
  <c r="J23" i="24"/>
  <c r="Q23" i="24" s="1"/>
  <c r="I29" i="24"/>
  <c r="J16" i="24"/>
  <c r="Q16" i="24" s="1"/>
  <c r="J17" i="24"/>
  <c r="Q17" i="24" s="1"/>
  <c r="I24" i="24"/>
  <c r="I12" i="24" s="1"/>
  <c r="P8" i="24"/>
  <c r="T8" i="24" s="1"/>
  <c r="V8" i="24" s="1"/>
  <c r="I25" i="24"/>
  <c r="P6" i="24"/>
  <c r="AB16" i="24" l="1"/>
  <c r="AB10" i="24"/>
  <c r="AB13" i="24"/>
  <c r="AB17" i="24"/>
  <c r="AB14" i="24"/>
  <c r="Q9" i="24"/>
  <c r="AB9" i="24"/>
  <c r="AB15" i="24"/>
  <c r="T6" i="24"/>
  <c r="T32" i="24" s="1"/>
  <c r="P32" i="24"/>
  <c r="P50" i="24" s="1"/>
  <c r="V18" i="24"/>
  <c r="AB18" i="24" s="1"/>
  <c r="Q18" i="24"/>
  <c r="D72" i="24"/>
  <c r="D50" i="24"/>
  <c r="H72" i="24"/>
  <c r="H50" i="24"/>
  <c r="H54" i="24" s="1"/>
  <c r="G32" i="24"/>
  <c r="J29" i="24"/>
  <c r="Q29" i="24" s="1"/>
  <c r="U29" i="24" s="1"/>
  <c r="V29" i="24" s="1"/>
  <c r="J25" i="24"/>
  <c r="J11" i="24"/>
  <c r="I28" i="24"/>
  <c r="J12" i="24"/>
  <c r="J24" i="24"/>
  <c r="G72" i="24" l="1"/>
  <c r="Q12" i="24"/>
  <c r="AB12" i="24"/>
  <c r="Q11" i="24"/>
  <c r="AB11" i="24"/>
  <c r="V6" i="24"/>
  <c r="T50" i="24"/>
  <c r="Q25" i="24"/>
  <c r="G50" i="24"/>
  <c r="G54" i="24" s="1"/>
  <c r="J28" i="24"/>
  <c r="Q24" i="24"/>
  <c r="U24" i="24" s="1"/>
  <c r="V24" i="24" l="1"/>
  <c r="Q28" i="24"/>
  <c r="U28" i="24" s="1"/>
  <c r="V28" i="24" s="1"/>
  <c r="V32" i="24" s="1"/>
  <c r="V50" i="24" s="1"/>
  <c r="J32" i="24"/>
  <c r="AA50" i="24" l="1"/>
  <c r="V54" i="24"/>
  <c r="U32" i="24"/>
  <c r="U50" i="24" s="1"/>
  <c r="U54" i="24" s="1"/>
  <c r="J50" i="24"/>
  <c r="AA51" i="24" s="1"/>
  <c r="Q32" i="24"/>
  <c r="Q50" i="24" s="1"/>
  <c r="J56" i="8"/>
  <c r="K56" i="8" s="1"/>
  <c r="J55" i="8"/>
  <c r="K55" i="8" s="1"/>
  <c r="J52" i="8"/>
  <c r="K52" i="8" s="1"/>
  <c r="J50" i="8"/>
  <c r="K50" i="8" s="1"/>
  <c r="J49" i="8"/>
  <c r="K49" i="8" s="1"/>
  <c r="J48" i="8"/>
  <c r="K48" i="8" s="1"/>
  <c r="J47" i="8"/>
  <c r="K47" i="8" s="1"/>
  <c r="J45" i="8"/>
  <c r="K45" i="8" s="1"/>
  <c r="J44" i="8"/>
  <c r="K44" i="8" s="1"/>
  <c r="J43" i="8"/>
  <c r="K43" i="8" s="1"/>
  <c r="J41" i="8"/>
  <c r="K41" i="8" s="1"/>
  <c r="J40" i="8"/>
  <c r="K40" i="8" s="1"/>
  <c r="J36" i="8"/>
  <c r="K36" i="8" s="1"/>
  <c r="J35" i="8"/>
  <c r="K35" i="8" s="1"/>
  <c r="J32" i="8"/>
  <c r="K32" i="8" s="1"/>
  <c r="J31" i="8"/>
  <c r="K31" i="8" s="1"/>
  <c r="J30" i="8"/>
  <c r="K30" i="8" s="1"/>
  <c r="J29" i="8"/>
  <c r="K29" i="8" s="1"/>
  <c r="K28" i="8"/>
  <c r="K34" i="8"/>
  <c r="K38" i="8"/>
  <c r="K39" i="8"/>
  <c r="K42" i="8"/>
  <c r="K46" i="8"/>
  <c r="K51" i="8"/>
  <c r="K54" i="8"/>
  <c r="K58" i="8"/>
  <c r="K59" i="8"/>
  <c r="K60" i="8"/>
  <c r="K61" i="8"/>
  <c r="K62" i="8"/>
  <c r="K63" i="8"/>
  <c r="K64" i="8"/>
  <c r="K65" i="8"/>
  <c r="K66" i="8"/>
  <c r="K67" i="8"/>
  <c r="K68" i="8"/>
  <c r="K69" i="8"/>
  <c r="K70" i="8"/>
  <c r="K71" i="8"/>
  <c r="K72" i="8"/>
  <c r="K73" i="8"/>
  <c r="K74" i="8"/>
  <c r="K75" i="8"/>
  <c r="K76" i="8"/>
  <c r="K77" i="8"/>
  <c r="J25" i="8"/>
  <c r="K25" i="8" s="1"/>
  <c r="J24" i="8"/>
  <c r="J26" i="8" l="1"/>
  <c r="K26" i="8" s="1"/>
  <c r="K24" i="8"/>
  <c r="J33" i="8"/>
  <c r="K33" i="8" s="1"/>
  <c r="J57" i="8"/>
  <c r="K57" i="8" s="1"/>
  <c r="J53" i="8"/>
  <c r="K53" i="8" s="1"/>
  <c r="J37" i="8"/>
  <c r="K37" i="8" s="1"/>
  <c r="D80" i="8"/>
  <c r="D81" i="8" s="1"/>
  <c r="D82" i="8" s="1"/>
  <c r="E80" i="8"/>
  <c r="E81" i="8" s="1"/>
  <c r="E82" i="8" s="1"/>
  <c r="J27" i="8" l="1"/>
  <c r="K27" i="8" s="1"/>
  <c r="K78" i="8"/>
  <c r="H80" i="8"/>
  <c r="H81" i="8" s="1"/>
  <c r="H82" i="8" s="1"/>
  <c r="J41" i="28"/>
  <c r="J58" i="28" s="1"/>
  <c r="Q19" i="28" l="1"/>
  <c r="N20" i="28"/>
  <c r="N41" i="28" s="1"/>
  <c r="N58" i="28" s="1"/>
  <c r="Q6" i="28"/>
  <c r="Q20" i="28"/>
  <c r="O20" i="28"/>
  <c r="O41" i="28" s="1"/>
  <c r="O58" i="28" s="1"/>
  <c r="P41" i="28"/>
  <c r="P58" i="28" s="1"/>
  <c r="P6" i="28"/>
  <c r="P20" i="28"/>
  <c r="Q41" i="28" l="1"/>
  <c r="Q58" i="28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Анастасия</author>
  </authors>
  <commentList>
    <comment ref="U22" authorId="0" shapeId="0" xr:uid="{00DD90C2-D5D8-4D6E-B0EB-111D101B8AE5}">
      <text>
        <r>
          <rPr>
            <sz val="10"/>
            <color indexed="81"/>
            <rFont val="Tahoma"/>
            <family val="2"/>
            <charset val="204"/>
          </rPr>
          <t xml:space="preserve">61 284 725 с послеосадочным и разборка ж/бет. марки 300. 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Анастасия</author>
  </authors>
  <commentList>
    <comment ref="C40" authorId="0" shapeId="0" xr:uid="{651193DB-24DF-47EE-A40F-F25E0E86C5E2}">
      <text>
        <r>
          <rPr>
            <sz val="10"/>
            <color indexed="81"/>
            <rFont val="Tahoma"/>
            <family val="2"/>
            <charset val="204"/>
          </rPr>
          <t xml:space="preserve">убрать слово АС1
</t>
        </r>
      </text>
    </comment>
    <comment ref="C41" authorId="0" shapeId="0" xr:uid="{C0D0EBD8-03C1-4AF7-86CD-E6A092327015}">
      <text>
        <r>
          <rPr>
            <sz val="10"/>
            <color indexed="81"/>
            <rFont val="Tahoma"/>
            <family val="2"/>
            <charset val="204"/>
          </rPr>
          <t xml:space="preserve">убрать слово АС1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Анастасия</author>
  </authors>
  <commentList>
    <comment ref="C40" authorId="0" shapeId="0" xr:uid="{B6594562-2E53-4E25-A83A-AB848E0FF203}">
      <text>
        <r>
          <rPr>
            <sz val="10"/>
            <color indexed="81"/>
            <rFont val="Tahoma"/>
            <family val="2"/>
            <charset val="204"/>
          </rPr>
          <t xml:space="preserve">убрать слово АС1
</t>
        </r>
      </text>
    </comment>
    <comment ref="C41" authorId="0" shapeId="0" xr:uid="{0729E643-8086-45BB-9AFA-FC3D82D0AED1}">
      <text>
        <r>
          <rPr>
            <sz val="10"/>
            <color indexed="81"/>
            <rFont val="Tahoma"/>
            <family val="2"/>
            <charset val="204"/>
          </rPr>
          <t xml:space="preserve">убрать слово АС1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Анастасия</author>
  </authors>
  <commentList>
    <comment ref="C40" authorId="0" shapeId="0" xr:uid="{5ECEC496-F6F6-4FC8-BCEC-758CD4178DAD}">
      <text>
        <r>
          <rPr>
            <sz val="10"/>
            <color indexed="81"/>
            <rFont val="Tahoma"/>
            <family val="2"/>
            <charset val="204"/>
          </rPr>
          <t xml:space="preserve">убрать слово АС1
</t>
        </r>
      </text>
    </comment>
    <comment ref="C41" authorId="0" shapeId="0" xr:uid="{89E81232-2792-4D22-AE24-48168F61CC87}">
      <text>
        <r>
          <rPr>
            <sz val="10"/>
            <color indexed="81"/>
            <rFont val="Tahoma"/>
            <family val="2"/>
            <charset val="204"/>
          </rPr>
          <t xml:space="preserve">убрать слово АС1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Анастасия</author>
  </authors>
  <commentList>
    <comment ref="C38" authorId="0" shapeId="0" xr:uid="{02807A1F-F52A-4871-A2E5-32666BF7A810}">
      <text>
        <r>
          <rPr>
            <sz val="10"/>
            <color indexed="81"/>
            <rFont val="Tahoma"/>
            <family val="2"/>
            <charset val="204"/>
          </rPr>
          <t xml:space="preserve">убрать слово АС1
</t>
        </r>
      </text>
    </comment>
    <comment ref="C39" authorId="0" shapeId="0" xr:uid="{100E52B2-3F22-4563-A51A-C7614B7962AC}">
      <text>
        <r>
          <rPr>
            <sz val="10"/>
            <color indexed="81"/>
            <rFont val="Tahoma"/>
            <family val="2"/>
            <charset val="204"/>
          </rPr>
          <t xml:space="preserve">убрать слово АС1
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Анастасия</author>
  </authors>
  <commentList>
    <comment ref="C39" authorId="0" shapeId="0" xr:uid="{542527D5-8863-415B-B5B8-ACFECE231DA4}">
      <text>
        <r>
          <rPr>
            <sz val="10"/>
            <color indexed="81"/>
            <rFont val="Tahoma"/>
            <family val="2"/>
            <charset val="204"/>
          </rPr>
          <t xml:space="preserve">убрать слово АС1
</t>
        </r>
      </text>
    </comment>
    <comment ref="C40" authorId="0" shapeId="0" xr:uid="{4D0345DE-98AA-47B3-9F1A-50AA2B844374}">
      <text>
        <r>
          <rPr>
            <sz val="10"/>
            <color indexed="81"/>
            <rFont val="Tahoma"/>
            <family val="2"/>
            <charset val="204"/>
          </rPr>
          <t xml:space="preserve">убрать слово АС1
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Анастасия</author>
  </authors>
  <commentList>
    <comment ref="U19" authorId="0" shapeId="0" xr:uid="{B6BE02EB-561B-4FAE-BC4D-14FEECA1FC04}">
      <text>
        <r>
          <rPr>
            <b/>
            <sz val="10"/>
            <color indexed="81"/>
            <rFont val="Tahoma"/>
            <family val="2"/>
            <charset val="204"/>
          </rPr>
          <t>44 199 244 -более реальная ст-ть, без послеосадочного ремонта (НВ его не пропустит,задваивается с рихтовкой)</t>
        </r>
      </text>
    </comment>
    <comment ref="S29" authorId="0" shapeId="0" xr:uid="{859429F6-F3D9-489A-A128-6A31D40C595D}">
      <text>
        <r>
          <rPr>
            <b/>
            <sz val="10"/>
            <color indexed="81"/>
            <rFont val="Tahoma"/>
            <family val="2"/>
            <charset val="204"/>
          </rPr>
          <t>а нужно ли подписывать ВОРы, если работы уже запроцентованы…?</t>
        </r>
        <r>
          <rPr>
            <sz val="10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Анастасия</author>
  </authors>
  <commentList>
    <comment ref="U22" authorId="0" shapeId="0" xr:uid="{6D53A626-8512-4F9C-8692-611EEAA0E06F}">
      <text>
        <r>
          <rPr>
            <sz val="10"/>
            <color indexed="81"/>
            <rFont val="Tahoma"/>
            <family val="2"/>
            <charset val="204"/>
          </rPr>
          <t xml:space="preserve">61 284 725 с послеосадочным и разборка ж/бет. марки 300. 
</t>
        </r>
      </text>
    </comment>
  </commentList>
</comments>
</file>

<file path=xl/sharedStrings.xml><?xml version="1.0" encoding="utf-8"?>
<sst xmlns="http://schemas.openxmlformats.org/spreadsheetml/2006/main" count="2035" uniqueCount="343">
  <si>
    <t>(наименование стройки)</t>
  </si>
  <si>
    <t>монтажных работ</t>
  </si>
  <si>
    <t>оборудования</t>
  </si>
  <si>
    <t>прочих затрат</t>
  </si>
  <si>
    <t>№ п/п</t>
  </si>
  <si>
    <t>Обоснование</t>
  </si>
  <si>
    <t>всего</t>
  </si>
  <si>
    <t>[должность, подпись (инициалы, фамилия)]</t>
  </si>
  <si>
    <t>Генеральный план. Трансбордер. ГП1</t>
  </si>
  <si>
    <t>Выполнение работ по ликвидации объекта капитального строительства</t>
  </si>
  <si>
    <t>Демонтаж сетей и систем  инженерного обоспечения.</t>
  </si>
  <si>
    <t>Верхнее строение пути</t>
  </si>
  <si>
    <t>Восстановительные работы цеха №121/18. АС 3.</t>
  </si>
  <si>
    <t>Приложение № 6</t>
  </si>
  <si>
    <t>Утверждено приказом № 421 от 4 августа 2020 г. Минстроя РФ</t>
  </si>
  <si>
    <t>Заказчик</t>
  </si>
  <si>
    <t>(наименование организации)</t>
  </si>
  <si>
    <t>"Утвержден" "___"______________________2023г</t>
  </si>
  <si>
    <t>(ссылка на документ об утверждении)</t>
  </si>
  <si>
    <t>СВОДНЫЙ СМЕТНЫЙ РАСЧЕТ СТОИМОСТИ СТРОИТЕЛЬСТВА № 131-23-01</t>
  </si>
  <si>
    <t>ЖД пути от испытательного центра до обкаточных путей с удлинением трансбордера, расположенные по адресу МО, г.о.Мытищи, ул. Колонцова 4</t>
  </si>
  <si>
    <t>Наименование глав, объектов капитального строительства, работ и затрат</t>
  </si>
  <si>
    <t>Сметная стоимость, тыс. руб.</t>
  </si>
  <si>
    <t>Строительных
(ремонтно- строительных, ремонтно- реставрационных) работ</t>
  </si>
  <si>
    <t>Глава 1. Подготовка территории строительства, реконструкции, капитального ремонта</t>
  </si>
  <si>
    <t>01-01-01</t>
  </si>
  <si>
    <t>Выполнение работ по ликвидации объектов по трассе ж.д. путей, подготовке трассы ж.д. путей.</t>
  </si>
  <si>
    <t>01-01-02</t>
  </si>
  <si>
    <t>01-01-03</t>
  </si>
  <si>
    <t>Итого по Главе 1. "Подготовка территории строительства, реконструкции, капитального ремонта"</t>
  </si>
  <si>
    <t>Глава 2. Основные объекты строительства, реконструкции, капитального ремонта</t>
  </si>
  <si>
    <t>02-01-01</t>
  </si>
  <si>
    <t>02-02-01</t>
  </si>
  <si>
    <t>02-03-01</t>
  </si>
  <si>
    <t>Архитектурно-строительные решения. Часть 1.АС1</t>
  </si>
  <si>
    <t>02-03-02</t>
  </si>
  <si>
    <t>Трансбордер. Архитектурно-строительные решения. Часть 2. АС2 .</t>
  </si>
  <si>
    <t>Итого по Главе 2. "Основные объекты строительства, реконструкции, капитального ремонта"</t>
  </si>
  <si>
    <t>Глава 4. Объекты энергетического хозяйства</t>
  </si>
  <si>
    <t>04-01-01</t>
  </si>
  <si>
    <t>Электроснабжение. ЭС 1.</t>
  </si>
  <si>
    <t>04-01-02</t>
  </si>
  <si>
    <t>Переустройство кабельных линий.ЭС2</t>
  </si>
  <si>
    <t>Итого по Главе 4. "Объекты энергетического хозяйства"</t>
  </si>
  <si>
    <t>Глава 6. Наружные сети и сооружения водоснабжения, водоотведения, теплоснабжения и газоснабжения</t>
  </si>
  <si>
    <t>Водоснабжение</t>
  </si>
  <si>
    <t>06-01-01</t>
  </si>
  <si>
    <t>Переустройство хозпитьевого водопровода.НВК2</t>
  </si>
  <si>
    <t>06-01-02</t>
  </si>
  <si>
    <t>Переустройство хозпитьевого водопровода.НВК3</t>
  </si>
  <si>
    <t>Водоотведение</t>
  </si>
  <si>
    <t>06-02-01</t>
  </si>
  <si>
    <t>Переустройство хозяйственно-бытовой канализации.НВК4</t>
  </si>
  <si>
    <t>06-02-02</t>
  </si>
  <si>
    <t>Переустройство ливневой канализации.НВК5.</t>
  </si>
  <si>
    <t>06-02-03</t>
  </si>
  <si>
    <t>Трубопровод ливневых сточных вод от трансбордера. НВК1</t>
  </si>
  <si>
    <t>Теплоснабжение</t>
  </si>
  <si>
    <t>06-03-01</t>
  </si>
  <si>
    <t>06-03-02</t>
  </si>
  <si>
    <t>Архитектурно-строительные решения. Эстакада для ТС1. АС 4</t>
  </si>
  <si>
    <t>06-03-03</t>
  </si>
  <si>
    <t>Теплоснабжение. Переустройство трубопровода.ТС2</t>
  </si>
  <si>
    <t>06-03-04</t>
  </si>
  <si>
    <t>Теплоснабжение. Переустройство трубопровода.ТС3</t>
  </si>
  <si>
    <t>Газоснабжение</t>
  </si>
  <si>
    <t>06-04-01</t>
  </si>
  <si>
    <t>Наружные газопроводы. Вынос газопровода среднего давления.</t>
  </si>
  <si>
    <t>Итого по Главе 6. "Наружные сети и сооружения водоснабжения, водоотведения, теплоснабжения и газоснабжения"</t>
  </si>
  <si>
    <t>Глава 7. Благоустройство и озеленение территории</t>
  </si>
  <si>
    <t>07-01-01</t>
  </si>
  <si>
    <t>07-01-02</t>
  </si>
  <si>
    <t>Итого по Главе 7. "Благоустройство и озеленение территории"</t>
  </si>
  <si>
    <t>Итого по Главам 1-7</t>
  </si>
  <si>
    <t>Глава 8. Временные здания и сооружения</t>
  </si>
  <si>
    <t>Методика утв. приказом минстроя Ромссии от 19.06.2020 №332/пр п.31</t>
  </si>
  <si>
    <t>Временные здания и сооружения - 8,2%</t>
  </si>
  <si>
    <t>Итого по Главе 8. "Временные здания и сооружения"</t>
  </si>
  <si>
    <t>Итого по Главам 1-8</t>
  </si>
  <si>
    <t>Глава 9. Прочие работы и затраты</t>
  </si>
  <si>
    <t>Приказ от 25.05.2021 № 325/пр прил.1 п.8</t>
  </si>
  <si>
    <t>Производство работ в зимнее время - 2,4%</t>
  </si>
  <si>
    <t>Итого по Главе 9. "Прочие работы и затраты"</t>
  </si>
  <si>
    <t>Итого по Главам 1-9</t>
  </si>
  <si>
    <t>Глава 12. Публичный технологический и ценовой аудит, подготовка обоснования инвестиций, осуществляемых в инвестиционный проект по созданию объекта капитального строительства, в отношении которого планируется заключение контракта, предметом которого является одновременно выполнение работ по проектированию, строительству и вводу в эксплуатацию объекта капитального строительства, технологический и ценовой аудит такого обоснования инвестиций, аудит проектной документации, проектные и изыскательские работы</t>
  </si>
  <si>
    <t>Итого по Главам 1-12</t>
  </si>
  <si>
    <t>Непредвиденные затраты</t>
  </si>
  <si>
    <t>Итого "Непредвиденные затраты"</t>
  </si>
  <si>
    <t>Итого с учетом "Непредвиденные затраты"</t>
  </si>
  <si>
    <t>Дополнительные работы и затраты</t>
  </si>
  <si>
    <t>Итого "Дополнительные работы и затраты"</t>
  </si>
  <si>
    <t>Итого с учетом "Дополнительные работы и затраты"</t>
  </si>
  <si>
    <t>Всего с учетом "Дополнительные работы и затраты"</t>
  </si>
  <si>
    <t>Повышающий договорной коэффициент 1,05136042</t>
  </si>
  <si>
    <t>Итого "с повышающим договорным коэффициентом 1,05136042"</t>
  </si>
  <si>
    <t>Налоги и обязательные платежи</t>
  </si>
  <si>
    <t>№ 303-ФЗ от 3.08.2018</t>
  </si>
  <si>
    <t>НДС - 20%</t>
  </si>
  <si>
    <t>Итого "Налоги и обязательные платежи"</t>
  </si>
  <si>
    <t>Сумма контракта</t>
  </si>
  <si>
    <t>Итого по сводному расчету</t>
  </si>
  <si>
    <t xml:space="preserve">Руководитель проектной организации </t>
  </si>
  <si>
    <t>()</t>
  </si>
  <si>
    <t>[подпись (инициалы, фамилия)]</t>
  </si>
  <si>
    <t>Главный инженер проекта</t>
  </si>
  <si>
    <t xml:space="preserve">Начальник </t>
  </si>
  <si>
    <t>Составлен(а) в базисном (текущем) уровне цен II квартал 2023 года (01.01.2000)</t>
  </si>
  <si>
    <t>Сводный сметный расчет сметной стоимостью 548 004,00 тыс. руб.</t>
  </si>
  <si>
    <t>Теплоснабжение. Переустройство трубопровода.ТС1</t>
  </si>
  <si>
    <t>Генеральный план. ГП2</t>
  </si>
  <si>
    <t xml:space="preserve"> АО «МЕТРОВАГОНМАШ»</t>
  </si>
  <si>
    <t>№</t>
  </si>
  <si>
    <t>№ СМЕТЫ</t>
  </si>
  <si>
    <t>Наименование сметы</t>
  </si>
  <si>
    <t xml:space="preserve">итого без НДС </t>
  </si>
  <si>
    <t>ВЗиС-8,2%</t>
  </si>
  <si>
    <t>ЗУ-2,4%</t>
  </si>
  <si>
    <t xml:space="preserve">всего без НДС </t>
  </si>
  <si>
    <t>ндс 20%</t>
  </si>
  <si>
    <t>СМР с материалами всего с ндс</t>
  </si>
  <si>
    <t>ИТОГО</t>
  </si>
  <si>
    <t>остаток</t>
  </si>
  <si>
    <t>ноябрь</t>
  </si>
  <si>
    <t>декабрь-1</t>
  </si>
  <si>
    <t>декабрь-2</t>
  </si>
  <si>
    <r>
      <t xml:space="preserve">всего без НДС с повышающим договорным коэффициентом </t>
    </r>
    <r>
      <rPr>
        <b/>
        <i/>
        <sz val="12"/>
        <color theme="1"/>
        <rFont val="Times New Roman"/>
        <family val="1"/>
        <charset val="204"/>
      </rPr>
      <t>1,05136042</t>
    </r>
  </si>
  <si>
    <r>
      <t xml:space="preserve">Всего (с НДС),                          </t>
    </r>
    <r>
      <rPr>
        <b/>
        <u/>
        <sz val="12"/>
        <color theme="1"/>
        <rFont val="Times New Roman"/>
        <family val="1"/>
        <charset val="204"/>
      </rPr>
      <t>кс-3 №1</t>
    </r>
    <r>
      <rPr>
        <b/>
        <sz val="12"/>
        <color theme="1"/>
        <rFont val="Times New Roman"/>
        <family val="1"/>
        <charset val="204"/>
      </rPr>
      <t xml:space="preserve"> от 20.11.2023г.</t>
    </r>
  </si>
  <si>
    <r>
      <t xml:space="preserve">Всего (с НДС),                           </t>
    </r>
    <r>
      <rPr>
        <b/>
        <u/>
        <sz val="12"/>
        <color theme="1"/>
        <rFont val="Times New Roman"/>
        <family val="1"/>
        <charset val="204"/>
      </rPr>
      <t>кс-3 №2</t>
    </r>
    <r>
      <rPr>
        <b/>
        <sz val="12"/>
        <color theme="1"/>
        <rFont val="Times New Roman"/>
        <family val="1"/>
        <charset val="204"/>
      </rPr>
      <t xml:space="preserve"> от 07.12.2023г.</t>
    </r>
  </si>
  <si>
    <r>
      <t xml:space="preserve">Всего (с НДС),                           </t>
    </r>
    <r>
      <rPr>
        <b/>
        <u/>
        <sz val="12"/>
        <color theme="1"/>
        <rFont val="Times New Roman"/>
        <family val="1"/>
        <charset val="204"/>
      </rPr>
      <t>кс-3 №3</t>
    </r>
    <r>
      <rPr>
        <b/>
        <sz val="12"/>
        <color theme="1"/>
        <rFont val="Times New Roman"/>
        <family val="1"/>
        <charset val="204"/>
      </rPr>
      <t xml:space="preserve"> от 29.12.2023г.</t>
    </r>
  </si>
  <si>
    <t>Не выполняли</t>
  </si>
  <si>
    <t>Остаток к закрытию</t>
  </si>
  <si>
    <t>Работы на весну</t>
  </si>
  <si>
    <t>январь</t>
  </si>
  <si>
    <t>февраль</t>
  </si>
  <si>
    <r>
      <t xml:space="preserve">Всего (с НДС),                           </t>
    </r>
    <r>
      <rPr>
        <b/>
        <u/>
        <sz val="12"/>
        <color rgb="FFFF0000"/>
        <rFont val="Times New Roman"/>
        <family val="1"/>
        <charset val="204"/>
      </rPr>
      <t>кс-3 №4</t>
    </r>
    <r>
      <rPr>
        <b/>
        <sz val="12"/>
        <color rgb="FFFF0000"/>
        <rFont val="Times New Roman"/>
        <family val="1"/>
        <charset val="204"/>
      </rPr>
      <t xml:space="preserve"> от 22.01.2024г.</t>
    </r>
  </si>
  <si>
    <r>
      <t xml:space="preserve">Всего (с НДС),                           </t>
    </r>
    <r>
      <rPr>
        <b/>
        <u/>
        <sz val="12"/>
        <color rgb="FFFF0000"/>
        <rFont val="Times New Roman"/>
        <family val="1"/>
        <charset val="204"/>
      </rPr>
      <t>кс-3 №5</t>
    </r>
    <r>
      <rPr>
        <b/>
        <sz val="12"/>
        <color rgb="FFFF0000"/>
        <rFont val="Times New Roman"/>
        <family val="1"/>
        <charset val="204"/>
      </rPr>
      <t xml:space="preserve"> от 20.03.2024г.</t>
    </r>
  </si>
  <si>
    <t>Всего закрыто на 20.03.2024</t>
  </si>
  <si>
    <t>ВОР</t>
  </si>
  <si>
    <t>статус отработки</t>
  </si>
  <si>
    <t>+</t>
  </si>
  <si>
    <t>СС.Переустройство кабельной канализации связи</t>
  </si>
  <si>
    <t>Временный переезд ч.жд.п цех 417</t>
  </si>
  <si>
    <t>Временный водопровод 121</t>
  </si>
  <si>
    <t>Демонтаж ламп-121+75</t>
  </si>
  <si>
    <t>КС трансбордер</t>
  </si>
  <si>
    <t>Проектное ограждение.АС1</t>
  </si>
  <si>
    <t>Вырубка кустарников</t>
  </si>
  <si>
    <t>Устройство ограждения вдоль обкаточных путей</t>
  </si>
  <si>
    <t>Удлинение подпорной стенки трансбордера (ПС-2)</t>
  </si>
  <si>
    <t>Отвод контактной сети</t>
  </si>
  <si>
    <t>Узел подпорной стены по коллектору</t>
  </si>
  <si>
    <t>Переустройство кабеля к кранам шихты под путями 32 34 36</t>
  </si>
  <si>
    <t>Смещение фундаментов под трансбордер</t>
  </si>
  <si>
    <t>ВСЕГО</t>
  </si>
  <si>
    <t>требуется корректировка ВОР, отпр. Роману</t>
  </si>
  <si>
    <t>требуется корректировка ВОР, отправлено Роману</t>
  </si>
  <si>
    <t>на проверке НВ</t>
  </si>
  <si>
    <t>сумма, с НДС</t>
  </si>
  <si>
    <t xml:space="preserve">ВОР отработан/смета оформлена </t>
  </si>
  <si>
    <t>01-01-01 изм.1</t>
  </si>
  <si>
    <t>01-01-02 изм.1</t>
  </si>
  <si>
    <t xml:space="preserve">частично, нужен еще на закрытый объем </t>
  </si>
  <si>
    <t>на кусочек, 1 раздел</t>
  </si>
  <si>
    <t xml:space="preserve">кусочек ВОР отработан/смета оформлена </t>
  </si>
  <si>
    <t>временная сеть</t>
  </si>
  <si>
    <t>мазутопровод</t>
  </si>
  <si>
    <t>добавить в АС1</t>
  </si>
  <si>
    <t>отправлено Кушаковой 22.04</t>
  </si>
  <si>
    <t>ВОРа на доп. не будет</t>
  </si>
  <si>
    <t>ждем ВОР</t>
  </si>
  <si>
    <t>на последний момент</t>
  </si>
  <si>
    <t>отправлено Кушаковой 25.04</t>
  </si>
  <si>
    <t>ОТ Романа-не спешим ОФОРМЛЯТЬ</t>
  </si>
  <si>
    <t xml:space="preserve">предварительный ВОР отработан/смета оформлена </t>
  </si>
  <si>
    <t>Мазутопровод</t>
  </si>
  <si>
    <t>Временная теплосеть</t>
  </si>
  <si>
    <t>01-01-03 изм.1</t>
  </si>
  <si>
    <t>02-03-02 изм.1</t>
  </si>
  <si>
    <t>04-01-02 изм.1</t>
  </si>
  <si>
    <t>06-01-01 изм.1</t>
  </si>
  <si>
    <t>06-01-02 изм.1</t>
  </si>
  <si>
    <t>06-02-01 изм.1</t>
  </si>
  <si>
    <t>06-02-02 изм.1</t>
  </si>
  <si>
    <t>06-03-03 изм.1</t>
  </si>
  <si>
    <t>06-03-04 изм.1</t>
  </si>
  <si>
    <t>нужен подписанный ВОР</t>
  </si>
  <si>
    <t>оформить на подпись</t>
  </si>
  <si>
    <t>смета оформлена</t>
  </si>
  <si>
    <t>ВОР оформлен на %-ый V,подписать</t>
  </si>
  <si>
    <t xml:space="preserve">ВОР на %-ый объем оформлен,отпр. 28.04 </t>
  </si>
  <si>
    <t>ВОР на %-ый объем оформлен,отпр. 28.04 , смета по предв. ВОРу набрана</t>
  </si>
  <si>
    <t>ВОР на %-ый объем оформлен,отпр. 28.04 , смета набрана по ПРОЕКТУ с изм.</t>
  </si>
  <si>
    <t>ВОР на %-ый объем оформлен,отпр. 28.04  , смета набрана по ПРОЕКТУ с изм.</t>
  </si>
  <si>
    <t>замечания по ВОР/смете</t>
  </si>
  <si>
    <t>отправлено Кушаковой 06.05</t>
  </si>
  <si>
    <t>04-01-01 изм.1</t>
  </si>
  <si>
    <t>Сумма сметы после корректировки Тех.Заказчиком + резка+к-т 1,1+засыпка вручную, с НДС</t>
  </si>
  <si>
    <t xml:space="preserve">Трансбордер. Архитектурно-строительные решения. Часть 2. АС2 </t>
  </si>
  <si>
    <t>Сумма сметы после корректировки Тех.Заказчиком, с НДС</t>
  </si>
  <si>
    <t>Сумма сметы по согласованному ВОР, с НДС</t>
  </si>
  <si>
    <t>±  по итогам проверки</t>
  </si>
  <si>
    <r>
      <t xml:space="preserve">Обратная засыпка грунтом применена расценка- </t>
    </r>
    <r>
      <rPr>
        <b/>
        <u/>
        <sz val="12"/>
        <color theme="1"/>
        <rFont val="Times New Roman"/>
        <family val="1"/>
        <charset val="204"/>
      </rPr>
      <t>вручную</t>
    </r>
    <r>
      <rPr>
        <sz val="12"/>
        <color theme="1"/>
        <rFont val="Times New Roman"/>
        <family val="1"/>
        <charset val="204"/>
      </rPr>
      <t xml:space="preserve"> (т.к. не было уточнения в ВОРе и было в утвержденной смете), Тех.Заказчик применяет расценку </t>
    </r>
    <r>
      <rPr>
        <b/>
        <u/>
        <sz val="12"/>
        <color theme="1"/>
        <rFont val="Times New Roman"/>
        <family val="1"/>
        <charset val="204"/>
      </rPr>
      <t>механизированная</t>
    </r>
    <r>
      <rPr>
        <sz val="12"/>
        <color theme="1"/>
        <rFont val="Times New Roman"/>
        <family val="1"/>
        <charset val="204"/>
      </rPr>
      <t xml:space="preserve"> обратная засыпка.</t>
    </r>
  </si>
  <si>
    <r>
      <t xml:space="preserve">Расценка "Засыпка вручную траншей, пазух котлованов и ям, группа грунтов: 1" к материалу: Песок применен к-т уплотнения 1,1. Тех.Заказчиком данный к-т </t>
    </r>
    <r>
      <rPr>
        <b/>
        <u/>
        <sz val="12"/>
        <color theme="1"/>
        <rFont val="Times New Roman"/>
        <family val="1"/>
        <charset val="204"/>
      </rPr>
      <t>исключается.</t>
    </r>
  </si>
  <si>
    <r>
      <rPr>
        <b/>
        <u/>
        <sz val="12"/>
        <color theme="1"/>
        <rFont val="Times New Roman"/>
        <family val="1"/>
        <charset val="204"/>
      </rPr>
      <t xml:space="preserve">Есть в утвержденных сметах,в ВОР к проекту. </t>
    </r>
    <r>
      <rPr>
        <sz val="12"/>
        <rFont val="Times New Roman"/>
        <family val="1"/>
        <charset val="204"/>
      </rPr>
      <t xml:space="preserve">
Мы привозим песок в «рыхлом теле», и далее уплотняем его до проектного объема (до требуемого уплотнения).
Поэтому к материалу применяем коэффициент относительного уплотнения 1,1.</t>
    </r>
  </si>
  <si>
    <r>
      <rPr>
        <b/>
        <u/>
        <sz val="12"/>
        <color theme="1"/>
        <rFont val="Times New Roman"/>
        <family val="1"/>
        <charset val="204"/>
      </rPr>
      <t>СПОРНЫЙ МОМЕНТ,</t>
    </r>
    <r>
      <rPr>
        <sz val="12"/>
        <rFont val="Times New Roman"/>
        <family val="1"/>
        <charset val="204"/>
      </rPr>
      <t xml:space="preserve"> т.к. в утв. смете  расценка (с объемом 665м3) взята для увеличения стоимости также,как и крепление траншеи щитами. В ВОРе к проекту не предусмотрена засыпка такого объема вручную.</t>
    </r>
  </si>
  <si>
    <t>№ пп</t>
  </si>
  <si>
    <r>
      <t xml:space="preserve">В ВОРе и смете присутствует работа - Резка асфальтобетонного покрытия фрезой. Тех.Заказчик данную работу </t>
    </r>
    <r>
      <rPr>
        <b/>
        <u/>
        <sz val="12"/>
        <color theme="1"/>
        <rFont val="Times New Roman"/>
        <family val="1"/>
        <charset val="204"/>
      </rPr>
      <t>исключает.</t>
    </r>
  </si>
  <si>
    <t>Сметные нормы на разборку асфальтобетонных покрытий не предусматривают рез покрытия для сохранения целостности краев сохраняемых участков. 
Эти затраты учитываются дополнительно. 
В нормах учтена разборка отбойными молотками. При таком методе работ края получаются с обломами. 
Норма на восстановление ( укладку) покрытия также не учитывает работы по выравниванию краев для  обеспечения примыкания нового и старого покрытия и исключения обрушения.В ином случае, Подрядчик не может нести гарантийную ответственность за выполненные работы по восстановлению вновь уложенных дорожных покрытий со старым с обеспечением примыканий.</t>
  </si>
  <si>
    <t>Корректировка расценок</t>
  </si>
  <si>
    <t>Сумма сметы по Договору</t>
  </si>
  <si>
    <r>
      <rPr>
        <b/>
        <u/>
        <sz val="12"/>
        <color theme="1"/>
        <rFont val="Times New Roman"/>
        <family val="1"/>
        <charset val="204"/>
      </rPr>
      <t>СПОРНЫЙ МОМЕНТ,</t>
    </r>
    <r>
      <rPr>
        <sz val="12"/>
        <rFont val="Times New Roman"/>
        <family val="1"/>
        <charset val="204"/>
      </rPr>
      <t xml:space="preserve"> т.к. в утв. смете  расценка (напр. НВК3, с объемом 665м3) взята для увеличения стоимости также,как и крепление траншеи щитами. В ВОРе к проекту </t>
    </r>
    <r>
      <rPr>
        <u/>
        <sz val="12"/>
        <rFont val="Times New Roman"/>
        <family val="1"/>
        <charset val="204"/>
      </rPr>
      <t xml:space="preserve">не предусмотрена </t>
    </r>
    <r>
      <rPr>
        <sz val="12"/>
        <rFont val="Times New Roman"/>
        <family val="1"/>
        <charset val="204"/>
      </rPr>
      <t>засыпка</t>
    </r>
    <r>
      <rPr>
        <u/>
        <sz val="12"/>
        <rFont val="Times New Roman"/>
        <family val="1"/>
        <charset val="204"/>
      </rPr>
      <t xml:space="preserve"> такого объема</t>
    </r>
    <r>
      <rPr>
        <sz val="12"/>
        <rFont val="Times New Roman"/>
        <family val="1"/>
        <charset val="204"/>
      </rPr>
      <t xml:space="preserve"> вручную.</t>
    </r>
  </si>
  <si>
    <t>5</t>
  </si>
  <si>
    <t>6</t>
  </si>
  <si>
    <t>7</t>
  </si>
  <si>
    <t>8</t>
  </si>
  <si>
    <t>9</t>
  </si>
  <si>
    <t>+ относительно ст.6</t>
  </si>
  <si>
    <t>04-01-01 изм.1 + ПНР</t>
  </si>
  <si>
    <t>04-01-02 изм.1 + ПНР</t>
  </si>
  <si>
    <r>
      <t xml:space="preserve">Сумма сметы после корректировки Тех.Заказчиком + резка+к-т 1,1+засыпка  </t>
    </r>
    <r>
      <rPr>
        <b/>
        <u/>
        <sz val="14"/>
        <color rgb="FFFF0000"/>
        <rFont val="Times New Roman"/>
        <family val="1"/>
        <charset val="204"/>
      </rPr>
      <t>95% механизированно, 5% вручную</t>
    </r>
    <r>
      <rPr>
        <b/>
        <sz val="12"/>
        <color theme="1"/>
        <rFont val="Times New Roman"/>
        <family val="1"/>
        <charset val="204"/>
      </rPr>
      <t>, с НДС</t>
    </r>
  </si>
  <si>
    <t>в ВОРе не отображен был материал Заказчика</t>
  </si>
  <si>
    <t>ССР №1 (к=1,0514)</t>
  </si>
  <si>
    <t>ССР №1 (к=1,11)</t>
  </si>
  <si>
    <t xml:space="preserve">01-01-01 </t>
  </si>
  <si>
    <t xml:space="preserve">06-02-02 </t>
  </si>
  <si>
    <r>
      <t xml:space="preserve">всего без НДС с повышающим договорным коэффициентом </t>
    </r>
    <r>
      <rPr>
        <b/>
        <i/>
        <sz val="12"/>
        <color theme="1"/>
        <rFont val="Times New Roman"/>
        <family val="1"/>
        <charset val="204"/>
      </rPr>
      <t>1,0514</t>
    </r>
  </si>
  <si>
    <t>всего без НДС с договорным коэффициентом 1,0514</t>
  </si>
  <si>
    <t>кс-2№5</t>
  </si>
  <si>
    <t xml:space="preserve">02-03-01 </t>
  </si>
  <si>
    <t>кс-2№7</t>
  </si>
  <si>
    <t xml:space="preserve"> 01-01-03</t>
  </si>
  <si>
    <t>Демонтаж сетей и систем  инженерного обеспечения.</t>
  </si>
  <si>
    <t>кс-2№8</t>
  </si>
  <si>
    <t>кс-2№9</t>
  </si>
  <si>
    <t>кс-2№10</t>
  </si>
  <si>
    <t>Генеральный план 131-23 ГП2</t>
  </si>
  <si>
    <t>кс-2№11</t>
  </si>
  <si>
    <t>кс-2№13</t>
  </si>
  <si>
    <t>кс-2№14</t>
  </si>
  <si>
    <t>кс-2№15</t>
  </si>
  <si>
    <t>кс-2№17</t>
  </si>
  <si>
    <t>кс-2№18</t>
  </si>
  <si>
    <t>ВСЕГО (ССР1+ССР2),                             с НДС</t>
  </si>
  <si>
    <t>-</t>
  </si>
  <si>
    <t>Сумма смет  по ДОГОВОРУ с ндс</t>
  </si>
  <si>
    <r>
      <t xml:space="preserve">сметы по ВОР на доп.работы- ОТРАБОТАНЫ  </t>
    </r>
    <r>
      <rPr>
        <b/>
        <i/>
        <u/>
        <sz val="12"/>
        <color theme="1"/>
        <rFont val="Times New Roman"/>
        <family val="1"/>
        <charset val="204"/>
      </rPr>
      <t xml:space="preserve">                                               </t>
    </r>
  </si>
  <si>
    <t>требуется корректировка ВОР</t>
  </si>
  <si>
    <r>
      <t xml:space="preserve">ВОР на %-ый объем оформлен,отпр. 28.04 ,нужен на </t>
    </r>
    <r>
      <rPr>
        <u/>
        <sz val="9"/>
        <rFont val="Times New Roman"/>
        <family val="1"/>
        <charset val="204"/>
      </rPr>
      <t>остальные работы</t>
    </r>
  </si>
  <si>
    <t>Резинокорд</t>
  </si>
  <si>
    <t>сумма ССР1                                                     (то,что %-но, Кдог=1,0514), с НДС</t>
  </si>
  <si>
    <t>АС2-ВК (Узел подпорной стены по коллектору)</t>
  </si>
  <si>
    <r>
      <t xml:space="preserve">ВОР на %-ый объем оформлен,отпр. 28.04 ,нужен на </t>
    </r>
    <r>
      <rPr>
        <u/>
        <sz val="9"/>
        <color theme="9"/>
        <rFont val="Times New Roman"/>
        <family val="1"/>
        <charset val="204"/>
      </rPr>
      <t>остальные работы</t>
    </r>
  </si>
  <si>
    <t>смета +, требуется корректировка ВОР согласно инструкции ТМХ</t>
  </si>
  <si>
    <t>сметы по ВОР на доп.работы - не выполненные работы</t>
  </si>
  <si>
    <r>
      <t xml:space="preserve">сметы по ВОР - ОТРАБОТАНЫ     </t>
    </r>
    <r>
      <rPr>
        <b/>
        <i/>
        <u/>
        <sz val="12"/>
        <color theme="1"/>
        <rFont val="Times New Roman"/>
        <family val="1"/>
        <charset val="204"/>
      </rPr>
      <t xml:space="preserve">                                      </t>
    </r>
    <r>
      <rPr>
        <b/>
        <i/>
        <sz val="12"/>
        <color theme="1"/>
        <rFont val="Times New Roman"/>
        <family val="1"/>
        <charset val="204"/>
      </rPr>
      <t xml:space="preserve"> </t>
    </r>
    <r>
      <rPr>
        <b/>
        <i/>
        <sz val="12"/>
        <color rgb="FFC00000"/>
        <rFont val="Times New Roman"/>
        <family val="1"/>
        <charset val="204"/>
      </rPr>
      <t>(не отправлялись на проверку)</t>
    </r>
  </si>
  <si>
    <t>! +, подписать ВОР</t>
  </si>
  <si>
    <t>сумма ССР2                                                         (Кдог=1,0514), с НДС</t>
  </si>
  <si>
    <t>вопросы в чат отправлены</t>
  </si>
  <si>
    <r>
      <t xml:space="preserve">сметы по ВОР - ОТРАБОТАНЫ  </t>
    </r>
    <r>
      <rPr>
        <b/>
        <i/>
        <u/>
        <sz val="12"/>
        <color theme="1"/>
        <rFont val="Times New Roman"/>
        <family val="1"/>
        <charset val="204"/>
      </rPr>
      <t xml:space="preserve">                                               </t>
    </r>
    <r>
      <rPr>
        <b/>
        <i/>
        <sz val="12"/>
        <color theme="1"/>
        <rFont val="Times New Roman"/>
        <family val="1"/>
        <charset val="204"/>
      </rPr>
      <t xml:space="preserve"> </t>
    </r>
    <r>
      <rPr>
        <b/>
        <i/>
        <sz val="12"/>
        <color rgb="FFC00000"/>
        <rFont val="Times New Roman"/>
        <family val="1"/>
        <charset val="204"/>
      </rPr>
      <t>(грунт-мех, песок-вручную, резка+, песок с Купл=1,1)</t>
    </r>
  </si>
  <si>
    <t xml:space="preserve">от ЭЭ - НУЖЕН ДОГОВОР НА ЭКСКАВАТОР с ковшом емк. 0,5 (или 0,65м3). </t>
  </si>
  <si>
    <t>в чате написано</t>
  </si>
  <si>
    <t>отправлено на проверку 05.06</t>
  </si>
  <si>
    <r>
      <t>ВОР на %-ый объем оформлен,отпр. 28.04 ,</t>
    </r>
    <r>
      <rPr>
        <b/>
        <sz val="9"/>
        <color rgb="FFFF0000"/>
        <rFont val="Times New Roman"/>
        <family val="1"/>
        <charset val="204"/>
      </rPr>
      <t>ОТРАБОТАТЬ</t>
    </r>
  </si>
  <si>
    <t>оформлено к отправке</t>
  </si>
  <si>
    <t>отправлено Кушаковой 25.04/ответ +, повторно отработано, ждем 1,1</t>
  </si>
  <si>
    <t>отправлено Кушаковой 06.05/ответ+,повторно отработано, ждем 1,1</t>
  </si>
  <si>
    <t>отправлено Кушаковой 22.04/ответ+, повторно отработано, ждем 1,1</t>
  </si>
  <si>
    <t>отправлено Кушаковой 25.04/ответ+, , ждем 1,1</t>
  </si>
  <si>
    <r>
      <t>отправлено Кушаковой 25.04/ответ+,</t>
    </r>
    <r>
      <rPr>
        <b/>
        <u/>
        <sz val="10"/>
        <rFont val="Times New Roman"/>
        <family val="1"/>
        <charset val="204"/>
      </rPr>
      <t xml:space="preserve"> , ждем 1,1</t>
    </r>
  </si>
  <si>
    <t>отправлено Кушаковой 25.04/ответ+, повторно отработано, ждем 1,1</t>
  </si>
  <si>
    <t>ждем 1,1</t>
  </si>
  <si>
    <t>расценка согласована, включить в ГП2</t>
  </si>
  <si>
    <r>
      <t xml:space="preserve">сметы по ВОР - не ОТРАБОТАНЫ     </t>
    </r>
    <r>
      <rPr>
        <b/>
        <i/>
        <u/>
        <sz val="12"/>
        <color theme="1"/>
        <rFont val="Times New Roman"/>
        <family val="1"/>
        <charset val="204"/>
      </rPr>
      <t xml:space="preserve">                                      </t>
    </r>
    <r>
      <rPr>
        <b/>
        <i/>
        <sz val="12"/>
        <color theme="1"/>
        <rFont val="Times New Roman"/>
        <family val="1"/>
        <charset val="204"/>
      </rPr>
      <t xml:space="preserve"> </t>
    </r>
    <r>
      <rPr>
        <b/>
        <i/>
        <sz val="12"/>
        <color rgb="FFC00000"/>
        <rFont val="Times New Roman"/>
        <family val="1"/>
        <charset val="204"/>
      </rPr>
      <t>(нет подписанного ВОР)</t>
    </r>
  </si>
  <si>
    <t>ВОР на %-ый объем оформлен,ВОР на остальное-отработан, отпр.05.06-отправляем?</t>
  </si>
  <si>
    <t xml:space="preserve"> ждем 1,1, затем ВОР подписываем и отправляем сметы на проверку</t>
  </si>
  <si>
    <t>ВОР на %-ый объем оформлен,отпр. 28.04 , нужен на остальные работы</t>
  </si>
  <si>
    <r>
      <t>сумма ССР2                                                         (Кдог=</t>
    </r>
    <r>
      <rPr>
        <b/>
        <u/>
        <sz val="12"/>
        <color theme="1"/>
        <rFont val="Times New Roman"/>
        <family val="1"/>
        <charset val="204"/>
      </rPr>
      <t>1,0514</t>
    </r>
    <r>
      <rPr>
        <b/>
        <sz val="12"/>
        <color theme="1"/>
        <rFont val="Times New Roman"/>
        <family val="1"/>
        <charset val="204"/>
      </rPr>
      <t>), с НДС</t>
    </r>
  </si>
  <si>
    <t>Устройство ограждения вдоль обкаточного пути</t>
  </si>
  <si>
    <t>ВОР+ надо подписать, смета отработана, оформлена, отпр.Андрею 11.06</t>
  </si>
  <si>
    <t>Резинокорд-войдет в ГП2</t>
  </si>
  <si>
    <t>щебень исключен-почему? Куда перенесен?</t>
  </si>
  <si>
    <t>ВОР будет в ГП2 на основные работы, расценка согласована, включить в  смету ГП2</t>
  </si>
  <si>
    <t>отправлено, 14.06</t>
  </si>
  <si>
    <r>
      <t xml:space="preserve">сметы по ВОР - ОТРАБОТАНЫ  </t>
    </r>
    <r>
      <rPr>
        <b/>
        <i/>
        <u/>
        <sz val="12"/>
        <color theme="1"/>
        <rFont val="Times New Roman"/>
        <family val="1"/>
        <charset val="204"/>
      </rPr>
      <t xml:space="preserve">                                               </t>
    </r>
    <r>
      <rPr>
        <b/>
        <i/>
        <sz val="12"/>
        <color theme="1"/>
        <rFont val="Times New Roman"/>
        <family val="1"/>
        <charset val="204"/>
      </rPr>
      <t xml:space="preserve"> </t>
    </r>
    <r>
      <rPr>
        <b/>
        <i/>
        <sz val="12"/>
        <color rgb="FFC00000"/>
        <rFont val="Times New Roman"/>
        <family val="1"/>
        <charset val="204"/>
      </rPr>
      <t>( песок с Купл=1,1)</t>
    </r>
  </si>
  <si>
    <t>ВОР+</t>
  </si>
  <si>
    <t>ВОР будет корректироваться, см. скрин.</t>
  </si>
  <si>
    <t>нужно принять решение или закрываем МК по КМД или править ИД+ВОР под требования сметчицы и стройконтроля техзака</t>
  </si>
  <si>
    <t>ВОР отпр. на подписание (14.06), смета отработана</t>
  </si>
  <si>
    <t>требуется корректировка ВОР,отправлено в ПТО,Вор в работе</t>
  </si>
  <si>
    <t>06-04-01 изм.1</t>
  </si>
  <si>
    <t>согласовано</t>
  </si>
  <si>
    <t>ВОР оформлен, отправлен на подпись для Дураева 14.06</t>
  </si>
  <si>
    <t>вопросы к емк. ковша и уплотнению трамбовками</t>
  </si>
  <si>
    <t>Вариант НВ (с 0,65 и без уплотнения)</t>
  </si>
  <si>
    <r>
      <t xml:space="preserve">ВОР на %-ый объем оформлен,отпр. 28.04 , нужен на </t>
    </r>
    <r>
      <rPr>
        <u/>
        <sz val="9"/>
        <rFont val="Times New Roman"/>
        <family val="1"/>
        <charset val="204"/>
      </rPr>
      <t>остальные работы</t>
    </r>
  </si>
  <si>
    <t>сумма остатка взята по утвержденной смете!!!</t>
  </si>
  <si>
    <t>ВОР подписан, смета отправлена на проверку 18.06</t>
  </si>
  <si>
    <t>Теплоснабжение.Переустройство трубопровода.ТС1</t>
  </si>
  <si>
    <t>ИСКЛЮЧЕНО (задвоение в основном ВОРе)</t>
  </si>
  <si>
    <t>ВОР подписан, смета отправлена на проверку 21.06</t>
  </si>
  <si>
    <t>исключено, вошло в АС2</t>
  </si>
  <si>
    <t>исключено, вошло в АС1</t>
  </si>
  <si>
    <t>ВОР подписан, смета отправлена на проверку 27.06</t>
  </si>
  <si>
    <t>Смещение ЗД.АС1</t>
  </si>
  <si>
    <t>Проектное ограждение.АС1(исключить АС1, не относится к 417)</t>
  </si>
  <si>
    <t>ВОР подписан, смета отправлена на проверку 28.06</t>
  </si>
  <si>
    <t>02-01-01 изм.1</t>
  </si>
  <si>
    <t>02-03-01 изм.1</t>
  </si>
  <si>
    <t>не изменяются</t>
  </si>
  <si>
    <r>
      <t xml:space="preserve">сметы по ВОР на </t>
    </r>
    <r>
      <rPr>
        <b/>
        <i/>
        <u/>
        <sz val="16"/>
        <color theme="1"/>
        <rFont val="Times New Roman"/>
        <family val="1"/>
        <charset val="204"/>
      </rPr>
      <t>доп.работы</t>
    </r>
    <r>
      <rPr>
        <b/>
        <i/>
        <sz val="12"/>
        <color theme="1"/>
        <rFont val="Times New Roman"/>
        <family val="1"/>
        <charset val="204"/>
      </rPr>
      <t xml:space="preserve">- ОТРАБОТАНЫ  </t>
    </r>
    <r>
      <rPr>
        <b/>
        <i/>
        <u/>
        <sz val="12"/>
        <color theme="1"/>
        <rFont val="Times New Roman"/>
        <family val="1"/>
        <charset val="204"/>
      </rPr>
      <t xml:space="preserve">                                               </t>
    </r>
  </si>
  <si>
    <t>не будет</t>
  </si>
  <si>
    <t>СОГЛАСОВАНО</t>
  </si>
  <si>
    <t>Переустройство кабельных линий.ЭС2 + ПНР</t>
  </si>
  <si>
    <t>Электроснабжение. ЭС 1. + ПНР</t>
  </si>
  <si>
    <t>Замечания в работе (ждем решение от рук-ва)</t>
  </si>
  <si>
    <t>требуется корректировка ВОР,отправлено в ПТО,ВОР в работе</t>
  </si>
  <si>
    <r>
      <rPr>
        <b/>
        <u/>
        <sz val="12"/>
        <rFont val="Times New Roman"/>
        <family val="1"/>
        <charset val="204"/>
      </rPr>
      <t>расценка согласована,</t>
    </r>
    <r>
      <rPr>
        <sz val="12"/>
        <rFont val="Times New Roman"/>
        <family val="1"/>
        <charset val="204"/>
      </rPr>
      <t xml:space="preserve"> ВОР будет в ГП2 на основные работы,  включить в  смету ГП2</t>
    </r>
  </si>
  <si>
    <t>"+ " колодцы из НВК5</t>
  </si>
  <si>
    <r>
      <rPr>
        <b/>
        <u/>
        <sz val="12"/>
        <color rgb="FFFF0000"/>
        <rFont val="Times New Roman"/>
        <family val="1"/>
        <charset val="204"/>
      </rPr>
      <t xml:space="preserve">ПЕРЕПОДПИСАТЬ ВОР,  ИСКЛЮЧИТЬ 0,58м3, </t>
    </r>
    <r>
      <rPr>
        <b/>
        <u/>
        <sz val="12"/>
        <rFont val="Times New Roman"/>
        <family val="1"/>
        <charset val="204"/>
      </rPr>
      <t>СОГЛАСОВАНО</t>
    </r>
  </si>
  <si>
    <t>согласовано смет на сумму</t>
  </si>
  <si>
    <t>сметы на доп-не будет, только %-ый объем</t>
  </si>
  <si>
    <t xml:space="preserve">! +, подписать ВОР, если требуется. </t>
  </si>
  <si>
    <t>см. папку Доп.работы</t>
  </si>
  <si>
    <t>см. папку Доп.работы, работать с ЛСР "Версия Заказчика"</t>
  </si>
  <si>
    <t>Генеральный план. Трансбордер. ГП1 основные работы</t>
  </si>
  <si>
    <t>Генеральный план. Трансбордер. ГП1. восстановление аб</t>
  </si>
  <si>
    <t>будет корректировка, доп смета</t>
  </si>
  <si>
    <t>НВК5.Доп.работы</t>
  </si>
  <si>
    <t>ПЖ под вопросом!!!!</t>
  </si>
  <si>
    <t>Отправлено на проверку 25.07</t>
  </si>
  <si>
    <t>ПЖ, с послеосадочным и разборкой отб.молотками.</t>
  </si>
  <si>
    <t>ПЖ, с послеосадочным и БЕЗ разборкой отб.молотками.</t>
  </si>
  <si>
    <t>ВСЕГО (ССР1+ССР2),                             м3</t>
  </si>
  <si>
    <t>объем ССР2,м3</t>
  </si>
  <si>
    <t xml:space="preserve">объем ССР1,м3                                                     </t>
  </si>
  <si>
    <r>
      <t xml:space="preserve">сметы по ВОР на </t>
    </r>
    <r>
      <rPr>
        <b/>
        <i/>
        <sz val="16"/>
        <color theme="1"/>
        <rFont val="Times New Roman"/>
        <family val="1"/>
        <charset val="204"/>
      </rPr>
      <t>доп.работы</t>
    </r>
    <r>
      <rPr>
        <b/>
        <i/>
        <sz val="12"/>
        <color theme="1"/>
        <rFont val="Times New Roman"/>
        <family val="1"/>
        <charset val="204"/>
      </rPr>
      <t xml:space="preserve">             </t>
    </r>
    <r>
      <rPr>
        <b/>
        <i/>
        <u/>
        <sz val="12"/>
        <color theme="1"/>
        <rFont val="Times New Roman"/>
        <family val="1"/>
        <charset val="204"/>
      </rPr>
      <t xml:space="preserve">                         </t>
    </r>
  </si>
  <si>
    <t>Верхнее строение пути. ПЖ</t>
  </si>
  <si>
    <t>Наружные газопроводы. Вынос газопровода среднего давления.ГСН</t>
  </si>
  <si>
    <t>не согласована</t>
  </si>
  <si>
    <t>по всем сметам</t>
  </si>
  <si>
    <t>Послеосадочный ремонт.Верхнее строение пути</t>
  </si>
  <si>
    <t>в работе</t>
  </si>
  <si>
    <t xml:space="preserve">                          с НДС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</si>
</sst>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_-* #,##0.00\ _₽_-;\-* #,##0.00\ _₽_-;_-* &quot;-&quot;??\ _₽_-;_-@_-"/>
    <numFmt numFmtId="165" formatCode="_-* #,##0.00_р_._-;\-* #,##0.00_р_._-;_-* &quot;-&quot;??_р_._-;_-@_-"/>
    <numFmt numFmtId="166" formatCode="#,##0.000000000"/>
    <numFmt numFmtId="167" formatCode="#,##0.0"/>
    <numFmt numFmtId="168" formatCode="#,##0.0000"/>
  </numFmts>
  <fonts count="85" x14ac:knownFonts="1">
    <font>
      <sz val="11"/>
      <name val="Calibri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sz val="8"/>
      <name val="Arial"/>
      <family val="2"/>
      <charset val="204"/>
    </font>
    <font>
      <i/>
      <sz val="8"/>
      <name val="Arial"/>
      <family val="2"/>
      <charset val="204"/>
    </font>
    <font>
      <b/>
      <sz val="14"/>
      <name val="Arial"/>
      <family val="2"/>
      <charset val="204"/>
    </font>
    <font>
      <b/>
      <sz val="8"/>
      <name val="Arial"/>
      <family val="2"/>
      <charset val="204"/>
    </font>
    <font>
      <b/>
      <sz val="9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sz val="9"/>
      <name val="Arial"/>
      <family val="2"/>
      <charset val="204"/>
    </font>
    <font>
      <b/>
      <sz val="9"/>
      <name val="Arial"/>
      <family val="2"/>
      <charset val="204"/>
    </font>
    <font>
      <i/>
      <sz val="8"/>
      <color rgb="FF000000"/>
      <name val="Arial"/>
      <family val="2"/>
      <charset val="204"/>
    </font>
    <font>
      <b/>
      <sz val="8"/>
      <color rgb="FFFF0000"/>
      <name val="Arial"/>
      <family val="2"/>
      <charset val="204"/>
    </font>
    <font>
      <b/>
      <sz val="9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  <font>
      <b/>
      <sz val="8"/>
      <name val="Arial"/>
      <family val="2"/>
      <charset val="204"/>
    </font>
    <font>
      <sz val="8"/>
      <color rgb="FF000000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u/>
      <sz val="12"/>
      <color rgb="FFFF0000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i/>
      <sz val="10"/>
      <color rgb="FFFF0000"/>
      <name val="Calibri"/>
      <family val="2"/>
      <charset val="204"/>
      <scheme val="minor"/>
    </font>
    <font>
      <b/>
      <sz val="10"/>
      <color theme="8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name val="Calibri"/>
      <family val="2"/>
      <charset val="204"/>
    </font>
    <font>
      <sz val="12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i/>
      <sz val="12"/>
      <color rgb="FFFF0000"/>
      <name val="Times New Roman"/>
      <family val="1"/>
      <charset val="204"/>
    </font>
    <font>
      <sz val="8"/>
      <name val="Calibri"/>
      <family val="2"/>
      <charset val="204"/>
    </font>
    <font>
      <i/>
      <sz val="8"/>
      <color theme="1"/>
      <name val="Times New Roman"/>
      <family val="1"/>
      <charset val="204"/>
    </font>
    <font>
      <sz val="12"/>
      <color theme="4"/>
      <name val="Times New Roman"/>
      <family val="1"/>
      <charset val="204"/>
    </font>
    <font>
      <i/>
      <sz val="12"/>
      <name val="Times New Roman"/>
      <family val="1"/>
      <charset val="204"/>
    </font>
    <font>
      <b/>
      <u/>
      <sz val="14"/>
      <color rgb="FFFF0000"/>
      <name val="Times New Roman"/>
      <family val="1"/>
      <charset val="204"/>
    </font>
    <font>
      <u/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2"/>
      <color rgb="FFC00000"/>
      <name val="Times New Roman"/>
      <family val="1"/>
      <charset val="204"/>
    </font>
    <font>
      <b/>
      <i/>
      <sz val="12"/>
      <color rgb="FFFF0000"/>
      <name val="Times New Roman"/>
      <family val="1"/>
      <charset val="204"/>
    </font>
    <font>
      <b/>
      <i/>
      <sz val="12"/>
      <color rgb="FFC00000"/>
      <name val="Times New Roman"/>
      <family val="1"/>
      <charset val="204"/>
    </font>
    <font>
      <b/>
      <i/>
      <u/>
      <sz val="12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sz val="9"/>
      <name val="Times New Roman"/>
      <family val="1"/>
      <charset val="204"/>
    </font>
    <font>
      <u/>
      <sz val="9"/>
      <name val="Times New Roman"/>
      <family val="1"/>
      <charset val="204"/>
    </font>
    <font>
      <i/>
      <sz val="12"/>
      <color rgb="FF00B0F0"/>
      <name val="Times New Roman"/>
      <family val="1"/>
      <charset val="204"/>
    </font>
    <font>
      <sz val="12"/>
      <color theme="9"/>
      <name val="Times New Roman"/>
      <family val="1"/>
      <charset val="204"/>
    </font>
    <font>
      <b/>
      <sz val="12"/>
      <color theme="9"/>
      <name val="Times New Roman"/>
      <family val="1"/>
      <charset val="204"/>
    </font>
    <font>
      <sz val="9"/>
      <color theme="9"/>
      <name val="Times New Roman"/>
      <family val="1"/>
      <charset val="204"/>
    </font>
    <font>
      <i/>
      <sz val="8"/>
      <color theme="9"/>
      <name val="Times New Roman"/>
      <family val="1"/>
      <charset val="204"/>
    </font>
    <font>
      <sz val="10"/>
      <color theme="9"/>
      <name val="Times New Roman"/>
      <family val="1"/>
      <charset val="204"/>
    </font>
    <font>
      <i/>
      <sz val="12"/>
      <color theme="9"/>
      <name val="Times New Roman"/>
      <family val="1"/>
      <charset val="204"/>
    </font>
    <font>
      <u/>
      <sz val="9"/>
      <color theme="9"/>
      <name val="Times New Roman"/>
      <family val="1"/>
      <charset val="204"/>
    </font>
    <font>
      <b/>
      <i/>
      <sz val="24"/>
      <color rgb="FFC00000"/>
      <name val="Times New Roman"/>
      <family val="1"/>
      <charset val="204"/>
    </font>
    <font>
      <b/>
      <u/>
      <sz val="10"/>
      <name val="Times New Roman"/>
      <family val="1"/>
      <charset val="204"/>
    </font>
    <font>
      <b/>
      <sz val="9"/>
      <color rgb="FFFF0000"/>
      <name val="Times New Roman"/>
      <family val="1"/>
      <charset val="204"/>
    </font>
    <font>
      <sz val="10"/>
      <color indexed="81"/>
      <name val="Tahoma"/>
      <family val="2"/>
      <charset val="204"/>
    </font>
    <font>
      <b/>
      <u/>
      <sz val="12"/>
      <name val="Times New Roman"/>
      <family val="1"/>
      <charset val="204"/>
    </font>
    <font>
      <b/>
      <sz val="10"/>
      <color indexed="81"/>
      <name val="Tahoma"/>
      <family val="2"/>
      <charset val="204"/>
    </font>
    <font>
      <b/>
      <i/>
      <sz val="12"/>
      <color rgb="FF00B0F0"/>
      <name val="Times New Roman"/>
      <family val="1"/>
      <charset val="204"/>
    </font>
    <font>
      <b/>
      <i/>
      <u/>
      <sz val="16"/>
      <color theme="1"/>
      <name val="Times New Roman"/>
      <family val="1"/>
      <charset val="204"/>
    </font>
    <font>
      <b/>
      <sz val="16"/>
      <name val="Times New Roman"/>
      <family val="1"/>
      <charset val="204"/>
    </font>
    <font>
      <sz val="8"/>
      <name val="Calibri"/>
      <family val="2"/>
      <charset val="204"/>
    </font>
    <font>
      <b/>
      <sz val="16"/>
      <color rgb="FFFF0000"/>
      <name val="Times New Roman"/>
      <family val="1"/>
      <charset val="204"/>
    </font>
    <font>
      <b/>
      <i/>
      <sz val="16"/>
      <color theme="1"/>
      <name val="Times New Roman"/>
      <family val="1"/>
      <charset val="204"/>
    </font>
  </fonts>
  <fills count="2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4"/>
        <bgColor indexed="64"/>
      </patternFill>
    </fill>
  </fills>
  <borders count="5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double">
        <color indexed="64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double">
        <color indexed="64"/>
      </bottom>
      <diagonal/>
    </border>
    <border>
      <left style="medium">
        <color indexed="64"/>
      </left>
      <right style="thin">
        <color auto="1"/>
      </right>
      <top style="double">
        <color indexed="64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 style="double">
        <color indexed="64"/>
      </top>
      <bottom style="double">
        <color indexed="64"/>
      </bottom>
      <diagonal/>
    </border>
    <border>
      <left style="thin">
        <color auto="1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thin">
        <color auto="1"/>
      </top>
      <bottom style="double">
        <color indexed="64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double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double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double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4">
    <xf numFmtId="0" fontId="0" fillId="0" borderId="0"/>
    <xf numFmtId="0" fontId="6" fillId="0" borderId="0"/>
    <xf numFmtId="0" fontId="4" fillId="0" borderId="0"/>
    <xf numFmtId="0" fontId="23" fillId="0" borderId="0"/>
    <xf numFmtId="0" fontId="23" fillId="0" borderId="0"/>
    <xf numFmtId="164" fontId="24" fillId="0" borderId="0" applyFont="0" applyFill="0" applyBorder="0" applyAlignment="0" applyProtection="0"/>
    <xf numFmtId="0" fontId="25" fillId="0" borderId="0"/>
    <xf numFmtId="0" fontId="3" fillId="0" borderId="0"/>
    <xf numFmtId="164" fontId="6" fillId="0" borderId="0" applyFont="0" applyFill="0" applyBorder="0" applyAlignment="0" applyProtection="0"/>
    <xf numFmtId="0" fontId="2" fillId="0" borderId="0"/>
    <xf numFmtId="43" fontId="54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54" fillId="0" borderId="0"/>
    <xf numFmtId="0" fontId="1" fillId="0" borderId="0"/>
  </cellStyleXfs>
  <cellXfs count="1219">
    <xf numFmtId="0" fontId="0" fillId="0" borderId="0" xfId="0"/>
    <xf numFmtId="0" fontId="6" fillId="0" borderId="0" xfId="1"/>
    <xf numFmtId="0" fontId="7" fillId="0" borderId="0" xfId="1" applyNumberFormat="1" applyFont="1" applyFill="1" applyBorder="1" applyAlignment="1" applyProtection="1">
      <alignment horizontal="right"/>
    </xf>
    <xf numFmtId="0" fontId="7" fillId="0" borderId="0" xfId="1" applyNumberFormat="1" applyFont="1" applyFill="1" applyBorder="1" applyAlignment="1" applyProtection="1"/>
    <xf numFmtId="0" fontId="7" fillId="0" borderId="0" xfId="1" applyNumberFormat="1" applyFont="1" applyFill="1" applyBorder="1" applyAlignment="1" applyProtection="1">
      <alignment wrapText="1"/>
    </xf>
    <xf numFmtId="0" fontId="7" fillId="0" borderId="0" xfId="1" applyNumberFormat="1" applyFont="1" applyFill="1" applyBorder="1" applyAlignment="1" applyProtection="1">
      <alignment horizontal="center"/>
    </xf>
    <xf numFmtId="0" fontId="9" fillId="0" borderId="0" xfId="1" applyNumberFormat="1" applyFont="1" applyFill="1" applyBorder="1" applyAlignment="1" applyProtection="1">
      <alignment horizontal="center"/>
    </xf>
    <xf numFmtId="0" fontId="8" fillId="0" borderId="0" xfId="1" applyNumberFormat="1" applyFont="1" applyFill="1" applyBorder="1" applyAlignment="1" applyProtection="1">
      <alignment vertical="top"/>
    </xf>
    <xf numFmtId="0" fontId="8" fillId="0" borderId="0" xfId="1" applyNumberFormat="1" applyFont="1" applyFill="1" applyBorder="1" applyAlignment="1" applyProtection="1">
      <alignment horizontal="center"/>
    </xf>
    <xf numFmtId="0" fontId="8" fillId="0" borderId="0" xfId="1" applyNumberFormat="1" applyFont="1" applyFill="1" applyBorder="1" applyAlignment="1" applyProtection="1"/>
    <xf numFmtId="0" fontId="10" fillId="0" borderId="0" xfId="1" applyNumberFormat="1" applyFont="1" applyFill="1" applyBorder="1" applyAlignment="1" applyProtection="1">
      <alignment horizontal="left"/>
    </xf>
    <xf numFmtId="0" fontId="5" fillId="0" borderId="4" xfId="1" applyNumberFormat="1" applyFont="1" applyFill="1" applyBorder="1" applyAlignment="1" applyProtection="1">
      <alignment horizontal="center" vertical="top" wrapText="1"/>
    </xf>
    <xf numFmtId="1" fontId="5" fillId="0" borderId="4" xfId="1" applyNumberFormat="1" applyFont="1" applyFill="1" applyBorder="1" applyAlignment="1" applyProtection="1">
      <alignment horizontal="center" vertical="top" wrapText="1"/>
    </xf>
    <xf numFmtId="0" fontId="5" fillId="0" borderId="4" xfId="1" applyNumberFormat="1" applyFont="1" applyFill="1" applyBorder="1" applyAlignment="1" applyProtection="1">
      <alignment horizontal="left" vertical="top" wrapText="1"/>
    </xf>
    <xf numFmtId="4" fontId="5" fillId="0" borderId="4" xfId="1" applyNumberFormat="1" applyFont="1" applyFill="1" applyBorder="1" applyAlignment="1" applyProtection="1">
      <alignment horizontal="right" vertical="top" wrapText="1"/>
    </xf>
    <xf numFmtId="0" fontId="12" fillId="0" borderId="4" xfId="1" applyNumberFormat="1" applyFont="1" applyFill="1" applyBorder="1" applyAlignment="1" applyProtection="1"/>
    <xf numFmtId="4" fontId="12" fillId="0" borderId="4" xfId="1" applyNumberFormat="1" applyFont="1" applyFill="1" applyBorder="1" applyAlignment="1" applyProtection="1">
      <alignment horizontal="right" vertical="top" wrapText="1"/>
    </xf>
    <xf numFmtId="4" fontId="12" fillId="0" borderId="4" xfId="1" applyNumberFormat="1" applyFont="1" applyFill="1" applyBorder="1" applyAlignment="1" applyProtection="1">
      <alignment horizontal="right" vertical="top"/>
    </xf>
    <xf numFmtId="4" fontId="5" fillId="0" borderId="4" xfId="1" applyNumberFormat="1" applyFont="1" applyFill="1" applyBorder="1" applyAlignment="1" applyProtection="1">
      <alignment horizontal="right" vertical="top"/>
    </xf>
    <xf numFmtId="0" fontId="5" fillId="0" borderId="4" xfId="1" applyNumberFormat="1" applyFont="1" applyFill="1" applyBorder="1" applyAlignment="1" applyProtection="1">
      <alignment horizontal="right" vertical="top" wrapText="1"/>
    </xf>
    <xf numFmtId="0" fontId="5" fillId="0" borderId="0" xfId="1" applyNumberFormat="1" applyFont="1" applyFill="1" applyBorder="1" applyAlignment="1" applyProtection="1"/>
    <xf numFmtId="0" fontId="18" fillId="2" borderId="4" xfId="1" applyNumberFormat="1" applyFont="1" applyFill="1" applyBorder="1" applyAlignment="1" applyProtection="1">
      <alignment horizontal="center" vertical="center" wrapText="1"/>
    </xf>
    <xf numFmtId="0" fontId="7" fillId="0" borderId="0" xfId="1" applyNumberFormat="1" applyFont="1" applyFill="1" applyBorder="1" applyAlignment="1" applyProtection="1">
      <alignment horizontal="left" vertical="top"/>
    </xf>
    <xf numFmtId="0" fontId="7" fillId="0" borderId="1" xfId="1" applyNumberFormat="1" applyFont="1" applyFill="1" applyBorder="1" applyAlignment="1" applyProtection="1">
      <alignment horizontal="left" vertical="top"/>
    </xf>
    <xf numFmtId="0" fontId="19" fillId="0" borderId="4" xfId="1" applyNumberFormat="1" applyFont="1" applyFill="1" applyBorder="1" applyAlignment="1" applyProtection="1">
      <alignment horizontal="left" vertical="top" wrapText="1"/>
    </xf>
    <xf numFmtId="0" fontId="21" fillId="0" borderId="0" xfId="1" applyNumberFormat="1" applyFont="1" applyFill="1" applyBorder="1" applyAlignment="1" applyProtection="1"/>
    <xf numFmtId="0" fontId="22" fillId="0" borderId="0" xfId="1" applyFont="1" applyAlignment="1">
      <alignment horizontal="center" vertical="center"/>
    </xf>
    <xf numFmtId="0" fontId="22" fillId="0" borderId="0" xfId="1" applyFont="1"/>
    <xf numFmtId="4" fontId="22" fillId="0" borderId="0" xfId="1" applyNumberFormat="1" applyFont="1" applyAlignment="1">
      <alignment horizontal="center" vertical="center"/>
    </xf>
    <xf numFmtId="4" fontId="22" fillId="0" borderId="0" xfId="1" applyNumberFormat="1" applyFont="1"/>
    <xf numFmtId="0" fontId="19" fillId="0" borderId="0" xfId="1" applyNumberFormat="1" applyFont="1" applyFill="1" applyBorder="1" applyAlignment="1" applyProtection="1">
      <alignment horizontal="center" vertical="center"/>
    </xf>
    <xf numFmtId="3" fontId="18" fillId="2" borderId="4" xfId="1" applyNumberFormat="1" applyFont="1" applyFill="1" applyBorder="1" applyAlignment="1" applyProtection="1">
      <alignment horizontal="center" vertical="center" wrapText="1"/>
    </xf>
    <xf numFmtId="0" fontId="19" fillId="0" borderId="0" xfId="1" applyNumberFormat="1" applyFont="1" applyFill="1" applyBorder="1" applyAlignment="1" applyProtection="1"/>
    <xf numFmtId="166" fontId="16" fillId="0" borderId="8" xfId="1" applyNumberFormat="1" applyFont="1" applyFill="1" applyBorder="1" applyAlignment="1" applyProtection="1">
      <alignment horizontal="right" vertical="top" wrapText="1"/>
    </xf>
    <xf numFmtId="0" fontId="7" fillId="3" borderId="0" xfId="1" applyNumberFormat="1" applyFont="1" applyFill="1" applyBorder="1" applyAlignment="1" applyProtection="1">
      <alignment horizontal="center"/>
    </xf>
    <xf numFmtId="4" fontId="27" fillId="0" borderId="0" xfId="2" applyNumberFormat="1" applyFont="1" applyAlignment="1">
      <alignment horizontal="center" vertical="center"/>
    </xf>
    <xf numFmtId="0" fontId="27" fillId="0" borderId="0" xfId="2" applyFont="1"/>
    <xf numFmtId="0" fontId="27" fillId="0" borderId="0" xfId="4" applyFont="1" applyAlignment="1">
      <alignment horizontal="center"/>
    </xf>
    <xf numFmtId="0" fontId="27" fillId="0" borderId="0" xfId="4" applyFont="1"/>
    <xf numFmtId="0" fontId="27" fillId="0" borderId="0" xfId="2" applyFont="1" applyAlignment="1">
      <alignment horizontal="center" vertical="center"/>
    </xf>
    <xf numFmtId="49" fontId="28" fillId="5" borderId="4" xfId="2" applyNumberFormat="1" applyFont="1" applyFill="1" applyBorder="1" applyAlignment="1">
      <alignment horizontal="center" vertical="center" wrapText="1"/>
    </xf>
    <xf numFmtId="0" fontId="29" fillId="0" borderId="4" xfId="2" applyFont="1" applyBorder="1" applyAlignment="1">
      <alignment horizontal="center" vertical="center"/>
    </xf>
    <xf numFmtId="0" fontId="31" fillId="0" borderId="4" xfId="2" applyFont="1" applyBorder="1" applyAlignment="1">
      <alignment horizontal="left" vertical="center" wrapText="1"/>
    </xf>
    <xf numFmtId="164" fontId="31" fillId="0" borderId="4" xfId="5" applyFont="1" applyFill="1" applyBorder="1" applyAlignment="1">
      <alignment horizontal="center" vertical="center"/>
    </xf>
    <xf numFmtId="167" fontId="31" fillId="0" borderId="4" xfId="2" applyNumberFormat="1" applyFont="1" applyBorder="1" applyAlignment="1">
      <alignment horizontal="center" vertical="center"/>
    </xf>
    <xf numFmtId="4" fontId="27" fillId="0" borderId="0" xfId="2" applyNumberFormat="1" applyFont="1"/>
    <xf numFmtId="0" fontId="27" fillId="0" borderId="0" xfId="2" applyFont="1" applyBorder="1"/>
    <xf numFmtId="0" fontId="29" fillId="0" borderId="0" xfId="2" applyFont="1" applyBorder="1" applyAlignment="1">
      <alignment horizontal="center" vertical="center"/>
    </xf>
    <xf numFmtId="4" fontId="29" fillId="0" borderId="0" xfId="2" applyNumberFormat="1" applyFont="1" applyBorder="1" applyAlignment="1">
      <alignment horizontal="center" vertical="center"/>
    </xf>
    <xf numFmtId="164" fontId="27" fillId="0" borderId="0" xfId="2" applyNumberFormat="1" applyFont="1" applyBorder="1"/>
    <xf numFmtId="4" fontId="29" fillId="0" borderId="0" xfId="2" applyNumberFormat="1" applyFont="1" applyAlignment="1">
      <alignment horizontal="center" vertical="center"/>
    </xf>
    <xf numFmtId="165" fontId="27" fillId="0" borderId="0" xfId="2" applyNumberFormat="1" applyFont="1"/>
    <xf numFmtId="2" fontId="27" fillId="0" borderId="0" xfId="2" applyNumberFormat="1" applyFont="1"/>
    <xf numFmtId="4" fontId="27" fillId="5" borderId="4" xfId="2" applyNumberFormat="1" applyFont="1" applyFill="1" applyBorder="1" applyAlignment="1">
      <alignment horizontal="center" vertical="center"/>
    </xf>
    <xf numFmtId="49" fontId="28" fillId="4" borderId="4" xfId="2" applyNumberFormat="1" applyFont="1" applyFill="1" applyBorder="1" applyAlignment="1">
      <alignment horizontal="center" vertical="center" wrapText="1"/>
    </xf>
    <xf numFmtId="4" fontId="26" fillId="0" borderId="4" xfId="2" applyNumberFormat="1" applyFont="1" applyBorder="1" applyAlignment="1">
      <alignment horizontal="center" vertical="center"/>
    </xf>
    <xf numFmtId="4" fontId="27" fillId="4" borderId="4" xfId="2" applyNumberFormat="1" applyFont="1" applyFill="1" applyBorder="1" applyAlignment="1">
      <alignment horizontal="center" vertical="center"/>
    </xf>
    <xf numFmtId="0" fontId="29" fillId="0" borderId="9" xfId="2" applyFont="1" applyBorder="1" applyAlignment="1">
      <alignment horizontal="center" vertical="center"/>
    </xf>
    <xf numFmtId="0" fontId="29" fillId="0" borderId="10" xfId="2" applyFont="1" applyBorder="1" applyAlignment="1">
      <alignment horizontal="center" vertical="center"/>
    </xf>
    <xf numFmtId="0" fontId="31" fillId="0" borderId="10" xfId="2" applyFont="1" applyBorder="1" applyAlignment="1">
      <alignment horizontal="left" vertical="center" wrapText="1"/>
    </xf>
    <xf numFmtId="164" fontId="31" fillId="0" borderId="10" xfId="5" applyFont="1" applyFill="1" applyBorder="1" applyAlignment="1">
      <alignment horizontal="center" vertical="center"/>
    </xf>
    <xf numFmtId="167" fontId="31" fillId="0" borderId="10" xfId="2" applyNumberFormat="1" applyFont="1" applyBorder="1" applyAlignment="1">
      <alignment horizontal="center" vertical="center"/>
    </xf>
    <xf numFmtId="4" fontId="26" fillId="0" borderId="10" xfId="2" applyNumberFormat="1" applyFont="1" applyBorder="1" applyAlignment="1">
      <alignment horizontal="center" vertical="center"/>
    </xf>
    <xf numFmtId="4" fontId="27" fillId="4" borderId="10" xfId="2" applyNumberFormat="1" applyFont="1" applyFill="1" applyBorder="1" applyAlignment="1">
      <alignment horizontal="center" vertical="center"/>
    </xf>
    <xf numFmtId="4" fontId="27" fillId="5" borderId="10" xfId="2" applyNumberFormat="1" applyFont="1" applyFill="1" applyBorder="1" applyAlignment="1">
      <alignment horizontal="center" vertical="center"/>
    </xf>
    <xf numFmtId="49" fontId="28" fillId="6" borderId="4" xfId="2" applyNumberFormat="1" applyFont="1" applyFill="1" applyBorder="1" applyAlignment="1">
      <alignment horizontal="center" vertical="center" wrapText="1"/>
    </xf>
    <xf numFmtId="0" fontId="29" fillId="0" borderId="8" xfId="2" applyFont="1" applyBorder="1" applyAlignment="1">
      <alignment horizontal="center" vertical="center"/>
    </xf>
    <xf numFmtId="0" fontId="27" fillId="0" borderId="8" xfId="2" applyFont="1" applyBorder="1"/>
    <xf numFmtId="4" fontId="29" fillId="0" borderId="8" xfId="2" applyNumberFormat="1" applyFont="1" applyBorder="1" applyAlignment="1">
      <alignment horizontal="center" vertical="center"/>
    </xf>
    <xf numFmtId="4" fontId="29" fillId="4" borderId="8" xfId="2" applyNumberFormat="1" applyFont="1" applyFill="1" applyBorder="1" applyAlignment="1">
      <alignment horizontal="center" vertical="center"/>
    </xf>
    <xf numFmtId="0" fontId="27" fillId="2" borderId="11" xfId="2" applyFont="1" applyFill="1" applyBorder="1"/>
    <xf numFmtId="4" fontId="29" fillId="2" borderId="11" xfId="2" applyNumberFormat="1" applyFont="1" applyFill="1" applyBorder="1" applyAlignment="1">
      <alignment horizontal="center" vertical="center"/>
    </xf>
    <xf numFmtId="164" fontId="27" fillId="2" borderId="11" xfId="2" applyNumberFormat="1" applyFont="1" applyFill="1" applyBorder="1"/>
    <xf numFmtId="4" fontId="29" fillId="2" borderId="12" xfId="2" applyNumberFormat="1" applyFont="1" applyFill="1" applyBorder="1" applyAlignment="1">
      <alignment horizontal="center" vertical="center"/>
    </xf>
    <xf numFmtId="0" fontId="29" fillId="4" borderId="14" xfId="2" applyFont="1" applyFill="1" applyBorder="1" applyAlignment="1">
      <alignment horizontal="center" vertical="center" wrapText="1"/>
    </xf>
    <xf numFmtId="4" fontId="29" fillId="4" borderId="14" xfId="2" applyNumberFormat="1" applyFont="1" applyFill="1" applyBorder="1" applyAlignment="1">
      <alignment horizontal="center" vertical="center" wrapText="1"/>
    </xf>
    <xf numFmtId="0" fontId="32" fillId="4" borderId="14" xfId="2" applyFont="1" applyFill="1" applyBorder="1" applyAlignment="1">
      <alignment horizontal="center" vertical="center" wrapText="1"/>
    </xf>
    <xf numFmtId="4" fontId="32" fillId="4" borderId="14" xfId="2" applyNumberFormat="1" applyFont="1" applyFill="1" applyBorder="1" applyAlignment="1">
      <alignment horizontal="center" vertical="center" wrapText="1"/>
    </xf>
    <xf numFmtId="0" fontId="29" fillId="5" borderId="14" xfId="2" applyFont="1" applyFill="1" applyBorder="1" applyAlignment="1">
      <alignment horizontal="center" vertical="center" wrapText="1"/>
    </xf>
    <xf numFmtId="0" fontId="29" fillId="6" borderId="14" xfId="2" applyFont="1" applyFill="1" applyBorder="1" applyAlignment="1">
      <alignment horizontal="center" vertical="center" wrapText="1"/>
    </xf>
    <xf numFmtId="0" fontId="29" fillId="6" borderId="15" xfId="2" applyFont="1" applyFill="1" applyBorder="1" applyAlignment="1">
      <alignment horizontal="center" vertical="center" wrapText="1"/>
    </xf>
    <xf numFmtId="49" fontId="28" fillId="6" borderId="17" xfId="2" applyNumberFormat="1" applyFont="1" applyFill="1" applyBorder="1" applyAlignment="1">
      <alignment horizontal="center" vertical="center" wrapText="1"/>
    </xf>
    <xf numFmtId="0" fontId="31" fillId="0" borderId="16" xfId="2" applyFont="1" applyBorder="1" applyAlignment="1">
      <alignment horizontal="center" vertical="center"/>
    </xf>
    <xf numFmtId="4" fontId="31" fillId="6" borderId="17" xfId="2" applyNumberFormat="1" applyFont="1" applyFill="1" applyBorder="1" applyAlignment="1">
      <alignment horizontal="center" vertical="center"/>
    </xf>
    <xf numFmtId="4" fontId="27" fillId="6" borderId="17" xfId="2" applyNumberFormat="1" applyFont="1" applyFill="1" applyBorder="1" applyAlignment="1">
      <alignment horizontal="center" vertical="center"/>
    </xf>
    <xf numFmtId="4" fontId="27" fillId="6" borderId="18" xfId="2" applyNumberFormat="1" applyFont="1" applyFill="1" applyBorder="1" applyAlignment="1">
      <alignment horizontal="center" vertical="center"/>
    </xf>
    <xf numFmtId="4" fontId="29" fillId="4" borderId="20" xfId="2" applyNumberFormat="1" applyFont="1" applyFill="1" applyBorder="1" applyAlignment="1">
      <alignment horizontal="center" vertical="center"/>
    </xf>
    <xf numFmtId="0" fontId="31" fillId="0" borderId="22" xfId="2" applyFont="1" applyBorder="1" applyAlignment="1">
      <alignment horizontal="center" vertical="center"/>
    </xf>
    <xf numFmtId="0" fontId="31" fillId="0" borderId="21" xfId="2" applyFont="1" applyBorder="1" applyAlignment="1">
      <alignment horizontal="center" vertical="center"/>
    </xf>
    <xf numFmtId="0" fontId="31" fillId="0" borderId="9" xfId="2" applyFont="1" applyBorder="1" applyAlignment="1">
      <alignment horizontal="left" vertical="center" wrapText="1"/>
    </xf>
    <xf numFmtId="164" fontId="31" fillId="0" borderId="9" xfId="5" applyFont="1" applyFill="1" applyBorder="1" applyAlignment="1">
      <alignment horizontal="center" vertical="center"/>
    </xf>
    <xf numFmtId="167" fontId="31" fillId="0" borderId="9" xfId="2" applyNumberFormat="1" applyFont="1" applyBorder="1" applyAlignment="1">
      <alignment horizontal="center" vertical="center"/>
    </xf>
    <xf numFmtId="4" fontId="26" fillId="0" borderId="9" xfId="2" applyNumberFormat="1" applyFont="1" applyBorder="1" applyAlignment="1">
      <alignment horizontal="center" vertical="center"/>
    </xf>
    <xf numFmtId="4" fontId="27" fillId="4" borderId="9" xfId="2" applyNumberFormat="1" applyFont="1" applyFill="1" applyBorder="1" applyAlignment="1">
      <alignment horizontal="center" vertical="center"/>
    </xf>
    <xf numFmtId="4" fontId="27" fillId="5" borderId="9" xfId="2" applyNumberFormat="1" applyFont="1" applyFill="1" applyBorder="1" applyAlignment="1">
      <alignment horizontal="center" vertical="center"/>
    </xf>
    <xf numFmtId="0" fontId="27" fillId="0" borderId="23" xfId="2" applyFont="1" applyBorder="1"/>
    <xf numFmtId="0" fontId="29" fillId="0" borderId="24" xfId="2" applyFont="1" applyBorder="1" applyAlignment="1">
      <alignment horizontal="center" vertical="center"/>
    </xf>
    <xf numFmtId="0" fontId="27" fillId="0" borderId="24" xfId="2" applyFont="1" applyBorder="1"/>
    <xf numFmtId="4" fontId="29" fillId="0" borderId="24" xfId="2" applyNumberFormat="1" applyFont="1" applyBorder="1" applyAlignment="1">
      <alignment horizontal="center" vertical="center"/>
    </xf>
    <xf numFmtId="164" fontId="27" fillId="0" borderId="24" xfId="2" applyNumberFormat="1" applyFont="1" applyBorder="1"/>
    <xf numFmtId="4" fontId="29" fillId="4" borderId="24" xfId="2" applyNumberFormat="1" applyFont="1" applyFill="1" applyBorder="1" applyAlignment="1">
      <alignment horizontal="center" vertical="center"/>
    </xf>
    <xf numFmtId="4" fontId="29" fillId="4" borderId="25" xfId="2" applyNumberFormat="1" applyFont="1" applyFill="1" applyBorder="1" applyAlignment="1">
      <alignment horizontal="center" vertical="center"/>
    </xf>
    <xf numFmtId="0" fontId="27" fillId="0" borderId="26" xfId="2" applyFont="1" applyBorder="1"/>
    <xf numFmtId="0" fontId="29" fillId="2" borderId="11" xfId="2" applyFont="1" applyFill="1" applyBorder="1" applyAlignment="1">
      <alignment horizontal="center" vertical="center"/>
    </xf>
    <xf numFmtId="0" fontId="27" fillId="2" borderId="27" xfId="2" applyFont="1" applyFill="1" applyBorder="1"/>
    <xf numFmtId="4" fontId="27" fillId="7" borderId="19" xfId="2" applyNumberFormat="1" applyFont="1" applyFill="1" applyBorder="1" applyAlignment="1">
      <alignment horizontal="center" vertical="center"/>
    </xf>
    <xf numFmtId="4" fontId="34" fillId="7" borderId="4" xfId="0" applyNumberFormat="1" applyFont="1" applyFill="1" applyBorder="1" applyAlignment="1">
      <alignment horizontal="center" vertical="center" wrapText="1"/>
    </xf>
    <xf numFmtId="4" fontId="27" fillId="7" borderId="17" xfId="2" applyNumberFormat="1" applyFont="1" applyFill="1" applyBorder="1" applyAlignment="1">
      <alignment horizontal="center" vertical="center"/>
    </xf>
    <xf numFmtId="4" fontId="0" fillId="7" borderId="4" xfId="0" applyNumberFormat="1" applyFill="1" applyBorder="1" applyAlignment="1">
      <alignment horizontal="center" vertical="center" wrapText="1"/>
    </xf>
    <xf numFmtId="4" fontId="27" fillId="7" borderId="18" xfId="2" applyNumberFormat="1" applyFont="1" applyFill="1" applyBorder="1" applyAlignment="1">
      <alignment horizontal="center" vertical="center"/>
    </xf>
    <xf numFmtId="4" fontId="35" fillId="6" borderId="4" xfId="2" applyNumberFormat="1" applyFont="1" applyFill="1" applyBorder="1" applyAlignment="1">
      <alignment horizontal="center" vertical="center"/>
    </xf>
    <xf numFmtId="4" fontId="35" fillId="6" borderId="4" xfId="2" applyNumberFormat="1" applyFont="1" applyFill="1" applyBorder="1" applyAlignment="1">
      <alignment horizontal="center" vertical="center" wrapText="1"/>
    </xf>
    <xf numFmtId="4" fontId="36" fillId="6" borderId="4" xfId="2" applyNumberFormat="1" applyFont="1" applyFill="1" applyBorder="1" applyAlignment="1">
      <alignment horizontal="center" vertical="center"/>
    </xf>
    <xf numFmtId="4" fontId="36" fillId="6" borderId="10" xfId="2" applyNumberFormat="1" applyFont="1" applyFill="1" applyBorder="1" applyAlignment="1">
      <alignment horizontal="center" vertical="center"/>
    </xf>
    <xf numFmtId="4" fontId="35" fillId="6" borderId="10" xfId="2" applyNumberFormat="1" applyFont="1" applyFill="1" applyBorder="1" applyAlignment="1">
      <alignment horizontal="center" vertical="center"/>
    </xf>
    <xf numFmtId="4" fontId="37" fillId="4" borderId="24" xfId="2" applyNumberFormat="1" applyFont="1" applyFill="1" applyBorder="1" applyAlignment="1">
      <alignment horizontal="center" vertical="center"/>
    </xf>
    <xf numFmtId="4" fontId="38" fillId="7" borderId="4" xfId="0" applyNumberFormat="1" applyFont="1" applyFill="1" applyBorder="1" applyAlignment="1">
      <alignment horizontal="center" vertical="center" wrapText="1"/>
    </xf>
    <xf numFmtId="4" fontId="35" fillId="7" borderId="9" xfId="2" applyNumberFormat="1" applyFont="1" applyFill="1" applyBorder="1" applyAlignment="1">
      <alignment horizontal="center" vertical="center"/>
    </xf>
    <xf numFmtId="0" fontId="36" fillId="7" borderId="4" xfId="2" applyFont="1" applyFill="1" applyBorder="1" applyAlignment="1">
      <alignment horizontal="center" vertical="center"/>
    </xf>
    <xf numFmtId="4" fontId="35" fillId="7" borderId="4" xfId="2" applyNumberFormat="1" applyFont="1" applyFill="1" applyBorder="1" applyAlignment="1">
      <alignment horizontal="center" vertical="center"/>
    </xf>
    <xf numFmtId="4" fontId="39" fillId="7" borderId="4" xfId="0" applyNumberFormat="1" applyFont="1" applyFill="1" applyBorder="1" applyAlignment="1">
      <alignment horizontal="center" vertical="top" wrapText="1"/>
    </xf>
    <xf numFmtId="4" fontId="40" fillId="7" borderId="4" xfId="0" applyNumberFormat="1" applyFont="1" applyFill="1" applyBorder="1" applyAlignment="1">
      <alignment horizontal="center" vertical="center" wrapText="1"/>
    </xf>
    <xf numFmtId="4" fontId="41" fillId="7" borderId="4" xfId="0" applyNumberFormat="1" applyFont="1" applyFill="1" applyBorder="1" applyAlignment="1">
      <alignment horizontal="center" vertical="center" wrapText="1"/>
    </xf>
    <xf numFmtId="0" fontId="41" fillId="7" borderId="4" xfId="0" applyFont="1" applyFill="1" applyBorder="1" applyAlignment="1">
      <alignment wrapText="1"/>
    </xf>
    <xf numFmtId="0" fontId="41" fillId="7" borderId="10" xfId="0" applyFont="1" applyFill="1" applyBorder="1" applyAlignment="1">
      <alignment wrapText="1"/>
    </xf>
    <xf numFmtId="4" fontId="35" fillId="7" borderId="10" xfId="2" applyNumberFormat="1" applyFont="1" applyFill="1" applyBorder="1" applyAlignment="1">
      <alignment horizontal="center" vertical="center"/>
    </xf>
    <xf numFmtId="0" fontId="26" fillId="0" borderId="0" xfId="3" applyFont="1" applyAlignment="1">
      <alignment horizontal="center" vertical="center"/>
    </xf>
    <xf numFmtId="164" fontId="43" fillId="0" borderId="4" xfId="5" applyFont="1" applyFill="1" applyBorder="1" applyAlignment="1">
      <alignment horizontal="center" vertical="center"/>
    </xf>
    <xf numFmtId="164" fontId="43" fillId="0" borderId="10" xfId="5" applyFont="1" applyFill="1" applyBorder="1" applyAlignment="1">
      <alignment horizontal="center" vertical="center"/>
    </xf>
    <xf numFmtId="4" fontId="27" fillId="0" borderId="0" xfId="7" applyNumberFormat="1" applyFont="1" applyAlignment="1">
      <alignment horizontal="center" vertical="center"/>
    </xf>
    <xf numFmtId="0" fontId="27" fillId="0" borderId="0" xfId="7" applyFont="1"/>
    <xf numFmtId="0" fontId="27" fillId="0" borderId="0" xfId="7" applyFont="1" applyAlignment="1">
      <alignment horizontal="center" vertical="center"/>
    </xf>
    <xf numFmtId="0" fontId="27" fillId="0" borderId="4" xfId="7" applyFont="1" applyBorder="1" applyAlignment="1">
      <alignment horizontal="center" vertical="center"/>
    </xf>
    <xf numFmtId="0" fontId="29" fillId="4" borderId="4" xfId="7" applyFont="1" applyFill="1" applyBorder="1" applyAlignment="1">
      <alignment horizontal="center" vertical="center" wrapText="1"/>
    </xf>
    <xf numFmtId="4" fontId="29" fillId="4" borderId="4" xfId="7" applyNumberFormat="1" applyFont="1" applyFill="1" applyBorder="1" applyAlignment="1">
      <alignment horizontal="center" vertical="center" wrapText="1"/>
    </xf>
    <xf numFmtId="0" fontId="32" fillId="4" borderId="4" xfId="7" applyFont="1" applyFill="1" applyBorder="1" applyAlignment="1">
      <alignment horizontal="center" vertical="center" wrapText="1"/>
    </xf>
    <xf numFmtId="4" fontId="32" fillId="4" borderId="4" xfId="7" applyNumberFormat="1" applyFont="1" applyFill="1" applyBorder="1" applyAlignment="1">
      <alignment horizontal="center" vertical="center" wrapText="1"/>
    </xf>
    <xf numFmtId="0" fontId="29" fillId="5" borderId="4" xfId="7" applyFont="1" applyFill="1" applyBorder="1" applyAlignment="1">
      <alignment horizontal="center" vertical="center" wrapText="1"/>
    </xf>
    <xf numFmtId="49" fontId="28" fillId="4" borderId="4" xfId="7" applyNumberFormat="1" applyFont="1" applyFill="1" applyBorder="1" applyAlignment="1">
      <alignment horizontal="center" vertical="center" wrapText="1"/>
    </xf>
    <xf numFmtId="49" fontId="28" fillId="5" borderId="4" xfId="7" applyNumberFormat="1" applyFont="1" applyFill="1" applyBorder="1" applyAlignment="1">
      <alignment horizontal="center" vertical="center" wrapText="1"/>
    </xf>
    <xf numFmtId="0" fontId="31" fillId="0" borderId="4" xfId="7" applyFont="1" applyBorder="1" applyAlignment="1">
      <alignment horizontal="center" vertical="center"/>
    </xf>
    <xf numFmtId="0" fontId="29" fillId="0" borderId="4" xfId="7" applyFont="1" applyBorder="1" applyAlignment="1">
      <alignment horizontal="center" vertical="center"/>
    </xf>
    <xf numFmtId="0" fontId="31" fillId="0" borderId="4" xfId="7" applyFont="1" applyBorder="1" applyAlignment="1">
      <alignment horizontal="left" vertical="center" wrapText="1"/>
    </xf>
    <xf numFmtId="164" fontId="31" fillId="0" borderId="4" xfId="8" applyFont="1" applyFill="1" applyBorder="1" applyAlignment="1">
      <alignment horizontal="center" vertical="center"/>
    </xf>
    <xf numFmtId="167" fontId="31" fillId="0" borderId="4" xfId="7" applyNumberFormat="1" applyFont="1" applyBorder="1" applyAlignment="1">
      <alignment horizontal="center" vertical="center"/>
    </xf>
    <xf numFmtId="4" fontId="26" fillId="0" borderId="4" xfId="7" applyNumberFormat="1" applyFont="1" applyBorder="1" applyAlignment="1">
      <alignment horizontal="center" vertical="center"/>
    </xf>
    <xf numFmtId="4" fontId="27" fillId="4" borderId="4" xfId="7" applyNumberFormat="1" applyFont="1" applyFill="1" applyBorder="1" applyAlignment="1">
      <alignment horizontal="center" vertical="center"/>
    </xf>
    <xf numFmtId="4" fontId="27" fillId="5" borderId="4" xfId="7" applyNumberFormat="1" applyFont="1" applyFill="1" applyBorder="1" applyAlignment="1">
      <alignment horizontal="center" vertical="center"/>
    </xf>
    <xf numFmtId="4" fontId="31" fillId="5" borderId="4" xfId="7" applyNumberFormat="1" applyFont="1" applyFill="1" applyBorder="1" applyAlignment="1">
      <alignment horizontal="center" vertical="center"/>
    </xf>
    <xf numFmtId="14" fontId="29" fillId="0" borderId="4" xfId="7" applyNumberFormat="1" applyFont="1" applyBorder="1" applyAlignment="1">
      <alignment horizontal="center" vertical="center"/>
    </xf>
    <xf numFmtId="0" fontId="29" fillId="0" borderId="10" xfId="7" applyFont="1" applyBorder="1" applyAlignment="1">
      <alignment horizontal="center" vertical="center"/>
    </xf>
    <xf numFmtId="0" fontId="31" fillId="0" borderId="10" xfId="7" applyFont="1" applyBorder="1" applyAlignment="1">
      <alignment horizontal="left" vertical="center" wrapText="1"/>
    </xf>
    <xf numFmtId="164" fontId="31" fillId="0" borderId="10" xfId="8" applyFont="1" applyFill="1" applyBorder="1" applyAlignment="1">
      <alignment horizontal="center" vertical="center"/>
    </xf>
    <xf numFmtId="167" fontId="31" fillId="0" borderId="10" xfId="7" applyNumberFormat="1" applyFont="1" applyBorder="1" applyAlignment="1">
      <alignment horizontal="center" vertical="center"/>
    </xf>
    <xf numFmtId="4" fontId="26" fillId="0" borderId="10" xfId="7" applyNumberFormat="1" applyFont="1" applyBorder="1" applyAlignment="1">
      <alignment horizontal="center" vertical="center"/>
    </xf>
    <xf numFmtId="4" fontId="27" fillId="4" borderId="10" xfId="7" applyNumberFormat="1" applyFont="1" applyFill="1" applyBorder="1" applyAlignment="1">
      <alignment horizontal="center" vertical="center"/>
    </xf>
    <xf numFmtId="4" fontId="27" fillId="5" borderId="10" xfId="7" applyNumberFormat="1" applyFont="1" applyFill="1" applyBorder="1" applyAlignment="1">
      <alignment horizontal="center" vertical="center"/>
    </xf>
    <xf numFmtId="4" fontId="31" fillId="5" borderId="10" xfId="7" applyNumberFormat="1" applyFont="1" applyFill="1" applyBorder="1" applyAlignment="1">
      <alignment horizontal="center" vertical="center"/>
    </xf>
    <xf numFmtId="0" fontId="27" fillId="0" borderId="4" xfId="7" applyFont="1" applyBorder="1"/>
    <xf numFmtId="0" fontId="29" fillId="0" borderId="9" xfId="7" applyFont="1" applyBorder="1" applyAlignment="1">
      <alignment horizontal="center" vertical="center"/>
    </xf>
    <xf numFmtId="0" fontId="27" fillId="0" borderId="9" xfId="7" applyFont="1" applyBorder="1"/>
    <xf numFmtId="4" fontId="29" fillId="0" borderId="9" xfId="7" applyNumberFormat="1" applyFont="1" applyBorder="1" applyAlignment="1">
      <alignment horizontal="center" vertical="center"/>
    </xf>
    <xf numFmtId="164" fontId="27" fillId="0" borderId="9" xfId="7" applyNumberFormat="1" applyFont="1" applyBorder="1"/>
    <xf numFmtId="4" fontId="29" fillId="4" borderId="9" xfId="7" applyNumberFormat="1" applyFont="1" applyFill="1" applyBorder="1" applyAlignment="1">
      <alignment horizontal="center" vertical="center"/>
    </xf>
    <xf numFmtId="0" fontId="29" fillId="0" borderId="0" xfId="7" applyFont="1" applyAlignment="1">
      <alignment horizontal="center" vertical="center"/>
    </xf>
    <xf numFmtId="4" fontId="29" fillId="0" borderId="0" xfId="7" applyNumberFormat="1" applyFont="1" applyAlignment="1">
      <alignment horizontal="center" vertical="center"/>
    </xf>
    <xf numFmtId="164" fontId="27" fillId="0" borderId="0" xfId="7" applyNumberFormat="1" applyFont="1"/>
    <xf numFmtId="4" fontId="27" fillId="0" borderId="0" xfId="7" applyNumberFormat="1" applyFont="1"/>
    <xf numFmtId="165" fontId="27" fillId="0" borderId="0" xfId="7" applyNumberFormat="1" applyFont="1"/>
    <xf numFmtId="2" fontId="27" fillId="0" borderId="0" xfId="7" applyNumberFormat="1" applyFont="1"/>
    <xf numFmtId="0" fontId="42" fillId="0" borderId="16" xfId="2" applyFont="1" applyBorder="1" applyAlignment="1">
      <alignment horizontal="center" vertical="center"/>
    </xf>
    <xf numFmtId="0" fontId="42" fillId="0" borderId="4" xfId="2" applyFont="1" applyBorder="1" applyAlignment="1">
      <alignment horizontal="left" vertical="center" wrapText="1"/>
    </xf>
    <xf numFmtId="4" fontId="32" fillId="0" borderId="4" xfId="2" applyNumberFormat="1" applyFont="1" applyBorder="1" applyAlignment="1">
      <alignment horizontal="center" vertical="center"/>
    </xf>
    <xf numFmtId="4" fontId="42" fillId="5" borderId="4" xfId="2" applyNumberFormat="1" applyFont="1" applyFill="1" applyBorder="1" applyAlignment="1">
      <alignment horizontal="center" vertical="center"/>
    </xf>
    <xf numFmtId="4" fontId="42" fillId="6" borderId="17" xfId="2" applyNumberFormat="1" applyFont="1" applyFill="1" applyBorder="1" applyAlignment="1">
      <alignment horizontal="center" vertical="center"/>
    </xf>
    <xf numFmtId="4" fontId="44" fillId="6" borderId="4" xfId="2" applyNumberFormat="1" applyFont="1" applyFill="1" applyBorder="1" applyAlignment="1">
      <alignment horizontal="center" vertical="center" wrapText="1"/>
    </xf>
    <xf numFmtId="0" fontId="45" fillId="0" borderId="0" xfId="2" applyFont="1" applyAlignment="1">
      <alignment vertical="center" wrapText="1" shrinkToFit="1"/>
    </xf>
    <xf numFmtId="4" fontId="45" fillId="0" borderId="0" xfId="2" applyNumberFormat="1" applyFont="1" applyAlignment="1">
      <alignment vertical="center" wrapText="1" shrinkToFit="1"/>
    </xf>
    <xf numFmtId="0" fontId="46" fillId="0" borderId="0" xfId="2" applyFont="1" applyAlignment="1">
      <alignment vertical="center" wrapText="1" shrinkToFit="1"/>
    </xf>
    <xf numFmtId="4" fontId="0" fillId="7" borderId="17" xfId="0" applyNumberFormat="1" applyFill="1" applyBorder="1" applyAlignment="1">
      <alignment horizontal="center" vertical="center" wrapText="1"/>
    </xf>
    <xf numFmtId="4" fontId="34" fillId="7" borderId="17" xfId="0" applyNumberFormat="1" applyFont="1" applyFill="1" applyBorder="1" applyAlignment="1">
      <alignment horizontal="center" vertical="center" wrapText="1"/>
    </xf>
    <xf numFmtId="4" fontId="27" fillId="2" borderId="4" xfId="2" applyNumberFormat="1" applyFont="1" applyFill="1" applyBorder="1" applyAlignment="1">
      <alignment horizontal="center" vertical="center"/>
    </xf>
    <xf numFmtId="4" fontId="35" fillId="2" borderId="4" xfId="2" applyNumberFormat="1" applyFont="1" applyFill="1" applyBorder="1" applyAlignment="1">
      <alignment horizontal="center" vertical="center"/>
    </xf>
    <xf numFmtId="4" fontId="27" fillId="2" borderId="17" xfId="2" applyNumberFormat="1" applyFont="1" applyFill="1" applyBorder="1" applyAlignment="1">
      <alignment horizontal="center" vertical="center"/>
    </xf>
    <xf numFmtId="0" fontId="32" fillId="8" borderId="4" xfId="2" applyFont="1" applyFill="1" applyBorder="1" applyAlignment="1">
      <alignment horizontal="center" vertical="center"/>
    </xf>
    <xf numFmtId="0" fontId="29" fillId="8" borderId="4" xfId="2" applyFont="1" applyFill="1" applyBorder="1" applyAlignment="1">
      <alignment horizontal="center" vertical="center"/>
    </xf>
    <xf numFmtId="49" fontId="29" fillId="8" borderId="4" xfId="2" applyNumberFormat="1" applyFont="1" applyFill="1" applyBorder="1" applyAlignment="1">
      <alignment horizontal="center" vertical="center"/>
    </xf>
    <xf numFmtId="0" fontId="29" fillId="8" borderId="10" xfId="2" applyFont="1" applyFill="1" applyBorder="1" applyAlignment="1">
      <alignment horizontal="center" vertical="center"/>
    </xf>
    <xf numFmtId="0" fontId="45" fillId="9" borderId="0" xfId="2" applyFont="1" applyFill="1" applyAlignment="1">
      <alignment vertical="center" wrapText="1" shrinkToFit="1"/>
    </xf>
    <xf numFmtId="0" fontId="45" fillId="10" borderId="0" xfId="2" applyFont="1" applyFill="1" applyAlignment="1">
      <alignment vertical="center" wrapText="1" shrinkToFit="1"/>
    </xf>
    <xf numFmtId="4" fontId="35" fillId="11" borderId="4" xfId="2" applyNumberFormat="1" applyFont="1" applyFill="1" applyBorder="1" applyAlignment="1">
      <alignment horizontal="center" vertical="center" wrapText="1"/>
    </xf>
    <xf numFmtId="4" fontId="36" fillId="11" borderId="4" xfId="2" applyNumberFormat="1" applyFont="1" applyFill="1" applyBorder="1" applyAlignment="1">
      <alignment horizontal="center" vertical="center"/>
    </xf>
    <xf numFmtId="0" fontId="42" fillId="12" borderId="16" xfId="2" applyFont="1" applyFill="1" applyBorder="1" applyAlignment="1">
      <alignment horizontal="center" vertical="center"/>
    </xf>
    <xf numFmtId="0" fontId="32" fillId="12" borderId="4" xfId="2" applyFont="1" applyFill="1" applyBorder="1" applyAlignment="1">
      <alignment horizontal="center" vertical="center"/>
    </xf>
    <xf numFmtId="0" fontId="42" fillId="12" borderId="4" xfId="2" applyFont="1" applyFill="1" applyBorder="1" applyAlignment="1">
      <alignment horizontal="left" vertical="center" wrapText="1"/>
    </xf>
    <xf numFmtId="164" fontId="43" fillId="12" borderId="4" xfId="5" applyFont="1" applyFill="1" applyBorder="1" applyAlignment="1">
      <alignment horizontal="center" vertical="center"/>
    </xf>
    <xf numFmtId="167" fontId="31" fillId="12" borderId="4" xfId="2" applyNumberFormat="1" applyFont="1" applyFill="1" applyBorder="1" applyAlignment="1">
      <alignment horizontal="center" vertical="center"/>
    </xf>
    <xf numFmtId="4" fontId="32" fillId="12" borderId="4" xfId="2" applyNumberFormat="1" applyFont="1" applyFill="1" applyBorder="1" applyAlignment="1">
      <alignment horizontal="center" vertical="center"/>
    </xf>
    <xf numFmtId="4" fontId="27" fillId="12" borderId="4" xfId="2" applyNumberFormat="1" applyFont="1" applyFill="1" applyBorder="1" applyAlignment="1">
      <alignment horizontal="center" vertical="center"/>
    </xf>
    <xf numFmtId="4" fontId="42" fillId="12" borderId="4" xfId="2" applyNumberFormat="1" applyFont="1" applyFill="1" applyBorder="1" applyAlignment="1">
      <alignment horizontal="center" vertical="center"/>
    </xf>
    <xf numFmtId="4" fontId="44" fillId="12" borderId="4" xfId="2" applyNumberFormat="1" applyFont="1" applyFill="1" applyBorder="1" applyAlignment="1">
      <alignment horizontal="center" vertical="center" wrapText="1"/>
    </xf>
    <xf numFmtId="4" fontId="42" fillId="12" borderId="17" xfId="2" applyNumberFormat="1" applyFont="1" applyFill="1" applyBorder="1" applyAlignment="1">
      <alignment horizontal="center" vertical="center"/>
    </xf>
    <xf numFmtId="4" fontId="44" fillId="12" borderId="4" xfId="2" applyNumberFormat="1" applyFont="1" applyFill="1" applyBorder="1" applyAlignment="1">
      <alignment horizontal="center" vertical="center"/>
    </xf>
    <xf numFmtId="4" fontId="35" fillId="12" borderId="4" xfId="2" applyNumberFormat="1" applyFont="1" applyFill="1" applyBorder="1" applyAlignment="1">
      <alignment horizontal="center" vertical="center"/>
    </xf>
    <xf numFmtId="4" fontId="27" fillId="12" borderId="17" xfId="2" applyNumberFormat="1" applyFont="1" applyFill="1" applyBorder="1" applyAlignment="1">
      <alignment horizontal="center" vertical="center"/>
    </xf>
    <xf numFmtId="4" fontId="35" fillId="12" borderId="4" xfId="2" applyNumberFormat="1" applyFont="1" applyFill="1" applyBorder="1" applyAlignment="1">
      <alignment horizontal="center" vertical="center" wrapText="1"/>
    </xf>
    <xf numFmtId="0" fontId="45" fillId="3" borderId="0" xfId="2" applyFont="1" applyFill="1" applyAlignment="1">
      <alignment vertical="center" wrapText="1" shrinkToFit="1"/>
    </xf>
    <xf numFmtId="0" fontId="48" fillId="0" borderId="0" xfId="2" applyFont="1" applyAlignment="1">
      <alignment vertical="center" wrapText="1" shrinkToFit="1"/>
    </xf>
    <xf numFmtId="4" fontId="27" fillId="6" borderId="17" xfId="2" applyNumberFormat="1" applyFont="1" applyFill="1" applyBorder="1" applyAlignment="1">
      <alignment horizontal="center" vertical="center" wrapText="1"/>
    </xf>
    <xf numFmtId="4" fontId="27" fillId="6" borderId="18" xfId="2" applyNumberFormat="1" applyFont="1" applyFill="1" applyBorder="1" applyAlignment="1">
      <alignment horizontal="center" vertical="center" wrapText="1"/>
    </xf>
    <xf numFmtId="4" fontId="29" fillId="4" borderId="25" xfId="2" applyNumberFormat="1" applyFont="1" applyFill="1" applyBorder="1" applyAlignment="1">
      <alignment horizontal="center" vertical="center" wrapText="1"/>
    </xf>
    <xf numFmtId="4" fontId="27" fillId="7" borderId="19" xfId="2" applyNumberFormat="1" applyFont="1" applyFill="1" applyBorder="1" applyAlignment="1">
      <alignment horizontal="center" vertical="center" wrapText="1"/>
    </xf>
    <xf numFmtId="4" fontId="27" fillId="2" borderId="17" xfId="2" applyNumberFormat="1" applyFont="1" applyFill="1" applyBorder="1" applyAlignment="1">
      <alignment horizontal="center" vertical="center" wrapText="1"/>
    </xf>
    <xf numFmtId="4" fontId="27" fillId="7" borderId="17" xfId="2" applyNumberFormat="1" applyFont="1" applyFill="1" applyBorder="1" applyAlignment="1">
      <alignment horizontal="center" vertical="center" wrapText="1"/>
    </xf>
    <xf numFmtId="4" fontId="27" fillId="7" borderId="18" xfId="2" applyNumberFormat="1" applyFont="1" applyFill="1" applyBorder="1" applyAlignment="1">
      <alignment horizontal="center" vertical="center" wrapText="1"/>
    </xf>
    <xf numFmtId="4" fontId="29" fillId="4" borderId="20" xfId="2" applyNumberFormat="1" applyFont="1" applyFill="1" applyBorder="1" applyAlignment="1">
      <alignment horizontal="center" vertical="center" wrapText="1"/>
    </xf>
    <xf numFmtId="4" fontId="29" fillId="2" borderId="12" xfId="2" applyNumberFormat="1" applyFont="1" applyFill="1" applyBorder="1" applyAlignment="1">
      <alignment horizontal="center" vertical="center" wrapText="1"/>
    </xf>
    <xf numFmtId="0" fontId="31" fillId="3" borderId="16" xfId="2" applyFont="1" applyFill="1" applyBorder="1" applyAlignment="1">
      <alignment horizontal="center" vertical="center"/>
    </xf>
    <xf numFmtId="0" fontId="29" fillId="3" borderId="4" xfId="2" applyFont="1" applyFill="1" applyBorder="1" applyAlignment="1">
      <alignment horizontal="center" vertical="center"/>
    </xf>
    <xf numFmtId="0" fontId="31" fillId="3" borderId="4" xfId="2" applyFont="1" applyFill="1" applyBorder="1" applyAlignment="1">
      <alignment horizontal="left" vertical="center" wrapText="1"/>
    </xf>
    <xf numFmtId="164" fontId="31" fillId="3" borderId="4" xfId="5" applyFont="1" applyFill="1" applyBorder="1" applyAlignment="1">
      <alignment horizontal="center" vertical="center"/>
    </xf>
    <xf numFmtId="167" fontId="31" fillId="3" borderId="4" xfId="2" applyNumberFormat="1" applyFont="1" applyFill="1" applyBorder="1" applyAlignment="1">
      <alignment horizontal="center" vertical="center"/>
    </xf>
    <xf numFmtId="4" fontId="26" fillId="3" borderId="4" xfId="2" applyNumberFormat="1" applyFont="1" applyFill="1" applyBorder="1" applyAlignment="1">
      <alignment horizontal="center" vertical="center"/>
    </xf>
    <xf numFmtId="0" fontId="36" fillId="7" borderId="4" xfId="2" applyFont="1" applyFill="1" applyBorder="1" applyAlignment="1">
      <alignment horizontal="center" vertical="center" wrapText="1"/>
    </xf>
    <xf numFmtId="4" fontId="49" fillId="6" borderId="17" xfId="2" applyNumberFormat="1" applyFont="1" applyFill="1" applyBorder="1" applyAlignment="1">
      <alignment horizontal="center" vertical="center"/>
    </xf>
    <xf numFmtId="4" fontId="35" fillId="7" borderId="4" xfId="2" applyNumberFormat="1" applyFont="1" applyFill="1" applyBorder="1" applyAlignment="1">
      <alignment horizontal="center" vertical="center" wrapText="1"/>
    </xf>
    <xf numFmtId="4" fontId="35" fillId="7" borderId="9" xfId="2" applyNumberFormat="1" applyFont="1" applyFill="1" applyBorder="1" applyAlignment="1">
      <alignment horizontal="center" vertical="center" wrapText="1"/>
    </xf>
    <xf numFmtId="4" fontId="27" fillId="13" borderId="4" xfId="2" applyNumberFormat="1" applyFont="1" applyFill="1" applyBorder="1" applyAlignment="1">
      <alignment horizontal="center" vertical="center"/>
    </xf>
    <xf numFmtId="4" fontId="35" fillId="13" borderId="4" xfId="2" applyNumberFormat="1" applyFont="1" applyFill="1" applyBorder="1" applyAlignment="1">
      <alignment horizontal="center" vertical="center" wrapText="1"/>
    </xf>
    <xf numFmtId="4" fontId="44" fillId="13" borderId="4" xfId="2" applyNumberFormat="1" applyFont="1" applyFill="1" applyBorder="1" applyAlignment="1">
      <alignment horizontal="center" vertical="center" wrapText="1"/>
    </xf>
    <xf numFmtId="4" fontId="27" fillId="13" borderId="17" xfId="2" applyNumberFormat="1" applyFont="1" applyFill="1" applyBorder="1" applyAlignment="1">
      <alignment horizontal="center" vertical="center"/>
    </xf>
    <xf numFmtId="0" fontId="46" fillId="13" borderId="0" xfId="2" applyFont="1" applyFill="1" applyAlignment="1">
      <alignment vertical="center" wrapText="1" shrinkToFit="1"/>
    </xf>
    <xf numFmtId="4" fontId="29" fillId="13" borderId="17" xfId="2" applyNumberFormat="1" applyFont="1" applyFill="1" applyBorder="1" applyAlignment="1">
      <alignment horizontal="center" vertical="center"/>
    </xf>
    <xf numFmtId="4" fontId="29" fillId="13" borderId="17" xfId="2" applyNumberFormat="1" applyFont="1" applyFill="1" applyBorder="1" applyAlignment="1">
      <alignment horizontal="center" vertical="center" wrapText="1"/>
    </xf>
    <xf numFmtId="4" fontId="42" fillId="13" borderId="4" xfId="2" applyNumberFormat="1" applyFont="1" applyFill="1" applyBorder="1" applyAlignment="1">
      <alignment horizontal="center" vertical="center"/>
    </xf>
    <xf numFmtId="4" fontId="42" fillId="13" borderId="17" xfId="2" applyNumberFormat="1" applyFont="1" applyFill="1" applyBorder="1" applyAlignment="1">
      <alignment horizontal="center" vertical="center"/>
    </xf>
    <xf numFmtId="0" fontId="45" fillId="13" borderId="0" xfId="2" applyFont="1" applyFill="1" applyAlignment="1">
      <alignment vertical="center" wrapText="1" shrinkToFit="1"/>
    </xf>
    <xf numFmtId="4" fontId="44" fillId="13" borderId="4" xfId="2" applyNumberFormat="1" applyFont="1" applyFill="1" applyBorder="1" applyAlignment="1">
      <alignment horizontal="center" vertical="center"/>
    </xf>
    <xf numFmtId="0" fontId="26" fillId="0" borderId="0" xfId="3" applyFont="1" applyAlignment="1">
      <alignment horizontal="center" vertical="center"/>
    </xf>
    <xf numFmtId="0" fontId="27" fillId="0" borderId="13" xfId="2" applyFont="1" applyBorder="1" applyAlignment="1">
      <alignment horizontal="center" vertical="center"/>
    </xf>
    <xf numFmtId="0" fontId="27" fillId="0" borderId="16" xfId="2" applyFont="1" applyBorder="1" applyAlignment="1">
      <alignment horizontal="center" vertical="center"/>
    </xf>
    <xf numFmtId="0" fontId="27" fillId="0" borderId="14" xfId="2" applyFont="1" applyBorder="1" applyAlignment="1">
      <alignment horizontal="center" vertical="center"/>
    </xf>
    <xf numFmtId="0" fontId="27" fillId="0" borderId="4" xfId="2" applyFont="1" applyBorder="1" applyAlignment="1">
      <alignment horizontal="center" vertical="center"/>
    </xf>
    <xf numFmtId="0" fontId="27" fillId="0" borderId="14" xfId="2" applyFont="1" applyBorder="1" applyAlignment="1">
      <alignment horizontal="center" vertical="center" wrapText="1"/>
    </xf>
    <xf numFmtId="0" fontId="27" fillId="0" borderId="4" xfId="2" applyFont="1" applyBorder="1" applyAlignment="1">
      <alignment horizontal="center" vertical="center" wrapText="1"/>
    </xf>
    <xf numFmtId="0" fontId="26" fillId="3" borderId="4" xfId="2" applyFont="1" applyFill="1" applyBorder="1" applyAlignment="1">
      <alignment horizontal="center" vertical="center"/>
    </xf>
    <xf numFmtId="4" fontId="31" fillId="3" borderId="4" xfId="2" applyNumberFormat="1" applyFont="1" applyFill="1" applyBorder="1" applyAlignment="1">
      <alignment horizontal="center" vertical="center"/>
    </xf>
    <xf numFmtId="4" fontId="31" fillId="3" borderId="17" xfId="2" applyNumberFormat="1" applyFont="1" applyFill="1" applyBorder="1" applyAlignment="1">
      <alignment horizontal="center" vertical="center"/>
    </xf>
    <xf numFmtId="4" fontId="26" fillId="3" borderId="17" xfId="2" applyNumberFormat="1" applyFont="1" applyFill="1" applyBorder="1" applyAlignment="1">
      <alignment horizontal="center" vertical="center"/>
    </xf>
    <xf numFmtId="0" fontId="27" fillId="8" borderId="23" xfId="2" applyFont="1" applyFill="1" applyBorder="1"/>
    <xf numFmtId="0" fontId="29" fillId="8" borderId="24" xfId="2" applyFont="1" applyFill="1" applyBorder="1" applyAlignment="1">
      <alignment horizontal="center" vertical="center"/>
    </xf>
    <xf numFmtId="0" fontId="27" fillId="8" borderId="24" xfId="2" applyFont="1" applyFill="1" applyBorder="1"/>
    <xf numFmtId="4" fontId="29" fillId="8" borderId="24" xfId="2" applyNumberFormat="1" applyFont="1" applyFill="1" applyBorder="1" applyAlignment="1">
      <alignment horizontal="center" vertical="center"/>
    </xf>
    <xf numFmtId="164" fontId="27" fillId="8" borderId="24" xfId="2" applyNumberFormat="1" applyFont="1" applyFill="1" applyBorder="1"/>
    <xf numFmtId="4" fontId="29" fillId="8" borderId="25" xfId="2" applyNumberFormat="1" applyFont="1" applyFill="1" applyBorder="1" applyAlignment="1">
      <alignment horizontal="center" vertical="center"/>
    </xf>
    <xf numFmtId="0" fontId="27" fillId="0" borderId="0" xfId="2" applyFont="1" applyAlignment="1">
      <alignment wrapText="1"/>
    </xf>
    <xf numFmtId="0" fontId="27" fillId="0" borderId="0" xfId="2" applyFont="1" applyAlignment="1">
      <alignment horizontal="center" vertical="center" wrapText="1"/>
    </xf>
    <xf numFmtId="4" fontId="27" fillId="0" borderId="0" xfId="2" applyNumberFormat="1" applyFont="1" applyAlignment="1">
      <alignment horizontal="center" vertical="center" wrapText="1"/>
    </xf>
    <xf numFmtId="0" fontId="27" fillId="0" borderId="4" xfId="2" applyFont="1" applyBorder="1" applyAlignment="1">
      <alignment wrapText="1"/>
    </xf>
    <xf numFmtId="0" fontId="27" fillId="0" borderId="4" xfId="2" applyFont="1" applyBorder="1" applyAlignment="1">
      <alignment vertical="center" wrapText="1"/>
    </xf>
    <xf numFmtId="4" fontId="26" fillId="8" borderId="24" xfId="2" applyNumberFormat="1" applyFont="1" applyFill="1" applyBorder="1" applyAlignment="1">
      <alignment horizontal="center" vertical="center"/>
    </xf>
    <xf numFmtId="4" fontId="26" fillId="8" borderId="25" xfId="2" applyNumberFormat="1" applyFont="1" applyFill="1" applyBorder="1" applyAlignment="1">
      <alignment horizontal="center" vertical="center"/>
    </xf>
    <xf numFmtId="0" fontId="50" fillId="0" borderId="4" xfId="0" applyFont="1" applyBorder="1" applyAlignment="1">
      <alignment horizontal="center" vertical="center" wrapText="1"/>
    </xf>
    <xf numFmtId="0" fontId="45" fillId="0" borderId="0" xfId="2" applyFont="1"/>
    <xf numFmtId="49" fontId="27" fillId="4" borderId="4" xfId="2" applyNumberFormat="1" applyFont="1" applyFill="1" applyBorder="1" applyAlignment="1">
      <alignment horizontal="center" vertical="center" wrapText="1"/>
    </xf>
    <xf numFmtId="49" fontId="27" fillId="5" borderId="4" xfId="2" applyNumberFormat="1" applyFont="1" applyFill="1" applyBorder="1" applyAlignment="1">
      <alignment horizontal="center" vertical="center" wrapText="1"/>
    </xf>
    <xf numFmtId="49" fontId="27" fillId="6" borderId="17" xfId="2" applyNumberFormat="1" applyFont="1" applyFill="1" applyBorder="1" applyAlignment="1">
      <alignment horizontal="center" vertical="center" wrapText="1"/>
    </xf>
    <xf numFmtId="49" fontId="29" fillId="6" borderId="15" xfId="2" applyNumberFormat="1" applyFont="1" applyFill="1" applyBorder="1" applyAlignment="1">
      <alignment horizontal="center" vertical="center" wrapText="1"/>
    </xf>
    <xf numFmtId="0" fontId="26" fillId="0" borderId="0" xfId="3" applyFont="1" applyAlignment="1">
      <alignment horizontal="center" vertical="center"/>
    </xf>
    <xf numFmtId="0" fontId="27" fillId="0" borderId="16" xfId="2" applyFont="1" applyBorder="1" applyAlignment="1">
      <alignment horizontal="center" vertical="center"/>
    </xf>
    <xf numFmtId="0" fontId="27" fillId="0" borderId="14" xfId="2" applyFont="1" applyBorder="1" applyAlignment="1">
      <alignment horizontal="center" vertical="center"/>
    </xf>
    <xf numFmtId="0" fontId="27" fillId="0" borderId="4" xfId="2" applyFont="1" applyBorder="1" applyAlignment="1">
      <alignment horizontal="center" vertical="center"/>
    </xf>
    <xf numFmtId="0" fontId="27" fillId="0" borderId="4" xfId="2" applyFont="1" applyBorder="1" applyAlignment="1">
      <alignment horizontal="center" vertical="center" wrapText="1"/>
    </xf>
    <xf numFmtId="0" fontId="31" fillId="2" borderId="16" xfId="2" applyFont="1" applyFill="1" applyBorder="1" applyAlignment="1">
      <alignment horizontal="center" vertical="center"/>
    </xf>
    <xf numFmtId="0" fontId="29" fillId="2" borderId="4" xfId="2" applyFont="1" applyFill="1" applyBorder="1" applyAlignment="1">
      <alignment horizontal="center" vertical="center"/>
    </xf>
    <xf numFmtId="0" fontId="31" fillId="2" borderId="4" xfId="2" applyFont="1" applyFill="1" applyBorder="1" applyAlignment="1">
      <alignment horizontal="left" vertical="center" wrapText="1"/>
    </xf>
    <xf numFmtId="164" fontId="43" fillId="2" borderId="4" xfId="5" applyFont="1" applyFill="1" applyBorder="1" applyAlignment="1">
      <alignment horizontal="center" vertical="center"/>
    </xf>
    <xf numFmtId="167" fontId="31" fillId="2" borderId="4" xfId="2" applyNumberFormat="1" applyFont="1" applyFill="1" applyBorder="1" applyAlignment="1">
      <alignment horizontal="center" vertical="center"/>
    </xf>
    <xf numFmtId="4" fontId="26" fillId="2" borderId="4" xfId="2" applyNumberFormat="1" applyFont="1" applyFill="1" applyBorder="1" applyAlignment="1">
      <alignment horizontal="center" vertical="center"/>
    </xf>
    <xf numFmtId="0" fontId="42" fillId="2" borderId="16" xfId="2" applyFont="1" applyFill="1" applyBorder="1" applyAlignment="1">
      <alignment horizontal="center" vertical="center"/>
    </xf>
    <xf numFmtId="0" fontId="32" fillId="2" borderId="4" xfId="2" applyFont="1" applyFill="1" applyBorder="1" applyAlignment="1">
      <alignment horizontal="center" vertical="center"/>
    </xf>
    <xf numFmtId="0" fontId="42" fillId="2" borderId="4" xfId="2" applyFont="1" applyFill="1" applyBorder="1" applyAlignment="1">
      <alignment horizontal="left" vertical="center" wrapText="1"/>
    </xf>
    <xf numFmtId="4" fontId="32" fillId="2" borderId="4" xfId="2" applyNumberFormat="1" applyFont="1" applyFill="1" applyBorder="1" applyAlignment="1">
      <alignment horizontal="center" vertical="center"/>
    </xf>
    <xf numFmtId="0" fontId="31" fillId="0" borderId="28" xfId="2" applyFont="1" applyBorder="1" applyAlignment="1">
      <alignment horizontal="center" vertical="center"/>
    </xf>
    <xf numFmtId="0" fontId="29" fillId="8" borderId="7" xfId="2" applyFont="1" applyFill="1" applyBorder="1" applyAlignment="1">
      <alignment horizontal="center" vertical="center"/>
    </xf>
    <xf numFmtId="0" fontId="31" fillId="0" borderId="7" xfId="2" applyFont="1" applyBorder="1" applyAlignment="1">
      <alignment horizontal="left" vertical="center" wrapText="1"/>
    </xf>
    <xf numFmtId="164" fontId="43" fillId="0" borderId="7" xfId="5" applyFont="1" applyFill="1" applyBorder="1" applyAlignment="1">
      <alignment horizontal="center" vertical="center"/>
    </xf>
    <xf numFmtId="167" fontId="31" fillId="0" borderId="7" xfId="2" applyNumberFormat="1" applyFont="1" applyBorder="1" applyAlignment="1">
      <alignment horizontal="center" vertical="center"/>
    </xf>
    <xf numFmtId="4" fontId="26" fillId="0" borderId="7" xfId="2" applyNumberFormat="1" applyFont="1" applyBorder="1" applyAlignment="1">
      <alignment horizontal="center" vertical="center"/>
    </xf>
    <xf numFmtId="4" fontId="27" fillId="4" borderId="7" xfId="2" applyNumberFormat="1" applyFont="1" applyFill="1" applyBorder="1" applyAlignment="1">
      <alignment horizontal="center" vertical="center"/>
    </xf>
    <xf numFmtId="4" fontId="27" fillId="5" borderId="7" xfId="2" applyNumberFormat="1" applyFont="1" applyFill="1" applyBorder="1" applyAlignment="1">
      <alignment horizontal="center" vertical="center"/>
    </xf>
    <xf numFmtId="4" fontId="27" fillId="6" borderId="29" xfId="2" applyNumberFormat="1" applyFont="1" applyFill="1" applyBorder="1" applyAlignment="1">
      <alignment horizontal="center" vertical="center"/>
    </xf>
    <xf numFmtId="4" fontId="27" fillId="6" borderId="29" xfId="2" applyNumberFormat="1" applyFont="1" applyFill="1" applyBorder="1" applyAlignment="1">
      <alignment horizontal="center" vertical="center" wrapText="1"/>
    </xf>
    <xf numFmtId="4" fontId="27" fillId="5" borderId="8" xfId="2" applyNumberFormat="1" applyFont="1" applyFill="1" applyBorder="1" applyAlignment="1">
      <alignment horizontal="center" vertical="center"/>
    </xf>
    <xf numFmtId="4" fontId="44" fillId="6" borderId="9" xfId="2" applyNumberFormat="1" applyFont="1" applyFill="1" applyBorder="1" applyAlignment="1">
      <alignment horizontal="center" vertical="center" wrapText="1"/>
    </xf>
    <xf numFmtId="4" fontId="35" fillId="6" borderId="9" xfId="2" applyNumberFormat="1" applyFont="1" applyFill="1" applyBorder="1" applyAlignment="1">
      <alignment horizontal="center" vertical="center" wrapText="1"/>
    </xf>
    <xf numFmtId="4" fontId="27" fillId="6" borderId="20" xfId="2" applyNumberFormat="1" applyFont="1" applyFill="1" applyBorder="1" applyAlignment="1">
      <alignment horizontal="center" vertical="center"/>
    </xf>
    <xf numFmtId="4" fontId="44" fillId="6" borderId="10" xfId="2" applyNumberFormat="1" applyFont="1" applyFill="1" applyBorder="1" applyAlignment="1">
      <alignment horizontal="center" vertical="center" wrapText="1"/>
    </xf>
    <xf numFmtId="4" fontId="35" fillId="6" borderId="10" xfId="2" applyNumberFormat="1" applyFont="1" applyFill="1" applyBorder="1" applyAlignment="1">
      <alignment horizontal="center" vertical="center" wrapText="1"/>
    </xf>
    <xf numFmtId="4" fontId="27" fillId="10" borderId="4" xfId="2" applyNumberFormat="1" applyFont="1" applyFill="1" applyBorder="1" applyAlignment="1">
      <alignment horizontal="center" vertical="center"/>
    </xf>
    <xf numFmtId="4" fontId="27" fillId="10" borderId="10" xfId="2" applyNumberFormat="1" applyFont="1" applyFill="1" applyBorder="1" applyAlignment="1">
      <alignment horizontal="center" vertical="center"/>
    </xf>
    <xf numFmtId="0" fontId="31" fillId="10" borderId="16" xfId="2" applyFont="1" applyFill="1" applyBorder="1" applyAlignment="1">
      <alignment horizontal="center" vertical="center"/>
    </xf>
    <xf numFmtId="0" fontId="31" fillId="10" borderId="4" xfId="2" applyFont="1" applyFill="1" applyBorder="1" applyAlignment="1">
      <alignment horizontal="left" vertical="center" wrapText="1"/>
    </xf>
    <xf numFmtId="164" fontId="43" fillId="10" borderId="4" xfId="5" applyFont="1" applyFill="1" applyBorder="1" applyAlignment="1">
      <alignment horizontal="center" vertical="center"/>
    </xf>
    <xf numFmtId="167" fontId="31" fillId="10" borderId="4" xfId="2" applyNumberFormat="1" applyFont="1" applyFill="1" applyBorder="1" applyAlignment="1">
      <alignment horizontal="center" vertical="center"/>
    </xf>
    <xf numFmtId="4" fontId="26" fillId="10" borderId="4" xfId="2" applyNumberFormat="1" applyFont="1" applyFill="1" applyBorder="1" applyAlignment="1">
      <alignment horizontal="center" vertical="center"/>
    </xf>
    <xf numFmtId="0" fontId="31" fillId="10" borderId="10" xfId="2" applyFont="1" applyFill="1" applyBorder="1" applyAlignment="1">
      <alignment horizontal="left" vertical="center" wrapText="1"/>
    </xf>
    <xf numFmtId="164" fontId="43" fillId="10" borderId="10" xfId="5" applyFont="1" applyFill="1" applyBorder="1" applyAlignment="1">
      <alignment horizontal="center" vertical="center"/>
    </xf>
    <xf numFmtId="167" fontId="31" fillId="10" borderId="10" xfId="2" applyNumberFormat="1" applyFont="1" applyFill="1" applyBorder="1" applyAlignment="1">
      <alignment horizontal="center" vertical="center"/>
    </xf>
    <xf numFmtId="4" fontId="26" fillId="10" borderId="10" xfId="2" applyNumberFormat="1" applyFont="1" applyFill="1" applyBorder="1" applyAlignment="1">
      <alignment horizontal="center" vertical="center"/>
    </xf>
    <xf numFmtId="0" fontId="31" fillId="14" borderId="16" xfId="2" applyFont="1" applyFill="1" applyBorder="1" applyAlignment="1">
      <alignment horizontal="center" vertical="center"/>
    </xf>
    <xf numFmtId="49" fontId="29" fillId="14" borderId="4" xfId="2" applyNumberFormat="1" applyFont="1" applyFill="1" applyBorder="1" applyAlignment="1">
      <alignment horizontal="center" vertical="center"/>
    </xf>
    <xf numFmtId="0" fontId="31" fillId="14" borderId="4" xfId="2" applyFont="1" applyFill="1" applyBorder="1" applyAlignment="1">
      <alignment horizontal="left" vertical="center" wrapText="1"/>
    </xf>
    <xf numFmtId="164" fontId="43" fillId="14" borderId="4" xfId="5" applyFont="1" applyFill="1" applyBorder="1" applyAlignment="1">
      <alignment horizontal="center" vertical="center"/>
    </xf>
    <xf numFmtId="167" fontId="31" fillId="14" borderId="4" xfId="2" applyNumberFormat="1" applyFont="1" applyFill="1" applyBorder="1" applyAlignment="1">
      <alignment horizontal="center" vertical="center"/>
    </xf>
    <xf numFmtId="4" fontId="26" fillId="14" borderId="4" xfId="2" applyNumberFormat="1" applyFont="1" applyFill="1" applyBorder="1" applyAlignment="1">
      <alignment horizontal="center" vertical="center"/>
    </xf>
    <xf numFmtId="4" fontId="27" fillId="14" borderId="4" xfId="2" applyNumberFormat="1" applyFont="1" applyFill="1" applyBorder="1" applyAlignment="1">
      <alignment horizontal="center" vertical="center"/>
    </xf>
    <xf numFmtId="4" fontId="32" fillId="0" borderId="24" xfId="2" applyNumberFormat="1" applyFont="1" applyBorder="1" applyAlignment="1">
      <alignment horizontal="center" vertical="center"/>
    </xf>
    <xf numFmtId="4" fontId="28" fillId="5" borderId="4" xfId="2" applyNumberFormat="1" applyFont="1" applyFill="1" applyBorder="1" applyAlignment="1">
      <alignment horizontal="center" vertical="center" wrapText="1"/>
    </xf>
    <xf numFmtId="49" fontId="32" fillId="10" borderId="4" xfId="2" applyNumberFormat="1" applyFont="1" applyFill="1" applyBorder="1" applyAlignment="1">
      <alignment horizontal="center" vertical="center"/>
    </xf>
    <xf numFmtId="49" fontId="32" fillId="10" borderId="10" xfId="2" applyNumberFormat="1" applyFont="1" applyFill="1" applyBorder="1" applyAlignment="1">
      <alignment horizontal="center" vertical="center"/>
    </xf>
    <xf numFmtId="0" fontId="32" fillId="0" borderId="4" xfId="2" applyFont="1" applyBorder="1" applyAlignment="1">
      <alignment horizontal="center" vertical="center"/>
    </xf>
    <xf numFmtId="164" fontId="42" fillId="0" borderId="4" xfId="5" applyFont="1" applyFill="1" applyBorder="1" applyAlignment="1">
      <alignment horizontal="center" vertical="center"/>
    </xf>
    <xf numFmtId="167" fontId="42" fillId="0" borderId="4" xfId="2" applyNumberFormat="1" applyFont="1" applyBorder="1" applyAlignment="1">
      <alignment horizontal="center" vertical="center"/>
    </xf>
    <xf numFmtId="4" fontId="42" fillId="4" borderId="4" xfId="2" applyNumberFormat="1" applyFont="1" applyFill="1" applyBorder="1" applyAlignment="1">
      <alignment horizontal="center" vertical="center"/>
    </xf>
    <xf numFmtId="4" fontId="44" fillId="7" borderId="4" xfId="2" applyNumberFormat="1" applyFont="1" applyFill="1" applyBorder="1" applyAlignment="1">
      <alignment horizontal="center" vertical="center"/>
    </xf>
    <xf numFmtId="4" fontId="42" fillId="7" borderId="17" xfId="2" applyNumberFormat="1" applyFont="1" applyFill="1" applyBorder="1" applyAlignment="1">
      <alignment horizontal="center" vertical="center"/>
    </xf>
    <xf numFmtId="0" fontId="32" fillId="0" borderId="10" xfId="2" applyFont="1" applyBorder="1" applyAlignment="1">
      <alignment horizontal="center" vertical="center"/>
    </xf>
    <xf numFmtId="0" fontId="42" fillId="0" borderId="10" xfId="2" applyFont="1" applyBorder="1" applyAlignment="1">
      <alignment horizontal="left" vertical="center" wrapText="1"/>
    </xf>
    <xf numFmtId="164" fontId="42" fillId="0" borderId="10" xfId="5" applyFont="1" applyFill="1" applyBorder="1" applyAlignment="1">
      <alignment horizontal="center" vertical="center"/>
    </xf>
    <xf numFmtId="167" fontId="42" fillId="0" borderId="10" xfId="2" applyNumberFormat="1" applyFont="1" applyBorder="1" applyAlignment="1">
      <alignment horizontal="center" vertical="center"/>
    </xf>
    <xf numFmtId="4" fontId="32" fillId="0" borderId="10" xfId="2" applyNumberFormat="1" applyFont="1" applyBorder="1" applyAlignment="1">
      <alignment horizontal="center" vertical="center"/>
    </xf>
    <xf numFmtId="4" fontId="42" fillId="4" borderId="10" xfId="2" applyNumberFormat="1" applyFont="1" applyFill="1" applyBorder="1" applyAlignment="1">
      <alignment horizontal="center" vertical="center"/>
    </xf>
    <xf numFmtId="4" fontId="42" fillId="5" borderId="10" xfId="2" applyNumberFormat="1" applyFont="1" applyFill="1" applyBorder="1" applyAlignment="1">
      <alignment horizontal="center" vertical="center"/>
    </xf>
    <xf numFmtId="4" fontId="44" fillId="7" borderId="10" xfId="2" applyNumberFormat="1" applyFont="1" applyFill="1" applyBorder="1" applyAlignment="1">
      <alignment horizontal="center" vertical="center"/>
    </xf>
    <xf numFmtId="4" fontId="42" fillId="7" borderId="18" xfId="2" applyNumberFormat="1" applyFont="1" applyFill="1" applyBorder="1" applyAlignment="1">
      <alignment horizontal="center" vertical="center"/>
    </xf>
    <xf numFmtId="0" fontId="53" fillId="0" borderId="0" xfId="4" applyFont="1" applyAlignment="1">
      <alignment horizontal="center"/>
    </xf>
    <xf numFmtId="0" fontId="53" fillId="0" borderId="0" xfId="4" applyFont="1"/>
    <xf numFmtId="0" fontId="53" fillId="0" borderId="4" xfId="9" applyFont="1" applyBorder="1" applyAlignment="1">
      <alignment horizontal="center" vertical="center"/>
    </xf>
    <xf numFmtId="0" fontId="53" fillId="0" borderId="4" xfId="9" applyFont="1" applyBorder="1" applyAlignment="1">
      <alignment horizontal="center" vertical="center" wrapText="1"/>
    </xf>
    <xf numFmtId="0" fontId="43" fillId="0" borderId="4" xfId="9" applyFont="1" applyBorder="1" applyAlignment="1">
      <alignment horizontal="center" vertical="center"/>
    </xf>
    <xf numFmtId="49" fontId="43" fillId="0" borderId="4" xfId="9" applyNumberFormat="1" applyFont="1" applyBorder="1" applyAlignment="1">
      <alignment horizontal="center" vertical="center"/>
    </xf>
    <xf numFmtId="0" fontId="43" fillId="0" borderId="4" xfId="9" applyFont="1" applyBorder="1" applyAlignment="1">
      <alignment horizontal="left" vertical="center" wrapText="1"/>
    </xf>
    <xf numFmtId="43" fontId="43" fillId="0" borderId="4" xfId="10" applyFont="1" applyFill="1" applyBorder="1" applyAlignment="1">
      <alignment horizontal="center" vertical="center"/>
    </xf>
    <xf numFmtId="167" fontId="43" fillId="0" borderId="4" xfId="9" applyNumberFormat="1" applyFont="1" applyBorder="1" applyAlignment="1">
      <alignment horizontal="center" vertical="center"/>
    </xf>
    <xf numFmtId="4" fontId="55" fillId="0" borderId="4" xfId="9" applyNumberFormat="1" applyFont="1" applyBorder="1" applyAlignment="1">
      <alignment horizontal="center" vertical="center"/>
    </xf>
    <xf numFmtId="0" fontId="54" fillId="0" borderId="0" xfId="0" applyFont="1"/>
    <xf numFmtId="49" fontId="43" fillId="0" borderId="4" xfId="9" applyNumberFormat="1" applyFont="1" applyBorder="1" applyAlignment="1">
      <alignment horizontal="center" vertical="center" wrapText="1"/>
    </xf>
    <xf numFmtId="43" fontId="43" fillId="0" borderId="4" xfId="11" applyFont="1" applyFill="1" applyBorder="1" applyAlignment="1">
      <alignment horizontal="center" vertical="center"/>
    </xf>
    <xf numFmtId="0" fontId="54" fillId="0" borderId="0" xfId="12"/>
    <xf numFmtId="4" fontId="54" fillId="0" borderId="0" xfId="12" applyNumberFormat="1"/>
    <xf numFmtId="164" fontId="54" fillId="0" borderId="0" xfId="12" applyNumberFormat="1"/>
    <xf numFmtId="0" fontId="53" fillId="0" borderId="4" xfId="9" applyFont="1" applyBorder="1"/>
    <xf numFmtId="0" fontId="56" fillId="0" borderId="4" xfId="9" applyFont="1" applyBorder="1" applyAlignment="1">
      <alignment horizontal="center" vertical="center"/>
    </xf>
    <xf numFmtId="4" fontId="56" fillId="0" borderId="4" xfId="9" applyNumberFormat="1" applyFont="1" applyBorder="1" applyAlignment="1">
      <alignment horizontal="center" vertical="center"/>
    </xf>
    <xf numFmtId="4" fontId="0" fillId="0" borderId="0" xfId="0" applyNumberFormat="1"/>
    <xf numFmtId="43" fontId="57" fillId="3" borderId="4" xfId="10" applyFont="1" applyFill="1" applyBorder="1" applyAlignment="1">
      <alignment horizontal="center" vertical="center"/>
    </xf>
    <xf numFmtId="43" fontId="57" fillId="3" borderId="4" xfId="11" applyFont="1" applyFill="1" applyBorder="1" applyAlignment="1">
      <alignment horizontal="center" vertical="center"/>
    </xf>
    <xf numFmtId="0" fontId="26" fillId="0" borderId="0" xfId="3" applyFont="1" applyAlignment="1">
      <alignment horizontal="center" vertical="center"/>
    </xf>
    <xf numFmtId="0" fontId="27" fillId="0" borderId="14" xfId="2" applyFont="1" applyBorder="1" applyAlignment="1">
      <alignment horizontal="center" vertical="center"/>
    </xf>
    <xf numFmtId="0" fontId="27" fillId="0" borderId="4" xfId="2" applyFont="1" applyBorder="1" applyAlignment="1">
      <alignment horizontal="center" vertical="center"/>
    </xf>
    <xf numFmtId="0" fontId="26" fillId="2" borderId="4" xfId="2" applyFont="1" applyFill="1" applyBorder="1" applyAlignment="1">
      <alignment horizontal="center" vertical="center"/>
    </xf>
    <xf numFmtId="4" fontId="35" fillId="2" borderId="4" xfId="2" applyNumberFormat="1" applyFont="1" applyFill="1" applyBorder="1" applyAlignment="1">
      <alignment horizontal="center" vertical="center" wrapText="1"/>
    </xf>
    <xf numFmtId="4" fontId="31" fillId="2" borderId="17" xfId="2" applyNumberFormat="1" applyFont="1" applyFill="1" applyBorder="1" applyAlignment="1">
      <alignment horizontal="center" vertical="center"/>
    </xf>
    <xf numFmtId="4" fontId="26" fillId="2" borderId="17" xfId="2" applyNumberFormat="1" applyFont="1" applyFill="1" applyBorder="1" applyAlignment="1">
      <alignment horizontal="center" vertical="center"/>
    </xf>
    <xf numFmtId="4" fontId="31" fillId="2" borderId="4" xfId="2" applyNumberFormat="1" applyFont="1" applyFill="1" applyBorder="1" applyAlignment="1">
      <alignment horizontal="center" vertical="center"/>
    </xf>
    <xf numFmtId="4" fontId="58" fillId="6" borderId="17" xfId="2" applyNumberFormat="1" applyFont="1" applyFill="1" applyBorder="1" applyAlignment="1">
      <alignment horizontal="center" vertical="center"/>
    </xf>
    <xf numFmtId="4" fontId="58" fillId="7" borderId="17" xfId="2" applyNumberFormat="1" applyFont="1" applyFill="1" applyBorder="1" applyAlignment="1">
      <alignment horizontal="center" vertical="center"/>
    </xf>
    <xf numFmtId="4" fontId="31" fillId="7" borderId="17" xfId="2" applyNumberFormat="1" applyFont="1" applyFill="1" applyBorder="1" applyAlignment="1">
      <alignment horizontal="center" vertical="center"/>
    </xf>
    <xf numFmtId="4" fontId="31" fillId="7" borderId="30" xfId="2" applyNumberFormat="1" applyFont="1" applyFill="1" applyBorder="1" applyAlignment="1">
      <alignment horizontal="center" vertical="center"/>
    </xf>
    <xf numFmtId="4" fontId="31" fillId="6" borderId="18" xfId="2" applyNumberFormat="1" applyFont="1" applyFill="1" applyBorder="1" applyAlignment="1">
      <alignment horizontal="center" vertical="center"/>
    </xf>
    <xf numFmtId="4" fontId="31" fillId="5" borderId="4" xfId="2" applyNumberFormat="1" applyFont="1" applyFill="1" applyBorder="1" applyAlignment="1">
      <alignment horizontal="center" vertical="center"/>
    </xf>
    <xf numFmtId="49" fontId="26" fillId="3" borderId="4" xfId="2" applyNumberFormat="1" applyFont="1" applyFill="1" applyBorder="1" applyAlignment="1">
      <alignment horizontal="center" vertical="center"/>
    </xf>
    <xf numFmtId="4" fontId="31" fillId="4" borderId="4" xfId="2" applyNumberFormat="1" applyFont="1" applyFill="1" applyBorder="1" applyAlignment="1">
      <alignment horizontal="center" vertical="center"/>
    </xf>
    <xf numFmtId="0" fontId="26" fillId="3" borderId="10" xfId="2" applyFont="1" applyFill="1" applyBorder="1" applyAlignment="1">
      <alignment horizontal="center" vertical="center"/>
    </xf>
    <xf numFmtId="0" fontId="31" fillId="3" borderId="10" xfId="2" applyFont="1" applyFill="1" applyBorder="1" applyAlignment="1">
      <alignment horizontal="left" vertical="center" wrapText="1"/>
    </xf>
    <xf numFmtId="167" fontId="31" fillId="3" borderId="10" xfId="2" applyNumberFormat="1" applyFont="1" applyFill="1" applyBorder="1" applyAlignment="1">
      <alignment horizontal="center" vertical="center"/>
    </xf>
    <xf numFmtId="4" fontId="26" fillId="3" borderId="10" xfId="2" applyNumberFormat="1" applyFont="1" applyFill="1" applyBorder="1" applyAlignment="1">
      <alignment horizontal="center" vertical="center"/>
    </xf>
    <xf numFmtId="4" fontId="31" fillId="4" borderId="10" xfId="2" applyNumberFormat="1" applyFont="1" applyFill="1" applyBorder="1" applyAlignment="1">
      <alignment horizontal="center" vertical="center"/>
    </xf>
    <xf numFmtId="4" fontId="31" fillId="5" borderId="10" xfId="2" applyNumberFormat="1" applyFont="1" applyFill="1" applyBorder="1" applyAlignment="1">
      <alignment horizontal="center" vertical="center"/>
    </xf>
    <xf numFmtId="0" fontId="27" fillId="15" borderId="16" xfId="2" applyFont="1" applyFill="1" applyBorder="1" applyAlignment="1">
      <alignment horizontal="center" vertical="center"/>
    </xf>
    <xf numFmtId="0" fontId="27" fillId="15" borderId="4" xfId="2" applyFont="1" applyFill="1" applyBorder="1" applyAlignment="1">
      <alignment horizontal="center" vertical="center"/>
    </xf>
    <xf numFmtId="0" fontId="27" fillId="15" borderId="4" xfId="2" applyFont="1" applyFill="1" applyBorder="1" applyAlignment="1">
      <alignment horizontal="center" vertical="center" wrapText="1"/>
    </xf>
    <xf numFmtId="49" fontId="28" fillId="15" borderId="4" xfId="2" applyNumberFormat="1" applyFont="1" applyFill="1" applyBorder="1" applyAlignment="1">
      <alignment horizontal="center" vertical="center" wrapText="1"/>
    </xf>
    <xf numFmtId="49" fontId="28" fillId="15" borderId="17" xfId="2" applyNumberFormat="1" applyFont="1" applyFill="1" applyBorder="1" applyAlignment="1">
      <alignment horizontal="center" vertical="center" wrapText="1"/>
    </xf>
    <xf numFmtId="164" fontId="31" fillId="2" borderId="4" xfId="5" applyFont="1" applyFill="1" applyBorder="1" applyAlignment="1">
      <alignment horizontal="center" vertical="center"/>
    </xf>
    <xf numFmtId="4" fontId="37" fillId="4" borderId="8" xfId="2" applyNumberFormat="1" applyFont="1" applyFill="1" applyBorder="1" applyAlignment="1">
      <alignment horizontal="center" vertical="center"/>
    </xf>
    <xf numFmtId="0" fontId="31" fillId="2" borderId="21" xfId="2" applyFont="1" applyFill="1" applyBorder="1" applyAlignment="1">
      <alignment horizontal="center" vertical="center"/>
    </xf>
    <xf numFmtId="0" fontId="29" fillId="2" borderId="9" xfId="2" applyFont="1" applyFill="1" applyBorder="1" applyAlignment="1">
      <alignment horizontal="center" vertical="center"/>
    </xf>
    <xf numFmtId="0" fontId="31" fillId="2" borderId="9" xfId="2" applyFont="1" applyFill="1" applyBorder="1" applyAlignment="1">
      <alignment horizontal="left" vertical="center" wrapText="1"/>
    </xf>
    <xf numFmtId="164" fontId="31" fillId="2" borderId="9" xfId="5" applyFont="1" applyFill="1" applyBorder="1" applyAlignment="1">
      <alignment horizontal="center" vertical="center"/>
    </xf>
    <xf numFmtId="167" fontId="31" fillId="2" borderId="9" xfId="2" applyNumberFormat="1" applyFont="1" applyFill="1" applyBorder="1" applyAlignment="1">
      <alignment horizontal="center" vertical="center"/>
    </xf>
    <xf numFmtId="4" fontId="26" fillId="2" borderId="9" xfId="2" applyNumberFormat="1" applyFont="1" applyFill="1" applyBorder="1" applyAlignment="1">
      <alignment horizontal="center" vertical="center"/>
    </xf>
    <xf numFmtId="4" fontId="27" fillId="2" borderId="9" xfId="2" applyNumberFormat="1" applyFont="1" applyFill="1" applyBorder="1" applyAlignment="1">
      <alignment horizontal="center" vertical="center"/>
    </xf>
    <xf numFmtId="4" fontId="35" fillId="2" borderId="9" xfId="2" applyNumberFormat="1" applyFont="1" applyFill="1" applyBorder="1" applyAlignment="1">
      <alignment horizontal="center" vertical="center" wrapText="1"/>
    </xf>
    <xf numFmtId="4" fontId="31" fillId="6" borderId="4" xfId="2" applyNumberFormat="1" applyFont="1" applyFill="1" applyBorder="1" applyAlignment="1">
      <alignment horizontal="center" vertical="center" wrapText="1"/>
    </xf>
    <xf numFmtId="4" fontId="31" fillId="6" borderId="4" xfId="2" applyNumberFormat="1" applyFont="1" applyFill="1" applyBorder="1" applyAlignment="1">
      <alignment horizontal="center" vertical="center"/>
    </xf>
    <xf numFmtId="164" fontId="31" fillId="3" borderId="10" xfId="5" applyFont="1" applyFill="1" applyBorder="1" applyAlignment="1">
      <alignment horizontal="center" vertical="center"/>
    </xf>
    <xf numFmtId="0" fontId="27" fillId="7" borderId="4" xfId="2" applyFont="1" applyFill="1" applyBorder="1" applyAlignment="1">
      <alignment horizontal="center" vertical="center"/>
    </xf>
    <xf numFmtId="4" fontId="31" fillId="7" borderId="17" xfId="0" applyNumberFormat="1" applyFont="1" applyFill="1" applyBorder="1" applyAlignment="1">
      <alignment horizontal="center" vertical="center" wrapText="1"/>
    </xf>
    <xf numFmtId="4" fontId="31" fillId="7" borderId="4" xfId="0" applyNumberFormat="1" applyFont="1" applyFill="1" applyBorder="1" applyAlignment="1">
      <alignment horizontal="center" vertical="center" wrapText="1"/>
    </xf>
    <xf numFmtId="4" fontId="42" fillId="7" borderId="4" xfId="0" applyNumberFormat="1" applyFont="1" applyFill="1" applyBorder="1" applyAlignment="1">
      <alignment horizontal="center" vertical="center" wrapText="1"/>
    </xf>
    <xf numFmtId="4" fontId="37" fillId="2" borderId="11" xfId="2" applyNumberFormat="1" applyFont="1" applyFill="1" applyBorder="1" applyAlignment="1">
      <alignment horizontal="center" vertical="center"/>
    </xf>
    <xf numFmtId="4" fontId="63" fillId="6" borderId="4" xfId="2" applyNumberFormat="1" applyFont="1" applyFill="1" applyBorder="1" applyAlignment="1">
      <alignment horizontal="center" vertical="center" wrapText="1"/>
    </xf>
    <xf numFmtId="0" fontId="42" fillId="7" borderId="4" xfId="0" applyFont="1" applyFill="1" applyBorder="1" applyAlignment="1">
      <alignment horizontal="center" vertical="center" wrapText="1"/>
    </xf>
    <xf numFmtId="0" fontId="42" fillId="7" borderId="10" xfId="0" applyFont="1" applyFill="1" applyBorder="1" applyAlignment="1">
      <alignment horizontal="center" vertical="center" wrapText="1"/>
    </xf>
    <xf numFmtId="0" fontId="65" fillId="0" borderId="0" xfId="2" applyFont="1"/>
    <xf numFmtId="0" fontId="65" fillId="0" borderId="0" xfId="2" applyFont="1" applyAlignment="1">
      <alignment horizontal="center" vertical="center"/>
    </xf>
    <xf numFmtId="4" fontId="31" fillId="7" borderId="30" xfId="0" applyNumberFormat="1" applyFont="1" applyFill="1" applyBorder="1" applyAlignment="1">
      <alignment horizontal="center" vertical="center" wrapText="1"/>
    </xf>
    <xf numFmtId="0" fontId="31" fillId="11" borderId="16" xfId="2" applyFont="1" applyFill="1" applyBorder="1" applyAlignment="1">
      <alignment horizontal="center" vertical="center"/>
    </xf>
    <xf numFmtId="0" fontId="26" fillId="11" borderId="4" xfId="2" applyFont="1" applyFill="1" applyBorder="1" applyAlignment="1">
      <alignment horizontal="center" vertical="center"/>
    </xf>
    <xf numFmtId="0" fontId="31" fillId="11" borderId="4" xfId="2" applyFont="1" applyFill="1" applyBorder="1" applyAlignment="1">
      <alignment horizontal="left" vertical="center" wrapText="1"/>
    </xf>
    <xf numFmtId="164" fontId="31" fillId="11" borderId="4" xfId="5" applyFont="1" applyFill="1" applyBorder="1" applyAlignment="1">
      <alignment horizontal="center" vertical="center"/>
    </xf>
    <xf numFmtId="167" fontId="31" fillId="11" borderId="4" xfId="2" applyNumberFormat="1" applyFont="1" applyFill="1" applyBorder="1" applyAlignment="1">
      <alignment horizontal="center" vertical="center"/>
    </xf>
    <xf numFmtId="4" fontId="26" fillId="11" borderId="4" xfId="2" applyNumberFormat="1" applyFont="1" applyFill="1" applyBorder="1" applyAlignment="1">
      <alignment horizontal="center" vertical="center"/>
    </xf>
    <xf numFmtId="4" fontId="31" fillId="11" borderId="4" xfId="2" applyNumberFormat="1" applyFont="1" applyFill="1" applyBorder="1" applyAlignment="1">
      <alignment horizontal="center" vertical="center"/>
    </xf>
    <xf numFmtId="4" fontId="31" fillId="11" borderId="5" xfId="2" applyNumberFormat="1" applyFont="1" applyFill="1" applyBorder="1" applyAlignment="1">
      <alignment horizontal="center" vertical="center"/>
    </xf>
    <xf numFmtId="4" fontId="31" fillId="11" borderId="31" xfId="2" applyNumberFormat="1" applyFont="1" applyFill="1" applyBorder="1" applyAlignment="1">
      <alignment horizontal="center" vertical="center"/>
    </xf>
    <xf numFmtId="4" fontId="26" fillId="11" borderId="17" xfId="2" applyNumberFormat="1" applyFont="1" applyFill="1" applyBorder="1" applyAlignment="1">
      <alignment horizontal="center" vertical="center"/>
    </xf>
    <xf numFmtId="0" fontId="65" fillId="2" borderId="0" xfId="2" applyFont="1" applyFill="1"/>
    <xf numFmtId="4" fontId="31" fillId="2" borderId="19" xfId="0" applyNumberFormat="1" applyFont="1" applyFill="1" applyBorder="1" applyAlignment="1">
      <alignment horizontal="center" vertical="center" wrapText="1"/>
    </xf>
    <xf numFmtId="0" fontId="31" fillId="3" borderId="22" xfId="2" applyFont="1" applyFill="1" applyBorder="1" applyAlignment="1">
      <alignment horizontal="center" vertical="center"/>
    </xf>
    <xf numFmtId="4" fontId="31" fillId="6" borderId="10" xfId="2" applyNumberFormat="1" applyFont="1" applyFill="1" applyBorder="1" applyAlignment="1">
      <alignment horizontal="center" vertical="center" wrapText="1"/>
    </xf>
    <xf numFmtId="4" fontId="63" fillId="6" borderId="10" xfId="2" applyNumberFormat="1" applyFont="1" applyFill="1" applyBorder="1" applyAlignment="1">
      <alignment horizontal="center" vertical="center" wrapText="1"/>
    </xf>
    <xf numFmtId="4" fontId="58" fillId="7" borderId="18" xfId="2" applyNumberFormat="1" applyFont="1" applyFill="1" applyBorder="1" applyAlignment="1">
      <alignment horizontal="center" vertical="center"/>
    </xf>
    <xf numFmtId="0" fontId="31" fillId="2" borderId="22" xfId="2" applyFont="1" applyFill="1" applyBorder="1" applyAlignment="1">
      <alignment horizontal="center" vertical="center"/>
    </xf>
    <xf numFmtId="0" fontId="29" fillId="2" borderId="10" xfId="2" applyFont="1" applyFill="1" applyBorder="1" applyAlignment="1">
      <alignment horizontal="center" vertical="center"/>
    </xf>
    <xf numFmtId="0" fontId="31" fillId="2" borderId="10" xfId="2" applyFont="1" applyFill="1" applyBorder="1" applyAlignment="1">
      <alignment horizontal="left" vertical="center" wrapText="1"/>
    </xf>
    <xf numFmtId="164" fontId="31" fillId="2" borderId="10" xfId="5" applyFont="1" applyFill="1" applyBorder="1" applyAlignment="1">
      <alignment horizontal="center" vertical="center"/>
    </xf>
    <xf numFmtId="167" fontId="31" fillId="2" borderId="10" xfId="2" applyNumberFormat="1" applyFont="1" applyFill="1" applyBorder="1" applyAlignment="1">
      <alignment horizontal="center" vertical="center"/>
    </xf>
    <xf numFmtId="4" fontId="26" fillId="2" borderId="10" xfId="2" applyNumberFormat="1" applyFont="1" applyFill="1" applyBorder="1" applyAlignment="1">
      <alignment horizontal="center" vertical="center"/>
    </xf>
    <xf numFmtId="4" fontId="27" fillId="2" borderId="10" xfId="2" applyNumberFormat="1" applyFont="1" applyFill="1" applyBorder="1" applyAlignment="1">
      <alignment horizontal="center" vertical="center"/>
    </xf>
    <xf numFmtId="4" fontId="27" fillId="2" borderId="18" xfId="2" applyNumberFormat="1" applyFont="1" applyFill="1" applyBorder="1" applyAlignment="1">
      <alignment horizontal="center" vertical="center"/>
    </xf>
    <xf numFmtId="4" fontId="31" fillId="2" borderId="18" xfId="0" applyNumberFormat="1" applyFont="1" applyFill="1" applyBorder="1" applyAlignment="1">
      <alignment horizontal="center" vertical="center" wrapText="1"/>
    </xf>
    <xf numFmtId="0" fontId="66" fillId="3" borderId="16" xfId="2" applyFont="1" applyFill="1" applyBorder="1" applyAlignment="1">
      <alignment horizontal="center" vertical="center"/>
    </xf>
    <xf numFmtId="0" fontId="67" fillId="3" borderId="4" xfId="2" applyFont="1" applyFill="1" applyBorder="1" applyAlignment="1">
      <alignment horizontal="center" vertical="center"/>
    </xf>
    <xf numFmtId="0" fontId="66" fillId="3" borderId="4" xfId="2" applyFont="1" applyFill="1" applyBorder="1" applyAlignment="1">
      <alignment horizontal="left" vertical="center" wrapText="1"/>
    </xf>
    <xf numFmtId="164" fontId="66" fillId="3" borderId="4" xfId="5" applyFont="1" applyFill="1" applyBorder="1" applyAlignment="1">
      <alignment horizontal="center" vertical="center"/>
    </xf>
    <xf numFmtId="167" fontId="66" fillId="3" borderId="4" xfId="2" applyNumberFormat="1" applyFont="1" applyFill="1" applyBorder="1" applyAlignment="1">
      <alignment horizontal="center" vertical="center"/>
    </xf>
    <xf numFmtId="4" fontId="67" fillId="3" borderId="4" xfId="2" applyNumberFormat="1" applyFont="1" applyFill="1" applyBorder="1" applyAlignment="1">
      <alignment horizontal="center" vertical="center"/>
    </xf>
    <xf numFmtId="4" fontId="66" fillId="4" borderId="4" xfId="2" applyNumberFormat="1" applyFont="1" applyFill="1" applyBorder="1" applyAlignment="1">
      <alignment horizontal="center" vertical="center"/>
    </xf>
    <xf numFmtId="4" fontId="66" fillId="5" borderId="4" xfId="2" applyNumberFormat="1" applyFont="1" applyFill="1" applyBorder="1" applyAlignment="1">
      <alignment horizontal="center" vertical="center"/>
    </xf>
    <xf numFmtId="4" fontId="68" fillId="6" borderId="4" xfId="2" applyNumberFormat="1" applyFont="1" applyFill="1" applyBorder="1" applyAlignment="1">
      <alignment horizontal="center" vertical="center" wrapText="1"/>
    </xf>
    <xf numFmtId="4" fontId="66" fillId="6" borderId="17" xfId="2" applyNumberFormat="1" applyFont="1" applyFill="1" applyBorder="1" applyAlignment="1">
      <alignment horizontal="center" vertical="center"/>
    </xf>
    <xf numFmtId="4" fontId="67" fillId="6" borderId="17" xfId="2" applyNumberFormat="1" applyFont="1" applyFill="1" applyBorder="1" applyAlignment="1">
      <alignment horizontal="center" vertical="center"/>
    </xf>
    <xf numFmtId="0" fontId="69" fillId="0" borderId="0" xfId="2" applyFont="1" applyAlignment="1">
      <alignment vertical="center" wrapText="1" shrinkToFit="1"/>
    </xf>
    <xf numFmtId="4" fontId="70" fillId="6" borderId="4" xfId="2" applyNumberFormat="1" applyFont="1" applyFill="1" applyBorder="1" applyAlignment="1">
      <alignment horizontal="center" vertical="center" wrapText="1"/>
    </xf>
    <xf numFmtId="4" fontId="66" fillId="6" borderId="17" xfId="2" applyNumberFormat="1" applyFont="1" applyFill="1" applyBorder="1" applyAlignment="1">
      <alignment horizontal="center" vertical="center" wrapText="1"/>
    </xf>
    <xf numFmtId="0" fontId="71" fillId="0" borderId="0" xfId="2" applyFont="1"/>
    <xf numFmtId="0" fontId="66" fillId="0" borderId="0" xfId="2" applyFont="1"/>
    <xf numFmtId="4" fontId="66" fillId="6" borderId="4" xfId="2" applyNumberFormat="1" applyFont="1" applyFill="1" applyBorder="1" applyAlignment="1">
      <alignment horizontal="center" vertical="center" wrapText="1"/>
    </xf>
    <xf numFmtId="0" fontId="71" fillId="0" borderId="0" xfId="2" applyFont="1" applyAlignment="1">
      <alignment vertical="center" wrapText="1" shrinkToFit="1"/>
    </xf>
    <xf numFmtId="4" fontId="66" fillId="7" borderId="4" xfId="2" applyNumberFormat="1" applyFont="1" applyFill="1" applyBorder="1" applyAlignment="1">
      <alignment horizontal="center" vertical="center"/>
    </xf>
    <xf numFmtId="4" fontId="68" fillId="7" borderId="4" xfId="2" applyNumberFormat="1" applyFont="1" applyFill="1" applyBorder="1" applyAlignment="1">
      <alignment horizontal="center" vertical="center" wrapText="1"/>
    </xf>
    <xf numFmtId="4" fontId="67" fillId="7" borderId="17" xfId="2" applyNumberFormat="1" applyFont="1" applyFill="1" applyBorder="1" applyAlignment="1">
      <alignment horizontal="center" vertical="center"/>
    </xf>
    <xf numFmtId="4" fontId="66" fillId="7" borderId="17" xfId="2" applyNumberFormat="1" applyFont="1" applyFill="1" applyBorder="1" applyAlignment="1">
      <alignment horizontal="center" vertical="center"/>
    </xf>
    <xf numFmtId="4" fontId="66" fillId="7" borderId="4" xfId="2" applyNumberFormat="1" applyFont="1" applyFill="1" applyBorder="1" applyAlignment="1">
      <alignment horizontal="center" vertical="center" wrapText="1"/>
    </xf>
    <xf numFmtId="4" fontId="35" fillId="11" borderId="4" xfId="2" applyNumberFormat="1" applyFont="1" applyFill="1" applyBorder="1" applyAlignment="1">
      <alignment horizontal="center" vertical="center"/>
    </xf>
    <xf numFmtId="0" fontId="31" fillId="3" borderId="21" xfId="2" applyFont="1" applyFill="1" applyBorder="1" applyAlignment="1">
      <alignment horizontal="center" vertical="center"/>
    </xf>
    <xf numFmtId="4" fontId="27" fillId="3" borderId="4" xfId="2" applyNumberFormat="1" applyFont="1" applyFill="1" applyBorder="1" applyAlignment="1">
      <alignment horizontal="center" vertical="center"/>
    </xf>
    <xf numFmtId="0" fontId="27" fillId="3" borderId="4" xfId="2" applyFont="1" applyFill="1" applyBorder="1" applyAlignment="1">
      <alignment horizontal="center" vertical="center"/>
    </xf>
    <xf numFmtId="4" fontId="35" fillId="3" borderId="4" xfId="2" applyNumberFormat="1" applyFont="1" applyFill="1" applyBorder="1" applyAlignment="1">
      <alignment horizontal="center" vertical="center" wrapText="1"/>
    </xf>
    <xf numFmtId="4" fontId="31" fillId="3" borderId="17" xfId="0" applyNumberFormat="1" applyFont="1" applyFill="1" applyBorder="1" applyAlignment="1">
      <alignment horizontal="center" vertical="center" wrapText="1"/>
    </xf>
    <xf numFmtId="0" fontId="29" fillId="3" borderId="9" xfId="2" applyFont="1" applyFill="1" applyBorder="1" applyAlignment="1">
      <alignment horizontal="center" vertical="center"/>
    </xf>
    <xf numFmtId="0" fontId="31" fillId="3" borderId="9" xfId="2" applyFont="1" applyFill="1" applyBorder="1" applyAlignment="1">
      <alignment horizontal="left" vertical="center" wrapText="1"/>
    </xf>
    <xf numFmtId="164" fontId="31" fillId="3" borderId="9" xfId="5" applyFont="1" applyFill="1" applyBorder="1" applyAlignment="1">
      <alignment horizontal="center" vertical="center"/>
    </xf>
    <xf numFmtId="167" fontId="31" fillId="3" borderId="9" xfId="2" applyNumberFormat="1" applyFont="1" applyFill="1" applyBorder="1" applyAlignment="1">
      <alignment horizontal="center" vertical="center"/>
    </xf>
    <xf numFmtId="4" fontId="26" fillId="3" borderId="9" xfId="2" applyNumberFormat="1" applyFont="1" applyFill="1" applyBorder="1" applyAlignment="1">
      <alignment horizontal="center" vertical="center"/>
    </xf>
    <xf numFmtId="4" fontId="27" fillId="3" borderId="9" xfId="2" applyNumberFormat="1" applyFont="1" applyFill="1" applyBorder="1" applyAlignment="1">
      <alignment horizontal="center" vertical="center"/>
    </xf>
    <xf numFmtId="4" fontId="59" fillId="3" borderId="4" xfId="0" applyNumberFormat="1" applyFont="1" applyFill="1" applyBorder="1" applyAlignment="1">
      <alignment horizontal="center" vertical="center" wrapText="1"/>
    </xf>
    <xf numFmtId="4" fontId="27" fillId="3" borderId="19" xfId="2" applyNumberFormat="1" applyFont="1" applyFill="1" applyBorder="1" applyAlignment="1">
      <alignment horizontal="center" vertical="center"/>
    </xf>
    <xf numFmtId="164" fontId="42" fillId="3" borderId="10" xfId="5" applyFont="1" applyFill="1" applyBorder="1" applyAlignment="1">
      <alignment horizontal="center" vertical="center"/>
    </xf>
    <xf numFmtId="167" fontId="42" fillId="3" borderId="10" xfId="2" applyNumberFormat="1" applyFont="1" applyFill="1" applyBorder="1" applyAlignment="1">
      <alignment horizontal="center" vertical="center"/>
    </xf>
    <xf numFmtId="4" fontId="32" fillId="3" borderId="10" xfId="2" applyNumberFormat="1" applyFont="1" applyFill="1" applyBorder="1" applyAlignment="1">
      <alignment horizontal="center" vertical="center"/>
    </xf>
    <xf numFmtId="4" fontId="42" fillId="3" borderId="10" xfId="2" applyNumberFormat="1" applyFont="1" applyFill="1" applyBorder="1" applyAlignment="1">
      <alignment horizontal="center" vertical="center"/>
    </xf>
    <xf numFmtId="0" fontId="31" fillId="11" borderId="21" xfId="2" applyFont="1" applyFill="1" applyBorder="1" applyAlignment="1">
      <alignment horizontal="center" vertical="center"/>
    </xf>
    <xf numFmtId="0" fontId="29" fillId="11" borderId="4" xfId="2" applyFont="1" applyFill="1" applyBorder="1" applyAlignment="1">
      <alignment horizontal="center" vertical="center"/>
    </xf>
    <xf numFmtId="0" fontId="58" fillId="2" borderId="9" xfId="2" applyFont="1" applyFill="1" applyBorder="1" applyAlignment="1">
      <alignment horizontal="center" vertical="center" wrapText="1"/>
    </xf>
    <xf numFmtId="4" fontId="60" fillId="2" borderId="10" xfId="0" applyNumberFormat="1" applyFont="1" applyFill="1" applyBorder="1" applyAlignment="1">
      <alignment horizontal="center" vertical="center" wrapText="1"/>
    </xf>
    <xf numFmtId="0" fontId="29" fillId="2" borderId="7" xfId="2" applyFont="1" applyFill="1" applyBorder="1" applyAlignment="1">
      <alignment horizontal="center" vertical="center"/>
    </xf>
    <xf numFmtId="0" fontId="31" fillId="2" borderId="7" xfId="2" applyFont="1" applyFill="1" applyBorder="1" applyAlignment="1">
      <alignment horizontal="left" vertical="center" wrapText="1"/>
    </xf>
    <xf numFmtId="164" fontId="31" fillId="2" borderId="7" xfId="5" applyFont="1" applyFill="1" applyBorder="1" applyAlignment="1">
      <alignment horizontal="center" vertical="center"/>
    </xf>
    <xf numFmtId="167" fontId="31" fillId="2" borderId="7" xfId="2" applyNumberFormat="1" applyFont="1" applyFill="1" applyBorder="1" applyAlignment="1">
      <alignment horizontal="center" vertical="center"/>
    </xf>
    <xf numFmtId="4" fontId="26" fillId="2" borderId="7" xfId="2" applyNumberFormat="1" applyFont="1" applyFill="1" applyBorder="1" applyAlignment="1">
      <alignment horizontal="center" vertical="center"/>
    </xf>
    <xf numFmtId="4" fontId="27" fillId="2" borderId="7" xfId="2" applyNumberFormat="1" applyFont="1" applyFill="1" applyBorder="1" applyAlignment="1">
      <alignment horizontal="center" vertical="center"/>
    </xf>
    <xf numFmtId="4" fontId="27" fillId="2" borderId="29" xfId="2" applyNumberFormat="1" applyFont="1" applyFill="1" applyBorder="1" applyAlignment="1">
      <alignment horizontal="center" vertical="center"/>
    </xf>
    <xf numFmtId="4" fontId="31" fillId="2" borderId="29" xfId="0" applyNumberFormat="1" applyFont="1" applyFill="1" applyBorder="1" applyAlignment="1">
      <alignment horizontal="center" vertical="center" wrapText="1"/>
    </xf>
    <xf numFmtId="0" fontId="31" fillId="11" borderId="26" xfId="2" applyFont="1" applyFill="1" applyBorder="1" applyAlignment="1">
      <alignment horizontal="center" vertical="center"/>
    </xf>
    <xf numFmtId="0" fontId="29" fillId="11" borderId="7" xfId="2" applyFont="1" applyFill="1" applyBorder="1" applyAlignment="1">
      <alignment horizontal="center" vertical="center"/>
    </xf>
    <xf numFmtId="0" fontId="31" fillId="11" borderId="7" xfId="2" applyFont="1" applyFill="1" applyBorder="1" applyAlignment="1">
      <alignment horizontal="left" vertical="center" wrapText="1"/>
    </xf>
    <xf numFmtId="164" fontId="31" fillId="11" borderId="7" xfId="5" applyFont="1" applyFill="1" applyBorder="1" applyAlignment="1">
      <alignment horizontal="center" vertical="center"/>
    </xf>
    <xf numFmtId="167" fontId="31" fillId="11" borderId="7" xfId="2" applyNumberFormat="1" applyFont="1" applyFill="1" applyBorder="1" applyAlignment="1">
      <alignment horizontal="center" vertical="center"/>
    </xf>
    <xf numFmtId="4" fontId="26" fillId="11" borderId="7" xfId="2" applyNumberFormat="1" applyFont="1" applyFill="1" applyBorder="1" applyAlignment="1">
      <alignment horizontal="center" vertical="center"/>
    </xf>
    <xf numFmtId="4" fontId="31" fillId="2" borderId="7" xfId="2" applyNumberFormat="1" applyFont="1" applyFill="1" applyBorder="1" applyAlignment="1">
      <alignment horizontal="center" vertical="center"/>
    </xf>
    <xf numFmtId="4" fontId="31" fillId="7" borderId="7" xfId="0" applyNumberFormat="1" applyFont="1" applyFill="1" applyBorder="1" applyAlignment="1">
      <alignment horizontal="center" vertical="center" wrapText="1"/>
    </xf>
    <xf numFmtId="4" fontId="35" fillId="11" borderId="7" xfId="2" applyNumberFormat="1" applyFont="1" applyFill="1" applyBorder="1" applyAlignment="1">
      <alignment horizontal="center" vertical="center"/>
    </xf>
    <xf numFmtId="4" fontId="27" fillId="7" borderId="29" xfId="2" applyNumberFormat="1" applyFont="1" applyFill="1" applyBorder="1" applyAlignment="1">
      <alignment horizontal="center" vertical="center"/>
    </xf>
    <xf numFmtId="4" fontId="31" fillId="7" borderId="29" xfId="0" applyNumberFormat="1" applyFont="1" applyFill="1" applyBorder="1" applyAlignment="1">
      <alignment horizontal="center" vertical="center" wrapText="1"/>
    </xf>
    <xf numFmtId="0" fontId="27" fillId="15" borderId="21" xfId="2" applyFont="1" applyFill="1" applyBorder="1" applyAlignment="1">
      <alignment horizontal="center" vertical="center"/>
    </xf>
    <xf numFmtId="0" fontId="27" fillId="15" borderId="9" xfId="2" applyFont="1" applyFill="1" applyBorder="1" applyAlignment="1">
      <alignment horizontal="center" vertical="center"/>
    </xf>
    <xf numFmtId="0" fontId="27" fillId="15" borderId="9" xfId="2" applyFont="1" applyFill="1" applyBorder="1" applyAlignment="1">
      <alignment horizontal="center" vertical="center" wrapText="1"/>
    </xf>
    <xf numFmtId="49" fontId="28" fillId="15" borderId="9" xfId="2" applyNumberFormat="1" applyFont="1" applyFill="1" applyBorder="1" applyAlignment="1">
      <alignment horizontal="center" vertical="center" wrapText="1"/>
    </xf>
    <xf numFmtId="49" fontId="62" fillId="15" borderId="9" xfId="2" applyNumberFormat="1" applyFont="1" applyFill="1" applyBorder="1" applyAlignment="1">
      <alignment horizontal="center" vertical="center" wrapText="1"/>
    </xf>
    <xf numFmtId="49" fontId="28" fillId="15" borderId="19" xfId="2" applyNumberFormat="1" applyFont="1" applyFill="1" applyBorder="1" applyAlignment="1">
      <alignment horizontal="center" vertical="center" wrapText="1"/>
    </xf>
    <xf numFmtId="0" fontId="31" fillId="2" borderId="34" xfId="2" applyFont="1" applyFill="1" applyBorder="1" applyAlignment="1">
      <alignment horizontal="center" vertical="center"/>
    </xf>
    <xf numFmtId="0" fontId="31" fillId="2" borderId="11" xfId="2" applyFont="1" applyFill="1" applyBorder="1" applyAlignment="1">
      <alignment horizontal="left" vertical="center" wrapText="1"/>
    </xf>
    <xf numFmtId="164" fontId="31" fillId="2" borderId="11" xfId="5" applyFont="1" applyFill="1" applyBorder="1" applyAlignment="1">
      <alignment horizontal="center" vertical="center"/>
    </xf>
    <xf numFmtId="167" fontId="31" fillId="2" borderId="11" xfId="2" applyNumberFormat="1" applyFont="1" applyFill="1" applyBorder="1" applyAlignment="1">
      <alignment horizontal="center" vertical="center"/>
    </xf>
    <xf numFmtId="4" fontId="26" fillId="2" borderId="11" xfId="2" applyNumberFormat="1" applyFont="1" applyFill="1" applyBorder="1" applyAlignment="1">
      <alignment horizontal="center" vertical="center"/>
    </xf>
    <xf numFmtId="4" fontId="27" fillId="2" borderId="11" xfId="2" applyNumberFormat="1" applyFont="1" applyFill="1" applyBorder="1" applyAlignment="1">
      <alignment horizontal="center" vertical="center"/>
    </xf>
    <xf numFmtId="4" fontId="59" fillId="2" borderId="11" xfId="0" applyNumberFormat="1" applyFont="1" applyFill="1" applyBorder="1" applyAlignment="1">
      <alignment horizontal="center" vertical="center" wrapText="1"/>
    </xf>
    <xf numFmtId="4" fontId="35" fillId="2" borderId="11" xfId="2" applyNumberFormat="1" applyFont="1" applyFill="1" applyBorder="1" applyAlignment="1">
      <alignment horizontal="center" vertical="center"/>
    </xf>
    <xf numFmtId="4" fontId="27" fillId="2" borderId="12" xfId="2" applyNumberFormat="1" applyFont="1" applyFill="1" applyBorder="1" applyAlignment="1">
      <alignment horizontal="center" vertical="center"/>
    </xf>
    <xf numFmtId="0" fontId="31" fillId="2" borderId="28" xfId="2" applyFont="1" applyFill="1" applyBorder="1" applyAlignment="1">
      <alignment horizontal="center" vertical="center"/>
    </xf>
    <xf numFmtId="0" fontId="58" fillId="2" borderId="7" xfId="2" applyFont="1" applyFill="1" applyBorder="1" applyAlignment="1">
      <alignment horizontal="center" vertical="center" wrapText="1"/>
    </xf>
    <xf numFmtId="4" fontId="35" fillId="2" borderId="7" xfId="2" applyNumberFormat="1" applyFont="1" applyFill="1" applyBorder="1" applyAlignment="1">
      <alignment horizontal="center" vertical="center" wrapText="1"/>
    </xf>
    <xf numFmtId="0" fontId="27" fillId="0" borderId="34" xfId="2" applyFont="1" applyBorder="1"/>
    <xf numFmtId="0" fontId="29" fillId="0" borderId="11" xfId="2" applyFont="1" applyBorder="1" applyAlignment="1">
      <alignment horizontal="center" vertical="center"/>
    </xf>
    <xf numFmtId="0" fontId="27" fillId="0" borderId="11" xfId="2" applyFont="1" applyBorder="1"/>
    <xf numFmtId="4" fontId="29" fillId="0" borderId="11" xfId="2" applyNumberFormat="1" applyFont="1" applyBorder="1" applyAlignment="1">
      <alignment horizontal="center" vertical="center"/>
    </xf>
    <xf numFmtId="164" fontId="27" fillId="0" borderId="11" xfId="2" applyNumberFormat="1" applyFont="1" applyBorder="1"/>
    <xf numFmtId="4" fontId="29" fillId="4" borderId="11" xfId="2" applyNumberFormat="1" applyFont="1" applyFill="1" applyBorder="1" applyAlignment="1">
      <alignment horizontal="center" vertical="center"/>
    </xf>
    <xf numFmtId="4" fontId="29" fillId="4" borderId="12" xfId="2" applyNumberFormat="1" applyFont="1" applyFill="1" applyBorder="1" applyAlignment="1">
      <alignment horizontal="center" vertical="center"/>
    </xf>
    <xf numFmtId="4" fontId="32" fillId="13" borderId="17" xfId="2" applyNumberFormat="1" applyFont="1" applyFill="1" applyBorder="1" applyAlignment="1">
      <alignment horizontal="center" vertical="center"/>
    </xf>
    <xf numFmtId="4" fontId="32" fillId="13" borderId="17" xfId="2" applyNumberFormat="1" applyFont="1" applyFill="1" applyBorder="1" applyAlignment="1">
      <alignment horizontal="center" vertical="center" wrapText="1"/>
    </xf>
    <xf numFmtId="0" fontId="42" fillId="0" borderId="0" xfId="2" applyFont="1"/>
    <xf numFmtId="4" fontId="42" fillId="0" borderId="0" xfId="2" applyNumberFormat="1" applyFont="1"/>
    <xf numFmtId="4" fontId="35" fillId="3" borderId="10" xfId="2" applyNumberFormat="1" applyFont="1" applyFill="1" applyBorder="1" applyAlignment="1">
      <alignment horizontal="center" vertical="center" wrapText="1"/>
    </xf>
    <xf numFmtId="4" fontId="35" fillId="3" borderId="9" xfId="2" applyNumberFormat="1" applyFont="1" applyFill="1" applyBorder="1" applyAlignment="1">
      <alignment horizontal="center" vertical="center" wrapText="1"/>
    </xf>
    <xf numFmtId="4" fontId="31" fillId="3" borderId="4" xfId="0" applyNumberFormat="1" applyFont="1" applyFill="1" applyBorder="1" applyAlignment="1">
      <alignment horizontal="center" vertical="center" wrapText="1"/>
    </xf>
    <xf numFmtId="4" fontId="27" fillId="3" borderId="17" xfId="2" applyNumberFormat="1" applyFont="1" applyFill="1" applyBorder="1" applyAlignment="1">
      <alignment horizontal="center" vertical="center"/>
    </xf>
    <xf numFmtId="4" fontId="27" fillId="3" borderId="10" xfId="2" applyNumberFormat="1" applyFont="1" applyFill="1" applyBorder="1" applyAlignment="1">
      <alignment horizontal="center" vertical="center"/>
    </xf>
    <xf numFmtId="4" fontId="31" fillId="3" borderId="10" xfId="0" applyNumberFormat="1" applyFont="1" applyFill="1" applyBorder="1" applyAlignment="1">
      <alignment horizontal="center" vertical="center" wrapText="1"/>
    </xf>
    <xf numFmtId="4" fontId="31" fillId="3" borderId="18" xfId="2" applyNumberFormat="1" applyFont="1" applyFill="1" applyBorder="1" applyAlignment="1">
      <alignment horizontal="center" vertical="center"/>
    </xf>
    <xf numFmtId="4" fontId="31" fillId="3" borderId="18" xfId="0" applyNumberFormat="1" applyFont="1" applyFill="1" applyBorder="1" applyAlignment="1">
      <alignment horizontal="center" vertical="center" wrapText="1"/>
    </xf>
    <xf numFmtId="4" fontId="35" fillId="2" borderId="10" xfId="2" applyNumberFormat="1" applyFont="1" applyFill="1" applyBorder="1" applyAlignment="1">
      <alignment horizontal="center" vertical="center" wrapText="1"/>
    </xf>
    <xf numFmtId="0" fontId="26" fillId="0" borderId="0" xfId="3" applyFont="1" applyAlignment="1">
      <alignment horizontal="center" vertical="center"/>
    </xf>
    <xf numFmtId="0" fontId="27" fillId="0" borderId="14" xfId="2" applyFont="1" applyBorder="1" applyAlignment="1">
      <alignment horizontal="center" vertical="center"/>
    </xf>
    <xf numFmtId="0" fontId="27" fillId="0" borderId="4" xfId="2" applyFont="1" applyBorder="1" applyAlignment="1">
      <alignment horizontal="center" vertical="center"/>
    </xf>
    <xf numFmtId="4" fontId="31" fillId="3" borderId="4" xfId="2" applyNumberFormat="1" applyFont="1" applyFill="1" applyBorder="1" applyAlignment="1">
      <alignment horizontal="center" vertical="center" wrapText="1"/>
    </xf>
    <xf numFmtId="4" fontId="42" fillId="3" borderId="4" xfId="2" applyNumberFormat="1" applyFont="1" applyFill="1" applyBorder="1" applyAlignment="1">
      <alignment horizontal="center" vertical="center" wrapText="1"/>
    </xf>
    <xf numFmtId="4" fontId="58" fillId="3" borderId="17" xfId="2" applyNumberFormat="1" applyFont="1" applyFill="1" applyBorder="1" applyAlignment="1">
      <alignment horizontal="center" vertical="center"/>
    </xf>
    <xf numFmtId="0" fontId="29" fillId="16" borderId="4" xfId="2" applyFont="1" applyFill="1" applyBorder="1" applyAlignment="1">
      <alignment horizontal="center" vertical="center"/>
    </xf>
    <xf numFmtId="0" fontId="29" fillId="16" borderId="9" xfId="2" applyFont="1" applyFill="1" applyBorder="1" applyAlignment="1">
      <alignment horizontal="center" vertical="center"/>
    </xf>
    <xf numFmtId="0" fontId="26" fillId="16" borderId="10" xfId="2" applyFont="1" applyFill="1" applyBorder="1" applyAlignment="1">
      <alignment horizontal="center" vertical="center"/>
    </xf>
    <xf numFmtId="0" fontId="31" fillId="11" borderId="36" xfId="2" applyFont="1" applyFill="1" applyBorder="1" applyAlignment="1">
      <alignment horizontal="center" vertical="center"/>
    </xf>
    <xf numFmtId="0" fontId="31" fillId="11" borderId="22" xfId="2" applyFont="1" applyFill="1" applyBorder="1" applyAlignment="1">
      <alignment horizontal="center" vertical="center"/>
    </xf>
    <xf numFmtId="0" fontId="29" fillId="11" borderId="10" xfId="2" applyFont="1" applyFill="1" applyBorder="1" applyAlignment="1">
      <alignment horizontal="center" vertical="center"/>
    </xf>
    <xf numFmtId="0" fontId="31" fillId="11" borderId="10" xfId="2" applyFont="1" applyFill="1" applyBorder="1" applyAlignment="1">
      <alignment horizontal="left" vertical="center" wrapText="1"/>
    </xf>
    <xf numFmtId="164" fontId="31" fillId="11" borderId="10" xfId="5" applyFont="1" applyFill="1" applyBorder="1" applyAlignment="1">
      <alignment horizontal="center" vertical="center"/>
    </xf>
    <xf numFmtId="167" fontId="31" fillId="11" borderId="10" xfId="2" applyNumberFormat="1" applyFont="1" applyFill="1" applyBorder="1" applyAlignment="1">
      <alignment horizontal="center" vertical="center"/>
    </xf>
    <xf numFmtId="4" fontId="26" fillId="11" borderId="10" xfId="2" applyNumberFormat="1" applyFont="1" applyFill="1" applyBorder="1" applyAlignment="1">
      <alignment horizontal="center" vertical="center"/>
    </xf>
    <xf numFmtId="4" fontId="27" fillId="11" borderId="10" xfId="2" applyNumberFormat="1" applyFont="1" applyFill="1" applyBorder="1" applyAlignment="1">
      <alignment horizontal="center" vertical="center"/>
    </xf>
    <xf numFmtId="4" fontId="60" fillId="11" borderId="10" xfId="0" applyNumberFormat="1" applyFont="1" applyFill="1" applyBorder="1" applyAlignment="1">
      <alignment horizontal="center" vertical="center" wrapText="1"/>
    </xf>
    <xf numFmtId="4" fontId="35" fillId="11" borderId="10" xfId="2" applyNumberFormat="1" applyFont="1" applyFill="1" applyBorder="1" applyAlignment="1">
      <alignment horizontal="center" vertical="center" wrapText="1"/>
    </xf>
    <xf numFmtId="4" fontId="27" fillId="11" borderId="18" xfId="2" applyNumberFormat="1" applyFont="1" applyFill="1" applyBorder="1" applyAlignment="1">
      <alignment horizontal="center" vertical="center"/>
    </xf>
    <xf numFmtId="4" fontId="31" fillId="11" borderId="18" xfId="0" applyNumberFormat="1" applyFont="1" applyFill="1" applyBorder="1" applyAlignment="1">
      <alignment horizontal="center" vertical="center" wrapText="1"/>
    </xf>
    <xf numFmtId="168" fontId="59" fillId="0" borderId="0" xfId="2" applyNumberFormat="1" applyFont="1"/>
    <xf numFmtId="0" fontId="29" fillId="11" borderId="8" xfId="2" applyFont="1" applyFill="1" applyBorder="1" applyAlignment="1">
      <alignment horizontal="center" vertical="center"/>
    </xf>
    <xf numFmtId="0" fontId="31" fillId="11" borderId="8" xfId="2" applyFont="1" applyFill="1" applyBorder="1" applyAlignment="1">
      <alignment horizontal="left" vertical="center" wrapText="1"/>
    </xf>
    <xf numFmtId="164" fontId="31" fillId="11" borderId="8" xfId="5" applyFont="1" applyFill="1" applyBorder="1" applyAlignment="1">
      <alignment horizontal="center" vertical="center"/>
    </xf>
    <xf numFmtId="167" fontId="31" fillId="11" borderId="8" xfId="2" applyNumberFormat="1" applyFont="1" applyFill="1" applyBorder="1" applyAlignment="1">
      <alignment horizontal="center" vertical="center"/>
    </xf>
    <xf numFmtId="4" fontId="26" fillId="11" borderId="8" xfId="2" applyNumberFormat="1" applyFont="1" applyFill="1" applyBorder="1" applyAlignment="1">
      <alignment horizontal="center" vertical="center"/>
    </xf>
    <xf numFmtId="4" fontId="31" fillId="2" borderId="8" xfId="2" applyNumberFormat="1" applyFont="1" applyFill="1" applyBorder="1" applyAlignment="1">
      <alignment horizontal="center" vertical="center"/>
    </xf>
    <xf numFmtId="4" fontId="31" fillId="7" borderId="8" xfId="0" applyNumberFormat="1" applyFont="1" applyFill="1" applyBorder="1" applyAlignment="1">
      <alignment horizontal="center" vertical="center" wrapText="1"/>
    </xf>
    <xf numFmtId="4" fontId="35" fillId="11" borderId="9" xfId="2" applyNumberFormat="1" applyFont="1" applyFill="1" applyBorder="1" applyAlignment="1">
      <alignment horizontal="center" vertical="center" wrapText="1"/>
    </xf>
    <xf numFmtId="4" fontId="27" fillId="7" borderId="20" xfId="2" applyNumberFormat="1" applyFont="1" applyFill="1" applyBorder="1" applyAlignment="1">
      <alignment horizontal="center" vertical="center"/>
    </xf>
    <xf numFmtId="4" fontId="31" fillId="7" borderId="20" xfId="0" applyNumberFormat="1" applyFont="1" applyFill="1" applyBorder="1" applyAlignment="1">
      <alignment horizontal="center" vertical="center" wrapText="1"/>
    </xf>
    <xf numFmtId="0" fontId="29" fillId="11" borderId="37" xfId="2" applyFont="1" applyFill="1" applyBorder="1" applyAlignment="1">
      <alignment horizontal="center" vertical="center"/>
    </xf>
    <xf numFmtId="0" fontId="31" fillId="11" borderId="37" xfId="2" applyFont="1" applyFill="1" applyBorder="1" applyAlignment="1">
      <alignment horizontal="left" vertical="center" wrapText="1"/>
    </xf>
    <xf numFmtId="164" fontId="31" fillId="11" borderId="37" xfId="5" applyFont="1" applyFill="1" applyBorder="1" applyAlignment="1">
      <alignment horizontal="center" vertical="center"/>
    </xf>
    <xf numFmtId="167" fontId="31" fillId="11" borderId="37" xfId="2" applyNumberFormat="1" applyFont="1" applyFill="1" applyBorder="1" applyAlignment="1">
      <alignment horizontal="center" vertical="center"/>
    </xf>
    <xf numFmtId="4" fontId="26" fillId="11" borderId="37" xfId="2" applyNumberFormat="1" applyFont="1" applyFill="1" applyBorder="1" applyAlignment="1">
      <alignment horizontal="center" vertical="center"/>
    </xf>
    <xf numFmtId="4" fontId="27" fillId="4" borderId="37" xfId="2" applyNumberFormat="1" applyFont="1" applyFill="1" applyBorder="1" applyAlignment="1">
      <alignment horizontal="center" vertical="center"/>
    </xf>
    <xf numFmtId="4" fontId="27" fillId="5" borderId="37" xfId="2" applyNumberFormat="1" applyFont="1" applyFill="1" applyBorder="1" applyAlignment="1">
      <alignment horizontal="center" vertical="center"/>
    </xf>
    <xf numFmtId="0" fontId="27" fillId="7" borderId="37" xfId="2" applyFont="1" applyFill="1" applyBorder="1" applyAlignment="1">
      <alignment horizontal="center" vertical="center"/>
    </xf>
    <xf numFmtId="4" fontId="35" fillId="11" borderId="37" xfId="2" applyNumberFormat="1" applyFont="1" applyFill="1" applyBorder="1" applyAlignment="1">
      <alignment horizontal="center" vertical="center" wrapText="1"/>
    </xf>
    <xf numFmtId="4" fontId="31" fillId="7" borderId="38" xfId="0" applyNumberFormat="1" applyFont="1" applyFill="1" applyBorder="1" applyAlignment="1">
      <alignment horizontal="center" vertical="center" wrapText="1"/>
    </xf>
    <xf numFmtId="4" fontId="58" fillId="6" borderId="4" xfId="2" applyNumberFormat="1" applyFont="1" applyFill="1" applyBorder="1" applyAlignment="1">
      <alignment horizontal="center" vertical="center" wrapText="1"/>
    </xf>
    <xf numFmtId="4" fontId="31" fillId="7" borderId="4" xfId="2" applyNumberFormat="1" applyFont="1" applyFill="1" applyBorder="1" applyAlignment="1">
      <alignment horizontal="center" vertical="center"/>
    </xf>
    <xf numFmtId="4" fontId="63" fillId="7" borderId="4" xfId="2" applyNumberFormat="1" applyFont="1" applyFill="1" applyBorder="1" applyAlignment="1">
      <alignment horizontal="center" vertical="center" wrapText="1"/>
    </xf>
    <xf numFmtId="4" fontId="26" fillId="7" borderId="17" xfId="2" applyNumberFormat="1" applyFont="1" applyFill="1" applyBorder="1" applyAlignment="1">
      <alignment horizontal="center" vertical="center"/>
    </xf>
    <xf numFmtId="0" fontId="50" fillId="0" borderId="0" xfId="2" applyFont="1" applyAlignment="1">
      <alignment vertical="center" wrapText="1" shrinkToFit="1"/>
    </xf>
    <xf numFmtId="4" fontId="31" fillId="6" borderId="17" xfId="2" applyNumberFormat="1" applyFont="1" applyFill="1" applyBorder="1" applyAlignment="1">
      <alignment horizontal="center" vertical="center" wrapText="1"/>
    </xf>
    <xf numFmtId="0" fontId="50" fillId="0" borderId="0" xfId="2" applyFont="1"/>
    <xf numFmtId="0" fontId="31" fillId="0" borderId="0" xfId="2" applyFont="1"/>
    <xf numFmtId="4" fontId="26" fillId="6" borderId="17" xfId="2" applyNumberFormat="1" applyFont="1" applyFill="1" applyBorder="1" applyAlignment="1">
      <alignment horizontal="center" vertical="center"/>
    </xf>
    <xf numFmtId="0" fontId="26" fillId="0" borderId="0" xfId="3" applyFont="1" applyAlignment="1">
      <alignment horizontal="center" vertical="center"/>
    </xf>
    <xf numFmtId="0" fontId="27" fillId="0" borderId="14" xfId="2" applyFont="1" applyBorder="1" applyAlignment="1">
      <alignment horizontal="center" vertical="center"/>
    </xf>
    <xf numFmtId="0" fontId="27" fillId="0" borderId="4" xfId="2" applyFont="1" applyBorder="1" applyAlignment="1">
      <alignment horizontal="center" vertical="center"/>
    </xf>
    <xf numFmtId="4" fontId="42" fillId="3" borderId="17" xfId="2" applyNumberFormat="1" applyFont="1" applyFill="1" applyBorder="1" applyAlignment="1">
      <alignment horizontal="center" vertical="center"/>
    </xf>
    <xf numFmtId="0" fontId="31" fillId="16" borderId="16" xfId="2" applyFont="1" applyFill="1" applyBorder="1" applyAlignment="1">
      <alignment horizontal="center" vertical="center"/>
    </xf>
    <xf numFmtId="0" fontId="31" fillId="16" borderId="4" xfId="2" applyFont="1" applyFill="1" applyBorder="1" applyAlignment="1">
      <alignment horizontal="left" vertical="center" wrapText="1"/>
    </xf>
    <xf numFmtId="164" fontId="31" fillId="16" borderId="4" xfId="5" applyFont="1" applyFill="1" applyBorder="1" applyAlignment="1">
      <alignment horizontal="center" vertical="center"/>
    </xf>
    <xf numFmtId="167" fontId="31" fillId="16" borderId="4" xfId="2" applyNumberFormat="1" applyFont="1" applyFill="1" applyBorder="1" applyAlignment="1">
      <alignment horizontal="center" vertical="center"/>
    </xf>
    <xf numFmtId="4" fontId="26" fillId="16" borderId="4" xfId="2" applyNumberFormat="1" applyFont="1" applyFill="1" applyBorder="1" applyAlignment="1">
      <alignment horizontal="center" vertical="center"/>
    </xf>
    <xf numFmtId="4" fontId="27" fillId="16" borderId="4" xfId="2" applyNumberFormat="1" applyFont="1" applyFill="1" applyBorder="1" applyAlignment="1">
      <alignment horizontal="center" vertical="center"/>
    </xf>
    <xf numFmtId="0" fontId="27" fillId="16" borderId="4" xfId="2" applyFont="1" applyFill="1" applyBorder="1" applyAlignment="1">
      <alignment horizontal="center" vertical="center"/>
    </xf>
    <xf numFmtId="4" fontId="31" fillId="16" borderId="17" xfId="0" applyNumberFormat="1" applyFont="1" applyFill="1" applyBorder="1" applyAlignment="1">
      <alignment horizontal="center" vertical="center" wrapText="1"/>
    </xf>
    <xf numFmtId="0" fontId="31" fillId="16" borderId="21" xfId="2" applyFont="1" applyFill="1" applyBorder="1" applyAlignment="1">
      <alignment horizontal="center" vertical="center"/>
    </xf>
    <xf numFmtId="4" fontId="77" fillId="16" borderId="4" xfId="2" applyNumberFormat="1" applyFont="1" applyFill="1" applyBorder="1" applyAlignment="1">
      <alignment horizontal="center" vertical="center" wrapText="1"/>
    </xf>
    <xf numFmtId="0" fontId="26" fillId="0" borderId="0" xfId="3" applyFont="1" applyAlignment="1">
      <alignment horizontal="center" vertical="center"/>
    </xf>
    <xf numFmtId="0" fontId="27" fillId="0" borderId="14" xfId="2" applyFont="1" applyBorder="1" applyAlignment="1">
      <alignment horizontal="center" vertical="center"/>
    </xf>
    <xf numFmtId="0" fontId="27" fillId="0" borderId="4" xfId="2" applyFont="1" applyBorder="1" applyAlignment="1">
      <alignment horizontal="center" vertical="center"/>
    </xf>
    <xf numFmtId="4" fontId="26" fillId="0" borderId="0" xfId="2" applyNumberFormat="1" applyFont="1" applyAlignment="1">
      <alignment horizontal="center" vertical="center" wrapText="1"/>
    </xf>
    <xf numFmtId="4" fontId="28" fillId="15" borderId="17" xfId="2" applyNumberFormat="1" applyFont="1" applyFill="1" applyBorder="1" applyAlignment="1">
      <alignment horizontal="center" vertical="center" wrapText="1"/>
    </xf>
    <xf numFmtId="4" fontId="42" fillId="0" borderId="0" xfId="2" applyNumberFormat="1" applyFont="1" applyAlignment="1">
      <alignment horizontal="center" vertical="center"/>
    </xf>
    <xf numFmtId="4" fontId="42" fillId="2" borderId="17" xfId="2" applyNumberFormat="1" applyFont="1" applyFill="1" applyBorder="1" applyAlignment="1">
      <alignment horizontal="center" vertical="center"/>
    </xf>
    <xf numFmtId="4" fontId="31" fillId="2" borderId="4" xfId="2" applyNumberFormat="1" applyFont="1" applyFill="1" applyBorder="1" applyAlignment="1">
      <alignment horizontal="center" vertical="center" wrapText="1"/>
    </xf>
    <xf numFmtId="4" fontId="63" fillId="2" borderId="4" xfId="2" applyNumberFormat="1" applyFont="1" applyFill="1" applyBorder="1" applyAlignment="1">
      <alignment horizontal="center" vertical="center" wrapText="1"/>
    </xf>
    <xf numFmtId="4" fontId="58" fillId="2" borderId="17" xfId="2" applyNumberFormat="1" applyFont="1" applyFill="1" applyBorder="1" applyAlignment="1">
      <alignment horizontal="center" vertical="center"/>
    </xf>
    <xf numFmtId="0" fontId="26" fillId="2" borderId="10" xfId="2" applyFont="1" applyFill="1" applyBorder="1" applyAlignment="1">
      <alignment horizontal="center" vertical="center"/>
    </xf>
    <xf numFmtId="4" fontId="31" fillId="2" borderId="10" xfId="2" applyNumberFormat="1" applyFont="1" applyFill="1" applyBorder="1" applyAlignment="1">
      <alignment horizontal="center" vertical="center"/>
    </xf>
    <xf numFmtId="4" fontId="31" fillId="2" borderId="10" xfId="2" applyNumberFormat="1" applyFont="1" applyFill="1" applyBorder="1" applyAlignment="1">
      <alignment horizontal="center" vertical="center" wrapText="1"/>
    </xf>
    <xf numFmtId="4" fontId="63" fillId="2" borderId="10" xfId="2" applyNumberFormat="1" applyFont="1" applyFill="1" applyBorder="1" applyAlignment="1">
      <alignment horizontal="center" vertical="center" wrapText="1"/>
    </xf>
    <xf numFmtId="4" fontId="31" fillId="2" borderId="18" xfId="2" applyNumberFormat="1" applyFont="1" applyFill="1" applyBorder="1" applyAlignment="1">
      <alignment horizontal="center" vertical="center"/>
    </xf>
    <xf numFmtId="4" fontId="58" fillId="2" borderId="18" xfId="2" applyNumberFormat="1" applyFont="1" applyFill="1" applyBorder="1" applyAlignment="1">
      <alignment horizontal="center" vertical="center"/>
    </xf>
    <xf numFmtId="4" fontId="31" fillId="2" borderId="30" xfId="2" applyNumberFormat="1" applyFont="1" applyFill="1" applyBorder="1" applyAlignment="1">
      <alignment horizontal="center" vertical="center"/>
    </xf>
    <xf numFmtId="4" fontId="33" fillId="7" borderId="4" xfId="2" applyNumberFormat="1" applyFont="1" applyFill="1" applyBorder="1" applyAlignment="1">
      <alignment horizontal="center" vertical="center" wrapText="1"/>
    </xf>
    <xf numFmtId="4" fontId="26" fillId="3" borderId="0" xfId="2" applyNumberFormat="1" applyFont="1" applyFill="1" applyAlignment="1">
      <alignment horizontal="center" vertical="center" wrapText="1"/>
    </xf>
    <xf numFmtId="0" fontId="26" fillId="10" borderId="4" xfId="2" applyFont="1" applyFill="1" applyBorder="1" applyAlignment="1">
      <alignment horizontal="center" vertical="center"/>
    </xf>
    <xf numFmtId="164" fontId="31" fillId="10" borderId="4" xfId="5" applyFont="1" applyFill="1" applyBorder="1" applyAlignment="1">
      <alignment horizontal="center" vertical="center"/>
    </xf>
    <xf numFmtId="4" fontId="31" fillId="10" borderId="4" xfId="2" applyNumberFormat="1" applyFont="1" applyFill="1" applyBorder="1" applyAlignment="1">
      <alignment horizontal="center" vertical="center"/>
    </xf>
    <xf numFmtId="4" fontId="35" fillId="10" borderId="4" xfId="2" applyNumberFormat="1" applyFont="1" applyFill="1" applyBorder="1" applyAlignment="1">
      <alignment horizontal="center" vertical="center" wrapText="1"/>
    </xf>
    <xf numFmtId="4" fontId="31" fillId="10" borderId="17" xfId="2" applyNumberFormat="1" applyFont="1" applyFill="1" applyBorder="1" applyAlignment="1">
      <alignment horizontal="center" vertical="center"/>
    </xf>
    <xf numFmtId="4" fontId="26" fillId="10" borderId="17" xfId="2" applyNumberFormat="1" applyFont="1" applyFill="1" applyBorder="1" applyAlignment="1">
      <alignment horizontal="center" vertical="center"/>
    </xf>
    <xf numFmtId="49" fontId="26" fillId="10" borderId="4" xfId="2" applyNumberFormat="1" applyFont="1" applyFill="1" applyBorder="1" applyAlignment="1">
      <alignment horizontal="center" vertical="center"/>
    </xf>
    <xf numFmtId="4" fontId="58" fillId="10" borderId="17" xfId="2" applyNumberFormat="1" applyFont="1" applyFill="1" applyBorder="1" applyAlignment="1">
      <alignment horizontal="center" vertical="center"/>
    </xf>
    <xf numFmtId="0" fontId="31" fillId="16" borderId="9" xfId="2" applyFont="1" applyFill="1" applyBorder="1" applyAlignment="1">
      <alignment horizontal="left" vertical="center" wrapText="1"/>
    </xf>
    <xf numFmtId="164" fontId="31" fillId="16" borderId="9" xfId="5" applyFont="1" applyFill="1" applyBorder="1" applyAlignment="1">
      <alignment horizontal="center" vertical="center"/>
    </xf>
    <xf numFmtId="167" fontId="31" fillId="16" borderId="9" xfId="2" applyNumberFormat="1" applyFont="1" applyFill="1" applyBorder="1" applyAlignment="1">
      <alignment horizontal="center" vertical="center"/>
    </xf>
    <xf numFmtId="4" fontId="26" fillId="16" borderId="9" xfId="2" applyNumberFormat="1" applyFont="1" applyFill="1" applyBorder="1" applyAlignment="1">
      <alignment horizontal="center" vertical="center"/>
    </xf>
    <xf numFmtId="4" fontId="27" fillId="16" borderId="9" xfId="2" applyNumberFormat="1" applyFont="1" applyFill="1" applyBorder="1" applyAlignment="1">
      <alignment horizontal="center" vertical="center"/>
    </xf>
    <xf numFmtId="4" fontId="59" fillId="16" borderId="4" xfId="0" applyNumberFormat="1" applyFont="1" applyFill="1" applyBorder="1" applyAlignment="1">
      <alignment horizontal="center" vertical="center" wrapText="1"/>
    </xf>
    <xf numFmtId="4" fontId="27" fillId="16" borderId="19" xfId="2" applyNumberFormat="1" applyFont="1" applyFill="1" applyBorder="1" applyAlignment="1">
      <alignment horizontal="center" vertical="center"/>
    </xf>
    <xf numFmtId="4" fontId="31" fillId="16" borderId="4" xfId="0" applyNumberFormat="1" applyFont="1" applyFill="1" applyBorder="1" applyAlignment="1">
      <alignment horizontal="center" vertical="center" wrapText="1"/>
    </xf>
    <xf numFmtId="4" fontId="27" fillId="16" borderId="17" xfId="2" applyNumberFormat="1" applyFont="1" applyFill="1" applyBorder="1" applyAlignment="1">
      <alignment horizontal="center" vertical="center"/>
    </xf>
    <xf numFmtId="0" fontId="31" fillId="16" borderId="22" xfId="2" applyFont="1" applyFill="1" applyBorder="1" applyAlignment="1">
      <alignment horizontal="center" vertical="center"/>
    </xf>
    <xf numFmtId="0" fontId="31" fillId="16" borderId="10" xfId="2" applyFont="1" applyFill="1" applyBorder="1" applyAlignment="1">
      <alignment horizontal="left" vertical="center" wrapText="1"/>
    </xf>
    <xf numFmtId="164" fontId="42" fillId="16" borderId="10" xfId="5" applyFont="1" applyFill="1" applyBorder="1" applyAlignment="1">
      <alignment horizontal="center" vertical="center"/>
    </xf>
    <xf numFmtId="167" fontId="42" fillId="16" borderId="10" xfId="2" applyNumberFormat="1" applyFont="1" applyFill="1" applyBorder="1" applyAlignment="1">
      <alignment horizontal="center" vertical="center"/>
    </xf>
    <xf numFmtId="4" fontId="32" fillId="16" borderId="10" xfId="2" applyNumberFormat="1" applyFont="1" applyFill="1" applyBorder="1" applyAlignment="1">
      <alignment horizontal="center" vertical="center"/>
    </xf>
    <xf numFmtId="4" fontId="42" fillId="16" borderId="10" xfId="2" applyNumberFormat="1" applyFont="1" applyFill="1" applyBorder="1" applyAlignment="1">
      <alignment horizontal="center" vertical="center"/>
    </xf>
    <xf numFmtId="4" fontId="27" fillId="16" borderId="10" xfId="2" applyNumberFormat="1" applyFont="1" applyFill="1" applyBorder="1" applyAlignment="1">
      <alignment horizontal="center" vertical="center"/>
    </xf>
    <xf numFmtId="4" fontId="31" fillId="16" borderId="10" xfId="0" applyNumberFormat="1" applyFont="1" applyFill="1" applyBorder="1" applyAlignment="1">
      <alignment horizontal="center" vertical="center" wrapText="1"/>
    </xf>
    <xf numFmtId="4" fontId="31" fillId="16" borderId="18" xfId="2" applyNumberFormat="1" applyFont="1" applyFill="1" applyBorder="1" applyAlignment="1">
      <alignment horizontal="center" vertical="center"/>
    </xf>
    <xf numFmtId="4" fontId="31" fillId="16" borderId="18" xfId="0" applyNumberFormat="1" applyFont="1" applyFill="1" applyBorder="1" applyAlignment="1">
      <alignment horizontal="center" vertical="center" wrapText="1"/>
    </xf>
    <xf numFmtId="0" fontId="26" fillId="16" borderId="4" xfId="2" applyFont="1" applyFill="1" applyBorder="1" applyAlignment="1">
      <alignment horizontal="center" vertical="center"/>
    </xf>
    <xf numFmtId="4" fontId="31" fillId="16" borderId="4" xfId="2" applyNumberFormat="1" applyFont="1" applyFill="1" applyBorder="1" applyAlignment="1">
      <alignment horizontal="center" vertical="center"/>
    </xf>
    <xf numFmtId="4" fontId="31" fillId="16" borderId="4" xfId="2" applyNumberFormat="1" applyFont="1" applyFill="1" applyBorder="1" applyAlignment="1">
      <alignment horizontal="center" vertical="center" wrapText="1"/>
    </xf>
    <xf numFmtId="4" fontId="31" fillId="16" borderId="17" xfId="2" applyNumberFormat="1" applyFont="1" applyFill="1" applyBorder="1" applyAlignment="1">
      <alignment horizontal="center" vertical="center"/>
    </xf>
    <xf numFmtId="4" fontId="42" fillId="16" borderId="17" xfId="2" applyNumberFormat="1" applyFont="1" applyFill="1" applyBorder="1" applyAlignment="1">
      <alignment horizontal="center" vertical="center"/>
    </xf>
    <xf numFmtId="4" fontId="26" fillId="16" borderId="17" xfId="2" applyNumberFormat="1" applyFont="1" applyFill="1" applyBorder="1" applyAlignment="1">
      <alignment horizontal="center" vertical="center"/>
    </xf>
    <xf numFmtId="4" fontId="42" fillId="16" borderId="4" xfId="2" applyNumberFormat="1" applyFont="1" applyFill="1" applyBorder="1" applyAlignment="1">
      <alignment horizontal="center" vertical="center" wrapText="1"/>
    </xf>
    <xf numFmtId="0" fontId="26" fillId="0" borderId="0" xfId="3" applyFont="1" applyAlignment="1">
      <alignment horizontal="center" vertical="center"/>
    </xf>
    <xf numFmtId="0" fontId="27" fillId="0" borderId="14" xfId="2" applyFont="1" applyBorder="1" applyAlignment="1">
      <alignment horizontal="center" vertical="center"/>
    </xf>
    <xf numFmtId="0" fontId="27" fillId="0" borderId="4" xfId="2" applyFont="1" applyBorder="1" applyAlignment="1">
      <alignment horizontal="center" vertical="center"/>
    </xf>
    <xf numFmtId="0" fontId="65" fillId="0" borderId="0" xfId="2" applyFont="1" applyAlignment="1">
      <alignment vertical="center"/>
    </xf>
    <xf numFmtId="0" fontId="66" fillId="3" borderId="13" xfId="2" applyFont="1" applyFill="1" applyBorder="1" applyAlignment="1">
      <alignment horizontal="center" vertical="center"/>
    </xf>
    <xf numFmtId="0" fontId="67" fillId="3" borderId="14" xfId="2" applyFont="1" applyFill="1" applyBorder="1" applyAlignment="1">
      <alignment horizontal="center" vertical="center"/>
    </xf>
    <xf numFmtId="0" fontId="66" fillId="3" borderId="14" xfId="2" applyFont="1" applyFill="1" applyBorder="1" applyAlignment="1">
      <alignment horizontal="left" vertical="center" wrapText="1"/>
    </xf>
    <xf numFmtId="164" fontId="66" fillId="3" borderId="14" xfId="5" applyFont="1" applyFill="1" applyBorder="1" applyAlignment="1">
      <alignment horizontal="center" vertical="center"/>
    </xf>
    <xf numFmtId="167" fontId="66" fillId="3" borderId="14" xfId="2" applyNumberFormat="1" applyFont="1" applyFill="1" applyBorder="1" applyAlignment="1">
      <alignment horizontal="center" vertical="center"/>
    </xf>
    <xf numFmtId="4" fontId="67" fillId="3" borderId="14" xfId="2" applyNumberFormat="1" applyFont="1" applyFill="1" applyBorder="1" applyAlignment="1">
      <alignment horizontal="center" vertical="center"/>
    </xf>
    <xf numFmtId="4" fontId="66" fillId="4" borderId="14" xfId="2" applyNumberFormat="1" applyFont="1" applyFill="1" applyBorder="1" applyAlignment="1">
      <alignment horizontal="center" vertical="center"/>
    </xf>
    <xf numFmtId="4" fontId="66" fillId="5" borderId="14" xfId="2" applyNumberFormat="1" applyFont="1" applyFill="1" applyBorder="1" applyAlignment="1">
      <alignment horizontal="center" vertical="center"/>
    </xf>
    <xf numFmtId="4" fontId="58" fillId="6" borderId="14" xfId="2" applyNumberFormat="1" applyFont="1" applyFill="1" applyBorder="1" applyAlignment="1">
      <alignment horizontal="center" vertical="center" wrapText="1"/>
    </xf>
    <xf numFmtId="4" fontId="66" fillId="6" borderId="15" xfId="2" applyNumberFormat="1" applyFont="1" applyFill="1" applyBorder="1" applyAlignment="1">
      <alignment horizontal="center" vertical="center"/>
    </xf>
    <xf numFmtId="4" fontId="67" fillId="6" borderId="15" xfId="2" applyNumberFormat="1" applyFont="1" applyFill="1" applyBorder="1" applyAlignment="1">
      <alignment horizontal="center" vertical="center"/>
    </xf>
    <xf numFmtId="0" fontId="66" fillId="3" borderId="40" xfId="2" applyFont="1" applyFill="1" applyBorder="1" applyAlignment="1">
      <alignment horizontal="center" vertical="center"/>
    </xf>
    <xf numFmtId="0" fontId="67" fillId="3" borderId="41" xfId="2" applyFont="1" applyFill="1" applyBorder="1" applyAlignment="1">
      <alignment horizontal="center" vertical="center"/>
    </xf>
    <xf numFmtId="0" fontId="66" fillId="3" borderId="41" xfId="2" applyFont="1" applyFill="1" applyBorder="1" applyAlignment="1">
      <alignment horizontal="left" vertical="center" wrapText="1"/>
    </xf>
    <xf numFmtId="164" fontId="66" fillId="3" borderId="41" xfId="5" applyFont="1" applyFill="1" applyBorder="1" applyAlignment="1">
      <alignment horizontal="center" vertical="center"/>
    </xf>
    <xf numFmtId="167" fontId="66" fillId="3" borderId="41" xfId="2" applyNumberFormat="1" applyFont="1" applyFill="1" applyBorder="1" applyAlignment="1">
      <alignment horizontal="center" vertical="center"/>
    </xf>
    <xf numFmtId="4" fontId="67" fillId="3" borderId="41" xfId="2" applyNumberFormat="1" applyFont="1" applyFill="1" applyBorder="1" applyAlignment="1">
      <alignment horizontal="center" vertical="center"/>
    </xf>
    <xf numFmtId="4" fontId="66" fillId="7" borderId="41" xfId="2" applyNumberFormat="1" applyFont="1" applyFill="1" applyBorder="1" applyAlignment="1">
      <alignment horizontal="center" vertical="center"/>
    </xf>
    <xf numFmtId="4" fontId="66" fillId="5" borderId="41" xfId="2" applyNumberFormat="1" applyFont="1" applyFill="1" applyBorder="1" applyAlignment="1">
      <alignment horizontal="center" vertical="center"/>
    </xf>
    <xf numFmtId="4" fontId="58" fillId="6" borderId="41" xfId="2" applyNumberFormat="1" applyFont="1" applyFill="1" applyBorder="1" applyAlignment="1">
      <alignment horizontal="center" vertical="center" wrapText="1"/>
    </xf>
    <xf numFmtId="4" fontId="66" fillId="6" borderId="42" xfId="2" applyNumberFormat="1" applyFont="1" applyFill="1" applyBorder="1" applyAlignment="1">
      <alignment horizontal="center" vertical="center"/>
    </xf>
    <xf numFmtId="4" fontId="67" fillId="7" borderId="42" xfId="2" applyNumberFormat="1" applyFont="1" applyFill="1" applyBorder="1" applyAlignment="1">
      <alignment horizontal="center" vertical="center"/>
    </xf>
    <xf numFmtId="4" fontId="66" fillId="7" borderId="42" xfId="2" applyNumberFormat="1" applyFont="1" applyFill="1" applyBorder="1" applyAlignment="1">
      <alignment horizontal="center" vertical="center"/>
    </xf>
    <xf numFmtId="0" fontId="31" fillId="17" borderId="16" xfId="2" applyFont="1" applyFill="1" applyBorder="1" applyAlignment="1">
      <alignment horizontal="center" vertical="center"/>
    </xf>
    <xf numFmtId="0" fontId="26" fillId="17" borderId="4" xfId="2" applyFont="1" applyFill="1" applyBorder="1" applyAlignment="1">
      <alignment horizontal="center" vertical="center"/>
    </xf>
    <xf numFmtId="0" fontId="31" fillId="17" borderId="4" xfId="2" applyFont="1" applyFill="1" applyBorder="1" applyAlignment="1">
      <alignment horizontal="left" vertical="center" wrapText="1"/>
    </xf>
    <xf numFmtId="164" fontId="31" fillId="17" borderId="4" xfId="5" applyFont="1" applyFill="1" applyBorder="1" applyAlignment="1">
      <alignment horizontal="center" vertical="center"/>
    </xf>
    <xf numFmtId="167" fontId="31" fillId="17" borderId="4" xfId="2" applyNumberFormat="1" applyFont="1" applyFill="1" applyBorder="1" applyAlignment="1">
      <alignment horizontal="center" vertical="center"/>
    </xf>
    <xf numFmtId="4" fontId="26" fillId="17" borderId="4" xfId="2" applyNumberFormat="1" applyFont="1" applyFill="1" applyBorder="1" applyAlignment="1">
      <alignment horizontal="center" vertical="center"/>
    </xf>
    <xf numFmtId="4" fontId="31" fillId="17" borderId="4" xfId="2" applyNumberFormat="1" applyFont="1" applyFill="1" applyBorder="1" applyAlignment="1">
      <alignment horizontal="center" vertical="center"/>
    </xf>
    <xf numFmtId="4" fontId="31" fillId="17" borderId="4" xfId="2" applyNumberFormat="1" applyFont="1" applyFill="1" applyBorder="1" applyAlignment="1">
      <alignment horizontal="center" vertical="center" wrapText="1"/>
    </xf>
    <xf numFmtId="4" fontId="77" fillId="17" borderId="4" xfId="2" applyNumberFormat="1" applyFont="1" applyFill="1" applyBorder="1" applyAlignment="1">
      <alignment horizontal="center" vertical="center" wrapText="1"/>
    </xf>
    <xf numFmtId="4" fontId="31" fillId="17" borderId="17" xfId="2" applyNumberFormat="1" applyFont="1" applyFill="1" applyBorder="1" applyAlignment="1">
      <alignment horizontal="center" vertical="center"/>
    </xf>
    <xf numFmtId="4" fontId="26" fillId="17" borderId="17" xfId="2" applyNumberFormat="1" applyFont="1" applyFill="1" applyBorder="1" applyAlignment="1">
      <alignment horizontal="center" vertical="center"/>
    </xf>
    <xf numFmtId="0" fontId="31" fillId="17" borderId="28" xfId="2" applyFont="1" applyFill="1" applyBorder="1" applyAlignment="1">
      <alignment horizontal="center" vertical="center"/>
    </xf>
    <xf numFmtId="0" fontId="26" fillId="17" borderId="7" xfId="2" applyFont="1" applyFill="1" applyBorder="1" applyAlignment="1">
      <alignment horizontal="center" vertical="center"/>
    </xf>
    <xf numFmtId="0" fontId="31" fillId="17" borderId="7" xfId="2" applyFont="1" applyFill="1" applyBorder="1" applyAlignment="1">
      <alignment horizontal="left" vertical="center" wrapText="1"/>
    </xf>
    <xf numFmtId="164" fontId="31" fillId="17" borderId="7" xfId="5" applyFont="1" applyFill="1" applyBorder="1" applyAlignment="1">
      <alignment horizontal="center" vertical="center"/>
    </xf>
    <xf numFmtId="167" fontId="31" fillId="17" borderId="7" xfId="2" applyNumberFormat="1" applyFont="1" applyFill="1" applyBorder="1" applyAlignment="1">
      <alignment horizontal="center" vertical="center"/>
    </xf>
    <xf numFmtId="4" fontId="26" fillId="17" borderId="7" xfId="2" applyNumberFormat="1" applyFont="1" applyFill="1" applyBorder="1" applyAlignment="1">
      <alignment horizontal="center" vertical="center"/>
    </xf>
    <xf numFmtId="4" fontId="31" fillId="17" borderId="7" xfId="2" applyNumberFormat="1" applyFont="1" applyFill="1" applyBorder="1" applyAlignment="1">
      <alignment horizontal="center" vertical="center"/>
    </xf>
    <xf numFmtId="4" fontId="31" fillId="17" borderId="29" xfId="2" applyNumberFormat="1" applyFont="1" applyFill="1" applyBorder="1" applyAlignment="1">
      <alignment horizontal="center" vertical="center"/>
    </xf>
    <xf numFmtId="0" fontId="26" fillId="0" borderId="0" xfId="3" applyFont="1" applyAlignment="1">
      <alignment horizontal="center" vertical="center"/>
    </xf>
    <xf numFmtId="4" fontId="32" fillId="0" borderId="0" xfId="2" applyNumberFormat="1" applyFont="1"/>
    <xf numFmtId="4" fontId="27" fillId="17" borderId="4" xfId="2" applyNumberFormat="1" applyFont="1" applyFill="1" applyBorder="1" applyAlignment="1">
      <alignment horizontal="center" vertical="center"/>
    </xf>
    <xf numFmtId="4" fontId="42" fillId="17" borderId="4" xfId="2" applyNumberFormat="1" applyFont="1" applyFill="1" applyBorder="1" applyAlignment="1">
      <alignment horizontal="center" vertical="center" wrapText="1"/>
    </xf>
    <xf numFmtId="4" fontId="27" fillId="0" borderId="0" xfId="13" applyNumberFormat="1" applyFont="1" applyAlignment="1">
      <alignment horizontal="center" vertical="center"/>
    </xf>
    <xf numFmtId="0" fontId="27" fillId="0" borderId="0" xfId="13" applyFont="1"/>
    <xf numFmtId="0" fontId="45" fillId="0" borderId="0" xfId="13" applyFont="1" applyAlignment="1">
      <alignment vertical="center" wrapText="1" shrinkToFit="1"/>
    </xf>
    <xf numFmtId="0" fontId="65" fillId="0" borderId="0" xfId="13" applyFont="1"/>
    <xf numFmtId="0" fontId="27" fillId="0" borderId="0" xfId="13" applyFont="1" applyAlignment="1">
      <alignment horizontal="center" vertical="center"/>
    </xf>
    <xf numFmtId="0" fontId="27" fillId="0" borderId="14" xfId="13" applyFont="1" applyBorder="1" applyAlignment="1">
      <alignment horizontal="center" vertical="center"/>
    </xf>
    <xf numFmtId="0" fontId="29" fillId="4" borderId="14" xfId="13" applyFont="1" applyFill="1" applyBorder="1" applyAlignment="1">
      <alignment horizontal="center" vertical="center" wrapText="1"/>
    </xf>
    <xf numFmtId="4" fontId="29" fillId="4" borderId="14" xfId="13" applyNumberFormat="1" applyFont="1" applyFill="1" applyBorder="1" applyAlignment="1">
      <alignment horizontal="center" vertical="center" wrapText="1"/>
    </xf>
    <xf numFmtId="0" fontId="32" fillId="4" borderId="14" xfId="13" applyFont="1" applyFill="1" applyBorder="1" applyAlignment="1">
      <alignment horizontal="center" vertical="center" wrapText="1"/>
    </xf>
    <xf numFmtId="4" fontId="32" fillId="4" borderId="14" xfId="13" applyNumberFormat="1" applyFont="1" applyFill="1" applyBorder="1" applyAlignment="1">
      <alignment horizontal="center" vertical="center" wrapText="1"/>
    </xf>
    <xf numFmtId="0" fontId="29" fillId="5" borderId="14" xfId="13" applyFont="1" applyFill="1" applyBorder="1" applyAlignment="1">
      <alignment horizontal="center" vertical="center" wrapText="1"/>
    </xf>
    <xf numFmtId="0" fontId="29" fillId="6" borderId="14" xfId="13" applyFont="1" applyFill="1" applyBorder="1" applyAlignment="1">
      <alignment horizontal="center" vertical="center" wrapText="1"/>
    </xf>
    <xf numFmtId="0" fontId="29" fillId="6" borderId="15" xfId="13" applyFont="1" applyFill="1" applyBorder="1" applyAlignment="1">
      <alignment horizontal="center" vertical="center" wrapText="1"/>
    </xf>
    <xf numFmtId="0" fontId="27" fillId="0" borderId="4" xfId="13" applyFont="1" applyBorder="1" applyAlignment="1">
      <alignment horizontal="center" vertical="center"/>
    </xf>
    <xf numFmtId="49" fontId="28" fillId="4" borderId="4" xfId="13" applyNumberFormat="1" applyFont="1" applyFill="1" applyBorder="1" applyAlignment="1">
      <alignment horizontal="center" vertical="center" wrapText="1"/>
    </xf>
    <xf numFmtId="49" fontId="28" fillId="5" borderId="4" xfId="13" applyNumberFormat="1" applyFont="1" applyFill="1" applyBorder="1" applyAlignment="1">
      <alignment horizontal="center" vertical="center" wrapText="1"/>
    </xf>
    <xf numFmtId="49" fontId="28" fillId="6" borderId="4" xfId="13" applyNumberFormat="1" applyFont="1" applyFill="1" applyBorder="1" applyAlignment="1">
      <alignment horizontal="center" vertical="center" wrapText="1"/>
    </xf>
    <xf numFmtId="49" fontId="28" fillId="6" borderId="17" xfId="13" applyNumberFormat="1" applyFont="1" applyFill="1" applyBorder="1" applyAlignment="1">
      <alignment horizontal="center" vertical="center" wrapText="1"/>
    </xf>
    <xf numFmtId="0" fontId="27" fillId="15" borderId="16" xfId="13" applyFont="1" applyFill="1" applyBorder="1" applyAlignment="1">
      <alignment horizontal="center" vertical="center"/>
    </xf>
    <xf numFmtId="0" fontId="27" fillId="15" borderId="4" xfId="13" applyFont="1" applyFill="1" applyBorder="1" applyAlignment="1">
      <alignment horizontal="center" vertical="center"/>
    </xf>
    <xf numFmtId="0" fontId="27" fillId="15" borderId="4" xfId="13" applyFont="1" applyFill="1" applyBorder="1" applyAlignment="1">
      <alignment horizontal="center" vertical="center" wrapText="1"/>
    </xf>
    <xf numFmtId="49" fontId="28" fillId="15" borderId="4" xfId="13" applyNumberFormat="1" applyFont="1" applyFill="1" applyBorder="1" applyAlignment="1">
      <alignment horizontal="center" vertical="center" wrapText="1"/>
    </xf>
    <xf numFmtId="49" fontId="28" fillId="15" borderId="17" xfId="13" applyNumberFormat="1" applyFont="1" applyFill="1" applyBorder="1" applyAlignment="1">
      <alignment horizontal="center" vertical="center" wrapText="1"/>
    </xf>
    <xf numFmtId="0" fontId="31" fillId="10" borderId="16" xfId="13" applyFont="1" applyFill="1" applyBorder="1" applyAlignment="1">
      <alignment horizontal="center" vertical="center"/>
    </xf>
    <xf numFmtId="0" fontId="26" fillId="10" borderId="4" xfId="13" applyFont="1" applyFill="1" applyBorder="1" applyAlignment="1">
      <alignment horizontal="center" vertical="center"/>
    </xf>
    <xf numFmtId="0" fontId="31" fillId="10" borderId="4" xfId="13" applyFont="1" applyFill="1" applyBorder="1" applyAlignment="1">
      <alignment horizontal="left" vertical="center" wrapText="1"/>
    </xf>
    <xf numFmtId="164" fontId="31" fillId="10" borderId="4" xfId="8" applyFont="1" applyFill="1" applyBorder="1" applyAlignment="1">
      <alignment horizontal="center" vertical="center"/>
    </xf>
    <xf numFmtId="167" fontId="31" fillId="10" borderId="4" xfId="13" applyNumberFormat="1" applyFont="1" applyFill="1" applyBorder="1" applyAlignment="1">
      <alignment horizontal="center" vertical="center"/>
    </xf>
    <xf numFmtId="4" fontId="26" fillId="10" borderId="4" xfId="13" applyNumberFormat="1" applyFont="1" applyFill="1" applyBorder="1" applyAlignment="1">
      <alignment horizontal="center" vertical="center"/>
    </xf>
    <xf numFmtId="4" fontId="31" fillId="10" borderId="4" xfId="13" applyNumberFormat="1" applyFont="1" applyFill="1" applyBorder="1" applyAlignment="1">
      <alignment horizontal="center" vertical="center"/>
    </xf>
    <xf numFmtId="4" fontId="35" fillId="10" borderId="4" xfId="13" applyNumberFormat="1" applyFont="1" applyFill="1" applyBorder="1" applyAlignment="1">
      <alignment horizontal="center" vertical="center" wrapText="1"/>
    </xf>
    <xf numFmtId="4" fontId="31" fillId="10" borderId="17" xfId="13" applyNumberFormat="1" applyFont="1" applyFill="1" applyBorder="1" applyAlignment="1">
      <alignment horizontal="center" vertical="center"/>
    </xf>
    <xf numFmtId="4" fontId="26" fillId="10" borderId="17" xfId="13" applyNumberFormat="1" applyFont="1" applyFill="1" applyBorder="1" applyAlignment="1">
      <alignment horizontal="center" vertical="center"/>
    </xf>
    <xf numFmtId="4" fontId="45" fillId="0" borderId="0" xfId="13" applyNumberFormat="1" applyFont="1" applyAlignment="1">
      <alignment vertical="center" wrapText="1" shrinkToFit="1"/>
    </xf>
    <xf numFmtId="4" fontId="35" fillId="6" borderId="4" xfId="13" applyNumberFormat="1" applyFont="1" applyFill="1" applyBorder="1" applyAlignment="1">
      <alignment horizontal="center" vertical="center" wrapText="1"/>
    </xf>
    <xf numFmtId="4" fontId="27" fillId="6" borderId="17" xfId="13" applyNumberFormat="1" applyFont="1" applyFill="1" applyBorder="1" applyAlignment="1">
      <alignment horizontal="center" vertical="center"/>
    </xf>
    <xf numFmtId="4" fontId="27" fillId="6" borderId="17" xfId="13" applyNumberFormat="1" applyFont="1" applyFill="1" applyBorder="1" applyAlignment="1">
      <alignment horizontal="center" vertical="center" wrapText="1"/>
    </xf>
    <xf numFmtId="4" fontId="26" fillId="0" borderId="0" xfId="13" applyNumberFormat="1" applyFont="1" applyAlignment="1">
      <alignment horizontal="center" vertical="center" wrapText="1"/>
    </xf>
    <xf numFmtId="0" fontId="31" fillId="16" borderId="16" xfId="13" applyFont="1" applyFill="1" applyBorder="1" applyAlignment="1">
      <alignment horizontal="center" vertical="center"/>
    </xf>
    <xf numFmtId="0" fontId="26" fillId="16" borderId="4" xfId="13" applyFont="1" applyFill="1" applyBorder="1" applyAlignment="1">
      <alignment horizontal="center" vertical="center"/>
    </xf>
    <xf numFmtId="0" fontId="31" fillId="16" borderId="4" xfId="13" applyFont="1" applyFill="1" applyBorder="1" applyAlignment="1">
      <alignment horizontal="left" vertical="center" wrapText="1"/>
    </xf>
    <xf numFmtId="164" fontId="31" fillId="16" borderId="4" xfId="8" applyFont="1" applyFill="1" applyBorder="1" applyAlignment="1">
      <alignment horizontal="center" vertical="center"/>
    </xf>
    <xf numFmtId="167" fontId="31" fillId="16" borderId="4" xfId="13" applyNumberFormat="1" applyFont="1" applyFill="1" applyBorder="1" applyAlignment="1">
      <alignment horizontal="center" vertical="center"/>
    </xf>
    <xf numFmtId="4" fontId="26" fillId="16" borderId="4" xfId="13" applyNumberFormat="1" applyFont="1" applyFill="1" applyBorder="1" applyAlignment="1">
      <alignment horizontal="center" vertical="center"/>
    </xf>
    <xf numFmtId="4" fontId="31" fillId="16" borderId="4" xfId="13" applyNumberFormat="1" applyFont="1" applyFill="1" applyBorder="1" applyAlignment="1">
      <alignment horizontal="center" vertical="center"/>
    </xf>
    <xf numFmtId="4" fontId="31" fillId="16" borderId="4" xfId="13" applyNumberFormat="1" applyFont="1" applyFill="1" applyBorder="1" applyAlignment="1">
      <alignment horizontal="center" vertical="center" wrapText="1"/>
    </xf>
    <xf numFmtId="4" fontId="77" fillId="16" borderId="4" xfId="13" applyNumberFormat="1" applyFont="1" applyFill="1" applyBorder="1" applyAlignment="1">
      <alignment horizontal="center" vertical="center" wrapText="1"/>
    </xf>
    <xf numFmtId="4" fontId="31" fillId="16" borderId="17" xfId="13" applyNumberFormat="1" applyFont="1" applyFill="1" applyBorder="1" applyAlignment="1">
      <alignment horizontal="center" vertical="center"/>
    </xf>
    <xf numFmtId="4" fontId="58" fillId="16" borderId="17" xfId="13" applyNumberFormat="1" applyFont="1" applyFill="1" applyBorder="1" applyAlignment="1">
      <alignment horizontal="center" vertical="center"/>
    </xf>
    <xf numFmtId="4" fontId="26" fillId="16" borderId="17" xfId="13" applyNumberFormat="1" applyFont="1" applyFill="1" applyBorder="1" applyAlignment="1">
      <alignment horizontal="center" vertical="center"/>
    </xf>
    <xf numFmtId="0" fontId="46" fillId="13" borderId="0" xfId="13" applyFont="1" applyFill="1" applyAlignment="1">
      <alignment vertical="center" wrapText="1" shrinkToFit="1"/>
    </xf>
    <xf numFmtId="4" fontId="44" fillId="13" borderId="4" xfId="13" applyNumberFormat="1" applyFont="1" applyFill="1" applyBorder="1" applyAlignment="1">
      <alignment horizontal="center" vertical="center" wrapText="1"/>
    </xf>
    <xf numFmtId="4" fontId="32" fillId="13" borderId="17" xfId="13" applyNumberFormat="1" applyFont="1" applyFill="1" applyBorder="1" applyAlignment="1">
      <alignment horizontal="center" vertical="center"/>
    </xf>
    <xf numFmtId="4" fontId="32" fillId="13" borderId="17" xfId="13" applyNumberFormat="1" applyFont="1" applyFill="1" applyBorder="1" applyAlignment="1">
      <alignment horizontal="center" vertical="center" wrapText="1"/>
    </xf>
    <xf numFmtId="4" fontId="42" fillId="0" borderId="0" xfId="13" applyNumberFormat="1" applyFont="1" applyAlignment="1">
      <alignment horizontal="center" vertical="center"/>
    </xf>
    <xf numFmtId="0" fontId="42" fillId="0" borderId="0" xfId="13" applyFont="1"/>
    <xf numFmtId="0" fontId="45" fillId="13" borderId="0" xfId="13" applyFont="1" applyFill="1" applyAlignment="1">
      <alignment vertical="center" wrapText="1" shrinkToFit="1"/>
    </xf>
    <xf numFmtId="4" fontId="35" fillId="13" borderId="4" xfId="13" applyNumberFormat="1" applyFont="1" applyFill="1" applyBorder="1" applyAlignment="1">
      <alignment horizontal="center" vertical="center" wrapText="1"/>
    </xf>
    <xf numFmtId="4" fontId="29" fillId="13" borderId="17" xfId="13" applyNumberFormat="1" applyFont="1" applyFill="1" applyBorder="1" applyAlignment="1">
      <alignment horizontal="center" vertical="center"/>
    </xf>
    <xf numFmtId="4" fontId="29" fillId="13" borderId="17" xfId="13" applyNumberFormat="1" applyFont="1" applyFill="1" applyBorder="1" applyAlignment="1">
      <alignment horizontal="center" vertical="center" wrapText="1"/>
    </xf>
    <xf numFmtId="0" fontId="46" fillId="0" borderId="0" xfId="13" applyFont="1" applyAlignment="1">
      <alignment vertical="center" wrapText="1" shrinkToFit="1"/>
    </xf>
    <xf numFmtId="4" fontId="26" fillId="3" borderId="0" xfId="13" applyNumberFormat="1" applyFont="1" applyFill="1" applyAlignment="1">
      <alignment horizontal="center" vertical="center" wrapText="1"/>
    </xf>
    <xf numFmtId="4" fontId="44" fillId="6" borderId="4" xfId="13" applyNumberFormat="1" applyFont="1" applyFill="1" applyBorder="1" applyAlignment="1">
      <alignment horizontal="center" vertical="center" wrapText="1"/>
    </xf>
    <xf numFmtId="4" fontId="42" fillId="6" borderId="17" xfId="13" applyNumberFormat="1" applyFont="1" applyFill="1" applyBorder="1" applyAlignment="1">
      <alignment horizontal="center" vertical="center"/>
    </xf>
    <xf numFmtId="4" fontId="27" fillId="16" borderId="4" xfId="13" applyNumberFormat="1" applyFont="1" applyFill="1" applyBorder="1" applyAlignment="1">
      <alignment horizontal="center" vertical="center"/>
    </xf>
    <xf numFmtId="4" fontId="42" fillId="16" borderId="4" xfId="13" applyNumberFormat="1" applyFont="1" applyFill="1" applyBorder="1" applyAlignment="1">
      <alignment horizontal="center" vertical="center" wrapText="1"/>
    </xf>
    <xf numFmtId="0" fontId="45" fillId="9" borderId="0" xfId="13" applyFont="1" applyFill="1" applyAlignment="1">
      <alignment vertical="center" wrapText="1" shrinkToFit="1"/>
    </xf>
    <xf numFmtId="4" fontId="42" fillId="0" borderId="0" xfId="13" applyNumberFormat="1" applyFont="1"/>
    <xf numFmtId="49" fontId="26" fillId="16" borderId="4" xfId="13" applyNumberFormat="1" applyFont="1" applyFill="1" applyBorder="1" applyAlignment="1">
      <alignment horizontal="center" vertical="center"/>
    </xf>
    <xf numFmtId="4" fontId="77" fillId="11" borderId="4" xfId="13" applyNumberFormat="1" applyFont="1" applyFill="1" applyBorder="1" applyAlignment="1">
      <alignment horizontal="center" vertical="center" wrapText="1"/>
    </xf>
    <xf numFmtId="4" fontId="27" fillId="0" borderId="0" xfId="13" applyNumberFormat="1" applyFont="1"/>
    <xf numFmtId="0" fontId="50" fillId="0" borderId="0" xfId="13" applyFont="1" applyAlignment="1">
      <alignment vertical="center" wrapText="1" shrinkToFit="1"/>
    </xf>
    <xf numFmtId="4" fontId="31" fillId="6" borderId="17" xfId="13" applyNumberFormat="1" applyFont="1" applyFill="1" applyBorder="1" applyAlignment="1">
      <alignment horizontal="center" vertical="center"/>
    </xf>
    <xf numFmtId="4" fontId="31" fillId="6" borderId="17" xfId="13" applyNumberFormat="1" applyFont="1" applyFill="1" applyBorder="1" applyAlignment="1">
      <alignment horizontal="center" vertical="center" wrapText="1"/>
    </xf>
    <xf numFmtId="0" fontId="50" fillId="0" borderId="0" xfId="13" applyFont="1"/>
    <xf numFmtId="0" fontId="31" fillId="0" borderId="0" xfId="13" applyFont="1"/>
    <xf numFmtId="0" fontId="31" fillId="18" borderId="28" xfId="13" applyFont="1" applyFill="1" applyBorder="1" applyAlignment="1">
      <alignment horizontal="center" vertical="center"/>
    </xf>
    <xf numFmtId="0" fontId="26" fillId="18" borderId="7" xfId="13" applyFont="1" applyFill="1" applyBorder="1" applyAlignment="1">
      <alignment horizontal="center" vertical="center"/>
    </xf>
    <xf numFmtId="0" fontId="31" fillId="18" borderId="7" xfId="13" applyFont="1" applyFill="1" applyBorder="1" applyAlignment="1">
      <alignment horizontal="left" vertical="center" wrapText="1"/>
    </xf>
    <xf numFmtId="164" fontId="31" fillId="18" borderId="7" xfId="8" applyFont="1" applyFill="1" applyBorder="1" applyAlignment="1">
      <alignment horizontal="center" vertical="center"/>
    </xf>
    <xf numFmtId="167" fontId="31" fillId="18" borderId="7" xfId="13" applyNumberFormat="1" applyFont="1" applyFill="1" applyBorder="1" applyAlignment="1">
      <alignment horizontal="center" vertical="center"/>
    </xf>
    <xf numFmtId="4" fontId="26" fillId="18" borderId="7" xfId="13" applyNumberFormat="1" applyFont="1" applyFill="1" applyBorder="1" applyAlignment="1">
      <alignment horizontal="center" vertical="center"/>
    </xf>
    <xf numFmtId="4" fontId="31" fillId="18" borderId="7" xfId="13" applyNumberFormat="1" applyFont="1" applyFill="1" applyBorder="1" applyAlignment="1">
      <alignment horizontal="center" vertical="center"/>
    </xf>
    <xf numFmtId="4" fontId="31" fillId="18" borderId="4" xfId="13" applyNumberFormat="1" applyFont="1" applyFill="1" applyBorder="1" applyAlignment="1">
      <alignment horizontal="center" vertical="center"/>
    </xf>
    <xf numFmtId="4" fontId="77" fillId="18" borderId="4" xfId="13" applyNumberFormat="1" applyFont="1" applyFill="1" applyBorder="1" applyAlignment="1">
      <alignment horizontal="center" vertical="center" wrapText="1"/>
    </xf>
    <xf numFmtId="4" fontId="31" fillId="18" borderId="29" xfId="13" applyNumberFormat="1" applyFont="1" applyFill="1" applyBorder="1" applyAlignment="1">
      <alignment horizontal="center" vertical="center"/>
    </xf>
    <xf numFmtId="4" fontId="58" fillId="18" borderId="17" xfId="13" applyNumberFormat="1" applyFont="1" applyFill="1" applyBorder="1" applyAlignment="1">
      <alignment horizontal="center" vertical="center"/>
    </xf>
    <xf numFmtId="4" fontId="26" fillId="18" borderId="17" xfId="13" applyNumberFormat="1" applyFont="1" applyFill="1" applyBorder="1" applyAlignment="1">
      <alignment horizontal="center" vertical="center"/>
    </xf>
    <xf numFmtId="0" fontId="71" fillId="0" borderId="0" xfId="13" applyFont="1" applyAlignment="1">
      <alignment vertical="center" wrapText="1" shrinkToFit="1"/>
    </xf>
    <xf numFmtId="4" fontId="70" fillId="6" borderId="4" xfId="13" applyNumberFormat="1" applyFont="1" applyFill="1" applyBorder="1" applyAlignment="1">
      <alignment horizontal="center" vertical="center" wrapText="1"/>
    </xf>
    <xf numFmtId="4" fontId="66" fillId="6" borderId="17" xfId="13" applyNumberFormat="1" applyFont="1" applyFill="1" applyBorder="1" applyAlignment="1">
      <alignment horizontal="center" vertical="center"/>
    </xf>
    <xf numFmtId="4" fontId="66" fillId="6" borderId="17" xfId="13" applyNumberFormat="1" applyFont="1" applyFill="1" applyBorder="1" applyAlignment="1">
      <alignment horizontal="center" vertical="center" wrapText="1"/>
    </xf>
    <xf numFmtId="0" fontId="71" fillId="0" borderId="0" xfId="13" applyFont="1"/>
    <xf numFmtId="0" fontId="66" fillId="0" borderId="0" xfId="13" applyFont="1"/>
    <xf numFmtId="0" fontId="31" fillId="11" borderId="16" xfId="13" applyFont="1" applyFill="1" applyBorder="1" applyAlignment="1">
      <alignment horizontal="center" vertical="center"/>
    </xf>
    <xf numFmtId="0" fontId="26" fillId="11" borderId="4" xfId="13" applyFont="1" applyFill="1" applyBorder="1" applyAlignment="1">
      <alignment horizontal="center" vertical="center"/>
    </xf>
    <xf numFmtId="0" fontId="31" fillId="11" borderId="4" xfId="13" applyFont="1" applyFill="1" applyBorder="1" applyAlignment="1">
      <alignment horizontal="left" vertical="center" wrapText="1"/>
    </xf>
    <xf numFmtId="164" fontId="31" fillId="11" borderId="4" xfId="8" applyFont="1" applyFill="1" applyBorder="1" applyAlignment="1">
      <alignment horizontal="center" vertical="center"/>
    </xf>
    <xf numFmtId="167" fontId="31" fillId="11" borderId="4" xfId="13" applyNumberFormat="1" applyFont="1" applyFill="1" applyBorder="1" applyAlignment="1">
      <alignment horizontal="center" vertical="center"/>
    </xf>
    <xf numFmtId="4" fontId="26" fillId="11" borderId="4" xfId="13" applyNumberFormat="1" applyFont="1" applyFill="1" applyBorder="1" applyAlignment="1">
      <alignment horizontal="center" vertical="center"/>
    </xf>
    <xf numFmtId="4" fontId="31" fillId="11" borderId="4" xfId="13" applyNumberFormat="1" applyFont="1" applyFill="1" applyBorder="1" applyAlignment="1">
      <alignment horizontal="center" vertical="center"/>
    </xf>
    <xf numFmtId="4" fontId="35" fillId="11" borderId="4" xfId="13" applyNumberFormat="1" applyFont="1" applyFill="1" applyBorder="1" applyAlignment="1">
      <alignment horizontal="center" vertical="center" wrapText="1"/>
    </xf>
    <xf numFmtId="4" fontId="31" fillId="11" borderId="5" xfId="13" applyNumberFormat="1" applyFont="1" applyFill="1" applyBorder="1" applyAlignment="1">
      <alignment horizontal="center" vertical="center"/>
    </xf>
    <xf numFmtId="4" fontId="31" fillId="11" borderId="31" xfId="13" applyNumberFormat="1" applyFont="1" applyFill="1" applyBorder="1" applyAlignment="1">
      <alignment horizontal="center" vertical="center"/>
    </xf>
    <xf numFmtId="4" fontId="26" fillId="11" borderId="17" xfId="13" applyNumberFormat="1" applyFont="1" applyFill="1" applyBorder="1" applyAlignment="1">
      <alignment horizontal="center" vertical="center"/>
    </xf>
    <xf numFmtId="4" fontId="28" fillId="15" borderId="17" xfId="13" applyNumberFormat="1" applyFont="1" applyFill="1" applyBorder="1" applyAlignment="1">
      <alignment horizontal="center" vertical="center" wrapText="1"/>
    </xf>
    <xf numFmtId="0" fontId="31" fillId="2" borderId="16" xfId="13" applyFont="1" applyFill="1" applyBorder="1" applyAlignment="1">
      <alignment horizontal="center" vertical="center"/>
    </xf>
    <xf numFmtId="0" fontId="26" fillId="2" borderId="4" xfId="13" applyFont="1" applyFill="1" applyBorder="1" applyAlignment="1">
      <alignment horizontal="center" vertical="center"/>
    </xf>
    <xf numFmtId="0" fontId="31" fillId="2" borderId="4" xfId="13" applyFont="1" applyFill="1" applyBorder="1" applyAlignment="1">
      <alignment horizontal="left" vertical="center" wrapText="1"/>
    </xf>
    <xf numFmtId="164" fontId="31" fillId="2" borderId="4" xfId="8" applyFont="1" applyFill="1" applyBorder="1" applyAlignment="1">
      <alignment horizontal="center" vertical="center"/>
    </xf>
    <xf numFmtId="167" fontId="31" fillId="2" borderId="4" xfId="13" applyNumberFormat="1" applyFont="1" applyFill="1" applyBorder="1" applyAlignment="1">
      <alignment horizontal="center" vertical="center"/>
    </xf>
    <xf numFmtId="4" fontId="26" fillId="2" borderId="4" xfId="13" applyNumberFormat="1" applyFont="1" applyFill="1" applyBorder="1" applyAlignment="1">
      <alignment horizontal="center" vertical="center"/>
    </xf>
    <xf numFmtId="4" fontId="31" fillId="2" borderId="4" xfId="13" applyNumberFormat="1" applyFont="1" applyFill="1" applyBorder="1" applyAlignment="1">
      <alignment horizontal="center" vertical="center"/>
    </xf>
    <xf numFmtId="4" fontId="63" fillId="2" borderId="4" xfId="13" applyNumberFormat="1" applyFont="1" applyFill="1" applyBorder="1" applyAlignment="1">
      <alignment horizontal="center" vertical="center" wrapText="1"/>
    </xf>
    <xf numFmtId="4" fontId="31" fillId="2" borderId="17" xfId="13" applyNumberFormat="1" applyFont="1" applyFill="1" applyBorder="1" applyAlignment="1">
      <alignment horizontal="center" vertical="center"/>
    </xf>
    <xf numFmtId="4" fontId="58" fillId="2" borderId="17" xfId="13" applyNumberFormat="1" applyFont="1" applyFill="1" applyBorder="1" applyAlignment="1">
      <alignment horizontal="center" vertical="center"/>
    </xf>
    <xf numFmtId="4" fontId="31" fillId="2" borderId="4" xfId="13" applyNumberFormat="1" applyFont="1" applyFill="1" applyBorder="1" applyAlignment="1">
      <alignment horizontal="center" vertical="center" wrapText="1"/>
    </xf>
    <xf numFmtId="0" fontId="45" fillId="3" borderId="0" xfId="13" applyFont="1" applyFill="1" applyAlignment="1">
      <alignment vertical="center" wrapText="1" shrinkToFit="1"/>
    </xf>
    <xf numFmtId="0" fontId="31" fillId="2" borderId="22" xfId="13" applyFont="1" applyFill="1" applyBorder="1" applyAlignment="1">
      <alignment horizontal="center" vertical="center"/>
    </xf>
    <xf numFmtId="0" fontId="26" fillId="2" borderId="10" xfId="13" applyFont="1" applyFill="1" applyBorder="1" applyAlignment="1">
      <alignment horizontal="center" vertical="center"/>
    </xf>
    <xf numFmtId="0" fontId="31" fillId="2" borderId="10" xfId="13" applyFont="1" applyFill="1" applyBorder="1" applyAlignment="1">
      <alignment horizontal="left" vertical="center" wrapText="1"/>
    </xf>
    <xf numFmtId="164" fontId="31" fillId="2" borderId="10" xfId="8" applyFont="1" applyFill="1" applyBorder="1" applyAlignment="1">
      <alignment horizontal="center" vertical="center"/>
    </xf>
    <xf numFmtId="167" fontId="31" fillId="2" borderId="10" xfId="13" applyNumberFormat="1" applyFont="1" applyFill="1" applyBorder="1" applyAlignment="1">
      <alignment horizontal="center" vertical="center"/>
    </xf>
    <xf numFmtId="4" fontId="26" fillId="2" borderId="10" xfId="13" applyNumberFormat="1" applyFont="1" applyFill="1" applyBorder="1" applyAlignment="1">
      <alignment horizontal="center" vertical="center"/>
    </xf>
    <xf numFmtId="4" fontId="31" fillId="2" borderId="10" xfId="13" applyNumberFormat="1" applyFont="1" applyFill="1" applyBorder="1" applyAlignment="1">
      <alignment horizontal="center" vertical="center"/>
    </xf>
    <xf numFmtId="4" fontId="31" fillId="2" borderId="10" xfId="13" applyNumberFormat="1" applyFont="1" applyFill="1" applyBorder="1" applyAlignment="1">
      <alignment horizontal="center" vertical="center" wrapText="1"/>
    </xf>
    <xf numFmtId="4" fontId="63" fillId="2" borderId="10" xfId="13" applyNumberFormat="1" applyFont="1" applyFill="1" applyBorder="1" applyAlignment="1">
      <alignment horizontal="center" vertical="center" wrapText="1"/>
    </xf>
    <xf numFmtId="4" fontId="31" fillId="2" borderId="18" xfId="13" applyNumberFormat="1" applyFont="1" applyFill="1" applyBorder="1" applyAlignment="1">
      <alignment horizontal="center" vertical="center"/>
    </xf>
    <xf numFmtId="4" fontId="58" fillId="2" borderId="18" xfId="13" applyNumberFormat="1" applyFont="1" applyFill="1" applyBorder="1" applyAlignment="1">
      <alignment horizontal="center" vertical="center"/>
    </xf>
    <xf numFmtId="4" fontId="31" fillId="2" borderId="30" xfId="13" applyNumberFormat="1" applyFont="1" applyFill="1" applyBorder="1" applyAlignment="1">
      <alignment horizontal="center" vertical="center"/>
    </xf>
    <xf numFmtId="4" fontId="27" fillId="6" borderId="18" xfId="13" applyNumberFormat="1" applyFont="1" applyFill="1" applyBorder="1" applyAlignment="1">
      <alignment horizontal="center" vertical="center"/>
    </xf>
    <xf numFmtId="4" fontId="27" fillId="6" borderId="18" xfId="13" applyNumberFormat="1" applyFont="1" applyFill="1" applyBorder="1" applyAlignment="1">
      <alignment horizontal="center" vertical="center" wrapText="1"/>
    </xf>
    <xf numFmtId="0" fontId="66" fillId="3" borderId="13" xfId="13" applyFont="1" applyFill="1" applyBorder="1" applyAlignment="1">
      <alignment horizontal="center" vertical="center"/>
    </xf>
    <xf numFmtId="0" fontId="67" fillId="3" borderId="14" xfId="13" applyFont="1" applyFill="1" applyBorder="1" applyAlignment="1">
      <alignment horizontal="center" vertical="center"/>
    </xf>
    <xf numFmtId="0" fontId="66" fillId="3" borderId="14" xfId="13" applyFont="1" applyFill="1" applyBorder="1" applyAlignment="1">
      <alignment horizontal="left" vertical="center" wrapText="1"/>
    </xf>
    <xf numFmtId="164" fontId="66" fillId="3" borderId="14" xfId="8" applyFont="1" applyFill="1" applyBorder="1" applyAlignment="1">
      <alignment horizontal="center" vertical="center"/>
    </xf>
    <xf numFmtId="167" fontId="66" fillId="3" borderId="14" xfId="13" applyNumberFormat="1" applyFont="1" applyFill="1" applyBorder="1" applyAlignment="1">
      <alignment horizontal="center" vertical="center"/>
    </xf>
    <xf numFmtId="4" fontId="67" fillId="3" borderId="14" xfId="13" applyNumberFormat="1" applyFont="1" applyFill="1" applyBorder="1" applyAlignment="1">
      <alignment horizontal="center" vertical="center"/>
    </xf>
    <xf numFmtId="4" fontId="66" fillId="4" borderId="14" xfId="13" applyNumberFormat="1" applyFont="1" applyFill="1" applyBorder="1" applyAlignment="1">
      <alignment horizontal="center" vertical="center"/>
    </xf>
    <xf numFmtId="4" fontId="66" fillId="5" borderId="14" xfId="13" applyNumberFormat="1" applyFont="1" applyFill="1" applyBorder="1" applyAlignment="1">
      <alignment horizontal="center" vertical="center"/>
    </xf>
    <xf numFmtId="4" fontId="58" fillId="6" borderId="14" xfId="13" applyNumberFormat="1" applyFont="1" applyFill="1" applyBorder="1" applyAlignment="1">
      <alignment horizontal="center" vertical="center" wrapText="1"/>
    </xf>
    <xf numFmtId="4" fontId="68" fillId="6" borderId="14" xfId="13" applyNumberFormat="1" applyFont="1" applyFill="1" applyBorder="1" applyAlignment="1">
      <alignment horizontal="center" vertical="center" wrapText="1"/>
    </xf>
    <xf numFmtId="4" fontId="66" fillId="6" borderId="15" xfId="13" applyNumberFormat="1" applyFont="1" applyFill="1" applyBorder="1" applyAlignment="1">
      <alignment horizontal="center" vertical="center"/>
    </xf>
    <xf numFmtId="4" fontId="67" fillId="6" borderId="15" xfId="13" applyNumberFormat="1" applyFont="1" applyFill="1" applyBorder="1" applyAlignment="1">
      <alignment horizontal="center" vertical="center"/>
    </xf>
    <xf numFmtId="0" fontId="69" fillId="0" borderId="0" xfId="13" applyFont="1" applyAlignment="1">
      <alignment vertical="center" wrapText="1" shrinkToFit="1"/>
    </xf>
    <xf numFmtId="0" fontId="66" fillId="3" borderId="40" xfId="13" applyFont="1" applyFill="1" applyBorder="1" applyAlignment="1">
      <alignment horizontal="center" vertical="center"/>
    </xf>
    <xf numFmtId="0" fontId="67" fillId="3" borderId="41" xfId="13" applyFont="1" applyFill="1" applyBorder="1" applyAlignment="1">
      <alignment horizontal="center" vertical="center"/>
    </xf>
    <xf numFmtId="0" fontId="66" fillId="3" borderId="41" xfId="13" applyFont="1" applyFill="1" applyBorder="1" applyAlignment="1">
      <alignment horizontal="left" vertical="center" wrapText="1"/>
    </xf>
    <xf numFmtId="164" fontId="66" fillId="3" borderId="41" xfId="8" applyFont="1" applyFill="1" applyBorder="1" applyAlignment="1">
      <alignment horizontal="center" vertical="center"/>
    </xf>
    <xf numFmtId="167" fontId="66" fillId="3" borderId="41" xfId="13" applyNumberFormat="1" applyFont="1" applyFill="1" applyBorder="1" applyAlignment="1">
      <alignment horizontal="center" vertical="center"/>
    </xf>
    <xf numFmtId="4" fontId="67" fillId="3" borderId="41" xfId="13" applyNumberFormat="1" applyFont="1" applyFill="1" applyBorder="1" applyAlignment="1">
      <alignment horizontal="center" vertical="center"/>
    </xf>
    <xf numFmtId="4" fontId="66" fillId="7" borderId="41" xfId="13" applyNumberFormat="1" applyFont="1" applyFill="1" applyBorder="1" applyAlignment="1">
      <alignment horizontal="center" vertical="center"/>
    </xf>
    <xf numFmtId="4" fontId="66" fillId="5" borderId="41" xfId="13" applyNumberFormat="1" applyFont="1" applyFill="1" applyBorder="1" applyAlignment="1">
      <alignment horizontal="center" vertical="center"/>
    </xf>
    <xf numFmtId="4" fontId="58" fillId="6" borderId="41" xfId="13" applyNumberFormat="1" applyFont="1" applyFill="1" applyBorder="1" applyAlignment="1">
      <alignment horizontal="center" vertical="center" wrapText="1"/>
    </xf>
    <xf numFmtId="4" fontId="68" fillId="7" borderId="41" xfId="13" applyNumberFormat="1" applyFont="1" applyFill="1" applyBorder="1" applyAlignment="1">
      <alignment horizontal="center" vertical="center" wrapText="1"/>
    </xf>
    <xf numFmtId="4" fontId="66" fillId="6" borderId="42" xfId="13" applyNumberFormat="1" applyFont="1" applyFill="1" applyBorder="1" applyAlignment="1">
      <alignment horizontal="center" vertical="center"/>
    </xf>
    <xf numFmtId="4" fontId="67" fillId="7" borderId="42" xfId="13" applyNumberFormat="1" applyFont="1" applyFill="1" applyBorder="1" applyAlignment="1">
      <alignment horizontal="center" vertical="center"/>
    </xf>
    <xf numFmtId="4" fontId="66" fillId="7" borderId="42" xfId="13" applyNumberFormat="1" applyFont="1" applyFill="1" applyBorder="1" applyAlignment="1">
      <alignment horizontal="center" vertical="center"/>
    </xf>
    <xf numFmtId="0" fontId="31" fillId="2" borderId="21" xfId="13" applyFont="1" applyFill="1" applyBorder="1" applyAlignment="1">
      <alignment horizontal="center" vertical="center"/>
    </xf>
    <xf numFmtId="0" fontId="29" fillId="2" borderId="9" xfId="13" applyFont="1" applyFill="1" applyBorder="1" applyAlignment="1">
      <alignment horizontal="center" vertical="center"/>
    </xf>
    <xf numFmtId="0" fontId="31" fillId="2" borderId="9" xfId="13" applyFont="1" applyFill="1" applyBorder="1" applyAlignment="1">
      <alignment horizontal="left" vertical="center" wrapText="1"/>
    </xf>
    <xf numFmtId="164" fontId="31" fillId="2" borderId="9" xfId="8" applyFont="1" applyFill="1" applyBorder="1" applyAlignment="1">
      <alignment horizontal="center" vertical="center"/>
    </xf>
    <xf numFmtId="167" fontId="31" fillId="2" borderId="9" xfId="13" applyNumberFormat="1" applyFont="1" applyFill="1" applyBorder="1" applyAlignment="1">
      <alignment horizontal="center" vertical="center"/>
    </xf>
    <xf numFmtId="4" fontId="26" fillId="2" borderId="9" xfId="13" applyNumberFormat="1" applyFont="1" applyFill="1" applyBorder="1" applyAlignment="1">
      <alignment horizontal="center" vertical="center"/>
    </xf>
    <xf numFmtId="4" fontId="27" fillId="2" borderId="9" xfId="13" applyNumberFormat="1" applyFont="1" applyFill="1" applyBorder="1" applyAlignment="1">
      <alignment horizontal="center" vertical="center"/>
    </xf>
    <xf numFmtId="0" fontId="58" fillId="2" borderId="9" xfId="13" applyFont="1" applyFill="1" applyBorder="1" applyAlignment="1">
      <alignment horizontal="center" vertical="center" wrapText="1"/>
    </xf>
    <xf numFmtId="4" fontId="35" fillId="2" borderId="9" xfId="13" applyNumberFormat="1" applyFont="1" applyFill="1" applyBorder="1" applyAlignment="1">
      <alignment horizontal="center" vertical="center" wrapText="1"/>
    </xf>
    <xf numFmtId="4" fontId="31" fillId="2" borderId="19" xfId="12" applyNumberFormat="1" applyFont="1" applyFill="1" applyBorder="1" applyAlignment="1">
      <alignment horizontal="center" vertical="center" wrapText="1"/>
    </xf>
    <xf numFmtId="4" fontId="35" fillId="7" borderId="4" xfId="13" applyNumberFormat="1" applyFont="1" applyFill="1" applyBorder="1" applyAlignment="1">
      <alignment horizontal="center" vertical="center"/>
    </xf>
    <xf numFmtId="4" fontId="54" fillId="7" borderId="17" xfId="12" applyNumberFormat="1" applyFill="1" applyBorder="1" applyAlignment="1">
      <alignment horizontal="center" vertical="center" wrapText="1"/>
    </xf>
    <xf numFmtId="0" fontId="31" fillId="2" borderId="28" xfId="13" applyFont="1" applyFill="1" applyBorder="1" applyAlignment="1">
      <alignment horizontal="center" vertical="center"/>
    </xf>
    <xf numFmtId="0" fontId="29" fillId="2" borderId="7" xfId="13" applyFont="1" applyFill="1" applyBorder="1" applyAlignment="1">
      <alignment horizontal="center" vertical="center"/>
    </xf>
    <xf numFmtId="0" fontId="31" fillId="2" borderId="7" xfId="13" applyFont="1" applyFill="1" applyBorder="1" applyAlignment="1">
      <alignment horizontal="left" vertical="center" wrapText="1"/>
    </xf>
    <xf numFmtId="164" fontId="31" fillId="2" borderId="7" xfId="8" applyFont="1" applyFill="1" applyBorder="1" applyAlignment="1">
      <alignment horizontal="center" vertical="center"/>
    </xf>
    <xf numFmtId="167" fontId="31" fillId="2" borderId="7" xfId="13" applyNumberFormat="1" applyFont="1" applyFill="1" applyBorder="1" applyAlignment="1">
      <alignment horizontal="center" vertical="center"/>
    </xf>
    <xf numFmtId="4" fontId="26" fillId="2" borderId="7" xfId="13" applyNumberFormat="1" applyFont="1" applyFill="1" applyBorder="1" applyAlignment="1">
      <alignment horizontal="center" vertical="center"/>
    </xf>
    <xf numFmtId="4" fontId="27" fillId="2" borderId="7" xfId="13" applyNumberFormat="1" applyFont="1" applyFill="1" applyBorder="1" applyAlignment="1">
      <alignment horizontal="center" vertical="center"/>
    </xf>
    <xf numFmtId="0" fontId="58" fillId="2" borderId="7" xfId="13" applyFont="1" applyFill="1" applyBorder="1" applyAlignment="1">
      <alignment horizontal="center" vertical="center" wrapText="1"/>
    </xf>
    <xf numFmtId="4" fontId="35" fillId="2" borderId="7" xfId="13" applyNumberFormat="1" applyFont="1" applyFill="1" applyBorder="1" applyAlignment="1">
      <alignment horizontal="center" vertical="center" wrapText="1"/>
    </xf>
    <xf numFmtId="4" fontId="27" fillId="2" borderId="29" xfId="13" applyNumberFormat="1" applyFont="1" applyFill="1" applyBorder="1" applyAlignment="1">
      <alignment horizontal="center" vertical="center"/>
    </xf>
    <xf numFmtId="4" fontId="31" fillId="2" borderId="29" xfId="12" applyNumberFormat="1" applyFont="1" applyFill="1" applyBorder="1" applyAlignment="1">
      <alignment horizontal="center" vertical="center" wrapText="1"/>
    </xf>
    <xf numFmtId="4" fontId="35" fillId="7" borderId="9" xfId="13" applyNumberFormat="1" applyFont="1" applyFill="1" applyBorder="1" applyAlignment="1">
      <alignment horizontal="center" vertical="center"/>
    </xf>
    <xf numFmtId="4" fontId="27" fillId="7" borderId="19" xfId="13" applyNumberFormat="1" applyFont="1" applyFill="1" applyBorder="1" applyAlignment="1">
      <alignment horizontal="center" vertical="center"/>
    </xf>
    <xf numFmtId="4" fontId="27" fillId="7" borderId="19" xfId="13" applyNumberFormat="1" applyFont="1" applyFill="1" applyBorder="1" applyAlignment="1">
      <alignment horizontal="center" vertical="center" wrapText="1"/>
    </xf>
    <xf numFmtId="0" fontId="27" fillId="0" borderId="34" xfId="13" applyFont="1" applyBorder="1"/>
    <xf numFmtId="0" fontId="29" fillId="0" borderId="11" xfId="13" applyFont="1" applyBorder="1" applyAlignment="1">
      <alignment horizontal="center" vertical="center"/>
    </xf>
    <xf numFmtId="0" fontId="27" fillId="0" borderId="11" xfId="13" applyFont="1" applyBorder="1"/>
    <xf numFmtId="4" fontId="29" fillId="0" borderId="11" xfId="13" applyNumberFormat="1" applyFont="1" applyBorder="1" applyAlignment="1">
      <alignment horizontal="center" vertical="center"/>
    </xf>
    <xf numFmtId="164" fontId="27" fillId="0" borderId="11" xfId="13" applyNumberFormat="1" applyFont="1" applyBorder="1"/>
    <xf numFmtId="4" fontId="29" fillId="4" borderId="11" xfId="13" applyNumberFormat="1" applyFont="1" applyFill="1" applyBorder="1" applyAlignment="1">
      <alignment horizontal="center" vertical="center"/>
    </xf>
    <xf numFmtId="4" fontId="29" fillId="4" borderId="12" xfId="13" applyNumberFormat="1" applyFont="1" applyFill="1" applyBorder="1" applyAlignment="1">
      <alignment horizontal="center" vertical="center"/>
    </xf>
    <xf numFmtId="4" fontId="37" fillId="4" borderId="24" xfId="13" applyNumberFormat="1" applyFont="1" applyFill="1" applyBorder="1" applyAlignment="1">
      <alignment horizontal="center" vertical="center"/>
    </xf>
    <xf numFmtId="4" fontId="29" fillId="4" borderId="25" xfId="13" applyNumberFormat="1" applyFont="1" applyFill="1" applyBorder="1" applyAlignment="1">
      <alignment horizontal="center" vertical="center"/>
    </xf>
    <xf numFmtId="4" fontId="29" fillId="4" borderId="25" xfId="13" applyNumberFormat="1" applyFont="1" applyFill="1" applyBorder="1" applyAlignment="1">
      <alignment horizontal="center" vertical="center" wrapText="1"/>
    </xf>
    <xf numFmtId="0" fontId="27" fillId="15" borderId="21" xfId="13" applyFont="1" applyFill="1" applyBorder="1" applyAlignment="1">
      <alignment horizontal="center" vertical="center"/>
    </xf>
    <xf numFmtId="0" fontId="27" fillId="15" borderId="9" xfId="13" applyFont="1" applyFill="1" applyBorder="1" applyAlignment="1">
      <alignment horizontal="center" vertical="center"/>
    </xf>
    <xf numFmtId="0" fontId="27" fillId="15" borderId="9" xfId="13" applyFont="1" applyFill="1" applyBorder="1" applyAlignment="1">
      <alignment horizontal="center" vertical="center" wrapText="1"/>
    </xf>
    <xf numFmtId="49" fontId="28" fillId="15" borderId="9" xfId="13" applyNumberFormat="1" applyFont="1" applyFill="1" applyBorder="1" applyAlignment="1">
      <alignment horizontal="center" vertical="center" wrapText="1"/>
    </xf>
    <xf numFmtId="49" fontId="28" fillId="15" borderId="19" xfId="13" applyNumberFormat="1" applyFont="1" applyFill="1" applyBorder="1" applyAlignment="1">
      <alignment horizontal="center" vertical="center" wrapText="1"/>
    </xf>
    <xf numFmtId="0" fontId="29" fillId="16" borderId="4" xfId="13" applyFont="1" applyFill="1" applyBorder="1" applyAlignment="1">
      <alignment horizontal="center" vertical="center"/>
    </xf>
    <xf numFmtId="0" fontId="27" fillId="16" borderId="4" xfId="13" applyFont="1" applyFill="1" applyBorder="1" applyAlignment="1">
      <alignment horizontal="center" vertical="center"/>
    </xf>
    <xf numFmtId="4" fontId="31" fillId="16" borderId="17" xfId="12" applyNumberFormat="1" applyFont="1" applyFill="1" applyBorder="1" applyAlignment="1">
      <alignment horizontal="center" vertical="center" wrapText="1"/>
    </xf>
    <xf numFmtId="0" fontId="31" fillId="16" borderId="21" xfId="13" applyFont="1" applyFill="1" applyBorder="1" applyAlignment="1">
      <alignment horizontal="center" vertical="center"/>
    </xf>
    <xf numFmtId="4" fontId="34" fillId="7" borderId="17" xfId="12" applyNumberFormat="1" applyFont="1" applyFill="1" applyBorder="1" applyAlignment="1">
      <alignment horizontal="center" vertical="center" wrapText="1"/>
    </xf>
    <xf numFmtId="0" fontId="29" fillId="16" borderId="9" xfId="13" applyFont="1" applyFill="1" applyBorder="1" applyAlignment="1">
      <alignment horizontal="center" vertical="center"/>
    </xf>
    <xf numFmtId="0" fontId="31" fillId="16" borderId="9" xfId="13" applyFont="1" applyFill="1" applyBorder="1" applyAlignment="1">
      <alignment horizontal="left" vertical="center" wrapText="1"/>
    </xf>
    <xf numFmtId="164" fontId="31" fillId="16" borderId="9" xfId="8" applyFont="1" applyFill="1" applyBorder="1" applyAlignment="1">
      <alignment horizontal="center" vertical="center"/>
    </xf>
    <xf numFmtId="167" fontId="31" fillId="16" borderId="9" xfId="13" applyNumberFormat="1" applyFont="1" applyFill="1" applyBorder="1" applyAlignment="1">
      <alignment horizontal="center" vertical="center"/>
    </xf>
    <xf numFmtId="4" fontId="26" fillId="16" borderId="9" xfId="13" applyNumberFormat="1" applyFont="1" applyFill="1" applyBorder="1" applyAlignment="1">
      <alignment horizontal="center" vertical="center"/>
    </xf>
    <xf numFmtId="4" fontId="27" fillId="16" borderId="9" xfId="13" applyNumberFormat="1" applyFont="1" applyFill="1" applyBorder="1" applyAlignment="1">
      <alignment horizontal="center" vertical="center"/>
    </xf>
    <xf numFmtId="4" fontId="59" fillId="16" borderId="4" xfId="12" applyNumberFormat="1" applyFont="1" applyFill="1" applyBorder="1" applyAlignment="1">
      <alignment horizontal="center" vertical="center" wrapText="1"/>
    </xf>
    <xf numFmtId="4" fontId="77" fillId="16" borderId="10" xfId="13" applyNumberFormat="1" applyFont="1" applyFill="1" applyBorder="1" applyAlignment="1">
      <alignment horizontal="center" vertical="center" wrapText="1"/>
    </xf>
    <xf numFmtId="4" fontId="27" fillId="16" borderId="19" xfId="13" applyNumberFormat="1" applyFont="1" applyFill="1" applyBorder="1" applyAlignment="1">
      <alignment horizontal="center" vertical="center"/>
    </xf>
    <xf numFmtId="0" fontId="31" fillId="16" borderId="23" xfId="13" applyFont="1" applyFill="1" applyBorder="1" applyAlignment="1">
      <alignment horizontal="center" vertical="center"/>
    </xf>
    <xf numFmtId="0" fontId="29" fillId="16" borderId="24" xfId="13" applyFont="1" applyFill="1" applyBorder="1" applyAlignment="1">
      <alignment horizontal="center" vertical="center"/>
    </xf>
    <xf numFmtId="0" fontId="31" fillId="16" borderId="24" xfId="13" applyFont="1" applyFill="1" applyBorder="1" applyAlignment="1">
      <alignment horizontal="left" vertical="center" wrapText="1"/>
    </xf>
    <xf numFmtId="164" fontId="31" fillId="16" borderId="24" xfId="8" applyFont="1" applyFill="1" applyBorder="1" applyAlignment="1">
      <alignment horizontal="center" vertical="center"/>
    </xf>
    <xf numFmtId="167" fontId="31" fillId="16" borderId="24" xfId="13" applyNumberFormat="1" applyFont="1" applyFill="1" applyBorder="1" applyAlignment="1">
      <alignment horizontal="center" vertical="center"/>
    </xf>
    <xf numFmtId="4" fontId="26" fillId="16" borderId="24" xfId="13" applyNumberFormat="1" applyFont="1" applyFill="1" applyBorder="1" applyAlignment="1">
      <alignment horizontal="center" vertical="center"/>
    </xf>
    <xf numFmtId="4" fontId="27" fillId="16" borderId="24" xfId="13" applyNumberFormat="1" applyFont="1" applyFill="1" applyBorder="1" applyAlignment="1">
      <alignment horizontal="center" vertical="center"/>
    </xf>
    <xf numFmtId="0" fontId="27" fillId="16" borderId="24" xfId="13" applyFont="1" applyFill="1" applyBorder="1" applyAlignment="1">
      <alignment horizontal="center" vertical="center"/>
    </xf>
    <xf numFmtId="4" fontId="77" fillId="16" borderId="24" xfId="13" applyNumberFormat="1" applyFont="1" applyFill="1" applyBorder="1" applyAlignment="1">
      <alignment horizontal="center" vertical="center" wrapText="1"/>
    </xf>
    <xf numFmtId="4" fontId="31" fillId="16" borderId="25" xfId="12" applyNumberFormat="1" applyFont="1" applyFill="1" applyBorder="1" applyAlignment="1">
      <alignment horizontal="center" vertical="center" wrapText="1"/>
    </xf>
    <xf numFmtId="0" fontId="31" fillId="11" borderId="21" xfId="13" applyFont="1" applyFill="1" applyBorder="1" applyAlignment="1">
      <alignment horizontal="center" vertical="center"/>
    </xf>
    <xf numFmtId="0" fontId="29" fillId="11" borderId="8" xfId="13" applyFont="1" applyFill="1" applyBorder="1" applyAlignment="1">
      <alignment horizontal="center" vertical="center"/>
    </xf>
    <xf numFmtId="0" fontId="31" fillId="11" borderId="8" xfId="13" applyFont="1" applyFill="1" applyBorder="1" applyAlignment="1">
      <alignment horizontal="left" vertical="center" wrapText="1"/>
    </xf>
    <xf numFmtId="164" fontId="31" fillId="11" borderId="8" xfId="8" applyFont="1" applyFill="1" applyBorder="1" applyAlignment="1">
      <alignment horizontal="center" vertical="center"/>
    </xf>
    <xf numFmtId="167" fontId="31" fillId="11" borderId="8" xfId="13" applyNumberFormat="1" applyFont="1" applyFill="1" applyBorder="1" applyAlignment="1">
      <alignment horizontal="center" vertical="center"/>
    </xf>
    <xf numFmtId="4" fontId="26" fillId="11" borderId="8" xfId="13" applyNumberFormat="1" applyFont="1" applyFill="1" applyBorder="1" applyAlignment="1">
      <alignment horizontal="center" vertical="center"/>
    </xf>
    <xf numFmtId="4" fontId="31" fillId="11" borderId="8" xfId="13" applyNumberFormat="1" applyFont="1" applyFill="1" applyBorder="1" applyAlignment="1">
      <alignment horizontal="center" vertical="center"/>
    </xf>
    <xf numFmtId="4" fontId="27" fillId="11" borderId="8" xfId="13" applyNumberFormat="1" applyFont="1" applyFill="1" applyBorder="1" applyAlignment="1">
      <alignment horizontal="center" vertical="center"/>
    </xf>
    <xf numFmtId="4" fontId="31" fillId="11" borderId="8" xfId="12" applyNumberFormat="1" applyFont="1" applyFill="1" applyBorder="1" applyAlignment="1">
      <alignment horizontal="center" vertical="center" wrapText="1"/>
    </xf>
    <xf numFmtId="4" fontId="31" fillId="11" borderId="9" xfId="13" applyNumberFormat="1" applyFont="1" applyFill="1" applyBorder="1" applyAlignment="1">
      <alignment horizontal="center" vertical="center" wrapText="1"/>
    </xf>
    <xf numFmtId="4" fontId="27" fillId="11" borderId="20" xfId="13" applyNumberFormat="1" applyFont="1" applyFill="1" applyBorder="1" applyAlignment="1">
      <alignment horizontal="center" vertical="center"/>
    </xf>
    <xf numFmtId="4" fontId="31" fillId="11" borderId="20" xfId="12" applyNumberFormat="1" applyFont="1" applyFill="1" applyBorder="1" applyAlignment="1">
      <alignment horizontal="center" vertical="center" wrapText="1"/>
    </xf>
    <xf numFmtId="0" fontId="45" fillId="10" borderId="0" xfId="13" applyFont="1" applyFill="1" applyAlignment="1">
      <alignment vertical="center" wrapText="1" shrinkToFit="1"/>
    </xf>
    <xf numFmtId="4" fontId="35" fillId="2" borderId="4" xfId="13" applyNumberFormat="1" applyFont="1" applyFill="1" applyBorder="1" applyAlignment="1">
      <alignment horizontal="center" vertical="center"/>
    </xf>
    <xf numFmtId="4" fontId="27" fillId="2" borderId="17" xfId="13" applyNumberFormat="1" applyFont="1" applyFill="1" applyBorder="1" applyAlignment="1">
      <alignment horizontal="center" vertical="center"/>
    </xf>
    <xf numFmtId="4" fontId="27" fillId="2" borderId="17" xfId="13" applyNumberFormat="1" applyFont="1" applyFill="1" applyBorder="1" applyAlignment="1">
      <alignment horizontal="center" vertical="center" wrapText="1"/>
    </xf>
    <xf numFmtId="0" fontId="31" fillId="11" borderId="22" xfId="13" applyFont="1" applyFill="1" applyBorder="1" applyAlignment="1">
      <alignment horizontal="center" vertical="center"/>
    </xf>
    <xf numFmtId="0" fontId="29" fillId="11" borderId="10" xfId="13" applyFont="1" applyFill="1" applyBorder="1" applyAlignment="1">
      <alignment horizontal="center" vertical="center"/>
    </xf>
    <xf numFmtId="0" fontId="31" fillId="11" borderId="10" xfId="13" applyFont="1" applyFill="1" applyBorder="1" applyAlignment="1">
      <alignment horizontal="left" vertical="center" wrapText="1"/>
    </xf>
    <xf numFmtId="164" fontId="31" fillId="11" borderId="10" xfId="8" applyFont="1" applyFill="1" applyBorder="1" applyAlignment="1">
      <alignment horizontal="center" vertical="center"/>
    </xf>
    <xf numFmtId="167" fontId="31" fillId="11" borderId="10" xfId="13" applyNumberFormat="1" applyFont="1" applyFill="1" applyBorder="1" applyAlignment="1">
      <alignment horizontal="center" vertical="center"/>
    </xf>
    <xf numFmtId="4" fontId="26" fillId="11" borderId="10" xfId="13" applyNumberFormat="1" applyFont="1" applyFill="1" applyBorder="1" applyAlignment="1">
      <alignment horizontal="center" vertical="center"/>
    </xf>
    <xf numFmtId="4" fontId="27" fillId="11" borderId="10" xfId="13" applyNumberFormat="1" applyFont="1" applyFill="1" applyBorder="1" applyAlignment="1">
      <alignment horizontal="center" vertical="center"/>
    </xf>
    <xf numFmtId="4" fontId="60" fillId="11" borderId="10" xfId="12" applyNumberFormat="1" applyFont="1" applyFill="1" applyBorder="1" applyAlignment="1">
      <alignment horizontal="center" vertical="center" wrapText="1"/>
    </xf>
    <xf numFmtId="4" fontId="31" fillId="11" borderId="10" xfId="13" applyNumberFormat="1" applyFont="1" applyFill="1" applyBorder="1" applyAlignment="1">
      <alignment horizontal="center" vertical="center" wrapText="1"/>
    </xf>
    <xf numFmtId="4" fontId="27" fillId="11" borderId="18" xfId="13" applyNumberFormat="1" applyFont="1" applyFill="1" applyBorder="1" applyAlignment="1">
      <alignment horizontal="center" vertical="center"/>
    </xf>
    <xf numFmtId="4" fontId="31" fillId="11" borderId="18" xfId="12" applyNumberFormat="1" applyFont="1" applyFill="1" applyBorder="1" applyAlignment="1">
      <alignment horizontal="center" vertical="center" wrapText="1"/>
    </xf>
    <xf numFmtId="0" fontId="31" fillId="0" borderId="16" xfId="13" applyFont="1" applyBorder="1" applyAlignment="1">
      <alignment horizontal="center" vertical="center"/>
    </xf>
    <xf numFmtId="0" fontId="32" fillId="0" borderId="4" xfId="13" applyFont="1" applyBorder="1" applyAlignment="1">
      <alignment horizontal="center" vertical="center"/>
    </xf>
    <xf numFmtId="0" fontId="42" fillId="0" borderId="4" xfId="13" applyFont="1" applyBorder="1" applyAlignment="1">
      <alignment horizontal="left" vertical="center" wrapText="1"/>
    </xf>
    <xf numFmtId="164" fontId="42" fillId="0" borderId="4" xfId="8" applyFont="1" applyFill="1" applyBorder="1" applyAlignment="1">
      <alignment horizontal="center" vertical="center"/>
    </xf>
    <xf numFmtId="167" fontId="42" fillId="0" borderId="4" xfId="13" applyNumberFormat="1" applyFont="1" applyBorder="1" applyAlignment="1">
      <alignment horizontal="center" vertical="center"/>
    </xf>
    <xf numFmtId="4" fontId="32" fillId="0" borderId="4" xfId="13" applyNumberFormat="1" applyFont="1" applyBorder="1" applyAlignment="1">
      <alignment horizontal="center" vertical="center"/>
    </xf>
    <xf numFmtId="4" fontId="42" fillId="4" borderId="4" xfId="13" applyNumberFormat="1" applyFont="1" applyFill="1" applyBorder="1" applyAlignment="1">
      <alignment horizontal="center" vertical="center"/>
    </xf>
    <xf numFmtId="4" fontId="42" fillId="5" borderId="4" xfId="13" applyNumberFormat="1" applyFont="1" applyFill="1" applyBorder="1" applyAlignment="1">
      <alignment horizontal="center" vertical="center"/>
    </xf>
    <xf numFmtId="4" fontId="42" fillId="7" borderId="4" xfId="12" applyNumberFormat="1" applyFont="1" applyFill="1" applyBorder="1" applyAlignment="1">
      <alignment horizontal="center" vertical="center" wrapText="1"/>
    </xf>
    <xf numFmtId="4" fontId="42" fillId="7" borderId="17" xfId="13" applyNumberFormat="1" applyFont="1" applyFill="1" applyBorder="1" applyAlignment="1">
      <alignment horizontal="center" vertical="center"/>
    </xf>
    <xf numFmtId="4" fontId="31" fillId="7" borderId="17" xfId="12" applyNumberFormat="1" applyFont="1" applyFill="1" applyBorder="1" applyAlignment="1">
      <alignment horizontal="center" vertical="center" wrapText="1"/>
    </xf>
    <xf numFmtId="4" fontId="27" fillId="7" borderId="17" xfId="13" applyNumberFormat="1" applyFont="1" applyFill="1" applyBorder="1" applyAlignment="1">
      <alignment horizontal="center" vertical="center"/>
    </xf>
    <xf numFmtId="4" fontId="27" fillId="7" borderId="17" xfId="13" applyNumberFormat="1" applyFont="1" applyFill="1" applyBorder="1" applyAlignment="1">
      <alignment horizontal="center" vertical="center" wrapText="1"/>
    </xf>
    <xf numFmtId="0" fontId="31" fillId="2" borderId="34" xfId="13" applyFont="1" applyFill="1" applyBorder="1" applyAlignment="1">
      <alignment horizontal="center" vertical="center"/>
    </xf>
    <xf numFmtId="0" fontId="29" fillId="2" borderId="11" xfId="13" applyFont="1" applyFill="1" applyBorder="1" applyAlignment="1">
      <alignment horizontal="center" vertical="center"/>
    </xf>
    <xf numFmtId="0" fontId="31" fillId="2" borderId="11" xfId="13" applyFont="1" applyFill="1" applyBorder="1" applyAlignment="1">
      <alignment horizontal="left" vertical="center" wrapText="1"/>
    </xf>
    <xf numFmtId="164" fontId="31" fillId="2" borderId="11" xfId="8" applyFont="1" applyFill="1" applyBorder="1" applyAlignment="1">
      <alignment horizontal="center" vertical="center"/>
    </xf>
    <xf numFmtId="167" fontId="31" fillId="2" borderId="11" xfId="13" applyNumberFormat="1" applyFont="1" applyFill="1" applyBorder="1" applyAlignment="1">
      <alignment horizontal="center" vertical="center"/>
    </xf>
    <xf numFmtId="4" fontId="26" fillId="2" borderId="11" xfId="13" applyNumberFormat="1" applyFont="1" applyFill="1" applyBorder="1" applyAlignment="1">
      <alignment horizontal="center" vertical="center"/>
    </xf>
    <xf numFmtId="4" fontId="27" fillId="2" borderId="11" xfId="13" applyNumberFormat="1" applyFont="1" applyFill="1" applyBorder="1" applyAlignment="1">
      <alignment horizontal="center" vertical="center"/>
    </xf>
    <xf numFmtId="4" fontId="59" fillId="2" borderId="11" xfId="12" applyNumberFormat="1" applyFont="1" applyFill="1" applyBorder="1" applyAlignment="1">
      <alignment horizontal="center" vertical="center" wrapText="1"/>
    </xf>
    <xf numFmtId="4" fontId="35" fillId="2" borderId="11" xfId="13" applyNumberFormat="1" applyFont="1" applyFill="1" applyBorder="1" applyAlignment="1">
      <alignment horizontal="center" vertical="center"/>
    </xf>
    <xf numFmtId="4" fontId="27" fillId="2" borderId="12" xfId="13" applyNumberFormat="1" applyFont="1" applyFill="1" applyBorder="1" applyAlignment="1">
      <alignment horizontal="center" vertical="center"/>
    </xf>
    <xf numFmtId="4" fontId="29" fillId="2" borderId="12" xfId="13" applyNumberFormat="1" applyFont="1" applyFill="1" applyBorder="1" applyAlignment="1">
      <alignment horizontal="center" vertical="center"/>
    </xf>
    <xf numFmtId="49" fontId="62" fillId="15" borderId="9" xfId="13" applyNumberFormat="1" applyFont="1" applyFill="1" applyBorder="1" applyAlignment="1">
      <alignment horizontal="center" vertical="center" wrapText="1"/>
    </xf>
    <xf numFmtId="0" fontId="31" fillId="0" borderId="22" xfId="13" applyFont="1" applyBorder="1" applyAlignment="1">
      <alignment horizontal="center" vertical="center"/>
    </xf>
    <xf numFmtId="0" fontId="32" fillId="0" borderId="10" xfId="13" applyFont="1" applyBorder="1" applyAlignment="1">
      <alignment horizontal="center" vertical="center"/>
    </xf>
    <xf numFmtId="0" fontId="42" fillId="0" borderId="10" xfId="13" applyFont="1" applyBorder="1" applyAlignment="1">
      <alignment horizontal="left" vertical="center" wrapText="1"/>
    </xf>
    <xf numFmtId="164" fontId="42" fillId="0" borderId="10" xfId="8" applyFont="1" applyFill="1" applyBorder="1" applyAlignment="1">
      <alignment horizontal="center" vertical="center"/>
    </xf>
    <xf numFmtId="167" fontId="42" fillId="0" borderId="10" xfId="13" applyNumberFormat="1" applyFont="1" applyBorder="1" applyAlignment="1">
      <alignment horizontal="center" vertical="center"/>
    </xf>
    <xf numFmtId="4" fontId="32" fillId="0" borderId="10" xfId="13" applyNumberFormat="1" applyFont="1" applyBorder="1" applyAlignment="1">
      <alignment horizontal="center" vertical="center"/>
    </xf>
    <xf numFmtId="4" fontId="42" fillId="4" borderId="10" xfId="13" applyNumberFormat="1" applyFont="1" applyFill="1" applyBorder="1" applyAlignment="1">
      <alignment horizontal="center" vertical="center"/>
    </xf>
    <xf numFmtId="4" fontId="42" fillId="5" borderId="10" xfId="13" applyNumberFormat="1" applyFont="1" applyFill="1" applyBorder="1" applyAlignment="1">
      <alignment horizontal="center" vertical="center"/>
    </xf>
    <xf numFmtId="0" fontId="42" fillId="7" borderId="10" xfId="12" applyFont="1" applyFill="1" applyBorder="1" applyAlignment="1">
      <alignment horizontal="center" vertical="center" wrapText="1"/>
    </xf>
    <xf numFmtId="4" fontId="44" fillId="7" borderId="10" xfId="13" applyNumberFormat="1" applyFont="1" applyFill="1" applyBorder="1" applyAlignment="1">
      <alignment horizontal="center" vertical="center"/>
    </xf>
    <xf numFmtId="4" fontId="42" fillId="7" borderId="18" xfId="13" applyNumberFormat="1" applyFont="1" applyFill="1" applyBorder="1" applyAlignment="1">
      <alignment horizontal="center" vertical="center"/>
    </xf>
    <xf numFmtId="4" fontId="31" fillId="7" borderId="30" xfId="12" applyNumberFormat="1" applyFont="1" applyFill="1" applyBorder="1" applyAlignment="1">
      <alignment horizontal="center" vertical="center" wrapText="1"/>
    </xf>
    <xf numFmtId="4" fontId="35" fillId="7" borderId="10" xfId="13" applyNumberFormat="1" applyFont="1" applyFill="1" applyBorder="1" applyAlignment="1">
      <alignment horizontal="center" vertical="center"/>
    </xf>
    <xf numFmtId="4" fontId="27" fillId="7" borderId="18" xfId="13" applyNumberFormat="1" applyFont="1" applyFill="1" applyBorder="1" applyAlignment="1">
      <alignment horizontal="center" vertical="center"/>
    </xf>
    <xf numFmtId="4" fontId="27" fillId="7" borderId="18" xfId="13" applyNumberFormat="1" applyFont="1" applyFill="1" applyBorder="1" applyAlignment="1">
      <alignment horizontal="center" vertical="center" wrapText="1"/>
    </xf>
    <xf numFmtId="0" fontId="27" fillId="0" borderId="26" xfId="13" applyFont="1" applyBorder="1"/>
    <xf numFmtId="0" fontId="29" fillId="0" borderId="8" xfId="13" applyFont="1" applyBorder="1" applyAlignment="1">
      <alignment horizontal="center" vertical="center"/>
    </xf>
    <xf numFmtId="0" fontId="27" fillId="0" borderId="8" xfId="13" applyFont="1" applyBorder="1"/>
    <xf numFmtId="4" fontId="29" fillId="0" borderId="8" xfId="13" applyNumberFormat="1" applyFont="1" applyBorder="1" applyAlignment="1">
      <alignment horizontal="center" vertical="center"/>
    </xf>
    <xf numFmtId="4" fontId="29" fillId="4" borderId="8" xfId="13" applyNumberFormat="1" applyFont="1" applyFill="1" applyBorder="1" applyAlignment="1">
      <alignment horizontal="center" vertical="center"/>
    </xf>
    <xf numFmtId="4" fontId="37" fillId="4" borderId="8" xfId="13" applyNumberFormat="1" applyFont="1" applyFill="1" applyBorder="1" applyAlignment="1">
      <alignment horizontal="center" vertical="center"/>
    </xf>
    <xf numFmtId="4" fontId="29" fillId="4" borderId="20" xfId="13" applyNumberFormat="1" applyFont="1" applyFill="1" applyBorder="1" applyAlignment="1">
      <alignment horizontal="center" vertical="center"/>
    </xf>
    <xf numFmtId="4" fontId="29" fillId="4" borderId="20" xfId="13" applyNumberFormat="1" applyFont="1" applyFill="1" applyBorder="1" applyAlignment="1">
      <alignment horizontal="center" vertical="center" wrapText="1"/>
    </xf>
    <xf numFmtId="0" fontId="27" fillId="2" borderId="27" xfId="13" applyFont="1" applyFill="1" applyBorder="1"/>
    <xf numFmtId="0" fontId="27" fillId="2" borderId="11" xfId="13" applyFont="1" applyFill="1" applyBorder="1"/>
    <xf numFmtId="4" fontId="29" fillId="2" borderId="11" xfId="13" applyNumberFormat="1" applyFont="1" applyFill="1" applyBorder="1" applyAlignment="1">
      <alignment horizontal="center" vertical="center"/>
    </xf>
    <xf numFmtId="164" fontId="27" fillId="2" borderId="11" xfId="13" applyNumberFormat="1" applyFont="1" applyFill="1" applyBorder="1"/>
    <xf numFmtId="4" fontId="37" fillId="2" borderId="11" xfId="13" applyNumberFormat="1" applyFont="1" applyFill="1" applyBorder="1" applyAlignment="1">
      <alignment horizontal="center" vertical="center"/>
    </xf>
    <xf numFmtId="4" fontId="29" fillId="2" borderId="12" xfId="13" applyNumberFormat="1" applyFont="1" applyFill="1" applyBorder="1" applyAlignment="1">
      <alignment horizontal="center" vertical="center" wrapText="1"/>
    </xf>
    <xf numFmtId="168" fontId="59" fillId="0" borderId="0" xfId="13" applyNumberFormat="1" applyFont="1"/>
    <xf numFmtId="0" fontId="31" fillId="16" borderId="22" xfId="13" applyFont="1" applyFill="1" applyBorder="1" applyAlignment="1">
      <alignment horizontal="center" vertical="center"/>
    </xf>
    <xf numFmtId="0" fontId="26" fillId="16" borderId="10" xfId="13" applyFont="1" applyFill="1" applyBorder="1" applyAlignment="1">
      <alignment horizontal="center" vertical="center"/>
    </xf>
    <xf numFmtId="0" fontId="31" fillId="16" borderId="10" xfId="13" applyFont="1" applyFill="1" applyBorder="1" applyAlignment="1">
      <alignment horizontal="left" vertical="center" wrapText="1"/>
    </xf>
    <xf numFmtId="164" fontId="42" fillId="16" borderId="10" xfId="8" applyFont="1" applyFill="1" applyBorder="1" applyAlignment="1">
      <alignment horizontal="center" vertical="center"/>
    </xf>
    <xf numFmtId="167" fontId="42" fillId="16" borderId="10" xfId="13" applyNumberFormat="1" applyFont="1" applyFill="1" applyBorder="1" applyAlignment="1">
      <alignment horizontal="center" vertical="center"/>
    </xf>
    <xf numFmtId="4" fontId="32" fillId="16" borderId="10" xfId="13" applyNumberFormat="1" applyFont="1" applyFill="1" applyBorder="1" applyAlignment="1">
      <alignment horizontal="center" vertical="center"/>
    </xf>
    <xf numFmtId="4" fontId="42" fillId="16" borderId="10" xfId="13" applyNumberFormat="1" applyFont="1" applyFill="1" applyBorder="1" applyAlignment="1">
      <alignment horizontal="center" vertical="center"/>
    </xf>
    <xf numFmtId="4" fontId="27" fillId="16" borderId="10" xfId="13" applyNumberFormat="1" applyFont="1" applyFill="1" applyBorder="1" applyAlignment="1">
      <alignment horizontal="center" vertical="center"/>
    </xf>
    <xf numFmtId="4" fontId="31" fillId="16" borderId="10" xfId="12" applyNumberFormat="1" applyFont="1" applyFill="1" applyBorder="1" applyAlignment="1">
      <alignment horizontal="center" vertical="center" wrapText="1"/>
    </xf>
    <xf numFmtId="4" fontId="31" fillId="16" borderId="18" xfId="13" applyNumberFormat="1" applyFont="1" applyFill="1" applyBorder="1" applyAlignment="1">
      <alignment horizontal="center" vertical="center"/>
    </xf>
    <xf numFmtId="4" fontId="31" fillId="16" borderId="18" xfId="12" applyNumberFormat="1" applyFont="1" applyFill="1" applyBorder="1" applyAlignment="1">
      <alignment horizontal="center" vertical="center" wrapText="1"/>
    </xf>
    <xf numFmtId="4" fontId="31" fillId="16" borderId="4" xfId="12" applyNumberFormat="1" applyFont="1" applyFill="1" applyBorder="1" applyAlignment="1">
      <alignment horizontal="center" vertical="center" wrapText="1"/>
    </xf>
    <xf numFmtId="4" fontId="27" fillId="16" borderId="17" xfId="13" applyNumberFormat="1" applyFont="1" applyFill="1" applyBorder="1" applyAlignment="1">
      <alignment horizontal="center" vertical="center"/>
    </xf>
    <xf numFmtId="0" fontId="42" fillId="7" borderId="4" xfId="12" applyFont="1" applyFill="1" applyBorder="1" applyAlignment="1">
      <alignment horizontal="center" vertical="center" wrapText="1"/>
    </xf>
    <xf numFmtId="4" fontId="44" fillId="7" borderId="4" xfId="13" applyNumberFormat="1" applyFont="1" applyFill="1" applyBorder="1" applyAlignment="1">
      <alignment horizontal="center" vertical="center"/>
    </xf>
    <xf numFmtId="0" fontId="65" fillId="0" borderId="0" xfId="13" applyFont="1" applyAlignment="1">
      <alignment vertical="center"/>
    </xf>
    <xf numFmtId="0" fontId="29" fillId="0" borderId="0" xfId="13" applyFont="1" applyAlignment="1">
      <alignment horizontal="center" vertical="center"/>
    </xf>
    <xf numFmtId="4" fontId="29" fillId="0" borderId="0" xfId="13" applyNumberFormat="1" applyFont="1" applyAlignment="1">
      <alignment horizontal="center" vertical="center"/>
    </xf>
    <xf numFmtId="164" fontId="27" fillId="0" borderId="0" xfId="13" applyNumberFormat="1" applyFont="1"/>
    <xf numFmtId="0" fontId="65" fillId="0" borderId="0" xfId="13" applyFont="1" applyAlignment="1">
      <alignment horizontal="center" vertical="center"/>
    </xf>
    <xf numFmtId="165" fontId="27" fillId="0" borderId="0" xfId="13" applyNumberFormat="1" applyFont="1"/>
    <xf numFmtId="2" fontId="27" fillId="0" borderId="0" xfId="13" applyNumberFormat="1" applyFont="1"/>
    <xf numFmtId="0" fontId="31" fillId="17" borderId="21" xfId="2" applyFont="1" applyFill="1" applyBorder="1" applyAlignment="1">
      <alignment horizontal="center" vertical="center"/>
    </xf>
    <xf numFmtId="0" fontId="29" fillId="17" borderId="4" xfId="2" applyFont="1" applyFill="1" applyBorder="1" applyAlignment="1">
      <alignment horizontal="center" vertical="center"/>
    </xf>
    <xf numFmtId="0" fontId="27" fillId="17" borderId="4" xfId="2" applyFont="1" applyFill="1" applyBorder="1" applyAlignment="1">
      <alignment horizontal="center" vertical="center"/>
    </xf>
    <xf numFmtId="4" fontId="31" fillId="17" borderId="17" xfId="0" applyNumberFormat="1" applyFont="1" applyFill="1" applyBorder="1" applyAlignment="1">
      <alignment horizontal="center" vertical="center" wrapText="1"/>
    </xf>
    <xf numFmtId="0" fontId="29" fillId="17" borderId="9" xfId="2" applyFont="1" applyFill="1" applyBorder="1" applyAlignment="1">
      <alignment horizontal="center" vertical="center"/>
    </xf>
    <xf numFmtId="0" fontId="31" fillId="17" borderId="9" xfId="2" applyFont="1" applyFill="1" applyBorder="1" applyAlignment="1">
      <alignment horizontal="left" vertical="center" wrapText="1"/>
    </xf>
    <xf numFmtId="164" fontId="31" fillId="17" borderId="9" xfId="5" applyFont="1" applyFill="1" applyBorder="1" applyAlignment="1">
      <alignment horizontal="center" vertical="center"/>
    </xf>
    <xf numFmtId="167" fontId="31" fillId="17" borderId="9" xfId="2" applyNumberFormat="1" applyFont="1" applyFill="1" applyBorder="1" applyAlignment="1">
      <alignment horizontal="center" vertical="center"/>
    </xf>
    <xf numFmtId="4" fontId="26" fillId="17" borderId="9" xfId="2" applyNumberFormat="1" applyFont="1" applyFill="1" applyBorder="1" applyAlignment="1">
      <alignment horizontal="center" vertical="center"/>
    </xf>
    <xf numFmtId="4" fontId="27" fillId="17" borderId="9" xfId="2" applyNumberFormat="1" applyFont="1" applyFill="1" applyBorder="1" applyAlignment="1">
      <alignment horizontal="center" vertical="center"/>
    </xf>
    <xf numFmtId="4" fontId="59" fillId="17" borderId="4" xfId="0" applyNumberFormat="1" applyFont="1" applyFill="1" applyBorder="1" applyAlignment="1">
      <alignment horizontal="center" vertical="center" wrapText="1"/>
    </xf>
    <xf numFmtId="4" fontId="81" fillId="17" borderId="0" xfId="2" applyNumberFormat="1" applyFont="1" applyFill="1"/>
    <xf numFmtId="0" fontId="81" fillId="17" borderId="0" xfId="2" applyFont="1" applyFill="1"/>
    <xf numFmtId="49" fontId="26" fillId="17" borderId="4" xfId="2" applyNumberFormat="1" applyFont="1" applyFill="1" applyBorder="1" applyAlignment="1">
      <alignment horizontal="center" vertical="center"/>
    </xf>
    <xf numFmtId="4" fontId="27" fillId="2" borderId="19" xfId="2" applyNumberFormat="1" applyFont="1" applyFill="1" applyBorder="1" applyAlignment="1">
      <alignment horizontal="center" vertical="center"/>
    </xf>
    <xf numFmtId="4" fontId="31" fillId="11" borderId="17" xfId="2" applyNumberFormat="1" applyFont="1" applyFill="1" applyBorder="1" applyAlignment="1">
      <alignment horizontal="center" vertical="center"/>
    </xf>
    <xf numFmtId="4" fontId="31" fillId="11" borderId="17" xfId="0" applyNumberFormat="1" applyFont="1" applyFill="1" applyBorder="1" applyAlignment="1">
      <alignment horizontal="center" vertical="center" wrapText="1"/>
    </xf>
    <xf numFmtId="4" fontId="31" fillId="11" borderId="4" xfId="0" applyNumberFormat="1" applyFont="1" applyFill="1" applyBorder="1" applyAlignment="1">
      <alignment horizontal="center" vertical="center" wrapText="1"/>
    </xf>
    <xf numFmtId="4" fontId="35" fillId="6" borderId="14" xfId="2" applyNumberFormat="1" applyFont="1" applyFill="1" applyBorder="1" applyAlignment="1">
      <alignment horizontal="center" vertical="center" wrapText="1"/>
    </xf>
    <xf numFmtId="4" fontId="35" fillId="7" borderId="41" xfId="2" applyNumberFormat="1" applyFont="1" applyFill="1" applyBorder="1" applyAlignment="1">
      <alignment horizontal="center" vertical="center" wrapText="1"/>
    </xf>
    <xf numFmtId="164" fontId="31" fillId="19" borderId="4" xfId="5" applyFont="1" applyFill="1" applyBorder="1" applyAlignment="1">
      <alignment horizontal="center" vertical="center"/>
    </xf>
    <xf numFmtId="167" fontId="31" fillId="19" borderId="4" xfId="2" applyNumberFormat="1" applyFont="1" applyFill="1" applyBorder="1" applyAlignment="1">
      <alignment horizontal="center" vertical="center"/>
    </xf>
    <xf numFmtId="4" fontId="31" fillId="19" borderId="4" xfId="2" applyNumberFormat="1" applyFont="1" applyFill="1" applyBorder="1" applyAlignment="1">
      <alignment horizontal="center" vertical="center"/>
    </xf>
    <xf numFmtId="0" fontId="45" fillId="19" borderId="0" xfId="2" applyFont="1" applyFill="1" applyAlignment="1">
      <alignment vertical="center" wrapText="1" shrinkToFit="1"/>
    </xf>
    <xf numFmtId="4" fontId="35" fillId="19" borderId="4" xfId="2" applyNumberFormat="1" applyFont="1" applyFill="1" applyBorder="1" applyAlignment="1">
      <alignment horizontal="center" vertical="center" wrapText="1"/>
    </xf>
    <xf numFmtId="4" fontId="27" fillId="19" borderId="17" xfId="2" applyNumberFormat="1" applyFont="1" applyFill="1" applyBorder="1" applyAlignment="1">
      <alignment horizontal="center" vertical="center"/>
    </xf>
    <xf numFmtId="4" fontId="27" fillId="19" borderId="17" xfId="2" applyNumberFormat="1" applyFont="1" applyFill="1" applyBorder="1" applyAlignment="1">
      <alignment horizontal="center" vertical="center" wrapText="1"/>
    </xf>
    <xf numFmtId="0" fontId="50" fillId="19" borderId="0" xfId="2" applyFont="1" applyFill="1"/>
    <xf numFmtId="0" fontId="27" fillId="19" borderId="0" xfId="2" applyFont="1" applyFill="1"/>
    <xf numFmtId="4" fontId="35" fillId="2" borderId="9" xfId="2" applyNumberFormat="1" applyFont="1" applyFill="1" applyBorder="1" applyAlignment="1">
      <alignment horizontal="center" vertical="center"/>
    </xf>
    <xf numFmtId="4" fontId="27" fillId="2" borderId="19" xfId="2" applyNumberFormat="1" applyFont="1" applyFill="1" applyBorder="1" applyAlignment="1">
      <alignment horizontal="center" vertical="center" wrapText="1"/>
    </xf>
    <xf numFmtId="0" fontId="27" fillId="10" borderId="0" xfId="2" applyFont="1" applyFill="1"/>
    <xf numFmtId="4" fontId="27" fillId="17" borderId="17" xfId="2" applyNumberFormat="1" applyFont="1" applyFill="1" applyBorder="1" applyAlignment="1">
      <alignment horizontal="center" vertical="center"/>
    </xf>
    <xf numFmtId="0" fontId="27" fillId="17" borderId="9" xfId="2" applyFont="1" applyFill="1" applyBorder="1" applyAlignment="1">
      <alignment horizontal="center" vertical="center"/>
    </xf>
    <xf numFmtId="4" fontId="77" fillId="17" borderId="9" xfId="2" applyNumberFormat="1" applyFont="1" applyFill="1" applyBorder="1" applyAlignment="1">
      <alignment horizontal="center" vertical="center" wrapText="1"/>
    </xf>
    <xf numFmtId="4" fontId="31" fillId="17" borderId="19" xfId="0" applyNumberFormat="1" applyFont="1" applyFill="1" applyBorder="1" applyAlignment="1">
      <alignment horizontal="center" vertical="center" wrapText="1"/>
    </xf>
    <xf numFmtId="4" fontId="26" fillId="2" borderId="17" xfId="0" applyNumberFormat="1" applyFont="1" applyFill="1" applyBorder="1" applyAlignment="1">
      <alignment horizontal="center" vertical="center" wrapText="1"/>
    </xf>
    <xf numFmtId="4" fontId="29" fillId="2" borderId="17" xfId="2" applyNumberFormat="1" applyFont="1" applyFill="1" applyBorder="1" applyAlignment="1">
      <alignment horizontal="center" vertical="center"/>
    </xf>
    <xf numFmtId="4" fontId="26" fillId="2" borderId="19" xfId="0" applyNumberFormat="1" applyFont="1" applyFill="1" applyBorder="1" applyAlignment="1">
      <alignment horizontal="center" vertical="center" wrapText="1"/>
    </xf>
    <xf numFmtId="0" fontId="26" fillId="11" borderId="9" xfId="2" applyFont="1" applyFill="1" applyBorder="1" applyAlignment="1">
      <alignment horizontal="center" vertical="center"/>
    </xf>
    <xf numFmtId="0" fontId="31" fillId="11" borderId="9" xfId="2" applyFont="1" applyFill="1" applyBorder="1" applyAlignment="1">
      <alignment horizontal="left" vertical="center" wrapText="1"/>
    </xf>
    <xf numFmtId="164" fontId="31" fillId="11" borderId="9" xfId="5" applyFont="1" applyFill="1" applyBorder="1" applyAlignment="1">
      <alignment horizontal="center" vertical="center"/>
    </xf>
    <xf numFmtId="167" fontId="31" fillId="11" borderId="9" xfId="2" applyNumberFormat="1" applyFont="1" applyFill="1" applyBorder="1" applyAlignment="1">
      <alignment horizontal="center" vertical="center"/>
    </xf>
    <xf numFmtId="4" fontId="26" fillId="11" borderId="9" xfId="2" applyNumberFormat="1" applyFont="1" applyFill="1" applyBorder="1" applyAlignment="1">
      <alignment horizontal="center" vertical="center"/>
    </xf>
    <xf numFmtId="4" fontId="31" fillId="11" borderId="9" xfId="2" applyNumberFormat="1" applyFont="1" applyFill="1" applyBorder="1" applyAlignment="1">
      <alignment horizontal="center" vertical="center"/>
    </xf>
    <xf numFmtId="4" fontId="31" fillId="11" borderId="32" xfId="2" applyNumberFormat="1" applyFont="1" applyFill="1" applyBorder="1" applyAlignment="1">
      <alignment horizontal="center" vertical="center"/>
    </xf>
    <xf numFmtId="4" fontId="31" fillId="11" borderId="33" xfId="2" applyNumberFormat="1" applyFont="1" applyFill="1" applyBorder="1" applyAlignment="1">
      <alignment horizontal="center" vertical="center"/>
    </xf>
    <xf numFmtId="4" fontId="26" fillId="11" borderId="19" xfId="2" applyNumberFormat="1" applyFont="1" applyFill="1" applyBorder="1" applyAlignment="1">
      <alignment horizontal="center" vertical="center"/>
    </xf>
    <xf numFmtId="4" fontId="31" fillId="10" borderId="4" xfId="2" applyNumberFormat="1" applyFont="1" applyFill="1" applyBorder="1" applyAlignment="1">
      <alignment horizontal="center" vertical="center" wrapText="1"/>
    </xf>
    <xf numFmtId="4" fontId="31" fillId="10" borderId="43" xfId="2" applyNumberFormat="1" applyFont="1" applyFill="1" applyBorder="1" applyAlignment="1">
      <alignment horizontal="center" vertical="center"/>
    </xf>
    <xf numFmtId="0" fontId="27" fillId="2" borderId="44" xfId="2" applyFont="1" applyFill="1" applyBorder="1"/>
    <xf numFmtId="0" fontId="29" fillId="2" borderId="45" xfId="2" applyFont="1" applyFill="1" applyBorder="1" applyAlignment="1">
      <alignment horizontal="center" vertical="center"/>
    </xf>
    <xf numFmtId="0" fontId="27" fillId="2" borderId="45" xfId="2" applyFont="1" applyFill="1" applyBorder="1"/>
    <xf numFmtId="4" fontId="29" fillId="2" borderId="45" xfId="2" applyNumberFormat="1" applyFont="1" applyFill="1" applyBorder="1" applyAlignment="1">
      <alignment horizontal="center" vertical="center"/>
    </xf>
    <xf numFmtId="164" fontId="27" fillId="2" borderId="45" xfId="2" applyNumberFormat="1" applyFont="1" applyFill="1" applyBorder="1"/>
    <xf numFmtId="4" fontId="37" fillId="2" borderId="45" xfId="2" applyNumberFormat="1" applyFont="1" applyFill="1" applyBorder="1" applyAlignment="1">
      <alignment horizontal="center" vertical="center"/>
    </xf>
    <xf numFmtId="4" fontId="29" fillId="2" borderId="46" xfId="2" applyNumberFormat="1" applyFont="1" applyFill="1" applyBorder="1" applyAlignment="1">
      <alignment horizontal="center" vertical="center"/>
    </xf>
    <xf numFmtId="0" fontId="31" fillId="2" borderId="47" xfId="2" applyFont="1" applyFill="1" applyBorder="1" applyAlignment="1">
      <alignment horizontal="center" vertical="center"/>
    </xf>
    <xf numFmtId="0" fontId="29" fillId="2" borderId="48" xfId="2" applyFont="1" applyFill="1" applyBorder="1" applyAlignment="1">
      <alignment horizontal="center" vertical="center"/>
    </xf>
    <xf numFmtId="0" fontId="31" fillId="2" borderId="48" xfId="2" applyFont="1" applyFill="1" applyBorder="1" applyAlignment="1">
      <alignment horizontal="left" vertical="center" wrapText="1"/>
    </xf>
    <xf numFmtId="164" fontId="31" fillId="2" borderId="48" xfId="5" applyFont="1" applyFill="1" applyBorder="1" applyAlignment="1">
      <alignment horizontal="center" vertical="center"/>
    </xf>
    <xf numFmtId="167" fontId="31" fillId="2" borderId="48" xfId="2" applyNumberFormat="1" applyFont="1" applyFill="1" applyBorder="1" applyAlignment="1">
      <alignment horizontal="center" vertical="center"/>
    </xf>
    <xf numFmtId="4" fontId="26" fillId="2" borderId="48" xfId="2" applyNumberFormat="1" applyFont="1" applyFill="1" applyBorder="1" applyAlignment="1">
      <alignment horizontal="center" vertical="center"/>
    </xf>
    <xf numFmtId="4" fontId="27" fillId="2" borderId="48" xfId="2" applyNumberFormat="1" applyFont="1" applyFill="1" applyBorder="1" applyAlignment="1">
      <alignment horizontal="center" vertical="center"/>
    </xf>
    <xf numFmtId="4" fontId="59" fillId="2" borderId="48" xfId="0" applyNumberFormat="1" applyFont="1" applyFill="1" applyBorder="1" applyAlignment="1">
      <alignment horizontal="center" vertical="center" wrapText="1"/>
    </xf>
    <xf numFmtId="4" fontId="35" fillId="2" borderId="48" xfId="2" applyNumberFormat="1" applyFont="1" applyFill="1" applyBorder="1" applyAlignment="1">
      <alignment horizontal="center" vertical="center"/>
    </xf>
    <xf numFmtId="4" fontId="27" fillId="2" borderId="49" xfId="2" applyNumberFormat="1" applyFont="1" applyFill="1" applyBorder="1" applyAlignment="1">
      <alignment horizontal="center" vertical="center"/>
    </xf>
    <xf numFmtId="4" fontId="29" fillId="2" borderId="49" xfId="2" applyNumberFormat="1" applyFont="1" applyFill="1" applyBorder="1" applyAlignment="1">
      <alignment horizontal="center" vertical="center"/>
    </xf>
    <xf numFmtId="4" fontId="27" fillId="2" borderId="51" xfId="2" applyNumberFormat="1" applyFont="1" applyFill="1" applyBorder="1" applyAlignment="1">
      <alignment horizontal="left" vertical="center"/>
    </xf>
    <xf numFmtId="0" fontId="27" fillId="2" borderId="51" xfId="2" applyFont="1" applyFill="1" applyBorder="1"/>
    <xf numFmtId="0" fontId="27" fillId="2" borderId="52" xfId="2" applyFont="1" applyFill="1" applyBorder="1"/>
    <xf numFmtId="4" fontId="27" fillId="2" borderId="53" xfId="2" applyNumberFormat="1" applyFont="1" applyFill="1" applyBorder="1" applyAlignment="1">
      <alignment horizontal="left" vertical="center"/>
    </xf>
    <xf numFmtId="0" fontId="31" fillId="2" borderId="53" xfId="2" applyFont="1" applyFill="1" applyBorder="1"/>
    <xf numFmtId="0" fontId="31" fillId="2" borderId="54" xfId="2" applyFont="1" applyFill="1" applyBorder="1"/>
    <xf numFmtId="4" fontId="83" fillId="2" borderId="17" xfId="2" applyNumberFormat="1" applyFont="1" applyFill="1" applyBorder="1" applyAlignment="1">
      <alignment horizontal="center" vertical="center"/>
    </xf>
    <xf numFmtId="4" fontId="83" fillId="2" borderId="50" xfId="2" applyNumberFormat="1" applyFont="1" applyFill="1" applyBorder="1" applyAlignment="1">
      <alignment horizontal="center" vertical="center"/>
    </xf>
    <xf numFmtId="4" fontId="83" fillId="2" borderId="44" xfId="2" applyNumberFormat="1" applyFont="1" applyFill="1" applyBorder="1" applyAlignment="1">
      <alignment horizontal="center" vertical="center"/>
    </xf>
    <xf numFmtId="0" fontId="31" fillId="3" borderId="28" xfId="2" applyFont="1" applyFill="1" applyBorder="1" applyAlignment="1">
      <alignment horizontal="center" vertical="center"/>
    </xf>
    <xf numFmtId="0" fontId="26" fillId="3" borderId="7" xfId="2" applyFont="1" applyFill="1" applyBorder="1" applyAlignment="1">
      <alignment horizontal="center" vertical="center"/>
    </xf>
    <xf numFmtId="0" fontId="31" fillId="3" borderId="7" xfId="2" applyFont="1" applyFill="1" applyBorder="1" applyAlignment="1">
      <alignment horizontal="left" vertical="center" wrapText="1"/>
    </xf>
    <xf numFmtId="4" fontId="31" fillId="3" borderId="29" xfId="2" applyNumberFormat="1" applyFont="1" applyFill="1" applyBorder="1" applyAlignment="1">
      <alignment horizontal="center" vertical="center"/>
    </xf>
    <xf numFmtId="4" fontId="31" fillId="3" borderId="19" xfId="0" applyNumberFormat="1" applyFont="1" applyFill="1" applyBorder="1" applyAlignment="1">
      <alignment horizontal="center" vertical="center" wrapText="1"/>
    </xf>
    <xf numFmtId="0" fontId="29" fillId="3" borderId="7" xfId="2" applyFont="1" applyFill="1" applyBorder="1" applyAlignment="1">
      <alignment horizontal="center" vertical="center"/>
    </xf>
    <xf numFmtId="4" fontId="26" fillId="3" borderId="17" xfId="0" applyNumberFormat="1" applyFont="1" applyFill="1" applyBorder="1" applyAlignment="1">
      <alignment horizontal="center" vertical="center" wrapText="1"/>
    </xf>
    <xf numFmtId="0" fontId="27" fillId="3" borderId="0" xfId="2" applyFont="1" applyFill="1"/>
    <xf numFmtId="0" fontId="27" fillId="17" borderId="34" xfId="2" applyFont="1" applyFill="1" applyBorder="1"/>
    <xf numFmtId="0" fontId="29" fillId="17" borderId="11" xfId="2" applyFont="1" applyFill="1" applyBorder="1" applyAlignment="1">
      <alignment horizontal="center" vertical="center"/>
    </xf>
    <xf numFmtId="0" fontId="27" fillId="17" borderId="11" xfId="2" applyFont="1" applyFill="1" applyBorder="1"/>
    <xf numFmtId="4" fontId="29" fillId="17" borderId="12" xfId="2" applyNumberFormat="1" applyFont="1" applyFill="1" applyBorder="1" applyAlignment="1">
      <alignment horizontal="center" vertical="center"/>
    </xf>
    <xf numFmtId="0" fontId="27" fillId="17" borderId="44" xfId="2" applyFont="1" applyFill="1" applyBorder="1"/>
    <xf numFmtId="0" fontId="29" fillId="17" borderId="45" xfId="2" applyFont="1" applyFill="1" applyBorder="1" applyAlignment="1">
      <alignment horizontal="center" vertical="center"/>
    </xf>
    <xf numFmtId="0" fontId="27" fillId="17" borderId="45" xfId="2" applyFont="1" applyFill="1" applyBorder="1"/>
    <xf numFmtId="4" fontId="29" fillId="17" borderId="46" xfId="2" applyNumberFormat="1" applyFont="1" applyFill="1" applyBorder="1" applyAlignment="1">
      <alignment horizontal="center" vertical="center"/>
    </xf>
    <xf numFmtId="0" fontId="27" fillId="17" borderId="27" xfId="2" applyFont="1" applyFill="1" applyBorder="1"/>
    <xf numFmtId="4" fontId="31" fillId="3" borderId="15" xfId="2" applyNumberFormat="1" applyFont="1" applyFill="1" applyBorder="1" applyAlignment="1">
      <alignment horizontal="center" vertical="center"/>
    </xf>
    <xf numFmtId="4" fontId="31" fillId="3" borderId="42" xfId="2" applyNumberFormat="1" applyFont="1" applyFill="1" applyBorder="1" applyAlignment="1">
      <alignment horizontal="center" vertical="center"/>
    </xf>
    <xf numFmtId="0" fontId="31" fillId="3" borderId="13" xfId="2" applyFont="1" applyFill="1" applyBorder="1" applyAlignment="1">
      <alignment horizontal="center" vertical="center"/>
    </xf>
    <xf numFmtId="0" fontId="26" fillId="3" borderId="14" xfId="2" applyFont="1" applyFill="1" applyBorder="1" applyAlignment="1">
      <alignment horizontal="center" vertical="center"/>
    </xf>
    <xf numFmtId="0" fontId="31" fillId="3" borderId="14" xfId="2" applyFont="1" applyFill="1" applyBorder="1" applyAlignment="1">
      <alignment horizontal="left" vertical="center" wrapText="1"/>
    </xf>
    <xf numFmtId="0" fontId="31" fillId="3" borderId="40" xfId="2" applyFont="1" applyFill="1" applyBorder="1" applyAlignment="1">
      <alignment horizontal="center" vertical="center"/>
    </xf>
    <xf numFmtId="0" fontId="26" fillId="3" borderId="41" xfId="2" applyFont="1" applyFill="1" applyBorder="1" applyAlignment="1">
      <alignment horizontal="center" vertical="center"/>
    </xf>
    <xf numFmtId="0" fontId="31" fillId="3" borderId="41" xfId="2" applyFont="1" applyFill="1" applyBorder="1" applyAlignment="1">
      <alignment horizontal="left" vertical="center" wrapText="1"/>
    </xf>
    <xf numFmtId="4" fontId="26" fillId="3" borderId="15" xfId="2" applyNumberFormat="1" applyFont="1" applyFill="1" applyBorder="1" applyAlignment="1">
      <alignment horizontal="center" vertical="center"/>
    </xf>
    <xf numFmtId="4" fontId="31" fillId="3" borderId="55" xfId="2" applyNumberFormat="1" applyFont="1" applyFill="1" applyBorder="1" applyAlignment="1">
      <alignment horizontal="center" vertical="center"/>
    </xf>
    <xf numFmtId="4" fontId="26" fillId="3" borderId="42" xfId="2" applyNumberFormat="1" applyFont="1" applyFill="1" applyBorder="1" applyAlignment="1">
      <alignment horizontal="center" vertical="center"/>
    </xf>
    <xf numFmtId="4" fontId="31" fillId="3" borderId="56" xfId="2" applyNumberFormat="1" applyFont="1" applyFill="1" applyBorder="1" applyAlignment="1">
      <alignment horizontal="center" vertical="center"/>
    </xf>
    <xf numFmtId="4" fontId="31" fillId="3" borderId="19" xfId="2" applyNumberFormat="1" applyFont="1" applyFill="1" applyBorder="1" applyAlignment="1">
      <alignment horizontal="center" vertical="center"/>
    </xf>
    <xf numFmtId="4" fontId="32" fillId="3" borderId="17" xfId="2" applyNumberFormat="1" applyFont="1" applyFill="1" applyBorder="1" applyAlignment="1">
      <alignment horizontal="center" vertical="center"/>
    </xf>
    <xf numFmtId="4" fontId="32" fillId="3" borderId="30" xfId="0" applyNumberFormat="1" applyFont="1" applyFill="1" applyBorder="1" applyAlignment="1">
      <alignment horizontal="center" vertical="center" wrapText="1"/>
    </xf>
    <xf numFmtId="4" fontId="77" fillId="2" borderId="4" xfId="2" applyNumberFormat="1" applyFont="1" applyFill="1" applyBorder="1" applyAlignment="1">
      <alignment horizontal="center" vertical="center" wrapText="1"/>
    </xf>
    <xf numFmtId="0" fontId="26" fillId="0" borderId="0" xfId="3" applyFont="1" applyAlignment="1">
      <alignment horizontal="center" vertical="center"/>
    </xf>
    <xf numFmtId="0" fontId="27" fillId="0" borderId="14" xfId="2" applyFont="1" applyBorder="1" applyAlignment="1">
      <alignment horizontal="center" vertical="center"/>
    </xf>
    <xf numFmtId="0" fontId="27" fillId="0" borderId="4" xfId="2" applyFont="1" applyBorder="1" applyAlignment="1">
      <alignment horizontal="center" vertical="center"/>
    </xf>
    <xf numFmtId="0" fontId="26" fillId="0" borderId="0" xfId="3" applyFont="1" applyAlignment="1">
      <alignment horizontal="center" vertical="center"/>
    </xf>
    <xf numFmtId="0" fontId="27" fillId="0" borderId="14" xfId="2" applyFont="1" applyBorder="1" applyAlignment="1">
      <alignment horizontal="center" vertical="center"/>
    </xf>
    <xf numFmtId="0" fontId="27" fillId="0" borderId="4" xfId="2" applyFont="1" applyBorder="1" applyAlignment="1">
      <alignment horizontal="center" vertical="center"/>
    </xf>
    <xf numFmtId="4" fontId="83" fillId="20" borderId="17" xfId="2" applyNumberFormat="1" applyFont="1" applyFill="1" applyBorder="1" applyAlignment="1">
      <alignment horizontal="center" vertical="center"/>
    </xf>
    <xf numFmtId="4" fontId="26" fillId="20" borderId="17" xfId="0" applyNumberFormat="1" applyFont="1" applyFill="1" applyBorder="1" applyAlignment="1">
      <alignment horizontal="center" vertical="center" wrapText="1"/>
    </xf>
    <xf numFmtId="0" fontId="8" fillId="0" borderId="3" xfId="1" applyNumberFormat="1" applyFont="1" applyFill="1" applyBorder="1" applyAlignment="1" applyProtection="1">
      <alignment horizontal="center" vertical="top"/>
    </xf>
    <xf numFmtId="0" fontId="7" fillId="0" borderId="1" xfId="1" applyNumberFormat="1" applyFont="1" applyFill="1" applyBorder="1" applyAlignment="1" applyProtection="1">
      <alignment horizontal="left" vertical="top" wrapText="1"/>
    </xf>
    <xf numFmtId="0" fontId="7" fillId="0" borderId="1" xfId="1" applyNumberFormat="1" applyFont="1" applyFill="1" applyBorder="1" applyAlignment="1" applyProtection="1">
      <alignment horizontal="right" vertical="top" wrapText="1"/>
    </xf>
    <xf numFmtId="49" fontId="7" fillId="0" borderId="0" xfId="1" applyNumberFormat="1" applyFont="1" applyFill="1" applyBorder="1" applyAlignment="1" applyProtection="1">
      <alignment horizontal="left" vertical="top" wrapText="1"/>
    </xf>
    <xf numFmtId="0" fontId="10" fillId="0" borderId="5" xfId="1" applyNumberFormat="1" applyFont="1" applyFill="1" applyBorder="1" applyAlignment="1" applyProtection="1">
      <alignment horizontal="right" vertical="top" wrapText="1"/>
    </xf>
    <xf numFmtId="0" fontId="10" fillId="0" borderId="6" xfId="1" applyNumberFormat="1" applyFont="1" applyFill="1" applyBorder="1" applyAlignment="1" applyProtection="1">
      <alignment horizontal="right" vertical="top" wrapText="1"/>
    </xf>
    <xf numFmtId="0" fontId="11" fillId="0" borderId="5" xfId="1" applyNumberFormat="1" applyFont="1" applyFill="1" applyBorder="1" applyAlignment="1" applyProtection="1">
      <alignment horizontal="left" vertical="center" wrapText="1"/>
    </xf>
    <xf numFmtId="0" fontId="11" fillId="0" borderId="2" xfId="1" applyNumberFormat="1" applyFont="1" applyFill="1" applyBorder="1" applyAlignment="1" applyProtection="1">
      <alignment horizontal="left" vertical="center" wrapText="1"/>
    </xf>
    <xf numFmtId="0" fontId="11" fillId="0" borderId="6" xfId="1" applyNumberFormat="1" applyFont="1" applyFill="1" applyBorder="1" applyAlignment="1" applyProtection="1">
      <alignment horizontal="left" vertical="center" wrapText="1"/>
    </xf>
    <xf numFmtId="0" fontId="12" fillId="0" borderId="5" xfId="1" applyNumberFormat="1" applyFont="1" applyFill="1" applyBorder="1" applyAlignment="1" applyProtection="1">
      <alignment horizontal="right" vertical="top" wrapText="1"/>
    </xf>
    <xf numFmtId="0" fontId="12" fillId="0" borderId="6" xfId="1" applyNumberFormat="1" applyFont="1" applyFill="1" applyBorder="1" applyAlignment="1" applyProtection="1">
      <alignment horizontal="right" vertical="top" wrapText="1"/>
    </xf>
    <xf numFmtId="0" fontId="5" fillId="0" borderId="5" xfId="1" applyNumberFormat="1" applyFont="1" applyFill="1" applyBorder="1" applyAlignment="1" applyProtection="1">
      <alignment horizontal="right" vertical="top" wrapText="1"/>
    </xf>
    <xf numFmtId="0" fontId="5" fillId="0" borderId="6" xfId="1" applyNumberFormat="1" applyFont="1" applyFill="1" applyBorder="1" applyAlignment="1" applyProtection="1">
      <alignment horizontal="right" vertical="top" wrapText="1"/>
    </xf>
    <xf numFmtId="0" fontId="10" fillId="0" borderId="5" xfId="1" applyNumberFormat="1" applyFont="1" applyFill="1" applyBorder="1" applyAlignment="1" applyProtection="1">
      <alignment horizontal="left" vertical="top" wrapText="1"/>
    </xf>
    <xf numFmtId="0" fontId="10" fillId="0" borderId="6" xfId="1" applyNumberFormat="1" applyFont="1" applyFill="1" applyBorder="1" applyAlignment="1" applyProtection="1">
      <alignment horizontal="left" vertical="top" wrapText="1"/>
    </xf>
    <xf numFmtId="0" fontId="17" fillId="0" borderId="5" xfId="1" applyNumberFormat="1" applyFont="1" applyFill="1" applyBorder="1" applyAlignment="1" applyProtection="1">
      <alignment horizontal="left" vertical="center" wrapText="1"/>
    </xf>
    <xf numFmtId="0" fontId="18" fillId="0" borderId="5" xfId="1" applyNumberFormat="1" applyFont="1" applyFill="1" applyBorder="1" applyAlignment="1" applyProtection="1">
      <alignment horizontal="right" vertical="top" wrapText="1"/>
    </xf>
    <xf numFmtId="0" fontId="18" fillId="0" borderId="5" xfId="1" applyNumberFormat="1" applyFont="1" applyFill="1" applyBorder="1" applyAlignment="1" applyProtection="1">
      <alignment horizontal="left" vertical="center" wrapText="1"/>
    </xf>
    <xf numFmtId="0" fontId="18" fillId="0" borderId="2" xfId="1" applyNumberFormat="1" applyFont="1" applyFill="1" applyBorder="1" applyAlignment="1" applyProtection="1">
      <alignment horizontal="left" vertical="center" wrapText="1"/>
    </xf>
    <xf numFmtId="0" fontId="18" fillId="0" borderId="6" xfId="1" applyNumberFormat="1" applyFont="1" applyFill="1" applyBorder="1" applyAlignment="1" applyProtection="1">
      <alignment horizontal="left" vertical="center" wrapText="1"/>
    </xf>
    <xf numFmtId="0" fontId="15" fillId="0" borderId="5" xfId="1" applyNumberFormat="1" applyFont="1" applyFill="1" applyBorder="1" applyAlignment="1" applyProtection="1">
      <alignment horizontal="left" vertical="center" wrapText="1"/>
    </xf>
    <xf numFmtId="0" fontId="15" fillId="0" borderId="2" xfId="1" applyNumberFormat="1" applyFont="1" applyFill="1" applyBorder="1" applyAlignment="1" applyProtection="1">
      <alignment horizontal="left" vertical="center" wrapText="1"/>
    </xf>
    <xf numFmtId="0" fontId="15" fillId="0" borderId="6" xfId="1" applyNumberFormat="1" applyFont="1" applyFill="1" applyBorder="1" applyAlignment="1" applyProtection="1">
      <alignment horizontal="left" vertical="center" wrapText="1"/>
    </xf>
    <xf numFmtId="0" fontId="5" fillId="0" borderId="7" xfId="1" applyNumberFormat="1" applyFont="1" applyFill="1" applyBorder="1" applyAlignment="1" applyProtection="1">
      <alignment horizontal="center" vertical="center" wrapText="1"/>
    </xf>
    <xf numFmtId="0" fontId="5" fillId="0" borderId="9" xfId="1" applyNumberFormat="1" applyFont="1" applyFill="1" applyBorder="1" applyAlignment="1" applyProtection="1">
      <alignment horizontal="center" vertical="center" wrapText="1"/>
    </xf>
    <xf numFmtId="0" fontId="20" fillId="3" borderId="0" xfId="1" applyNumberFormat="1" applyFont="1" applyFill="1" applyBorder="1" applyAlignment="1" applyProtection="1">
      <alignment wrapText="1"/>
    </xf>
    <xf numFmtId="0" fontId="7" fillId="3" borderId="0" xfId="1" applyNumberFormat="1" applyFont="1" applyFill="1" applyBorder="1" applyAlignment="1" applyProtection="1">
      <alignment wrapText="1"/>
    </xf>
    <xf numFmtId="0" fontId="5" fillId="0" borderId="8" xfId="1" applyNumberFormat="1" applyFont="1" applyFill="1" applyBorder="1" applyAlignment="1" applyProtection="1">
      <alignment horizontal="center" vertical="center" wrapText="1"/>
    </xf>
    <xf numFmtId="0" fontId="5" fillId="0" borderId="5" xfId="1" applyNumberFormat="1" applyFont="1" applyFill="1" applyBorder="1" applyAlignment="1" applyProtection="1">
      <alignment horizontal="center" vertical="center" wrapText="1"/>
    </xf>
    <xf numFmtId="0" fontId="5" fillId="0" borderId="2" xfId="1" applyNumberFormat="1" applyFont="1" applyFill="1" applyBorder="1" applyAlignment="1" applyProtection="1">
      <alignment horizontal="center" vertical="center" wrapText="1"/>
    </xf>
    <xf numFmtId="0" fontId="5" fillId="0" borderId="6" xfId="1" applyNumberFormat="1" applyFont="1" applyFill="1" applyBorder="1" applyAlignment="1" applyProtection="1">
      <alignment horizontal="center" vertical="center" wrapText="1"/>
    </xf>
    <xf numFmtId="0" fontId="20" fillId="0" borderId="0" xfId="1" applyNumberFormat="1" applyFont="1" applyFill="1" applyBorder="1" applyAlignment="1" applyProtection="1">
      <alignment horizontal="center" wrapText="1"/>
    </xf>
    <xf numFmtId="0" fontId="7" fillId="0" borderId="0" xfId="1" applyNumberFormat="1" applyFont="1" applyFill="1" applyBorder="1" applyAlignment="1" applyProtection="1">
      <alignment horizontal="center" wrapText="1"/>
    </xf>
    <xf numFmtId="0" fontId="7" fillId="0" borderId="1" xfId="1" applyNumberFormat="1" applyFont="1" applyFill="1" applyBorder="1" applyAlignment="1" applyProtection="1">
      <alignment horizontal="left" wrapText="1"/>
    </xf>
    <xf numFmtId="0" fontId="8" fillId="0" borderId="3" xfId="1" applyNumberFormat="1" applyFont="1" applyFill="1" applyBorder="1" applyAlignment="1" applyProtection="1">
      <alignment horizontal="center"/>
    </xf>
    <xf numFmtId="0" fontId="7" fillId="0" borderId="0" xfId="1" applyNumberFormat="1" applyFont="1" applyFill="1" applyBorder="1" applyAlignment="1" applyProtection="1">
      <alignment horizontal="center"/>
    </xf>
    <xf numFmtId="0" fontId="13" fillId="0" borderId="0" xfId="1" applyNumberFormat="1" applyFont="1" applyFill="1" applyBorder="1" applyAlignment="1" applyProtection="1">
      <alignment horizontal="center"/>
    </xf>
    <xf numFmtId="0" fontId="14" fillId="0" borderId="0" xfId="1" applyNumberFormat="1" applyFont="1" applyFill="1" applyBorder="1" applyAlignment="1" applyProtection="1">
      <alignment horizontal="center"/>
    </xf>
    <xf numFmtId="49" fontId="28" fillId="15" borderId="32" xfId="2" applyNumberFormat="1" applyFont="1" applyFill="1" applyBorder="1" applyAlignment="1">
      <alignment horizontal="center" vertical="center" wrapText="1"/>
    </xf>
    <xf numFmtId="49" fontId="28" fillId="15" borderId="33" xfId="2" applyNumberFormat="1" applyFont="1" applyFill="1" applyBorder="1" applyAlignment="1">
      <alignment horizontal="center" vertical="center" wrapText="1"/>
    </xf>
    <xf numFmtId="0" fontId="26" fillId="0" borderId="0" xfId="3" applyFont="1" applyAlignment="1">
      <alignment horizontal="center" vertical="center"/>
    </xf>
    <xf numFmtId="0" fontId="27" fillId="0" borderId="13" xfId="2" applyFont="1" applyBorder="1" applyAlignment="1">
      <alignment horizontal="center" vertical="center"/>
    </xf>
    <xf numFmtId="0" fontId="27" fillId="0" borderId="16" xfId="2" applyFont="1" applyBorder="1" applyAlignment="1">
      <alignment horizontal="center" vertical="center"/>
    </xf>
    <xf numFmtId="0" fontId="27" fillId="0" borderId="14" xfId="2" applyFont="1" applyBorder="1" applyAlignment="1">
      <alignment horizontal="center" vertical="center"/>
    </xf>
    <xf numFmtId="0" fontId="27" fillId="0" borderId="4" xfId="2" applyFont="1" applyBorder="1" applyAlignment="1">
      <alignment horizontal="center" vertical="center"/>
    </xf>
    <xf numFmtId="0" fontId="27" fillId="0" borderId="14" xfId="2" applyFont="1" applyBorder="1" applyAlignment="1">
      <alignment horizontal="center" vertical="center" wrapText="1"/>
    </xf>
    <xf numFmtId="0" fontId="27" fillId="0" borderId="4" xfId="2" applyFont="1" applyBorder="1" applyAlignment="1">
      <alignment horizontal="center" vertical="center" wrapText="1"/>
    </xf>
    <xf numFmtId="49" fontId="28" fillId="15" borderId="5" xfId="2" applyNumberFormat="1" applyFont="1" applyFill="1" applyBorder="1" applyAlignment="1">
      <alignment horizontal="center" vertical="center" wrapText="1"/>
    </xf>
    <xf numFmtId="49" fontId="28" fillId="15" borderId="31" xfId="2" applyNumberFormat="1" applyFont="1" applyFill="1" applyBorder="1" applyAlignment="1">
      <alignment horizontal="center" vertical="center" wrapText="1"/>
    </xf>
    <xf numFmtId="49" fontId="73" fillId="6" borderId="35" xfId="2" applyNumberFormat="1" applyFont="1" applyFill="1" applyBorder="1" applyAlignment="1">
      <alignment horizontal="center" vertical="center" wrapText="1"/>
    </xf>
    <xf numFmtId="49" fontId="73" fillId="6" borderId="2" xfId="2" applyNumberFormat="1" applyFont="1" applyFill="1" applyBorder="1" applyAlignment="1">
      <alignment horizontal="center" vertical="center" wrapText="1"/>
    </xf>
    <xf numFmtId="49" fontId="73" fillId="6" borderId="31" xfId="2" applyNumberFormat="1" applyFont="1" applyFill="1" applyBorder="1" applyAlignment="1">
      <alignment horizontal="center" vertical="center" wrapText="1"/>
    </xf>
    <xf numFmtId="0" fontId="71" fillId="0" borderId="39" xfId="2" applyFont="1" applyBorder="1" applyAlignment="1">
      <alignment horizontal="center"/>
    </xf>
    <xf numFmtId="0" fontId="79" fillId="0" borderId="39" xfId="2" applyFont="1" applyBorder="1" applyAlignment="1">
      <alignment horizontal="left" vertical="center"/>
    </xf>
    <xf numFmtId="0" fontId="79" fillId="0" borderId="39" xfId="13" applyFont="1" applyBorder="1" applyAlignment="1">
      <alignment horizontal="left" vertical="center"/>
    </xf>
    <xf numFmtId="0" fontId="27" fillId="0" borderId="13" xfId="13" applyFont="1" applyBorder="1" applyAlignment="1">
      <alignment horizontal="center" vertical="center"/>
    </xf>
    <xf numFmtId="0" fontId="27" fillId="0" borderId="16" xfId="13" applyFont="1" applyBorder="1" applyAlignment="1">
      <alignment horizontal="center" vertical="center"/>
    </xf>
    <xf numFmtId="0" fontId="27" fillId="0" borderId="14" xfId="13" applyFont="1" applyBorder="1" applyAlignment="1">
      <alignment horizontal="center" vertical="center"/>
    </xf>
    <xf numFmtId="0" fontId="27" fillId="0" borderId="4" xfId="13" applyFont="1" applyBorder="1" applyAlignment="1">
      <alignment horizontal="center" vertical="center"/>
    </xf>
    <xf numFmtId="0" fontId="27" fillId="0" borderId="14" xfId="13" applyFont="1" applyBorder="1" applyAlignment="1">
      <alignment horizontal="center" vertical="center" wrapText="1"/>
    </xf>
    <xf numFmtId="0" fontId="27" fillId="0" borderId="4" xfId="13" applyFont="1" applyBorder="1" applyAlignment="1">
      <alignment horizontal="center" vertical="center" wrapText="1"/>
    </xf>
    <xf numFmtId="49" fontId="28" fillId="15" borderId="5" xfId="13" applyNumberFormat="1" applyFont="1" applyFill="1" applyBorder="1" applyAlignment="1">
      <alignment horizontal="center" vertical="center" wrapText="1"/>
    </xf>
    <xf numFmtId="49" fontId="28" fillId="15" borderId="31" xfId="13" applyNumberFormat="1" applyFont="1" applyFill="1" applyBorder="1" applyAlignment="1">
      <alignment horizontal="center" vertical="center" wrapText="1"/>
    </xf>
    <xf numFmtId="0" fontId="71" fillId="0" borderId="39" xfId="13" applyFont="1" applyBorder="1" applyAlignment="1">
      <alignment horizontal="center"/>
    </xf>
    <xf numFmtId="49" fontId="28" fillId="15" borderId="32" xfId="13" applyNumberFormat="1" applyFont="1" applyFill="1" applyBorder="1" applyAlignment="1">
      <alignment horizontal="center" vertical="center" wrapText="1"/>
    </xf>
    <xf numFmtId="49" fontId="28" fillId="15" borderId="33" xfId="13" applyNumberFormat="1" applyFont="1" applyFill="1" applyBorder="1" applyAlignment="1">
      <alignment horizontal="center" vertical="center" wrapText="1"/>
    </xf>
    <xf numFmtId="3" fontId="31" fillId="0" borderId="4" xfId="0" applyNumberFormat="1" applyFont="1" applyBorder="1" applyAlignment="1">
      <alignment horizontal="left" vertical="center" wrapText="1"/>
    </xf>
    <xf numFmtId="0" fontId="50" fillId="0" borderId="4" xfId="0" applyFont="1" applyBorder="1" applyAlignment="1">
      <alignment horizontal="left" vertical="center" wrapText="1"/>
    </xf>
    <xf numFmtId="0" fontId="27" fillId="0" borderId="4" xfId="7" applyFont="1" applyBorder="1" applyAlignment="1">
      <alignment horizontal="center" vertical="center"/>
    </xf>
    <xf numFmtId="0" fontId="27" fillId="0" borderId="4" xfId="7" applyFont="1" applyBorder="1" applyAlignment="1">
      <alignment horizontal="center" vertical="center" wrapText="1"/>
    </xf>
  </cellXfs>
  <cellStyles count="14">
    <cellStyle name="Обычный" xfId="0" builtinId="0"/>
    <cellStyle name="Обычный 2" xfId="1" xr:uid="{00000000-0005-0000-0000-000001000000}"/>
    <cellStyle name="Обычный 2 2" xfId="3" xr:uid="{00000000-0005-0000-0000-000002000000}"/>
    <cellStyle name="Обычный 2 4" xfId="12" xr:uid="{19C24B2D-59BF-4634-8568-B24D8B524F33}"/>
    <cellStyle name="Обычный 3" xfId="2" xr:uid="{00000000-0005-0000-0000-000003000000}"/>
    <cellStyle name="Обычный 3 2" xfId="4" xr:uid="{00000000-0005-0000-0000-000004000000}"/>
    <cellStyle name="Обычный 3 3" xfId="7" xr:uid="{3EEE6BD4-C8E5-4DBB-BF9B-6BDDEFA088F0}"/>
    <cellStyle name="Обычный 3 3 2" xfId="9" xr:uid="{C01CF720-E3A7-4E4B-A54E-30B07A92F7EF}"/>
    <cellStyle name="Обычный 3 4" xfId="13" xr:uid="{5391EFC2-A3A3-4BAB-9895-B67127B29AF8}"/>
    <cellStyle name="Обычный 6" xfId="6" xr:uid="{00000000-0005-0000-0000-000005000000}"/>
    <cellStyle name="Финансовый 2" xfId="5" xr:uid="{00000000-0005-0000-0000-000006000000}"/>
    <cellStyle name="Финансовый 2 2" xfId="8" xr:uid="{22B2EA2B-6B6F-43A9-B306-381841053108}"/>
    <cellStyle name="Финансовый 2 2 2" xfId="11" xr:uid="{38DA2262-30B6-41DC-9FA0-6D98F2DF79EF}"/>
    <cellStyle name="Финансовый 3" xfId="10" xr:uid="{5A752C9C-13B3-46E1-9255-2A33E79C208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3.xml"/><Relationship Id="rId26" Type="http://schemas.openxmlformats.org/officeDocument/2006/relationships/externalLink" Target="externalLinks/externalLink11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6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2.xml"/><Relationship Id="rId25" Type="http://schemas.openxmlformats.org/officeDocument/2006/relationships/externalLink" Target="externalLinks/externalLink10.xml"/><Relationship Id="rId33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externalLink" Target="externalLinks/externalLink5.xml"/><Relationship Id="rId29" Type="http://schemas.openxmlformats.org/officeDocument/2006/relationships/externalLink" Target="externalLinks/externalLink1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9.xml"/><Relationship Id="rId32" Type="http://schemas.openxmlformats.org/officeDocument/2006/relationships/externalLink" Target="externalLinks/externalLink17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8.xml"/><Relationship Id="rId28" Type="http://schemas.openxmlformats.org/officeDocument/2006/relationships/externalLink" Target="externalLinks/externalLink13.xml"/><Relationship Id="rId36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4.xml"/><Relationship Id="rId31" Type="http://schemas.openxmlformats.org/officeDocument/2006/relationships/externalLink" Target="externalLinks/externalLink16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7.xml"/><Relationship Id="rId27" Type="http://schemas.openxmlformats.org/officeDocument/2006/relationships/externalLink" Target="externalLinks/externalLink12.xml"/><Relationship Id="rId30" Type="http://schemas.openxmlformats.org/officeDocument/2006/relationships/externalLink" Target="externalLinks/externalLink15.xml"/><Relationship Id="rId35" Type="http://schemas.openxmlformats.org/officeDocument/2006/relationships/sharedStrings" Target="sharedStrings.xml"/><Relationship Id="rId8" Type="http://schemas.openxmlformats.org/officeDocument/2006/relationships/worksheet" Target="worksheets/sheet8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0</xdr:colOff>
      <xdr:row>39</xdr:row>
      <xdr:rowOff>359834</xdr:rowOff>
    </xdr:from>
    <xdr:to>
      <xdr:col>33</xdr:col>
      <xdr:colOff>264584</xdr:colOff>
      <xdr:row>48</xdr:row>
      <xdr:rowOff>391583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932CDABA-2EB8-4905-86F2-74718BFB22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373600" y="17381009"/>
          <a:ext cx="6265334" cy="430847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0</xdr:colOff>
      <xdr:row>37</xdr:row>
      <xdr:rowOff>0</xdr:rowOff>
    </xdr:from>
    <xdr:to>
      <xdr:col>32</xdr:col>
      <xdr:colOff>201084</xdr:colOff>
      <xdr:row>46</xdr:row>
      <xdr:rowOff>35050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E742E13D-CB2A-45D1-A3C9-4D452FB3B2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373600" y="17381009"/>
          <a:ext cx="6265334" cy="430847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0</xdr:colOff>
      <xdr:row>39</xdr:row>
      <xdr:rowOff>359834</xdr:rowOff>
    </xdr:from>
    <xdr:to>
      <xdr:col>33</xdr:col>
      <xdr:colOff>264584</xdr:colOff>
      <xdr:row>48</xdr:row>
      <xdr:rowOff>391583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E069328C-53CC-45B9-8F6E-3254B71499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668750" y="16764001"/>
          <a:ext cx="6297084" cy="4286249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\Docs\WINDOWS\TEMP\Rar$DI0d.v5n\LIFE%20&#1089;&#1090;&#1088;&#1072;&#1093;&#1086;&#1074;&#1082;&#1072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W_ELCOM\SYS\BUFFER\KOSTA\price%20&#1076;&#1083;&#1103;%20&#1057;&#1084;&#1086;&#1083;&#1077;&#1085;&#1089;&#1082;&#1072;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&#1089;&#1086;&#1075;&#1083;&#1072;&#1089;&#1086;&#1074;&#1072;&#1085;&#1086;_417(121)%20&#1094;&#1077;&#1093;_131-23/&#1082;&#1089;-2,3-&#1088;&#1072;&#1073;&#1086;&#1090;&#1072;&#1077;&#1084;%20&#1087;&#1086;%20&#1101;&#1090;&#1080;&#1084;%20&#1089;&#1084;&#1077;&#1090;&#1072;&#1084;!!!%20&#1084;&#1077;&#1085;&#1103;&#1077;&#1084;%20&#1085;&#1072;%20&#1059;&#1055;&#1044;/&#1082;&#1089;-2,3/3_&#1076;&#1077;&#1082;&#1072;&#1073;&#1088;&#1100;-2_23&#1075;/12.23(2)_&#1082;&#1089;-3,2_01-01-03,&#1053;&#1042;&#1050;5(&#1082;&#1086;&#1088;&#1088;),&#1040;&#1057;2,&#1043;&#1055;2,&#1055;&#1046;_29.12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&#1089;&#1086;&#1075;&#1083;&#1072;&#1089;&#1086;&#1074;&#1072;&#1085;&#1086;_417(121)%20&#1094;&#1077;&#1093;_131-23/&#1082;&#1089;-2,3-&#1088;&#1072;&#1073;&#1086;&#1090;&#1072;&#1077;&#1084;%20&#1087;&#1086;%20&#1101;&#1090;&#1080;&#1084;%20&#1089;&#1084;&#1077;&#1090;&#1072;&#1084;!!!%20&#1084;&#1077;&#1085;&#1103;&#1077;&#1084;%20&#1085;&#1072;%20&#1059;&#1055;&#1044;/&#1082;&#1089;-2,3/4_&#1103;&#1085;&#1074;&#1072;&#1088;&#1100;%2024&#1075;/01.24_&#1082;&#1089;-3,2_&#1040;&#1057;3_28.01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&#1089;&#1086;&#1075;&#1083;&#1072;&#1089;&#1086;&#1074;&#1072;&#1085;&#1086;_417(121)%20&#1094;&#1077;&#1093;_131-23/&#1082;&#1089;-2,3-&#1088;&#1072;&#1073;&#1086;&#1090;&#1072;&#1077;&#1084;%20&#1087;&#1086;%20&#1101;&#1090;&#1080;&#1084;%20&#1089;&#1084;&#1077;&#1090;&#1072;&#1084;!!!%20&#1084;&#1077;&#1085;&#1103;&#1077;&#1084;%20&#1085;&#1072;%20&#1059;&#1055;&#1044;/&#1082;&#1089;-2,3/5_&#1084;&#1072;&#1088;&#1090;%2024&#1075;/02(03).24_&#1082;&#1089;-3,2_&#1053;&#1042;&#1050;1,&#1053;&#1042;&#1050;4,&#1043;&#1055;2&#1082;&#1086;&#1088;&#1088;,&#1058;&#1057;1&#1082;&#1086;&#1088;&#1088;,%20+&#1040;&#1057;4&#1082;&#1086;&#1088;&#1088;.__20.03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&#1089;&#1086;&#1075;&#1083;&#1072;&#1089;&#1086;&#1074;&#1072;&#1085;&#1086;_417(121)%20&#1094;&#1077;&#1093;_131-23/&#1082;&#1089;-2,3-&#1088;&#1072;&#1073;&#1086;&#1090;&#1072;&#1077;&#1084;%20&#1087;&#1086;%20&#1101;&#1090;&#1080;&#1084;%20&#1089;&#1084;&#1077;&#1090;&#1072;&#1084;!!!%20&#1084;&#1077;&#1085;&#1103;&#1077;&#1084;%20&#1085;&#1072;%20&#1059;&#1055;&#1044;/&#1082;&#1089;-2,3/&#1088;&#1077;&#1077;&#1089;&#1090;&#1088;-&#1085;&#1072;&#1082;&#1086;&#1087;&#1080;&#1090;%20&#1082;&#1089;-2.xlsx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121%20&#1094;&#1077;&#1093;_131-23/&#1082;&#1089;-2,3-&#1088;&#1072;&#1073;&#1086;&#1090;&#1072;&#1077;&#1084;%20&#1087;&#1086;%20&#1101;&#1090;&#1080;&#1084;%20&#1089;&#1084;&#1077;&#1090;&#1072;&#1084;!!!%20&#1084;&#1077;&#1085;&#1103;&#1077;&#1084;%20&#1085;&#1072;%20&#1059;&#1055;&#1044;/&#1082;&#1089;-2,3/&#1085;&#1086;&#1103;&#1073;&#1088;&#1100;%2023&#1075;/&#1050;&#1057;-3,%20&#1088;&#1077;&#1077;&#1089;&#1090;&#1088;,%20&#1050;&#1057;-2%20&#8470;1,2,3%20&#1058;&#1052;.xlsx%20&#1092;&#1080;&#1085;&#1072;&#1083;%2027.11.23%20&#1088;&#1077;&#1076;.1.xlsx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121%20&#1094;&#1077;&#1093;_131-23/&#1082;&#1089;-2,3-&#1088;&#1072;&#1073;&#1086;&#1090;&#1072;&#1077;&#1084;%20&#1087;&#1086;%20&#1101;&#1090;&#1080;&#1084;%20&#1089;&#1084;&#1077;&#1090;&#1072;&#1084;!!!%20&#1084;&#1077;&#1085;&#1103;&#1077;&#1084;%20&#1085;&#1072;%20&#1059;&#1055;&#1044;/&#1082;&#1089;-2,3/&#1076;&#1077;&#1082;&#1072;&#1073;&#1088;&#1100;%2023&#1075;/12.23_&#1082;&#1089;-3,2_&#1055;&#1046;,&#1043;&#1055;1,&#1044;&#1077;&#1084;&#1086;&#1085;&#1090;.%20&#1074;&#1077;&#1089;,&#1040;&#1057;1_13.12_&#1080;&#1089;&#1082;&#1083;.&#1072;&#1089;&#1092;&#1072;&#1083;&#1100;&#1090;.xlsx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417(121)%20&#1094;&#1077;&#1093;_131-23/&#1082;&#1089;-2,3-&#1088;&#1072;&#1073;&#1086;&#1090;&#1072;&#1077;&#1084;%20&#1087;&#1086;%20&#1101;&#1090;&#1080;&#1084;%20&#1089;&#1084;&#1077;&#1090;&#1072;&#1084;!!!%20&#1084;&#1077;&#1085;&#1103;&#1077;&#1084;%20&#1085;&#1072;%20&#1059;&#1055;&#1044;/&#1082;&#1089;-2,3/&#1076;&#1077;&#1082;&#1072;&#1073;&#1088;&#1100;_23&#1075;/12.23_&#1082;&#1089;-3,2_&#1055;&#1046;,&#1043;&#1055;1,&#1044;&#1077;&#1084;&#1086;&#1085;&#1090;.%20&#1074;&#1077;&#1089;,&#1040;&#1057;1_13.12_&#1080;&#1089;&#1082;&#1083;.&#1072;&#1089;&#1092;&#1072;&#1083;&#1100;&#1090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\userdoc$\Prices\&#1082;&#1086;&#1087;&#1080;&#1103;%20&#1087;&#1088;&#1072;&#1081;&#1089;&#1072;\15.09.05%20prises\ISH_DANNYE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server\work\Birykova\&#1055;&#1056;&#1054;&#1063;&#1048;&#1045;-2008\5103-08_&#1055;&#1072;&#1088;&#1082;_&#1061;&#1091;&#1072;&#1084;&#1080;&#1085;_&#1042;&#1099;&#1085;&#1086;&#1089;_&#1080;&#1082;_3_&#1091;&#1095;_&#1050;&#1080;&#1090;&#1072;&#1081;&#1089;&#1082;&#1080;&#1081;_&#1076;&#1077;&#1083;&#1086;&#1074;&#1086;&#1081;_&#1094;&#1077;&#1085;&#1090;&#1088;\5103-08_&#1054;&#1044;&#1044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90;%20&#1074;%20&#1041;&#1083;&#1072;&#1075;&#1086;&#1091;&#1089;&#1090;&#1088;&#1086;&#1081;&#1089;&#1090;&#1074;&#1086;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\userdoc$\Prices\&#1082;&#1086;&#1087;&#1080;&#1103;%20&#1087;&#1088;&#1072;&#1081;&#1089;&#1072;\15.09.05%20prises\price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222\&#1089;&#1084;&#1077;&#1090;&#1085;&#1099;&#1081;%20&#1086;&#1090;&#1076;&#1077;&#1083;\&#1054;&#1041;&#1065;&#1048;&#1049;%20&#1056;&#1045;&#1045;&#1057;&#1058;&#1056;%20&#1055;&#1056;&#1054;&#1062;&#1045;&#1053;&#1058;&#1054;&#1042;&#1054;&#1050;\2012\5%20&#1052;&#1072;&#1081;\&#1051;&#1077;&#1089;&#1086;&#1087;&#1072;&#1088;&#1082;&#1086;&#1074;&#1072;&#1103;\&#1050;&#1072;&#1073;&#1077;&#1083;&#1103;\&#1042;&#1099;&#1093;&#1080;&#1085;&#1086;%20&#1055;&#1054;&#1057;%20&#1082;&#1086;&#1088;%20&#1055;&#1044;&#1060;%20&#1095;&#1072;&#1089;&#1090;&#1100;1\&#1042;&#1099;&#1093;&#1080;&#1085;&#1086;-&#1082;&#1074;%20128&#1072;%20&#1082;&#1086;&#1088;&#1087;3\_15-21_&#1055;&#1077;&#1088;&#1077;&#1095;&#1077;&#1090;&#1085;&#1072;&#1103;%20&#1074;&#1077;&#1076;&#1086;&#1084;&#1086;&#1089;&#1090;&#1100;_&#1042;&#1099;&#1093;&#1080;&#1085;&#1086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\userdoc$\Prices\&#1082;&#1086;&#1087;&#1080;&#1103;%20&#1087;&#1088;&#1072;&#1081;&#1089;&#1072;\15.09.05%20prises\price_electrika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istrib\Prices\new_price\price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&#1055;&#1088;&#1086;&#1077;&#1082;&#1090;%20&#1050;&#1072;&#1083;&#1080;&#1085;&#1080;&#1085;&#1075;&#1088;&#1072;&#1076;\&#1055;&#1088;&#1077;&#1075;&#1086;&#1083;&#1100;&#1089;&#1082;&#1072;&#1103;%20&#1058;&#1069;&#1057;\&#1055;&#1069;&#1054;\&#1042;&#1099;&#1087;&#1086;&#1083;&#1085;&#1077;&#1085;&#1080;&#1077;\&#1055;&#1088;&#1080;&#1084;&#1086;&#1088;&#1089;&#1082;&#1072;&#1103;%20&#1058;&#1069;&#1057;\&#1050;&#1042;&#1040;&#1056;&#1062;%20&#1043;&#1088;&#1091;&#1087;&#1087;\10.10%20&#1055;&#1088;&#1080;&#1084;&#1086;&#1088;&#1082;&#1072;\&#1050;&#1057;-3%20&#8470;14%20&#1086;&#1090;%20%2015.10.201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айс_БРОНЯ"/>
      <sheetName val="Прейскурант_БРОНЯ"/>
      <sheetName val="Соотношения_БРОНЯ"/>
      <sheetName val="К_БРОНЯ"/>
      <sheetName val="Динамика_БРОНЯ"/>
      <sheetName val="Привязка_БРОНЯ"/>
      <sheetName val="Привязка_БРОНЯ-М"/>
      <sheetName val="Цеха_БРОНЯ"/>
      <sheetName val="Имена_БРОНЯ"/>
      <sheetName val="БРОНЯ"/>
      <sheetName val="Прайс_НВ"/>
      <sheetName val="Прейскурант_НВ"/>
      <sheetName val="Соотношения_НВ"/>
      <sheetName val="К_НВ"/>
      <sheetName val="Динамика_НВ"/>
      <sheetName val="Привязка_НВ"/>
      <sheetName val="Привязка_НВ-М"/>
      <sheetName val="Цеха_НВ"/>
      <sheetName val="Имена_НВ"/>
      <sheetName val="НВ"/>
      <sheetName val="Прайс_КОНТР"/>
      <sheetName val="Прейскурант_КОНТР"/>
      <sheetName val="Соотношения_КОНТР"/>
      <sheetName val="К_КОНТР"/>
      <sheetName val="Динамика_КОНТР"/>
      <sheetName val="Привязка_КОНТР"/>
      <sheetName val="Привязка_КОНТР-М"/>
      <sheetName val="Цеха_КОНТР"/>
      <sheetName val="Имена_КОНТР"/>
      <sheetName val="КОНТР"/>
      <sheetName val="Прайс_ПРОВОДА"/>
      <sheetName val="Прейскурант_ПРОВОДА"/>
      <sheetName val="Соотношения_ПРОВОДА"/>
      <sheetName val="К_ПРОВОДА"/>
      <sheetName val="Динамика_ПРОВОДА"/>
      <sheetName val="Привязка_ПРОВОДА"/>
      <sheetName val="Привязка_ПРОВОДА-М"/>
      <sheetName val="Цеха_ПРОВОДА"/>
      <sheetName val="Имена_ПРОВОДА"/>
      <sheetName val="ПРОВОДА"/>
      <sheetName val="Прайс_РК"/>
      <sheetName val="Прейскурант_РК"/>
      <sheetName val="Соотношения_РК"/>
      <sheetName val="К_РК"/>
      <sheetName val="Динамика_РК"/>
      <sheetName val="Привязка_РК"/>
      <sheetName val="Привязка_РК-М"/>
      <sheetName val="Цеха_РК"/>
      <sheetName val="Имена_РК"/>
      <sheetName val="РК"/>
      <sheetName val="Прайс_ОБМОТ"/>
      <sheetName val="Прейскурант_ОБМОТ"/>
      <sheetName val="Соотношения_ОБМОТ"/>
      <sheetName val="К_ОБМОТ"/>
      <sheetName val="Динамика_ОБМОТ"/>
      <sheetName val="Привязка_ОБМОТ"/>
      <sheetName val="Привязка_ОБМОТ-М"/>
      <sheetName val="Цеха_ОБМОТ"/>
      <sheetName val="Имена_ОБМОТ"/>
      <sheetName val="ОБМОТ"/>
      <sheetName val="Прайс_ПРОКАТ"/>
      <sheetName val="Прейскурант_ПРОКАТ"/>
      <sheetName val="Соотношения_ПРОКАТ"/>
      <sheetName val="К_ПРОКАТ"/>
      <sheetName val="Динамика_ПРОКАТ"/>
      <sheetName val="Привязка_ПРОКАТ"/>
      <sheetName val="Цеха_ПРОКАТ"/>
      <sheetName val="Имена_ПРОКАТ"/>
      <sheetName val="Привязка_ПРОКАТ-М"/>
      <sheetName val="ПРОКАТ"/>
      <sheetName val="Прайс_СИП"/>
      <sheetName val="Прейскурант_СИП"/>
      <sheetName val="Соотношения_СИП"/>
      <sheetName val="К_СИП"/>
      <sheetName val="Динамика_СИП"/>
      <sheetName val="Привязка_СИП"/>
      <sheetName val="Привязка_СИП-М"/>
      <sheetName val="Цеха_СИП"/>
      <sheetName val="Имена_СИП"/>
      <sheetName val="СИП"/>
      <sheetName val="Статистика"/>
      <sheetName val="Текущие показатели"/>
      <sheetName val="Список итоговых соотношений"/>
      <sheetName val="Просто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>
        <row r="2">
          <cell r="A2">
            <v>1</v>
          </cell>
        </row>
      </sheetData>
      <sheetData sheetId="82" refreshError="1"/>
      <sheetData sheetId="8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ОД"/>
      <sheetName val="ЗАЩИТА"/>
      <sheetName val="ДОЛГИ"/>
      <sheetName val="ПРОЦЕНТЫ"/>
      <sheetName val="ДОГОВОР"/>
      <sheetName val="PRICE $ (3)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С3"/>
      <sheetName val="реестр"/>
      <sheetName val="01-01-03 "/>
      <sheetName val="02-03-02 АС2"/>
      <sheetName val="06-02-02  НВК5 корр "/>
      <sheetName val="07-01-02 ГП2"/>
      <sheetName val="02-01-01 ПЖ 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С3"/>
      <sheetName val="реестр"/>
      <sheetName val="02-02-01 АС3"/>
    </sheetNames>
    <sheetDataSet>
      <sheetData sheetId="0"/>
      <sheetData sheetId="1"/>
      <sheetData sheetId="2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С3"/>
      <sheetName val="реестр"/>
      <sheetName val="06-02-03 НВК1"/>
      <sheetName val="06-02-01 НВК4"/>
      <sheetName val="07-01-02 ГП2 корр"/>
      <sheetName val="06-03-01 ТС1 "/>
      <sheetName val="06-03-02 АС4 корр"/>
      <sheetName val="первичка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СР"/>
      <sheetName val="реестр (2)"/>
      <sheetName val="реестр"/>
      <sheetName val="реестр корр "/>
      <sheetName val="01-01-01"/>
      <sheetName val="01-01-02 "/>
      <sheetName val="01-01-03"/>
      <sheetName val="02-01-01"/>
      <sheetName val="02-02-01"/>
      <sheetName val="02-03-01"/>
      <sheetName val="02-03-02"/>
      <sheetName val="04-01-01"/>
      <sheetName val="04-01-02"/>
      <sheetName val="06-01-01"/>
      <sheetName val="06-01-02"/>
      <sheetName val="06-02-01"/>
      <sheetName val="06-02-02 "/>
      <sheetName val="06-02-03 "/>
      <sheetName val="06-03-01"/>
      <sheetName val="06-03-02"/>
      <sheetName val="06-03-03 "/>
      <sheetName val="06-03-04"/>
      <sheetName val="06-04-01"/>
      <sheetName val="07-01-01"/>
      <sheetName val="07-01-02"/>
    </sheetNames>
    <sheetDataSet>
      <sheetData sheetId="0">
        <row r="24">
          <cell r="C24" t="str">
            <v>Выполнение работ по ликвидации объектов по трассе ж.д. путей, подготовке трассы ж.д. путей.</v>
          </cell>
        </row>
        <row r="25">
          <cell r="C25" t="str">
            <v>Выполнение работ по ликвидации объекта капитального строительства</v>
          </cell>
        </row>
        <row r="26">
          <cell r="C26" t="str">
            <v>Демонтаж сетей и систем  инженерного обоспечения.</v>
          </cell>
        </row>
        <row r="29">
          <cell r="C29" t="str">
            <v>Верхнее строение пути</v>
          </cell>
        </row>
        <row r="30">
          <cell r="C30" t="str">
            <v>Восстановительные работы цеха №121/18. АС 3.</v>
          </cell>
        </row>
        <row r="31">
          <cell r="C31" t="str">
            <v>Архитектурно-строительные решения. Часть 1.АС1</v>
          </cell>
        </row>
        <row r="32">
          <cell r="C32" t="str">
            <v>Трансбордер. Архитектурно-строительные решения. Часть 2. АС2 .</v>
          </cell>
        </row>
        <row r="35">
          <cell r="C35" t="str">
            <v>Электроснабжение. ЭС 1.</v>
          </cell>
        </row>
        <row r="36">
          <cell r="C36" t="str">
            <v>Переустройство кабельных линий.ЭС2</v>
          </cell>
        </row>
        <row r="40">
          <cell r="C40" t="str">
            <v>Переустройство хозпитьевого водопровода.НВК2</v>
          </cell>
        </row>
        <row r="41">
          <cell r="C41" t="str">
            <v>Переустройство хозпитьевого водопровода.НВК3</v>
          </cell>
        </row>
        <row r="43">
          <cell r="C43" t="str">
            <v>Переустройство хозяйственно-бытовой канализации.НВК4</v>
          </cell>
        </row>
        <row r="44">
          <cell r="C44" t="str">
            <v>Переустройство ливневой канализации.НВК5.</v>
          </cell>
        </row>
        <row r="45">
          <cell r="C45" t="str">
            <v>Трубопровод ливневых сточных вод от трансбордера. НВК1</v>
          </cell>
        </row>
        <row r="47">
          <cell r="C47" t="str">
            <v>Теплоснабжение. Переустройство трубопровода.ТС1</v>
          </cell>
        </row>
        <row r="48">
          <cell r="C48" t="str">
            <v>Архитектурно-строительные решения. Эстакада для ТС1. АС 4</v>
          </cell>
        </row>
        <row r="49">
          <cell r="C49" t="str">
            <v>Теплоснабжение. Переустройство трубопровода.ТС2</v>
          </cell>
        </row>
        <row r="50">
          <cell r="C50" t="str">
            <v>Теплоснабжение. Переустройство трубопровода.ТС3</v>
          </cell>
        </row>
        <row r="52">
          <cell r="C52" t="str">
            <v>Наружные газопроводы. Вынос газопровода среднего давления.</v>
          </cell>
        </row>
        <row r="55">
          <cell r="C55" t="str">
            <v>Генеральный план. Трансбордер. ГП1</v>
          </cell>
        </row>
        <row r="56">
          <cell r="C56" t="str">
            <v>Генеральный план. ГП2</v>
          </cell>
        </row>
        <row r="58">
          <cell r="H58">
            <v>392033.92</v>
          </cell>
        </row>
        <row r="76">
          <cell r="H76">
            <v>434361.04</v>
          </cell>
        </row>
        <row r="78">
          <cell r="H78">
            <v>456670</v>
          </cell>
        </row>
        <row r="82">
          <cell r="H82">
            <v>548004</v>
          </cell>
        </row>
      </sheetData>
      <sheetData sheetId="1"/>
      <sheetData sheetId="2" refreshError="1"/>
      <sheetData sheetId="3">
        <row r="26">
          <cell r="P26">
            <v>363125762.23000002</v>
          </cell>
        </row>
      </sheetData>
      <sheetData sheetId="4">
        <row r="448">
          <cell r="N448">
            <v>48841208.740000002</v>
          </cell>
        </row>
        <row r="449">
          <cell r="N449">
            <v>4004979.12</v>
          </cell>
        </row>
        <row r="451">
          <cell r="N451">
            <v>1268308.51</v>
          </cell>
        </row>
        <row r="453">
          <cell r="N453">
            <v>56893839.630000003</v>
          </cell>
        </row>
      </sheetData>
      <sheetData sheetId="5">
        <row r="722">
          <cell r="N722">
            <v>40054718.460000001</v>
          </cell>
        </row>
        <row r="723">
          <cell r="N723">
            <v>3284486.91</v>
          </cell>
        </row>
        <row r="725">
          <cell r="N725">
            <v>1040140.93</v>
          </cell>
        </row>
        <row r="727">
          <cell r="N727">
            <v>46658688.170000002</v>
          </cell>
        </row>
      </sheetData>
      <sheetData sheetId="6">
        <row r="266">
          <cell r="N266">
            <v>1177977.71</v>
          </cell>
        </row>
        <row r="267">
          <cell r="N267">
            <v>96594.17</v>
          </cell>
        </row>
        <row r="269">
          <cell r="N269">
            <v>30589.73</v>
          </cell>
        </row>
        <row r="271">
          <cell r="N271">
            <v>1372195.26</v>
          </cell>
        </row>
      </sheetData>
      <sheetData sheetId="7">
        <row r="1115">
          <cell r="N1115">
            <v>161452921.99000001</v>
          </cell>
        </row>
        <row r="1116">
          <cell r="N1116">
            <v>13239139.6</v>
          </cell>
        </row>
        <row r="1118">
          <cell r="N1118">
            <v>4192609.48</v>
          </cell>
        </row>
        <row r="1120">
          <cell r="N1120">
            <v>188072263.84999999</v>
          </cell>
        </row>
      </sheetData>
      <sheetData sheetId="8">
        <row r="1999">
          <cell r="N1999">
            <v>4505948.67</v>
          </cell>
        </row>
        <row r="2000">
          <cell r="N2000">
            <v>369487.79</v>
          </cell>
        </row>
        <row r="2002">
          <cell r="N2002">
            <v>117010.48</v>
          </cell>
        </row>
        <row r="2004">
          <cell r="N2004">
            <v>5248861.1100000003</v>
          </cell>
        </row>
      </sheetData>
      <sheetData sheetId="9">
        <row r="1237">
          <cell r="N1237">
            <v>10526911.91</v>
          </cell>
        </row>
        <row r="1238">
          <cell r="N1238">
            <v>863206.78</v>
          </cell>
        </row>
        <row r="1240">
          <cell r="N1240">
            <v>273362.84999999998</v>
          </cell>
        </row>
        <row r="1243">
          <cell r="N1243">
            <v>12262522.85</v>
          </cell>
        </row>
      </sheetData>
      <sheetData sheetId="10">
        <row r="392">
          <cell r="N392">
            <v>1615223.87</v>
          </cell>
        </row>
        <row r="393">
          <cell r="N393">
            <v>132448.35999999999</v>
          </cell>
        </row>
        <row r="395">
          <cell r="N395">
            <v>41944.13</v>
          </cell>
        </row>
        <row r="398">
          <cell r="N398">
            <v>1881531.81</v>
          </cell>
        </row>
      </sheetData>
      <sheetData sheetId="11">
        <row r="165">
          <cell r="N165">
            <v>475031.03999999998</v>
          </cell>
        </row>
        <row r="166">
          <cell r="N166">
            <v>38952.550000000003</v>
          </cell>
        </row>
        <row r="168">
          <cell r="N168">
            <v>12335.61</v>
          </cell>
        </row>
        <row r="171">
          <cell r="N171">
            <v>553351.18000000005</v>
          </cell>
        </row>
      </sheetData>
      <sheetData sheetId="12">
        <row r="840">
          <cell r="N840">
            <v>2276671.21</v>
          </cell>
        </row>
        <row r="841">
          <cell r="N841">
            <v>186687.04</v>
          </cell>
        </row>
        <row r="843">
          <cell r="N843">
            <v>59120.6</v>
          </cell>
        </row>
        <row r="846">
          <cell r="N846">
            <v>2652034.42</v>
          </cell>
        </row>
      </sheetData>
      <sheetData sheetId="13">
        <row r="702">
          <cell r="N702">
            <v>760016.55</v>
          </cell>
        </row>
        <row r="703">
          <cell r="N703">
            <v>62321.36</v>
          </cell>
        </row>
        <row r="705">
          <cell r="N705">
            <v>19736.11</v>
          </cell>
        </row>
        <row r="708">
          <cell r="N708">
            <v>885323.3</v>
          </cell>
        </row>
      </sheetData>
      <sheetData sheetId="14">
        <row r="1348">
          <cell r="N1348">
            <v>10454161.890000001</v>
          </cell>
        </row>
        <row r="1349">
          <cell r="N1349">
            <v>857241.27</v>
          </cell>
        </row>
        <row r="1351">
          <cell r="N1351">
            <v>271473.68</v>
          </cell>
        </row>
        <row r="1354">
          <cell r="N1354">
            <v>12177778.26</v>
          </cell>
        </row>
      </sheetData>
      <sheetData sheetId="15">
        <row r="1692">
          <cell r="N1692">
            <v>9143309.8300000001</v>
          </cell>
        </row>
        <row r="1693">
          <cell r="N1693">
            <v>749751.41</v>
          </cell>
        </row>
        <row r="1695">
          <cell r="N1695">
            <v>237433.47</v>
          </cell>
        </row>
        <row r="1698">
          <cell r="N1698">
            <v>10650801.17</v>
          </cell>
        </row>
      </sheetData>
      <sheetData sheetId="16">
        <row r="1847">
          <cell r="N1847">
            <v>21996729.18</v>
          </cell>
        </row>
        <row r="1848">
          <cell r="N1848">
            <v>1803731.79</v>
          </cell>
        </row>
        <row r="1850">
          <cell r="N1850">
            <v>571211.06000000006</v>
          </cell>
        </row>
        <row r="1853">
          <cell r="N1853">
            <v>25623411.34</v>
          </cell>
        </row>
      </sheetData>
      <sheetData sheetId="17">
        <row r="573">
          <cell r="N573">
            <v>1758763.66</v>
          </cell>
        </row>
        <row r="574">
          <cell r="N574">
            <v>144218.62</v>
          </cell>
        </row>
        <row r="576">
          <cell r="N576">
            <v>45671.57</v>
          </cell>
        </row>
        <row r="579">
          <cell r="N579">
            <v>2048737.53</v>
          </cell>
        </row>
      </sheetData>
      <sheetData sheetId="18">
        <row r="1753">
          <cell r="N1753">
            <v>4044845.15</v>
          </cell>
        </row>
        <row r="1754">
          <cell r="N1754">
            <v>331677.3</v>
          </cell>
        </row>
        <row r="1756">
          <cell r="N1756">
            <v>105036.54</v>
          </cell>
        </row>
        <row r="1759">
          <cell r="N1759">
            <v>4711733.74</v>
          </cell>
        </row>
      </sheetData>
      <sheetData sheetId="19">
        <row r="897">
          <cell r="N897">
            <v>4859580.66</v>
          </cell>
        </row>
        <row r="898">
          <cell r="N898">
            <v>398485.61</v>
          </cell>
        </row>
        <row r="900">
          <cell r="N900">
            <v>126193.59</v>
          </cell>
        </row>
        <row r="903">
          <cell r="N903">
            <v>5660797.71</v>
          </cell>
        </row>
      </sheetData>
      <sheetData sheetId="20">
        <row r="1536">
          <cell r="N1536">
            <v>1890203.39</v>
          </cell>
        </row>
        <row r="1537">
          <cell r="N1537">
            <v>154996.68</v>
          </cell>
        </row>
        <row r="1539">
          <cell r="N1539">
            <v>49084.800000000003</v>
          </cell>
        </row>
        <row r="1542">
          <cell r="N1542">
            <v>2201848.2200000002</v>
          </cell>
        </row>
      </sheetData>
      <sheetData sheetId="21">
        <row r="955">
          <cell r="N955">
            <v>4003449.34</v>
          </cell>
        </row>
        <row r="956">
          <cell r="N956">
            <v>328282.84999999998</v>
          </cell>
        </row>
        <row r="958">
          <cell r="N958">
            <v>103961.57</v>
          </cell>
        </row>
        <row r="961">
          <cell r="N961">
            <v>4663512.8499999996</v>
          </cell>
        </row>
      </sheetData>
      <sheetData sheetId="22">
        <row r="736">
          <cell r="N736">
            <v>8291915.46</v>
          </cell>
        </row>
        <row r="737">
          <cell r="N737">
            <v>679937.07</v>
          </cell>
        </row>
        <row r="739">
          <cell r="N739">
            <v>215324.46</v>
          </cell>
        </row>
        <row r="742">
          <cell r="N742">
            <v>9659034.2599999998</v>
          </cell>
        </row>
      </sheetData>
      <sheetData sheetId="23">
        <row r="413">
          <cell r="N413">
            <v>5005903.75</v>
          </cell>
        </row>
        <row r="414">
          <cell r="N414">
            <v>410484.11</v>
          </cell>
        </row>
        <row r="416">
          <cell r="N416">
            <v>129993.31</v>
          </cell>
        </row>
        <row r="419">
          <cell r="N419">
            <v>5831245.6399999997</v>
          </cell>
        </row>
      </sheetData>
      <sheetData sheetId="24">
        <row r="961">
          <cell r="N961">
            <v>48898423.600000001</v>
          </cell>
        </row>
        <row r="962">
          <cell r="N962">
            <v>4009670.74</v>
          </cell>
        </row>
        <row r="964">
          <cell r="N964">
            <v>1269794.26</v>
          </cell>
        </row>
        <row r="967">
          <cell r="N967">
            <v>56960487.710000001</v>
          </cell>
        </row>
      </sheetData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еестр"/>
      <sheetName val="ПЖ "/>
      <sheetName val="КС3"/>
      <sheetName val="КС2 №1  Объекты по трассе жд "/>
      <sheetName val="КС2 №2 Демонтаж. 417 цех "/>
      <sheetName val="КС2№3 ПЖ "/>
    </sheetNames>
    <sheetDataSet>
      <sheetData sheetId="0">
        <row r="6">
          <cell r="B6" t="str">
            <v>ЖД пути от испытательного центра до обкаточных путей, с удлинением трансбордера ц.417, расположенного по адресу: Московская область, г.о. Мытищи, ул.Колонцова 4</v>
          </cell>
        </row>
        <row r="11">
          <cell r="J11">
            <v>65507253.219999999</v>
          </cell>
        </row>
        <row r="12">
          <cell r="J12">
            <v>54911594.170000002</v>
          </cell>
        </row>
        <row r="13">
          <cell r="J13">
            <v>89998722.969999999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С3"/>
      <sheetName val="реестр"/>
      <sheetName val="ПЖ"/>
      <sheetName val="ГП1"/>
      <sheetName val="01-01-01"/>
      <sheetName val="АС1 корр"/>
    </sheetNames>
    <sheetDataSet>
      <sheetData sheetId="0" refreshError="1"/>
      <sheetData sheetId="1" refreshError="1">
        <row r="11">
          <cell r="J11">
            <v>66544414.909999996</v>
          </cell>
        </row>
        <row r="13">
          <cell r="J13">
            <v>360012.73</v>
          </cell>
        </row>
        <row r="14">
          <cell r="J14">
            <v>10775049.08</v>
          </cell>
        </row>
      </sheetData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С3"/>
      <sheetName val="реестр"/>
      <sheetName val="ПЖ"/>
      <sheetName val="ГП1"/>
      <sheetName val="01-01-01"/>
      <sheetName val="АС1 корр"/>
    </sheetNames>
    <sheetDataSet>
      <sheetData sheetId="0" refreshError="1"/>
      <sheetData sheetId="1" refreshError="1">
        <row r="12">
          <cell r="J12">
            <v>2298854.48</v>
          </cell>
        </row>
      </sheetData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 дан"/>
    </sheetNames>
    <sheetDataSet>
      <sheetData sheetId="0">
        <row r="3">
          <cell r="B3">
            <v>32</v>
          </cell>
        </row>
        <row r="4">
          <cell r="B4">
            <v>32</v>
          </cell>
        </row>
        <row r="6">
          <cell r="B6">
            <v>5.0000000000000001E-3</v>
          </cell>
        </row>
        <row r="9">
          <cell r="B9">
            <v>0.1</v>
          </cell>
        </row>
        <row r="12">
          <cell r="B12">
            <v>7.0000000000000007E-2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ети 1 пк"/>
      <sheetName val="Сети 2 пк"/>
      <sheetName val="Площадки"/>
      <sheetName val="база"/>
      <sheetName val="Коэффициенты"/>
    </sheetNames>
    <sheetDataSet>
      <sheetData sheetId="0" refreshError="1"/>
      <sheetData sheetId="1" refreshError="1"/>
      <sheetData sheetId="2" refreshError="1"/>
      <sheetData sheetId="3">
        <row r="1">
          <cell r="A1">
            <v>0</v>
          </cell>
          <cell r="E1">
            <v>0</v>
          </cell>
        </row>
        <row r="2">
          <cell r="A2" t="str">
            <v>ЗАО "УКС ИКС и Д"</v>
          </cell>
          <cell r="E2" t="str">
            <v>Чукин А.Н.</v>
          </cell>
          <cell r="G2" t="str">
            <v>Исполнительная смета</v>
          </cell>
          <cell r="J2" t="str">
            <v>стадия П</v>
          </cell>
        </row>
        <row r="3">
          <cell r="A3" t="str">
            <v>ЗАО "Капстройпроект"</v>
          </cell>
          <cell r="E3" t="str">
            <v>Котов А.В.</v>
          </cell>
          <cell r="G3" t="str">
            <v>Cмета</v>
          </cell>
          <cell r="J3" t="str">
            <v>стадия РД</v>
          </cell>
        </row>
        <row r="4">
          <cell r="A4" t="str">
            <v>ООО "Каналсетьпроект"</v>
          </cell>
          <cell r="E4" t="str">
            <v>Батурина Л.В.</v>
          </cell>
          <cell r="G4" t="str">
            <v>Исполнительная смета № 1</v>
          </cell>
        </row>
        <row r="5">
          <cell r="A5" t="str">
            <v>ЗАО "Гендирекция Центр"</v>
          </cell>
          <cell r="E5" t="str">
            <v>Житкова Т.Н.</v>
          </cell>
          <cell r="G5" t="str">
            <v>Cмета № 1</v>
          </cell>
        </row>
        <row r="6">
          <cell r="A6" t="str">
            <v>ЗАО "ТУКС - 4"</v>
          </cell>
          <cell r="E6" t="str">
            <v>Дубинин И.М.</v>
          </cell>
          <cell r="G6" t="str">
            <v>Исполнительная смета № 2</v>
          </cell>
        </row>
        <row r="7">
          <cell r="A7" t="str">
            <v>ЗАО "ТУКС - 2"</v>
          </cell>
          <cell r="E7" t="str">
            <v>Добров А.В.</v>
          </cell>
          <cell r="G7" t="str">
            <v>Cмета № 2</v>
          </cell>
        </row>
        <row r="8">
          <cell r="A8" t="str">
            <v>ЗАО "ТУКС - 1"</v>
          </cell>
          <cell r="E8" t="str">
            <v>Чернов С.Л.</v>
          </cell>
          <cell r="G8" t="str">
            <v>Исполнительная смета № 3</v>
          </cell>
        </row>
        <row r="9">
          <cell r="A9" t="str">
            <v>ЗАО "ТУКС - 3"</v>
          </cell>
          <cell r="E9" t="str">
            <v>Быковский А.Н.</v>
          </cell>
          <cell r="G9" t="str">
            <v>Cмета № 3</v>
          </cell>
        </row>
        <row r="10">
          <cell r="A10" t="str">
            <v>ГУП "Моссвет"</v>
          </cell>
          <cell r="E10" t="str">
            <v>Марова А.Ю.</v>
          </cell>
        </row>
        <row r="11">
          <cell r="A11" t="str">
            <v>ЗАО "Альстрой"</v>
          </cell>
          <cell r="E11" t="str">
            <v>Морозов Д.В.</v>
          </cell>
        </row>
        <row r="12">
          <cell r="A12" t="str">
            <v>ООО "Архинж"</v>
          </cell>
        </row>
        <row r="13">
          <cell r="A13" t="str">
            <v>МГУП "Мосводоканал УКС ГТС"</v>
          </cell>
          <cell r="E13" t="str">
            <v>Богомолов А.Ю.</v>
          </cell>
        </row>
        <row r="14">
          <cell r="A14" t="str">
            <v>ПУНС МГП "Мосводоканал"</v>
          </cell>
          <cell r="E14" t="str">
            <v>Севостьянов А.Н.</v>
          </cell>
        </row>
        <row r="15">
          <cell r="A15" t="str">
            <v>ЗАО "УКС"</v>
          </cell>
          <cell r="E15" t="str">
            <v>Моськин В.А.</v>
          </cell>
        </row>
        <row r="16">
          <cell r="A16" t="str">
            <v>ЗАО "УКС объектов здравоохранения"</v>
          </cell>
          <cell r="E16" t="str">
            <v>Лысов А.Е.</v>
          </cell>
        </row>
        <row r="17">
          <cell r="A17" t="str">
            <v>ООО "Зеленоградкапстрой"</v>
          </cell>
        </row>
        <row r="18">
          <cell r="A18" t="str">
            <v>ГУП МНИИП "Моспроект-4"</v>
          </cell>
        </row>
        <row r="19">
          <cell r="A19" t="str">
            <v>ЗАО "Дон-строй"</v>
          </cell>
        </row>
        <row r="20">
          <cell r="A20" t="str">
            <v>ООО "Региональная финансово-строительная компания"</v>
          </cell>
        </row>
        <row r="21">
          <cell r="A21" t="str">
            <v>ООО "ПИК Инвест"</v>
          </cell>
        </row>
        <row r="22">
          <cell r="A22" t="str">
            <v>ЗАО "Инвестстрой"</v>
          </cell>
        </row>
        <row r="23">
          <cell r="A23" t="str">
            <v>ООО  ОКС "СУ-155"</v>
          </cell>
        </row>
        <row r="24">
          <cell r="A24" t="str">
            <v>ООО "Фирма Вершина"</v>
          </cell>
        </row>
        <row r="25">
          <cell r="A25" t="str">
            <v>ООО "АПЦ "Проспроект"</v>
          </cell>
        </row>
        <row r="26">
          <cell r="A26" t="str">
            <v>ОАО "Метрогипротранс"</v>
          </cell>
        </row>
        <row r="27">
          <cell r="A27" t="str">
            <v>ООО ПСФ "КРОСТ"</v>
          </cell>
        </row>
        <row r="28">
          <cell r="A28" t="str">
            <v>УКС ГУП "Мосгаз"</v>
          </cell>
        </row>
        <row r="29">
          <cell r="A29" t="str">
            <v>ООО "Межрегиональный союз строителей"</v>
          </cell>
        </row>
        <row r="30">
          <cell r="A30" t="str">
            <v>ООО "Жилкапстрой"</v>
          </cell>
        </row>
        <row r="31">
          <cell r="A31" t="str">
            <v>ООО "ИНТЕКО"</v>
          </cell>
        </row>
        <row r="32">
          <cell r="A32" t="str">
            <v>ООО "УКС "ИНТЕКО"</v>
          </cell>
        </row>
        <row r="33">
          <cell r="A33" t="str">
            <v>ООО "Лубстрой"</v>
          </cell>
        </row>
        <row r="34">
          <cell r="A34" t="str">
            <v>ООО "ДизайнБауПроект"</v>
          </cell>
        </row>
        <row r="35">
          <cell r="A35" t="str">
            <v>ЗАО "Промос"</v>
          </cell>
        </row>
        <row r="36">
          <cell r="A36" t="str">
            <v>ЗАО "Престижный дом"</v>
          </cell>
        </row>
        <row r="37">
          <cell r="A37" t="str">
            <v>ООО "ДС Девелопмент"</v>
          </cell>
        </row>
        <row r="38">
          <cell r="A38" t="str">
            <v>ЗАО "УКС-Восток"</v>
          </cell>
        </row>
        <row r="39">
          <cell r="A39" t="str">
            <v>ООО "Независимый институт энергосбережения"</v>
          </cell>
        </row>
        <row r="40">
          <cell r="A40" t="str">
            <v>ГУП Институт "МосводоканалНИИпроект"</v>
          </cell>
        </row>
        <row r="41">
          <cell r="A41" t="str">
            <v>ООО "Региональная Управляющая Компания"</v>
          </cell>
        </row>
        <row r="42">
          <cell r="A42" t="str">
            <v>ООО "Регионстройкомплект-XXI век"</v>
          </cell>
        </row>
        <row r="43">
          <cell r="A43" t="str">
            <v>ООО "Архитектурная мастерская М-19"</v>
          </cell>
        </row>
        <row r="44">
          <cell r="A44" t="str">
            <v>ООО "Мастерская архитектора Бавыкина"</v>
          </cell>
        </row>
        <row r="45">
          <cell r="A45" t="str">
            <v>ООО "БАТ-Инжстрой"</v>
          </cell>
        </row>
        <row r="46">
          <cell r="A46" t="str">
            <v>ООО "Импульс-А"</v>
          </cell>
        </row>
        <row r="47">
          <cell r="A47" t="str">
            <v>ООО "Инжстрой Бережки"</v>
          </cell>
        </row>
        <row r="48">
          <cell r="A48" t="str">
            <v>ООО "Капстройэкология"</v>
          </cell>
        </row>
        <row r="49">
          <cell r="A49" t="str">
            <v>НПО "Космос"</v>
          </cell>
        </row>
        <row r="50">
          <cell r="A50" t="str">
            <v>ОАО "Московский бизнес инкубатор"</v>
          </cell>
        </row>
        <row r="51">
          <cell r="A51" t="str">
            <v>ЗАО "МОСОБЛ Инвест строй"</v>
          </cell>
        </row>
        <row r="52">
          <cell r="A52" t="str">
            <v>ГУП "МОСЖИЛКОМПЛЕКС"</v>
          </cell>
        </row>
        <row r="53">
          <cell r="A53" t="str">
            <v>ГУП "Моспроект-2"</v>
          </cell>
        </row>
        <row r="54">
          <cell r="A54" t="str">
            <v>ГУП "Моспроект-3"</v>
          </cell>
        </row>
        <row r="55">
          <cell r="A55" t="str">
            <v>ГУП МНИИП "Моспроект-4"</v>
          </cell>
        </row>
        <row r="56">
          <cell r="A56" t="str">
            <v>ООО фирма "Спецстрой Сервис"</v>
          </cell>
        </row>
        <row r="57">
          <cell r="A57" t="str">
            <v>ООО "Теплотехстрой проект"</v>
          </cell>
        </row>
        <row r="58">
          <cell r="A58" t="str">
            <v>ЗАО "ТУКС - 5"</v>
          </cell>
        </row>
        <row r="59">
          <cell r="A59" t="str">
            <v>ЗАО "ТУКС - 7"</v>
          </cell>
        </row>
        <row r="60">
          <cell r="A60" t="str">
            <v>ЗАО "ТУКС - 7ЮВ"</v>
          </cell>
        </row>
        <row r="61">
          <cell r="A61" t="str">
            <v>ООО "Компания регионального развития и инвестиций"</v>
          </cell>
        </row>
        <row r="62">
          <cell r="A62" t="str">
            <v>ПЭУКС МГУП "Мосводоканал"</v>
          </cell>
        </row>
        <row r="63">
          <cell r="A63" t="str">
            <v>ООО "Финпроект"</v>
          </cell>
        </row>
        <row r="64">
          <cell r="A64" t="str">
            <v>ЗАО "Кунцево-Инвест"</v>
          </cell>
        </row>
        <row r="65">
          <cell r="A65" t="str">
            <v>ОАО "ЦНИИЭП жилых и общественных зданий"</v>
          </cell>
        </row>
      </sheetData>
      <sheetData sheetId="4">
        <row r="1">
          <cell r="A1">
            <v>0</v>
          </cell>
        </row>
        <row r="2">
          <cell r="A2" t="str">
            <v>1,1</v>
          </cell>
        </row>
        <row r="3">
          <cell r="A3" t="str">
            <v>1,25</v>
          </cell>
        </row>
        <row r="4">
          <cell r="A4" t="str">
            <v>1,43</v>
          </cell>
        </row>
        <row r="5">
          <cell r="A5" t="str">
            <v>1,67</v>
          </cell>
        </row>
        <row r="6">
          <cell r="A6" t="str">
            <v>2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итул 00-06"/>
      <sheetName val="Титул 07-08"/>
      <sheetName val="Смета"/>
      <sheetName val="Материалы"/>
      <sheetName val="Ссылки"/>
    </sheetNames>
    <sheetDataSet>
      <sheetData sheetId="0" refreshError="1"/>
      <sheetData sheetId="1"/>
      <sheetData sheetId="2">
        <row r="3">
          <cell r="J3" t="e">
            <v>#REF!</v>
          </cell>
          <cell r="S3" t="e">
            <v>#REF!</v>
          </cell>
          <cell r="AB3" t="e">
            <v>#REF!</v>
          </cell>
          <cell r="AK3" t="e">
            <v>#REF!</v>
          </cell>
          <cell r="AT3" t="e">
            <v>#REF!</v>
          </cell>
          <cell r="BC3" t="e">
            <v>#REF!</v>
          </cell>
          <cell r="BL3" t="e">
            <v>#REF!</v>
          </cell>
          <cell r="BU3" t="e">
            <v>#REF!</v>
          </cell>
          <cell r="CD3" t="e">
            <v>#REF!</v>
          </cell>
        </row>
        <row r="4">
          <cell r="I4" t="e">
            <v>#REF!</v>
          </cell>
          <cell r="R4" t="e">
            <v>#REF!</v>
          </cell>
          <cell r="AA4" t="e">
            <v>#REF!</v>
          </cell>
          <cell r="AJ4" t="e">
            <v>#REF!</v>
          </cell>
          <cell r="AS4" t="e">
            <v>#REF!</v>
          </cell>
          <cell r="BB4" t="e">
            <v>#REF!</v>
          </cell>
          <cell r="BK4" t="e">
            <v>#REF!</v>
          </cell>
          <cell r="BT4">
            <v>0</v>
          </cell>
          <cell r="CC4">
            <v>0</v>
          </cell>
        </row>
        <row r="5">
          <cell r="I5" t="e">
            <v>#REF!</v>
          </cell>
          <cell r="R5" t="e">
            <v>#REF!</v>
          </cell>
          <cell r="AA5" t="e">
            <v>#REF!</v>
          </cell>
          <cell r="AJ5" t="e">
            <v>#REF!</v>
          </cell>
          <cell r="AS5" t="e">
            <v>#REF!</v>
          </cell>
          <cell r="BB5" t="e">
            <v>#REF!</v>
          </cell>
          <cell r="BK5" t="e">
            <v>#REF!</v>
          </cell>
          <cell r="BT5">
            <v>0</v>
          </cell>
          <cell r="CC5">
            <v>0</v>
          </cell>
        </row>
        <row r="7">
          <cell r="J7">
            <v>0</v>
          </cell>
          <cell r="K7" t="str">
            <v>руб.</v>
          </cell>
          <cell r="M7">
            <v>0</v>
          </cell>
          <cell r="N7" t="str">
            <v>руб.</v>
          </cell>
          <cell r="P7">
            <v>0</v>
          </cell>
          <cell r="Q7" t="str">
            <v>руб.</v>
          </cell>
          <cell r="S7">
            <v>0</v>
          </cell>
          <cell r="T7" t="str">
            <v>руб.</v>
          </cell>
          <cell r="V7">
            <v>0</v>
          </cell>
          <cell r="W7" t="str">
            <v>руб.</v>
          </cell>
          <cell r="Y7">
            <v>0</v>
          </cell>
          <cell r="Z7" t="str">
            <v>руб.</v>
          </cell>
          <cell r="AB7">
            <v>0</v>
          </cell>
          <cell r="AC7" t="str">
            <v>руб.</v>
          </cell>
          <cell r="AE7">
            <v>0</v>
          </cell>
          <cell r="AF7" t="str">
            <v>руб.</v>
          </cell>
          <cell r="AH7">
            <v>0</v>
          </cell>
          <cell r="AI7" t="str">
            <v>руб.</v>
          </cell>
          <cell r="AK7">
            <v>0</v>
          </cell>
          <cell r="AL7" t="str">
            <v>руб.</v>
          </cell>
          <cell r="AN7">
            <v>0</v>
          </cell>
          <cell r="AO7" t="str">
            <v>руб.</v>
          </cell>
          <cell r="AQ7">
            <v>0</v>
          </cell>
          <cell r="AR7" t="str">
            <v>руб.</v>
          </cell>
          <cell r="AT7">
            <v>0</v>
          </cell>
          <cell r="AU7" t="str">
            <v>руб.</v>
          </cell>
          <cell r="AW7">
            <v>0</v>
          </cell>
          <cell r="AX7" t="str">
            <v>руб.</v>
          </cell>
          <cell r="AZ7">
            <v>0</v>
          </cell>
          <cell r="BA7" t="str">
            <v>руб.</v>
          </cell>
          <cell r="BC7">
            <v>0</v>
          </cell>
          <cell r="BD7" t="str">
            <v>руб.</v>
          </cell>
          <cell r="BF7">
            <v>0</v>
          </cell>
          <cell r="BG7" t="str">
            <v>руб.</v>
          </cell>
          <cell r="BI7">
            <v>0</v>
          </cell>
          <cell r="BJ7" t="str">
            <v>руб.</v>
          </cell>
          <cell r="BL7">
            <v>0</v>
          </cell>
          <cell r="BM7" t="str">
            <v>руб.</v>
          </cell>
          <cell r="BO7">
            <v>0</v>
          </cell>
          <cell r="BP7" t="str">
            <v>руб.</v>
          </cell>
          <cell r="BR7">
            <v>0</v>
          </cell>
          <cell r="BS7" t="str">
            <v>руб.</v>
          </cell>
          <cell r="BU7">
            <v>0</v>
          </cell>
          <cell r="BV7" t="str">
            <v>руб.</v>
          </cell>
          <cell r="BX7">
            <v>0</v>
          </cell>
          <cell r="BY7" t="str">
            <v>руб.</v>
          </cell>
          <cell r="CA7">
            <v>0</v>
          </cell>
          <cell r="CB7" t="str">
            <v>руб.</v>
          </cell>
          <cell r="CD7">
            <v>0</v>
          </cell>
          <cell r="CE7" t="str">
            <v>руб.</v>
          </cell>
          <cell r="CG7">
            <v>0</v>
          </cell>
          <cell r="CH7" t="str">
            <v>руб.</v>
          </cell>
          <cell r="CJ7">
            <v>0</v>
          </cell>
          <cell r="CK7" t="str">
            <v>руб.</v>
          </cell>
        </row>
        <row r="9">
          <cell r="J9">
            <v>0</v>
          </cell>
          <cell r="K9" t="str">
            <v>руб.</v>
          </cell>
          <cell r="M9">
            <v>0</v>
          </cell>
          <cell r="N9" t="str">
            <v>руб.</v>
          </cell>
          <cell r="P9">
            <v>0</v>
          </cell>
          <cell r="Q9" t="str">
            <v>руб.</v>
          </cell>
          <cell r="S9">
            <v>0</v>
          </cell>
          <cell r="T9" t="str">
            <v>руб.</v>
          </cell>
          <cell r="V9">
            <v>0</v>
          </cell>
          <cell r="W9" t="str">
            <v>руб.</v>
          </cell>
          <cell r="Y9">
            <v>0</v>
          </cell>
          <cell r="Z9" t="str">
            <v>руб.</v>
          </cell>
          <cell r="AB9">
            <v>0</v>
          </cell>
          <cell r="AC9" t="str">
            <v>руб.</v>
          </cell>
          <cell r="AE9">
            <v>0</v>
          </cell>
          <cell r="AF9" t="str">
            <v>руб.</v>
          </cell>
          <cell r="AH9">
            <v>0</v>
          </cell>
          <cell r="AI9" t="str">
            <v>руб.</v>
          </cell>
          <cell r="AK9">
            <v>0</v>
          </cell>
          <cell r="AL9" t="str">
            <v>руб.</v>
          </cell>
          <cell r="AN9">
            <v>0</v>
          </cell>
          <cell r="AO9" t="str">
            <v>руб.</v>
          </cell>
          <cell r="AQ9">
            <v>0</v>
          </cell>
          <cell r="AR9" t="str">
            <v>руб.</v>
          </cell>
          <cell r="AT9">
            <v>0</v>
          </cell>
          <cell r="AU9" t="str">
            <v>руб.</v>
          </cell>
          <cell r="AW9">
            <v>0</v>
          </cell>
          <cell r="AX9" t="str">
            <v>руб.</v>
          </cell>
          <cell r="AZ9">
            <v>0</v>
          </cell>
          <cell r="BA9" t="str">
            <v>руб.</v>
          </cell>
          <cell r="BC9">
            <v>0</v>
          </cell>
          <cell r="BD9" t="str">
            <v>руб.</v>
          </cell>
          <cell r="BF9">
            <v>0</v>
          </cell>
          <cell r="BG9" t="str">
            <v>руб.</v>
          </cell>
          <cell r="BI9">
            <v>0</v>
          </cell>
          <cell r="BJ9" t="str">
            <v>руб.</v>
          </cell>
          <cell r="BL9">
            <v>0</v>
          </cell>
          <cell r="BM9" t="str">
            <v>руб.</v>
          </cell>
          <cell r="BO9">
            <v>0</v>
          </cell>
          <cell r="BP9" t="str">
            <v>руб.</v>
          </cell>
          <cell r="BR9">
            <v>0</v>
          </cell>
          <cell r="BS9" t="str">
            <v>руб.</v>
          </cell>
          <cell r="BU9">
            <v>0</v>
          </cell>
          <cell r="BV9" t="str">
            <v>руб.</v>
          </cell>
          <cell r="BX9">
            <v>0</v>
          </cell>
          <cell r="BY9" t="str">
            <v>руб.</v>
          </cell>
          <cell r="CA9">
            <v>0</v>
          </cell>
          <cell r="CB9" t="str">
            <v>руб.</v>
          </cell>
          <cell r="CD9">
            <v>0</v>
          </cell>
          <cell r="CE9" t="str">
            <v>руб.</v>
          </cell>
          <cell r="CG9">
            <v>0</v>
          </cell>
          <cell r="CH9" t="str">
            <v>руб.</v>
          </cell>
          <cell r="CJ9">
            <v>0</v>
          </cell>
          <cell r="CK9" t="str">
            <v>руб.</v>
          </cell>
        </row>
        <row r="10">
          <cell r="J10">
            <v>0</v>
          </cell>
          <cell r="K10" t="str">
            <v>руб.</v>
          </cell>
          <cell r="M10">
            <v>0</v>
          </cell>
          <cell r="N10" t="str">
            <v>руб.</v>
          </cell>
          <cell r="P10">
            <v>0</v>
          </cell>
          <cell r="Q10" t="str">
            <v>руб.</v>
          </cell>
          <cell r="S10">
            <v>0</v>
          </cell>
          <cell r="T10" t="str">
            <v>руб.</v>
          </cell>
          <cell r="V10">
            <v>0</v>
          </cell>
          <cell r="W10" t="str">
            <v>руб.</v>
          </cell>
          <cell r="Y10">
            <v>0</v>
          </cell>
          <cell r="Z10" t="str">
            <v>руб.</v>
          </cell>
          <cell r="AB10">
            <v>0</v>
          </cell>
          <cell r="AC10" t="str">
            <v>руб.</v>
          </cell>
          <cell r="AE10">
            <v>0</v>
          </cell>
          <cell r="AF10" t="str">
            <v>руб.</v>
          </cell>
          <cell r="AH10">
            <v>0</v>
          </cell>
          <cell r="AI10" t="str">
            <v>руб.</v>
          </cell>
          <cell r="AK10">
            <v>0</v>
          </cell>
          <cell r="AL10" t="str">
            <v>руб.</v>
          </cell>
          <cell r="AN10">
            <v>0</v>
          </cell>
          <cell r="AO10" t="str">
            <v>руб.</v>
          </cell>
          <cell r="AQ10">
            <v>0</v>
          </cell>
          <cell r="AR10" t="str">
            <v>руб.</v>
          </cell>
          <cell r="AT10">
            <v>0</v>
          </cell>
          <cell r="AU10" t="str">
            <v>руб.</v>
          </cell>
          <cell r="AW10">
            <v>0</v>
          </cell>
          <cell r="AX10" t="str">
            <v>руб.</v>
          </cell>
          <cell r="AZ10">
            <v>0</v>
          </cell>
          <cell r="BA10" t="str">
            <v>руб.</v>
          </cell>
          <cell r="BC10">
            <v>0</v>
          </cell>
          <cell r="BD10" t="str">
            <v>руб.</v>
          </cell>
          <cell r="BF10">
            <v>0</v>
          </cell>
          <cell r="BG10" t="str">
            <v>руб.</v>
          </cell>
          <cell r="BI10">
            <v>0</v>
          </cell>
          <cell r="BJ10" t="str">
            <v>руб.</v>
          </cell>
          <cell r="BL10">
            <v>0</v>
          </cell>
          <cell r="BM10" t="str">
            <v>руб.</v>
          </cell>
          <cell r="BO10">
            <v>0</v>
          </cell>
          <cell r="BP10" t="str">
            <v>руб.</v>
          </cell>
          <cell r="BR10">
            <v>0</v>
          </cell>
          <cell r="BS10" t="str">
            <v>руб.</v>
          </cell>
          <cell r="BU10">
            <v>0</v>
          </cell>
          <cell r="BV10" t="str">
            <v>руб.</v>
          </cell>
          <cell r="BX10">
            <v>0</v>
          </cell>
          <cell r="BY10" t="str">
            <v>руб.</v>
          </cell>
          <cell r="CA10">
            <v>0</v>
          </cell>
          <cell r="CB10" t="str">
            <v>руб.</v>
          </cell>
          <cell r="CD10">
            <v>0</v>
          </cell>
          <cell r="CE10" t="str">
            <v>руб.</v>
          </cell>
          <cell r="CG10">
            <v>0</v>
          </cell>
          <cell r="CH10" t="str">
            <v>руб.</v>
          </cell>
          <cell r="CJ10">
            <v>0</v>
          </cell>
          <cell r="CK10" t="str">
            <v>руб.</v>
          </cell>
        </row>
        <row r="11">
          <cell r="J11">
            <v>0</v>
          </cell>
          <cell r="K11" t="str">
            <v>руб.</v>
          </cell>
          <cell r="M11">
            <v>0</v>
          </cell>
          <cell r="N11" t="str">
            <v>руб.</v>
          </cell>
          <cell r="P11">
            <v>0</v>
          </cell>
          <cell r="Q11" t="str">
            <v>руб.</v>
          </cell>
          <cell r="S11">
            <v>0</v>
          </cell>
          <cell r="T11" t="str">
            <v>руб.</v>
          </cell>
          <cell r="V11">
            <v>0</v>
          </cell>
          <cell r="W11" t="str">
            <v>руб.</v>
          </cell>
          <cell r="Y11">
            <v>0</v>
          </cell>
          <cell r="Z11" t="str">
            <v>руб.</v>
          </cell>
          <cell r="AB11">
            <v>0</v>
          </cell>
          <cell r="AC11" t="str">
            <v>руб.</v>
          </cell>
          <cell r="AE11">
            <v>0</v>
          </cell>
          <cell r="AF11" t="str">
            <v>руб.</v>
          </cell>
          <cell r="AH11">
            <v>0</v>
          </cell>
          <cell r="AI11" t="str">
            <v>руб.</v>
          </cell>
          <cell r="AK11">
            <v>0</v>
          </cell>
          <cell r="AL11" t="str">
            <v>руб.</v>
          </cell>
          <cell r="AN11">
            <v>0</v>
          </cell>
          <cell r="AO11" t="str">
            <v>руб.</v>
          </cell>
          <cell r="AQ11">
            <v>0</v>
          </cell>
          <cell r="AR11" t="str">
            <v>руб.</v>
          </cell>
          <cell r="AT11">
            <v>0</v>
          </cell>
          <cell r="AU11" t="str">
            <v>руб.</v>
          </cell>
          <cell r="AW11">
            <v>0</v>
          </cell>
          <cell r="AX11" t="str">
            <v>руб.</v>
          </cell>
          <cell r="AZ11">
            <v>0</v>
          </cell>
          <cell r="BA11" t="str">
            <v>руб.</v>
          </cell>
          <cell r="BC11">
            <v>0</v>
          </cell>
          <cell r="BD11" t="str">
            <v>руб.</v>
          </cell>
          <cell r="BF11">
            <v>0</v>
          </cell>
          <cell r="BG11" t="str">
            <v>руб.</v>
          </cell>
          <cell r="BI11">
            <v>0</v>
          </cell>
          <cell r="BJ11" t="str">
            <v>руб.</v>
          </cell>
          <cell r="BL11">
            <v>0</v>
          </cell>
          <cell r="BM11" t="str">
            <v>руб.</v>
          </cell>
          <cell r="BO11">
            <v>0</v>
          </cell>
          <cell r="BP11" t="str">
            <v>руб.</v>
          </cell>
          <cell r="BR11">
            <v>0</v>
          </cell>
          <cell r="BS11" t="str">
            <v>руб.</v>
          </cell>
          <cell r="BU11">
            <v>0</v>
          </cell>
          <cell r="BV11" t="str">
            <v>руб.</v>
          </cell>
          <cell r="BX11">
            <v>0</v>
          </cell>
          <cell r="BY11" t="str">
            <v>руб.</v>
          </cell>
          <cell r="CA11">
            <v>0</v>
          </cell>
          <cell r="CB11" t="str">
            <v>руб.</v>
          </cell>
          <cell r="CD11">
            <v>0</v>
          </cell>
          <cell r="CE11" t="str">
            <v>руб.</v>
          </cell>
          <cell r="CG11">
            <v>0</v>
          </cell>
          <cell r="CH11" t="str">
            <v>руб.</v>
          </cell>
          <cell r="CJ11">
            <v>0</v>
          </cell>
          <cell r="CK11" t="str">
            <v>руб.</v>
          </cell>
        </row>
        <row r="12">
          <cell r="J12">
            <v>0</v>
          </cell>
          <cell r="K12" t="str">
            <v>руб.</v>
          </cell>
          <cell r="M12">
            <v>0</v>
          </cell>
          <cell r="N12" t="str">
            <v>руб.</v>
          </cell>
          <cell r="P12">
            <v>0</v>
          </cell>
          <cell r="Q12" t="str">
            <v>руб.</v>
          </cell>
          <cell r="S12">
            <v>0</v>
          </cell>
          <cell r="T12" t="str">
            <v>руб.</v>
          </cell>
          <cell r="V12">
            <v>0</v>
          </cell>
          <cell r="W12" t="str">
            <v>руб.</v>
          </cell>
          <cell r="Y12">
            <v>0</v>
          </cell>
          <cell r="Z12" t="str">
            <v>руб.</v>
          </cell>
          <cell r="AB12">
            <v>0</v>
          </cell>
          <cell r="AC12" t="str">
            <v>руб.</v>
          </cell>
          <cell r="AE12">
            <v>0</v>
          </cell>
          <cell r="AF12" t="str">
            <v>руб.</v>
          </cell>
          <cell r="AH12">
            <v>0</v>
          </cell>
          <cell r="AI12" t="str">
            <v>руб.</v>
          </cell>
          <cell r="AK12">
            <v>0</v>
          </cell>
          <cell r="AL12" t="str">
            <v>руб.</v>
          </cell>
          <cell r="AN12">
            <v>0</v>
          </cell>
          <cell r="AO12" t="str">
            <v>руб.</v>
          </cell>
          <cell r="AQ12">
            <v>0</v>
          </cell>
          <cell r="AR12" t="str">
            <v>руб.</v>
          </cell>
          <cell r="AT12">
            <v>0</v>
          </cell>
          <cell r="AU12" t="str">
            <v>руб.</v>
          </cell>
          <cell r="AW12">
            <v>0</v>
          </cell>
          <cell r="AX12" t="str">
            <v>руб.</v>
          </cell>
          <cell r="AZ12">
            <v>0</v>
          </cell>
          <cell r="BA12" t="str">
            <v>руб.</v>
          </cell>
          <cell r="BC12">
            <v>0</v>
          </cell>
          <cell r="BD12" t="str">
            <v>руб.</v>
          </cell>
          <cell r="BF12">
            <v>0</v>
          </cell>
          <cell r="BG12" t="str">
            <v>руб.</v>
          </cell>
          <cell r="BI12">
            <v>0</v>
          </cell>
          <cell r="BJ12" t="str">
            <v>руб.</v>
          </cell>
          <cell r="BL12">
            <v>0</v>
          </cell>
          <cell r="BM12" t="str">
            <v>руб.</v>
          </cell>
          <cell r="BO12">
            <v>0</v>
          </cell>
          <cell r="BP12" t="str">
            <v>руб.</v>
          </cell>
          <cell r="BR12">
            <v>0</v>
          </cell>
          <cell r="BS12" t="str">
            <v>руб.</v>
          </cell>
          <cell r="BU12">
            <v>0</v>
          </cell>
          <cell r="BV12" t="str">
            <v>руб.</v>
          </cell>
          <cell r="BX12">
            <v>0</v>
          </cell>
          <cell r="BY12" t="str">
            <v>руб.</v>
          </cell>
          <cell r="CA12">
            <v>0</v>
          </cell>
          <cell r="CB12" t="str">
            <v>руб.</v>
          </cell>
          <cell r="CD12">
            <v>0</v>
          </cell>
          <cell r="CE12" t="str">
            <v>руб.</v>
          </cell>
          <cell r="CG12">
            <v>0</v>
          </cell>
          <cell r="CH12" t="str">
            <v>руб.</v>
          </cell>
          <cell r="CJ12">
            <v>0</v>
          </cell>
          <cell r="CK12" t="str">
            <v>руб.</v>
          </cell>
        </row>
        <row r="13">
          <cell r="J13">
            <v>0</v>
          </cell>
          <cell r="K13" t="str">
            <v>руб.</v>
          </cell>
          <cell r="M13">
            <v>0</v>
          </cell>
          <cell r="N13" t="str">
            <v>руб.</v>
          </cell>
          <cell r="P13">
            <v>0</v>
          </cell>
          <cell r="Q13" t="str">
            <v>руб.</v>
          </cell>
          <cell r="S13">
            <v>0</v>
          </cell>
          <cell r="T13" t="str">
            <v>руб.</v>
          </cell>
          <cell r="V13">
            <v>0</v>
          </cell>
          <cell r="W13" t="str">
            <v>руб.</v>
          </cell>
          <cell r="Y13">
            <v>0</v>
          </cell>
          <cell r="Z13" t="str">
            <v>руб.</v>
          </cell>
          <cell r="AB13">
            <v>0</v>
          </cell>
          <cell r="AC13" t="str">
            <v>руб.</v>
          </cell>
          <cell r="AE13">
            <v>0</v>
          </cell>
          <cell r="AF13" t="str">
            <v>руб.</v>
          </cell>
          <cell r="AH13">
            <v>0</v>
          </cell>
          <cell r="AI13" t="str">
            <v>руб.</v>
          </cell>
          <cell r="AK13">
            <v>0</v>
          </cell>
          <cell r="AL13" t="str">
            <v>руб.</v>
          </cell>
          <cell r="AN13">
            <v>0</v>
          </cell>
          <cell r="AO13" t="str">
            <v>руб.</v>
          </cell>
          <cell r="AQ13">
            <v>0</v>
          </cell>
          <cell r="AR13" t="str">
            <v>руб.</v>
          </cell>
          <cell r="AT13">
            <v>0</v>
          </cell>
          <cell r="AU13" t="str">
            <v>руб.</v>
          </cell>
          <cell r="AW13">
            <v>0</v>
          </cell>
          <cell r="AX13" t="str">
            <v>руб.</v>
          </cell>
          <cell r="AZ13">
            <v>0</v>
          </cell>
          <cell r="BA13" t="str">
            <v>руб.</v>
          </cell>
          <cell r="BC13">
            <v>0</v>
          </cell>
          <cell r="BD13" t="str">
            <v>руб.</v>
          </cell>
          <cell r="BF13">
            <v>0</v>
          </cell>
          <cell r="BG13" t="str">
            <v>руб.</v>
          </cell>
          <cell r="BI13">
            <v>0</v>
          </cell>
          <cell r="BJ13" t="str">
            <v>руб.</v>
          </cell>
          <cell r="BL13">
            <v>0</v>
          </cell>
          <cell r="BM13" t="str">
            <v>руб.</v>
          </cell>
          <cell r="BO13">
            <v>0</v>
          </cell>
          <cell r="BP13" t="str">
            <v>руб.</v>
          </cell>
          <cell r="BR13">
            <v>0</v>
          </cell>
          <cell r="BS13" t="str">
            <v>руб.</v>
          </cell>
          <cell r="BU13">
            <v>0</v>
          </cell>
          <cell r="BV13" t="str">
            <v>руб.</v>
          </cell>
          <cell r="BX13">
            <v>0</v>
          </cell>
          <cell r="BY13" t="str">
            <v>руб.</v>
          </cell>
          <cell r="CA13">
            <v>0</v>
          </cell>
          <cell r="CB13" t="str">
            <v>руб.</v>
          </cell>
          <cell r="CD13">
            <v>0</v>
          </cell>
          <cell r="CE13" t="str">
            <v>руб.</v>
          </cell>
          <cell r="CG13">
            <v>0</v>
          </cell>
          <cell r="CH13" t="str">
            <v>руб.</v>
          </cell>
          <cell r="CJ13">
            <v>0</v>
          </cell>
          <cell r="CK13" t="str">
            <v>руб.</v>
          </cell>
        </row>
        <row r="14">
          <cell r="J14">
            <v>0</v>
          </cell>
          <cell r="K14" t="str">
            <v>руб.</v>
          </cell>
          <cell r="M14">
            <v>0</v>
          </cell>
          <cell r="N14" t="str">
            <v>руб.</v>
          </cell>
          <cell r="P14">
            <v>0</v>
          </cell>
          <cell r="Q14" t="str">
            <v>руб.</v>
          </cell>
          <cell r="S14">
            <v>0</v>
          </cell>
          <cell r="T14" t="str">
            <v>руб.</v>
          </cell>
          <cell r="V14">
            <v>0</v>
          </cell>
          <cell r="W14" t="str">
            <v>руб.</v>
          </cell>
          <cell r="Y14">
            <v>0</v>
          </cell>
          <cell r="Z14" t="str">
            <v>руб.</v>
          </cell>
          <cell r="AB14">
            <v>0</v>
          </cell>
          <cell r="AC14" t="str">
            <v>руб.</v>
          </cell>
          <cell r="AE14">
            <v>0</v>
          </cell>
          <cell r="AF14" t="str">
            <v>руб.</v>
          </cell>
          <cell r="AH14">
            <v>0</v>
          </cell>
          <cell r="AI14" t="str">
            <v>руб.</v>
          </cell>
          <cell r="AK14">
            <v>0</v>
          </cell>
          <cell r="AL14" t="str">
            <v>руб.</v>
          </cell>
          <cell r="AN14">
            <v>0</v>
          </cell>
          <cell r="AO14" t="str">
            <v>руб.</v>
          </cell>
          <cell r="AQ14">
            <v>0</v>
          </cell>
          <cell r="AR14" t="str">
            <v>руб.</v>
          </cell>
          <cell r="AT14">
            <v>0</v>
          </cell>
          <cell r="AU14" t="str">
            <v>руб.</v>
          </cell>
          <cell r="AW14">
            <v>0</v>
          </cell>
          <cell r="AX14" t="str">
            <v>руб.</v>
          </cell>
          <cell r="AZ14">
            <v>0</v>
          </cell>
          <cell r="BA14" t="str">
            <v>руб.</v>
          </cell>
          <cell r="BC14">
            <v>0</v>
          </cell>
          <cell r="BD14" t="str">
            <v>руб.</v>
          </cell>
          <cell r="BF14">
            <v>0</v>
          </cell>
          <cell r="BG14" t="str">
            <v>руб.</v>
          </cell>
          <cell r="BI14">
            <v>0</v>
          </cell>
          <cell r="BJ14" t="str">
            <v>руб.</v>
          </cell>
          <cell r="BL14">
            <v>0</v>
          </cell>
          <cell r="BM14" t="str">
            <v>руб.</v>
          </cell>
          <cell r="BO14">
            <v>0</v>
          </cell>
          <cell r="BP14" t="str">
            <v>руб.</v>
          </cell>
          <cell r="BR14">
            <v>0</v>
          </cell>
          <cell r="BS14" t="str">
            <v>руб.</v>
          </cell>
          <cell r="BU14">
            <v>0</v>
          </cell>
          <cell r="BV14" t="str">
            <v>руб.</v>
          </cell>
          <cell r="BX14">
            <v>0</v>
          </cell>
          <cell r="BY14" t="str">
            <v>руб.</v>
          </cell>
          <cell r="CA14">
            <v>0</v>
          </cell>
          <cell r="CB14" t="str">
            <v>руб.</v>
          </cell>
          <cell r="CD14">
            <v>0</v>
          </cell>
          <cell r="CE14" t="str">
            <v>руб.</v>
          </cell>
          <cell r="CG14">
            <v>0</v>
          </cell>
          <cell r="CH14" t="str">
            <v>руб.</v>
          </cell>
          <cell r="CJ14">
            <v>0</v>
          </cell>
          <cell r="CK14" t="str">
            <v>руб.</v>
          </cell>
        </row>
        <row r="15">
          <cell r="J15">
            <v>0</v>
          </cell>
          <cell r="K15" t="str">
            <v>руб.</v>
          </cell>
          <cell r="M15">
            <v>0</v>
          </cell>
          <cell r="N15" t="str">
            <v>руб.</v>
          </cell>
          <cell r="P15">
            <v>0</v>
          </cell>
          <cell r="Q15" t="str">
            <v>руб.</v>
          </cell>
          <cell r="S15">
            <v>0</v>
          </cell>
          <cell r="T15" t="str">
            <v>руб.</v>
          </cell>
          <cell r="V15">
            <v>0</v>
          </cell>
          <cell r="W15" t="str">
            <v>руб.</v>
          </cell>
          <cell r="Y15">
            <v>0</v>
          </cell>
          <cell r="Z15" t="str">
            <v>руб.</v>
          </cell>
          <cell r="AB15">
            <v>0</v>
          </cell>
          <cell r="AC15" t="str">
            <v>руб.</v>
          </cell>
          <cell r="AE15">
            <v>0</v>
          </cell>
          <cell r="AF15" t="str">
            <v>руб.</v>
          </cell>
          <cell r="AH15">
            <v>0</v>
          </cell>
          <cell r="AI15" t="str">
            <v>руб.</v>
          </cell>
          <cell r="AK15">
            <v>0</v>
          </cell>
          <cell r="AL15" t="str">
            <v>руб.</v>
          </cell>
          <cell r="AN15">
            <v>0</v>
          </cell>
          <cell r="AO15" t="str">
            <v>руб.</v>
          </cell>
          <cell r="AQ15">
            <v>0</v>
          </cell>
          <cell r="AR15" t="str">
            <v>руб.</v>
          </cell>
          <cell r="AT15">
            <v>0</v>
          </cell>
          <cell r="AU15" t="str">
            <v>руб.</v>
          </cell>
          <cell r="AW15">
            <v>0</v>
          </cell>
          <cell r="AX15" t="str">
            <v>руб.</v>
          </cell>
          <cell r="AZ15">
            <v>0</v>
          </cell>
          <cell r="BA15" t="str">
            <v>руб.</v>
          </cell>
          <cell r="BC15">
            <v>0</v>
          </cell>
          <cell r="BD15" t="str">
            <v>руб.</v>
          </cell>
          <cell r="BF15">
            <v>0</v>
          </cell>
          <cell r="BG15" t="str">
            <v>руб.</v>
          </cell>
          <cell r="BI15">
            <v>0</v>
          </cell>
          <cell r="BJ15" t="str">
            <v>руб.</v>
          </cell>
          <cell r="BL15">
            <v>0</v>
          </cell>
          <cell r="BM15" t="str">
            <v>руб.</v>
          </cell>
          <cell r="BO15">
            <v>0</v>
          </cell>
          <cell r="BP15" t="str">
            <v>руб.</v>
          </cell>
          <cell r="BR15">
            <v>0</v>
          </cell>
          <cell r="BS15" t="str">
            <v>руб.</v>
          </cell>
          <cell r="BU15">
            <v>0</v>
          </cell>
          <cell r="BV15" t="str">
            <v>руб.</v>
          </cell>
          <cell r="BX15">
            <v>0</v>
          </cell>
          <cell r="BY15" t="str">
            <v>руб.</v>
          </cell>
          <cell r="CA15">
            <v>0</v>
          </cell>
          <cell r="CB15" t="str">
            <v>руб.</v>
          </cell>
          <cell r="CD15">
            <v>0</v>
          </cell>
          <cell r="CE15" t="str">
            <v>руб.</v>
          </cell>
          <cell r="CG15">
            <v>0</v>
          </cell>
          <cell r="CH15" t="str">
            <v>руб.</v>
          </cell>
          <cell r="CJ15">
            <v>0</v>
          </cell>
          <cell r="CK15" t="str">
            <v>руб.</v>
          </cell>
        </row>
        <row r="17">
          <cell r="J17" t="str">
            <v xml:space="preserve">Предъявлено    </v>
          </cell>
          <cell r="M17" t="str">
            <v>Принято</v>
          </cell>
          <cell r="P17" t="str">
            <v>Разногласия</v>
          </cell>
          <cell r="S17" t="str">
            <v xml:space="preserve">Предъявлено    </v>
          </cell>
          <cell r="V17" t="str">
            <v>Принято</v>
          </cell>
          <cell r="Y17" t="str">
            <v>Разногласия</v>
          </cell>
          <cell r="AB17" t="str">
            <v xml:space="preserve">Предъявлено    </v>
          </cell>
          <cell r="AE17" t="str">
            <v>Принято</v>
          </cell>
          <cell r="AH17" t="str">
            <v>Разногласия</v>
          </cell>
          <cell r="AK17" t="str">
            <v xml:space="preserve">Предъявлено    </v>
          </cell>
          <cell r="AN17" t="str">
            <v>Принято</v>
          </cell>
          <cell r="AQ17" t="str">
            <v>Разногласия</v>
          </cell>
          <cell r="AT17" t="str">
            <v xml:space="preserve">Предъявлено    </v>
          </cell>
          <cell r="AW17" t="str">
            <v>Принято</v>
          </cell>
          <cell r="AZ17" t="str">
            <v>Разногласия</v>
          </cell>
          <cell r="BC17" t="str">
            <v xml:space="preserve">Предъявлено    </v>
          </cell>
          <cell r="BF17" t="str">
            <v>Принято</v>
          </cell>
          <cell r="BI17" t="str">
            <v>Разногласия</v>
          </cell>
          <cell r="BL17" t="str">
            <v xml:space="preserve">Предъявлено    </v>
          </cell>
          <cell r="BO17" t="str">
            <v>Принято</v>
          </cell>
          <cell r="BR17" t="str">
            <v>Разногласия</v>
          </cell>
          <cell r="BU17" t="str">
            <v xml:space="preserve">Предъявлено    </v>
          </cell>
          <cell r="BX17" t="str">
            <v>Принято</v>
          </cell>
          <cell r="CA17" t="str">
            <v>Разногласия</v>
          </cell>
          <cell r="CD17" t="str">
            <v xml:space="preserve">Предъявлено    </v>
          </cell>
          <cell r="CG17" t="str">
            <v>Принято</v>
          </cell>
          <cell r="CJ17" t="str">
            <v>Разногласия</v>
          </cell>
        </row>
        <row r="18">
          <cell r="J18" t="str">
            <v>(текущая смета)</v>
          </cell>
          <cell r="M18" t="str">
            <v>(текущая смета)</v>
          </cell>
          <cell r="P18" t="str">
            <v>(текущая смета)</v>
          </cell>
          <cell r="S18" t="str">
            <v>(текущая смета)</v>
          </cell>
          <cell r="V18" t="str">
            <v>(текущая смета)</v>
          </cell>
          <cell r="Y18" t="str">
            <v>(текущая смета)</v>
          </cell>
          <cell r="AB18" t="str">
            <v>(текущая смета)</v>
          </cell>
          <cell r="AE18" t="str">
            <v>(текущая смета)</v>
          </cell>
          <cell r="AH18" t="str">
            <v>(текущая смета)</v>
          </cell>
          <cell r="AK18" t="str">
            <v>(текущая смета)</v>
          </cell>
          <cell r="AN18" t="str">
            <v>(текущая смета)</v>
          </cell>
          <cell r="AQ18" t="str">
            <v>(текущая смета)</v>
          </cell>
          <cell r="AT18" t="str">
            <v>(текущая смета)</v>
          </cell>
          <cell r="AW18" t="str">
            <v>(текущая смета)</v>
          </cell>
          <cell r="AZ18" t="str">
            <v>(текущая смета)</v>
          </cell>
          <cell r="BC18" t="str">
            <v>(текущая смета)</v>
          </cell>
          <cell r="BF18" t="str">
            <v>(текущая смета)</v>
          </cell>
          <cell r="BI18" t="str">
            <v>(текущая смета)</v>
          </cell>
          <cell r="BL18" t="str">
            <v>(текущая смета)</v>
          </cell>
          <cell r="BO18" t="str">
            <v>(текущая смета)</v>
          </cell>
          <cell r="BR18" t="str">
            <v>(текущая смета)</v>
          </cell>
          <cell r="BU18" t="str">
            <v>(текущая смета)</v>
          </cell>
          <cell r="BX18" t="str">
            <v>(текущая смета)</v>
          </cell>
          <cell r="CA18" t="str">
            <v>(текущая смета)</v>
          </cell>
          <cell r="CD18" t="str">
            <v>(текущая смета)</v>
          </cell>
          <cell r="CG18" t="str">
            <v>(текущая смета)</v>
          </cell>
          <cell r="CJ18" t="str">
            <v>(текущая смета)</v>
          </cell>
        </row>
        <row r="19">
          <cell r="I19" t="str">
            <v>Объем</v>
          </cell>
          <cell r="J19" t="str">
            <v>Ст-ть</v>
          </cell>
          <cell r="K19" t="str">
            <v>Сметная</v>
          </cell>
          <cell r="L19" t="str">
            <v>Объем</v>
          </cell>
          <cell r="M19" t="str">
            <v>Ст-ть</v>
          </cell>
          <cell r="N19" t="str">
            <v>Сметная</v>
          </cell>
          <cell r="O19" t="str">
            <v>Объем</v>
          </cell>
          <cell r="P19" t="str">
            <v>Ст-ть</v>
          </cell>
          <cell r="Q19" t="str">
            <v>Сметная</v>
          </cell>
          <cell r="R19" t="str">
            <v>Объем</v>
          </cell>
          <cell r="S19" t="str">
            <v>Ст-ть</v>
          </cell>
          <cell r="T19" t="str">
            <v>Сметная</v>
          </cell>
          <cell r="U19" t="str">
            <v>Объем</v>
          </cell>
          <cell r="V19" t="str">
            <v>Ст-ть</v>
          </cell>
          <cell r="W19" t="str">
            <v>Сметная</v>
          </cell>
          <cell r="X19" t="str">
            <v>Объем</v>
          </cell>
          <cell r="Y19" t="str">
            <v>Ст-ть</v>
          </cell>
          <cell r="Z19" t="str">
            <v>Сметная</v>
          </cell>
          <cell r="AA19" t="str">
            <v>Объем</v>
          </cell>
          <cell r="AB19" t="str">
            <v>Ст-ть</v>
          </cell>
          <cell r="AC19" t="str">
            <v>Сметная</v>
          </cell>
          <cell r="AD19" t="str">
            <v>Объем</v>
          </cell>
          <cell r="AE19" t="str">
            <v>Ст-ть</v>
          </cell>
          <cell r="AF19" t="str">
            <v>Сметная</v>
          </cell>
          <cell r="AG19" t="str">
            <v>Объем</v>
          </cell>
          <cell r="AH19" t="str">
            <v>Ст-ть</v>
          </cell>
          <cell r="AI19" t="str">
            <v>Сметная</v>
          </cell>
          <cell r="AJ19" t="str">
            <v>Объем</v>
          </cell>
          <cell r="AK19" t="str">
            <v>Ст-ть</v>
          </cell>
          <cell r="AL19" t="str">
            <v>Сметная</v>
          </cell>
          <cell r="AM19" t="str">
            <v>Объем</v>
          </cell>
          <cell r="AN19" t="str">
            <v>Ст-ть</v>
          </cell>
          <cell r="AO19" t="str">
            <v>Сметная</v>
          </cell>
          <cell r="AP19" t="str">
            <v>Объем</v>
          </cell>
          <cell r="AQ19" t="str">
            <v>Ст-ть</v>
          </cell>
          <cell r="AR19" t="str">
            <v>Сметная</v>
          </cell>
          <cell r="AS19" t="str">
            <v>Объем</v>
          </cell>
          <cell r="AT19" t="str">
            <v>Ст-ть</v>
          </cell>
          <cell r="AU19" t="str">
            <v>Сметная</v>
          </cell>
          <cell r="AV19" t="str">
            <v>Объем</v>
          </cell>
          <cell r="AW19" t="str">
            <v>Ст-ть</v>
          </cell>
          <cell r="AX19" t="str">
            <v>Сметная</v>
          </cell>
          <cell r="AY19" t="str">
            <v>Объем</v>
          </cell>
          <cell r="AZ19" t="str">
            <v>Ст-ть</v>
          </cell>
          <cell r="BA19" t="str">
            <v>Сметная</v>
          </cell>
          <cell r="BB19" t="str">
            <v>Объем</v>
          </cell>
          <cell r="BC19" t="str">
            <v>Ст-ть</v>
          </cell>
          <cell r="BD19" t="str">
            <v>Сметная</v>
          </cell>
          <cell r="BE19" t="str">
            <v>Объем</v>
          </cell>
          <cell r="BF19" t="str">
            <v>Ст-ть</v>
          </cell>
          <cell r="BG19" t="str">
            <v>Сметная</v>
          </cell>
          <cell r="BH19" t="str">
            <v>Объем</v>
          </cell>
          <cell r="BI19" t="str">
            <v>Ст-ть</v>
          </cell>
          <cell r="BJ19" t="str">
            <v>Сметная</v>
          </cell>
          <cell r="BK19" t="str">
            <v>Объем</v>
          </cell>
          <cell r="BL19" t="str">
            <v>Ст-ть</v>
          </cell>
          <cell r="BM19" t="str">
            <v>Сметная</v>
          </cell>
          <cell r="BN19" t="str">
            <v>Объем</v>
          </cell>
          <cell r="BO19" t="str">
            <v>Ст-ть</v>
          </cell>
          <cell r="BP19" t="str">
            <v>Сметная</v>
          </cell>
          <cell r="BQ19" t="str">
            <v>Объем</v>
          </cell>
          <cell r="BR19" t="str">
            <v>Ст-ть</v>
          </cell>
          <cell r="BS19" t="str">
            <v>Сметная</v>
          </cell>
          <cell r="BT19" t="str">
            <v>Объем</v>
          </cell>
          <cell r="BU19" t="str">
            <v>Ст-ть</v>
          </cell>
          <cell r="BV19" t="str">
            <v>Сметная</v>
          </cell>
          <cell r="BW19" t="str">
            <v>Объем</v>
          </cell>
          <cell r="BX19" t="str">
            <v>Ст-ть</v>
          </cell>
          <cell r="BY19" t="str">
            <v>Сметная</v>
          </cell>
          <cell r="BZ19" t="str">
            <v>Объем</v>
          </cell>
          <cell r="CA19" t="str">
            <v>Ст-ть</v>
          </cell>
          <cell r="CB19" t="str">
            <v>Сметная</v>
          </cell>
          <cell r="CC19" t="str">
            <v>Объем</v>
          </cell>
          <cell r="CD19" t="str">
            <v>Ст-ть</v>
          </cell>
          <cell r="CE19" t="str">
            <v>Сметная</v>
          </cell>
          <cell r="CF19" t="str">
            <v>Объем</v>
          </cell>
          <cell r="CG19" t="str">
            <v>Ст-ть</v>
          </cell>
          <cell r="CH19" t="str">
            <v>Сметная</v>
          </cell>
          <cell r="CI19" t="str">
            <v>Объем</v>
          </cell>
          <cell r="CJ19" t="str">
            <v>Ст-ть</v>
          </cell>
          <cell r="CK19" t="str">
            <v>Сметная</v>
          </cell>
        </row>
        <row r="20">
          <cell r="J20" t="str">
            <v>единицы</v>
          </cell>
          <cell r="K20" t="str">
            <v>ст-ть</v>
          </cell>
          <cell r="M20" t="str">
            <v>единицы</v>
          </cell>
          <cell r="N20" t="str">
            <v>ст-ть</v>
          </cell>
          <cell r="P20" t="str">
            <v>единицы</v>
          </cell>
          <cell r="Q20" t="str">
            <v>ст-ть</v>
          </cell>
          <cell r="S20" t="str">
            <v>единицы</v>
          </cell>
          <cell r="T20" t="str">
            <v>ст-ть</v>
          </cell>
          <cell r="V20" t="str">
            <v>единицы</v>
          </cell>
          <cell r="W20" t="str">
            <v>ст-ть</v>
          </cell>
          <cell r="Y20" t="str">
            <v>единицы</v>
          </cell>
          <cell r="Z20" t="str">
            <v>ст-ть</v>
          </cell>
          <cell r="AB20" t="str">
            <v>единицы</v>
          </cell>
          <cell r="AC20" t="str">
            <v>ст-ть</v>
          </cell>
          <cell r="AE20" t="str">
            <v>единицы</v>
          </cell>
          <cell r="AF20" t="str">
            <v>ст-ть</v>
          </cell>
          <cell r="AH20" t="str">
            <v>единицы</v>
          </cell>
          <cell r="AI20" t="str">
            <v>ст-ть</v>
          </cell>
          <cell r="AK20" t="str">
            <v>единицы</v>
          </cell>
          <cell r="AL20" t="str">
            <v>ст-ть</v>
          </cell>
          <cell r="AN20" t="str">
            <v>единицы</v>
          </cell>
          <cell r="AO20" t="str">
            <v>ст-ть</v>
          </cell>
          <cell r="AQ20" t="str">
            <v>единицы</v>
          </cell>
          <cell r="AR20" t="str">
            <v>ст-ть</v>
          </cell>
          <cell r="AT20" t="str">
            <v>единицы</v>
          </cell>
          <cell r="AU20" t="str">
            <v>ст-ть</v>
          </cell>
          <cell r="AW20" t="str">
            <v>единицы</v>
          </cell>
          <cell r="AX20" t="str">
            <v>ст-ть</v>
          </cell>
          <cell r="AZ20" t="str">
            <v>единицы</v>
          </cell>
          <cell r="BA20" t="str">
            <v>ст-ть</v>
          </cell>
          <cell r="BC20" t="str">
            <v>единицы</v>
          </cell>
          <cell r="BD20" t="str">
            <v>ст-ть</v>
          </cell>
          <cell r="BF20" t="str">
            <v>единицы</v>
          </cell>
          <cell r="BG20" t="str">
            <v>ст-ть</v>
          </cell>
          <cell r="BI20" t="str">
            <v>единицы</v>
          </cell>
          <cell r="BJ20" t="str">
            <v>ст-ть</v>
          </cell>
          <cell r="BL20" t="str">
            <v>единицы</v>
          </cell>
          <cell r="BM20" t="str">
            <v>ст-ть</v>
          </cell>
          <cell r="BO20" t="str">
            <v>единицы</v>
          </cell>
          <cell r="BP20" t="str">
            <v>ст-ть</v>
          </cell>
          <cell r="BR20" t="str">
            <v>единицы</v>
          </cell>
          <cell r="BS20" t="str">
            <v>ст-ть</v>
          </cell>
          <cell r="BU20" t="str">
            <v>единицы</v>
          </cell>
          <cell r="BV20" t="str">
            <v>ст-ть</v>
          </cell>
          <cell r="BX20" t="str">
            <v>единицы</v>
          </cell>
          <cell r="BY20" t="str">
            <v>ст-ть</v>
          </cell>
          <cell r="CA20" t="str">
            <v>единицы</v>
          </cell>
          <cell r="CB20" t="str">
            <v>ст-ть</v>
          </cell>
          <cell r="CD20" t="str">
            <v>единицы</v>
          </cell>
          <cell r="CE20" t="str">
            <v>ст-ть</v>
          </cell>
          <cell r="CG20" t="str">
            <v>единицы</v>
          </cell>
          <cell r="CH20" t="str">
            <v>ст-ть</v>
          </cell>
          <cell r="CJ20" t="str">
            <v>единицы</v>
          </cell>
          <cell r="CK20" t="str">
            <v>ст-ть</v>
          </cell>
        </row>
        <row r="21">
          <cell r="I21">
            <v>7</v>
          </cell>
          <cell r="J21">
            <v>8</v>
          </cell>
          <cell r="K21">
            <v>9</v>
          </cell>
          <cell r="L21">
            <v>10</v>
          </cell>
          <cell r="M21">
            <v>11</v>
          </cell>
          <cell r="N21">
            <v>12</v>
          </cell>
          <cell r="O21">
            <v>13</v>
          </cell>
          <cell r="P21">
            <v>14</v>
          </cell>
          <cell r="Q21">
            <v>15</v>
          </cell>
          <cell r="R21">
            <v>7</v>
          </cell>
          <cell r="S21">
            <v>8</v>
          </cell>
          <cell r="T21">
            <v>9</v>
          </cell>
          <cell r="U21">
            <v>10</v>
          </cell>
          <cell r="V21">
            <v>11</v>
          </cell>
          <cell r="W21">
            <v>12</v>
          </cell>
          <cell r="X21">
            <v>13</v>
          </cell>
          <cell r="Y21">
            <v>14</v>
          </cell>
          <cell r="Z21">
            <v>15</v>
          </cell>
          <cell r="AA21">
            <v>7</v>
          </cell>
          <cell r="AB21">
            <v>8</v>
          </cell>
          <cell r="AC21">
            <v>9</v>
          </cell>
          <cell r="AD21">
            <v>10</v>
          </cell>
          <cell r="AE21">
            <v>11</v>
          </cell>
          <cell r="AF21">
            <v>12</v>
          </cell>
          <cell r="AG21">
            <v>13</v>
          </cell>
          <cell r="AH21">
            <v>14</v>
          </cell>
          <cell r="AI21">
            <v>15</v>
          </cell>
          <cell r="AJ21">
            <v>7</v>
          </cell>
          <cell r="AK21">
            <v>8</v>
          </cell>
          <cell r="AL21">
            <v>9</v>
          </cell>
          <cell r="AM21">
            <v>10</v>
          </cell>
          <cell r="AN21">
            <v>11</v>
          </cell>
          <cell r="AO21">
            <v>12</v>
          </cell>
          <cell r="AP21">
            <v>13</v>
          </cell>
          <cell r="AQ21">
            <v>14</v>
          </cell>
          <cell r="AR21">
            <v>15</v>
          </cell>
          <cell r="AS21">
            <v>7</v>
          </cell>
          <cell r="AT21">
            <v>8</v>
          </cell>
          <cell r="AU21">
            <v>9</v>
          </cell>
          <cell r="AV21">
            <v>10</v>
          </cell>
          <cell r="AW21">
            <v>11</v>
          </cell>
          <cell r="AX21">
            <v>12</v>
          </cell>
          <cell r="AY21">
            <v>13</v>
          </cell>
          <cell r="AZ21">
            <v>14</v>
          </cell>
          <cell r="BA21">
            <v>15</v>
          </cell>
          <cell r="BB21">
            <v>7</v>
          </cell>
          <cell r="BC21">
            <v>8</v>
          </cell>
          <cell r="BD21">
            <v>9</v>
          </cell>
          <cell r="BE21">
            <v>10</v>
          </cell>
          <cell r="BF21">
            <v>11</v>
          </cell>
          <cell r="BG21">
            <v>12</v>
          </cell>
          <cell r="BH21">
            <v>13</v>
          </cell>
          <cell r="BI21">
            <v>14</v>
          </cell>
          <cell r="BJ21">
            <v>15</v>
          </cell>
          <cell r="BK21">
            <v>7</v>
          </cell>
          <cell r="BL21">
            <v>8</v>
          </cell>
          <cell r="BM21">
            <v>9</v>
          </cell>
          <cell r="BN21">
            <v>10</v>
          </cell>
          <cell r="BO21">
            <v>11</v>
          </cell>
          <cell r="BP21">
            <v>12</v>
          </cell>
          <cell r="BQ21">
            <v>13</v>
          </cell>
          <cell r="BR21">
            <v>14</v>
          </cell>
          <cell r="BS21">
            <v>15</v>
          </cell>
          <cell r="BT21">
            <v>7</v>
          </cell>
          <cell r="BU21">
            <v>8</v>
          </cell>
          <cell r="BV21">
            <v>9</v>
          </cell>
          <cell r="BW21">
            <v>10</v>
          </cell>
          <cell r="BX21">
            <v>11</v>
          </cell>
          <cell r="BY21">
            <v>12</v>
          </cell>
          <cell r="BZ21">
            <v>13</v>
          </cell>
          <cell r="CA21">
            <v>14</v>
          </cell>
          <cell r="CB21">
            <v>15</v>
          </cell>
          <cell r="CC21">
            <v>7</v>
          </cell>
          <cell r="CD21">
            <v>8</v>
          </cell>
          <cell r="CE21">
            <v>9</v>
          </cell>
          <cell r="CF21">
            <v>10</v>
          </cell>
          <cell r="CG21">
            <v>11</v>
          </cell>
          <cell r="CH21">
            <v>12</v>
          </cell>
          <cell r="CI21">
            <v>13</v>
          </cell>
          <cell r="CJ21">
            <v>14</v>
          </cell>
          <cell r="CK21">
            <v>15</v>
          </cell>
        </row>
        <row r="22">
          <cell r="L22" t="str">
            <v>В копилку</v>
          </cell>
          <cell r="M22" t="str">
            <v>В копилку</v>
          </cell>
          <cell r="N22" t="str">
            <v>В копилку</v>
          </cell>
          <cell r="U22" t="str">
            <v>В копилку</v>
          </cell>
          <cell r="V22" t="str">
            <v>В копилку</v>
          </cell>
          <cell r="W22" t="str">
            <v>В копилку</v>
          </cell>
          <cell r="AD22" t="str">
            <v>В копилку</v>
          </cell>
          <cell r="AE22" t="str">
            <v>В копилку</v>
          </cell>
          <cell r="AF22" t="str">
            <v>В копилку</v>
          </cell>
          <cell r="AM22" t="str">
            <v>В копилку</v>
          </cell>
          <cell r="AN22" t="str">
            <v>В копилку</v>
          </cell>
          <cell r="AO22" t="str">
            <v>В копилку</v>
          </cell>
          <cell r="AV22" t="str">
            <v>В копилку</v>
          </cell>
          <cell r="AW22" t="str">
            <v>В копилку</v>
          </cell>
          <cell r="AX22" t="str">
            <v>В копилку</v>
          </cell>
          <cell r="BE22" t="str">
            <v>В копилку</v>
          </cell>
          <cell r="BF22" t="str">
            <v>В копилку</v>
          </cell>
          <cell r="BG22" t="str">
            <v>В копилку</v>
          </cell>
          <cell r="BN22" t="str">
            <v>В копилку</v>
          </cell>
          <cell r="BO22" t="str">
            <v>В копилку</v>
          </cell>
          <cell r="BP22" t="str">
            <v>В копилку</v>
          </cell>
          <cell r="BW22" t="str">
            <v>В копилку</v>
          </cell>
          <cell r="BX22" t="str">
            <v>В копилку</v>
          </cell>
          <cell r="BY22" t="str">
            <v>В копилку</v>
          </cell>
          <cell r="CF22" t="str">
            <v>В копилку</v>
          </cell>
          <cell r="CG22" t="str">
            <v>В копилку</v>
          </cell>
          <cell r="CH22" t="str">
            <v>В копилку</v>
          </cell>
        </row>
        <row r="26">
          <cell r="K26">
            <v>0</v>
          </cell>
          <cell r="L26">
            <v>0</v>
          </cell>
          <cell r="N26">
            <v>0</v>
          </cell>
          <cell r="O26">
            <v>0</v>
          </cell>
          <cell r="Q26">
            <v>0</v>
          </cell>
          <cell r="T26">
            <v>0</v>
          </cell>
          <cell r="U26">
            <v>0</v>
          </cell>
          <cell r="W26">
            <v>0</v>
          </cell>
          <cell r="X26">
            <v>0</v>
          </cell>
          <cell r="Z26">
            <v>0</v>
          </cell>
          <cell r="AC26">
            <v>0</v>
          </cell>
          <cell r="AD26">
            <v>0</v>
          </cell>
          <cell r="AF26">
            <v>0</v>
          </cell>
          <cell r="AG26">
            <v>0</v>
          </cell>
          <cell r="AI26">
            <v>0</v>
          </cell>
          <cell r="AL26">
            <v>0</v>
          </cell>
          <cell r="AM26">
            <v>0</v>
          </cell>
          <cell r="AO26">
            <v>0</v>
          </cell>
          <cell r="AP26">
            <v>0</v>
          </cell>
          <cell r="AR26">
            <v>0</v>
          </cell>
          <cell r="AU26">
            <v>0</v>
          </cell>
          <cell r="AV26">
            <v>0</v>
          </cell>
          <cell r="AX26">
            <v>0</v>
          </cell>
          <cell r="AY26">
            <v>0</v>
          </cell>
          <cell r="BA26">
            <v>0</v>
          </cell>
          <cell r="BD26">
            <v>0</v>
          </cell>
          <cell r="BE26">
            <v>0</v>
          </cell>
          <cell r="BG26">
            <v>0</v>
          </cell>
          <cell r="BH26">
            <v>0</v>
          </cell>
          <cell r="BJ26">
            <v>0</v>
          </cell>
          <cell r="BM26">
            <v>0</v>
          </cell>
          <cell r="BN26">
            <v>0</v>
          </cell>
          <cell r="BP26">
            <v>0</v>
          </cell>
          <cell r="BQ26">
            <v>0</v>
          </cell>
          <cell r="BS26">
            <v>0</v>
          </cell>
          <cell r="BV26">
            <v>0</v>
          </cell>
          <cell r="BW26">
            <v>0</v>
          </cell>
          <cell r="BY26">
            <v>0</v>
          </cell>
          <cell r="BZ26">
            <v>0</v>
          </cell>
          <cell r="CB26">
            <v>0</v>
          </cell>
          <cell r="CE26">
            <v>0</v>
          </cell>
          <cell r="CF26">
            <v>0</v>
          </cell>
          <cell r="CH26">
            <v>0</v>
          </cell>
          <cell r="CI26">
            <v>0</v>
          </cell>
          <cell r="CK26">
            <v>0</v>
          </cell>
        </row>
        <row r="27">
          <cell r="K27">
            <v>0</v>
          </cell>
          <cell r="M27">
            <v>0</v>
          </cell>
          <cell r="N27">
            <v>0</v>
          </cell>
          <cell r="P27">
            <v>0</v>
          </cell>
          <cell r="Q27">
            <v>0</v>
          </cell>
          <cell r="T27">
            <v>0</v>
          </cell>
          <cell r="V27">
            <v>0</v>
          </cell>
          <cell r="W27">
            <v>0</v>
          </cell>
          <cell r="Y27">
            <v>0</v>
          </cell>
          <cell r="Z27">
            <v>0</v>
          </cell>
          <cell r="AC27">
            <v>0</v>
          </cell>
          <cell r="AE27">
            <v>0</v>
          </cell>
          <cell r="AF27">
            <v>0</v>
          </cell>
          <cell r="AH27">
            <v>0</v>
          </cell>
          <cell r="AI27">
            <v>0</v>
          </cell>
          <cell r="AL27">
            <v>0</v>
          </cell>
          <cell r="AN27">
            <v>0</v>
          </cell>
          <cell r="AO27">
            <v>0</v>
          </cell>
          <cell r="AQ27">
            <v>0</v>
          </cell>
          <cell r="AR27">
            <v>0</v>
          </cell>
          <cell r="AU27">
            <v>0</v>
          </cell>
          <cell r="AW27">
            <v>0</v>
          </cell>
          <cell r="AX27">
            <v>0</v>
          </cell>
          <cell r="AZ27">
            <v>0</v>
          </cell>
          <cell r="BA27">
            <v>0</v>
          </cell>
          <cell r="BD27">
            <v>0</v>
          </cell>
          <cell r="BF27">
            <v>0</v>
          </cell>
          <cell r="BG27">
            <v>0</v>
          </cell>
          <cell r="BI27">
            <v>0</v>
          </cell>
          <cell r="BJ27">
            <v>0</v>
          </cell>
          <cell r="BM27">
            <v>0</v>
          </cell>
          <cell r="BO27">
            <v>0</v>
          </cell>
          <cell r="BP27">
            <v>0</v>
          </cell>
          <cell r="BR27">
            <v>0</v>
          </cell>
          <cell r="BS27">
            <v>0</v>
          </cell>
          <cell r="BV27">
            <v>0</v>
          </cell>
          <cell r="BX27">
            <v>0</v>
          </cell>
          <cell r="BY27">
            <v>0</v>
          </cell>
          <cell r="CA27">
            <v>0</v>
          </cell>
          <cell r="CB27">
            <v>0</v>
          </cell>
          <cell r="CE27">
            <v>0</v>
          </cell>
          <cell r="CG27">
            <v>0</v>
          </cell>
          <cell r="CH27">
            <v>0</v>
          </cell>
          <cell r="CJ27">
            <v>0</v>
          </cell>
          <cell r="CK27">
            <v>0</v>
          </cell>
        </row>
        <row r="28">
          <cell r="K28">
            <v>0</v>
          </cell>
          <cell r="N28">
            <v>0</v>
          </cell>
          <cell r="Q28">
            <v>0</v>
          </cell>
          <cell r="T28">
            <v>0</v>
          </cell>
          <cell r="W28">
            <v>0</v>
          </cell>
          <cell r="Z28">
            <v>0</v>
          </cell>
          <cell r="AC28">
            <v>0</v>
          </cell>
          <cell r="AF28">
            <v>0</v>
          </cell>
          <cell r="AI28">
            <v>0</v>
          </cell>
          <cell r="AL28">
            <v>0</v>
          </cell>
          <cell r="AO28">
            <v>0</v>
          </cell>
          <cell r="AR28">
            <v>0</v>
          </cell>
          <cell r="AU28">
            <v>0</v>
          </cell>
          <cell r="AX28">
            <v>0</v>
          </cell>
          <cell r="BA28">
            <v>0</v>
          </cell>
          <cell r="BD28">
            <v>0</v>
          </cell>
          <cell r="BG28">
            <v>0</v>
          </cell>
          <cell r="BJ28">
            <v>0</v>
          </cell>
          <cell r="BM28">
            <v>0</v>
          </cell>
          <cell r="BP28">
            <v>0</v>
          </cell>
          <cell r="BS28">
            <v>0</v>
          </cell>
          <cell r="BV28">
            <v>0</v>
          </cell>
          <cell r="BY28">
            <v>0</v>
          </cell>
          <cell r="CB28">
            <v>0</v>
          </cell>
          <cell r="CE28">
            <v>0</v>
          </cell>
          <cell r="CH28">
            <v>0</v>
          </cell>
          <cell r="CK28">
            <v>0</v>
          </cell>
        </row>
        <row r="29"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</row>
        <row r="30"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</row>
        <row r="32">
          <cell r="K32">
            <v>0</v>
          </cell>
          <cell r="L32">
            <v>0</v>
          </cell>
          <cell r="N32">
            <v>0</v>
          </cell>
          <cell r="O32">
            <v>0</v>
          </cell>
          <cell r="Q32">
            <v>0</v>
          </cell>
          <cell r="T32">
            <v>0</v>
          </cell>
          <cell r="U32">
            <v>0</v>
          </cell>
          <cell r="W32">
            <v>0</v>
          </cell>
          <cell r="X32">
            <v>0</v>
          </cell>
          <cell r="Z32">
            <v>0</v>
          </cell>
          <cell r="AC32">
            <v>0</v>
          </cell>
          <cell r="AD32">
            <v>0</v>
          </cell>
          <cell r="AF32">
            <v>0</v>
          </cell>
          <cell r="AG32">
            <v>0</v>
          </cell>
          <cell r="AI32">
            <v>0</v>
          </cell>
          <cell r="AL32">
            <v>0</v>
          </cell>
          <cell r="AM32">
            <v>0</v>
          </cell>
          <cell r="AO32">
            <v>0</v>
          </cell>
          <cell r="AP32">
            <v>0</v>
          </cell>
          <cell r="AR32">
            <v>0</v>
          </cell>
          <cell r="AU32">
            <v>0</v>
          </cell>
          <cell r="AV32">
            <v>0</v>
          </cell>
          <cell r="AX32">
            <v>0</v>
          </cell>
          <cell r="AY32">
            <v>0</v>
          </cell>
          <cell r="BA32">
            <v>0</v>
          </cell>
          <cell r="BD32">
            <v>0</v>
          </cell>
          <cell r="BE32">
            <v>0</v>
          </cell>
          <cell r="BG32">
            <v>0</v>
          </cell>
          <cell r="BH32">
            <v>0</v>
          </cell>
          <cell r="BJ32">
            <v>0</v>
          </cell>
          <cell r="BM32">
            <v>0</v>
          </cell>
          <cell r="BN32">
            <v>0</v>
          </cell>
          <cell r="BP32">
            <v>0</v>
          </cell>
          <cell r="BQ32">
            <v>0</v>
          </cell>
          <cell r="BS32">
            <v>0</v>
          </cell>
          <cell r="BV32">
            <v>0</v>
          </cell>
          <cell r="BW32">
            <v>0</v>
          </cell>
          <cell r="BY32">
            <v>0</v>
          </cell>
          <cell r="BZ32">
            <v>0</v>
          </cell>
          <cell r="CB32">
            <v>0</v>
          </cell>
          <cell r="CE32">
            <v>0</v>
          </cell>
          <cell r="CF32">
            <v>0</v>
          </cell>
          <cell r="CH32">
            <v>0</v>
          </cell>
          <cell r="CI32">
            <v>0</v>
          </cell>
          <cell r="CK32">
            <v>0</v>
          </cell>
        </row>
        <row r="33">
          <cell r="K33">
            <v>0</v>
          </cell>
          <cell r="M33">
            <v>0</v>
          </cell>
          <cell r="N33">
            <v>0</v>
          </cell>
          <cell r="P33">
            <v>0</v>
          </cell>
          <cell r="Q33">
            <v>0</v>
          </cell>
          <cell r="T33">
            <v>0</v>
          </cell>
          <cell r="V33">
            <v>0</v>
          </cell>
          <cell r="W33">
            <v>0</v>
          </cell>
          <cell r="Y33">
            <v>0</v>
          </cell>
          <cell r="Z33">
            <v>0</v>
          </cell>
          <cell r="AC33">
            <v>0</v>
          </cell>
          <cell r="AE33">
            <v>0</v>
          </cell>
          <cell r="AF33">
            <v>0</v>
          </cell>
          <cell r="AH33">
            <v>0</v>
          </cell>
          <cell r="AI33">
            <v>0</v>
          </cell>
          <cell r="AL33">
            <v>0</v>
          </cell>
          <cell r="AN33">
            <v>0</v>
          </cell>
          <cell r="AO33">
            <v>0</v>
          </cell>
          <cell r="AQ33">
            <v>0</v>
          </cell>
          <cell r="AR33">
            <v>0</v>
          </cell>
          <cell r="AU33">
            <v>0</v>
          </cell>
          <cell r="AW33">
            <v>0</v>
          </cell>
          <cell r="AX33">
            <v>0</v>
          </cell>
          <cell r="AZ33">
            <v>0</v>
          </cell>
          <cell r="BA33">
            <v>0</v>
          </cell>
          <cell r="BD33">
            <v>0</v>
          </cell>
          <cell r="BF33">
            <v>0</v>
          </cell>
          <cell r="BG33">
            <v>0</v>
          </cell>
          <cell r="BI33">
            <v>0</v>
          </cell>
          <cell r="BJ33">
            <v>0</v>
          </cell>
          <cell r="BM33">
            <v>0</v>
          </cell>
          <cell r="BO33">
            <v>0</v>
          </cell>
          <cell r="BP33">
            <v>0</v>
          </cell>
          <cell r="BR33">
            <v>0</v>
          </cell>
          <cell r="BS33">
            <v>0</v>
          </cell>
          <cell r="BV33">
            <v>0</v>
          </cell>
          <cell r="BX33">
            <v>0</v>
          </cell>
          <cell r="BY33">
            <v>0</v>
          </cell>
          <cell r="CA33">
            <v>0</v>
          </cell>
          <cell r="CB33">
            <v>0</v>
          </cell>
          <cell r="CE33">
            <v>0</v>
          </cell>
          <cell r="CG33">
            <v>0</v>
          </cell>
          <cell r="CH33">
            <v>0</v>
          </cell>
          <cell r="CJ33">
            <v>0</v>
          </cell>
          <cell r="CK33">
            <v>0</v>
          </cell>
        </row>
        <row r="34">
          <cell r="K34">
            <v>0</v>
          </cell>
          <cell r="N34">
            <v>0</v>
          </cell>
          <cell r="Q34">
            <v>0</v>
          </cell>
          <cell r="T34">
            <v>0</v>
          </cell>
          <cell r="W34">
            <v>0</v>
          </cell>
          <cell r="Z34">
            <v>0</v>
          </cell>
          <cell r="AC34">
            <v>0</v>
          </cell>
          <cell r="AF34">
            <v>0</v>
          </cell>
          <cell r="AI34">
            <v>0</v>
          </cell>
          <cell r="AL34">
            <v>0</v>
          </cell>
          <cell r="AO34">
            <v>0</v>
          </cell>
          <cell r="AR34">
            <v>0</v>
          </cell>
          <cell r="AU34">
            <v>0</v>
          </cell>
          <cell r="AX34">
            <v>0</v>
          </cell>
          <cell r="BA34">
            <v>0</v>
          </cell>
          <cell r="BD34">
            <v>0</v>
          </cell>
          <cell r="BG34">
            <v>0</v>
          </cell>
          <cell r="BJ34">
            <v>0</v>
          </cell>
          <cell r="BM34">
            <v>0</v>
          </cell>
          <cell r="BP34">
            <v>0</v>
          </cell>
          <cell r="BS34">
            <v>0</v>
          </cell>
          <cell r="BV34">
            <v>0</v>
          </cell>
          <cell r="BY34">
            <v>0</v>
          </cell>
          <cell r="CB34">
            <v>0</v>
          </cell>
          <cell r="CE34">
            <v>0</v>
          </cell>
          <cell r="CH34">
            <v>0</v>
          </cell>
          <cell r="CK34">
            <v>0</v>
          </cell>
        </row>
        <row r="35"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</row>
        <row r="36"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</row>
        <row r="37"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</row>
        <row r="39">
          <cell r="K39">
            <v>0</v>
          </cell>
          <cell r="L39">
            <v>0</v>
          </cell>
          <cell r="N39">
            <v>0</v>
          </cell>
          <cell r="O39">
            <v>0</v>
          </cell>
          <cell r="Q39">
            <v>0</v>
          </cell>
          <cell r="T39">
            <v>0</v>
          </cell>
          <cell r="U39">
            <v>0</v>
          </cell>
          <cell r="W39">
            <v>0</v>
          </cell>
          <cell r="X39">
            <v>0</v>
          </cell>
          <cell r="Z39">
            <v>0</v>
          </cell>
          <cell r="AC39">
            <v>0</v>
          </cell>
          <cell r="AD39">
            <v>0</v>
          </cell>
          <cell r="AF39">
            <v>0</v>
          </cell>
          <cell r="AG39">
            <v>0</v>
          </cell>
          <cell r="AI39">
            <v>0</v>
          </cell>
          <cell r="AL39">
            <v>0</v>
          </cell>
          <cell r="AM39">
            <v>0</v>
          </cell>
          <cell r="AO39">
            <v>0</v>
          </cell>
          <cell r="AP39">
            <v>0</v>
          </cell>
          <cell r="AR39">
            <v>0</v>
          </cell>
          <cell r="AU39">
            <v>0</v>
          </cell>
          <cell r="AV39">
            <v>0</v>
          </cell>
          <cell r="AX39">
            <v>0</v>
          </cell>
          <cell r="AY39">
            <v>0</v>
          </cell>
          <cell r="BA39">
            <v>0</v>
          </cell>
          <cell r="BD39">
            <v>0</v>
          </cell>
          <cell r="BE39">
            <v>0</v>
          </cell>
          <cell r="BG39">
            <v>0</v>
          </cell>
          <cell r="BH39">
            <v>0</v>
          </cell>
          <cell r="BJ39">
            <v>0</v>
          </cell>
          <cell r="BM39">
            <v>0</v>
          </cell>
          <cell r="BN39">
            <v>0</v>
          </cell>
          <cell r="BP39">
            <v>0</v>
          </cell>
          <cell r="BQ39">
            <v>0</v>
          </cell>
          <cell r="BS39">
            <v>0</v>
          </cell>
          <cell r="BV39">
            <v>0</v>
          </cell>
          <cell r="BW39">
            <v>0</v>
          </cell>
          <cell r="BY39">
            <v>0</v>
          </cell>
          <cell r="BZ39">
            <v>0</v>
          </cell>
          <cell r="CB39">
            <v>0</v>
          </cell>
          <cell r="CE39">
            <v>0</v>
          </cell>
          <cell r="CF39">
            <v>0</v>
          </cell>
          <cell r="CH39">
            <v>0</v>
          </cell>
          <cell r="CI39">
            <v>0</v>
          </cell>
          <cell r="CK39">
            <v>0</v>
          </cell>
        </row>
        <row r="40">
          <cell r="K40">
            <v>0</v>
          </cell>
          <cell r="M40">
            <v>0</v>
          </cell>
          <cell r="N40">
            <v>0</v>
          </cell>
          <cell r="P40">
            <v>0</v>
          </cell>
          <cell r="Q40">
            <v>0</v>
          </cell>
          <cell r="T40">
            <v>0</v>
          </cell>
          <cell r="V40">
            <v>0</v>
          </cell>
          <cell r="W40">
            <v>0</v>
          </cell>
          <cell r="Y40">
            <v>0</v>
          </cell>
          <cell r="Z40">
            <v>0</v>
          </cell>
          <cell r="AC40">
            <v>0</v>
          </cell>
          <cell r="AE40">
            <v>0</v>
          </cell>
          <cell r="AF40">
            <v>0</v>
          </cell>
          <cell r="AH40">
            <v>0</v>
          </cell>
          <cell r="AI40">
            <v>0</v>
          </cell>
          <cell r="AL40">
            <v>0</v>
          </cell>
          <cell r="AN40">
            <v>0</v>
          </cell>
          <cell r="AO40">
            <v>0</v>
          </cell>
          <cell r="AQ40">
            <v>0</v>
          </cell>
          <cell r="AR40">
            <v>0</v>
          </cell>
          <cell r="AU40">
            <v>0</v>
          </cell>
          <cell r="AW40">
            <v>0</v>
          </cell>
          <cell r="AX40">
            <v>0</v>
          </cell>
          <cell r="AZ40">
            <v>0</v>
          </cell>
          <cell r="BA40">
            <v>0</v>
          </cell>
          <cell r="BD40">
            <v>0</v>
          </cell>
          <cell r="BF40">
            <v>0</v>
          </cell>
          <cell r="BG40">
            <v>0</v>
          </cell>
          <cell r="BI40">
            <v>0</v>
          </cell>
          <cell r="BJ40">
            <v>0</v>
          </cell>
          <cell r="BM40">
            <v>0</v>
          </cell>
          <cell r="BO40">
            <v>0</v>
          </cell>
          <cell r="BP40">
            <v>0</v>
          </cell>
          <cell r="BR40">
            <v>0</v>
          </cell>
          <cell r="BS40">
            <v>0</v>
          </cell>
          <cell r="BV40">
            <v>0</v>
          </cell>
          <cell r="BX40">
            <v>0</v>
          </cell>
          <cell r="BY40">
            <v>0</v>
          </cell>
          <cell r="CA40">
            <v>0</v>
          </cell>
          <cell r="CB40">
            <v>0</v>
          </cell>
          <cell r="CE40">
            <v>0</v>
          </cell>
          <cell r="CG40">
            <v>0</v>
          </cell>
          <cell r="CH40">
            <v>0</v>
          </cell>
          <cell r="CJ40">
            <v>0</v>
          </cell>
          <cell r="CK40">
            <v>0</v>
          </cell>
        </row>
        <row r="41">
          <cell r="K41">
            <v>0</v>
          </cell>
          <cell r="N41">
            <v>0</v>
          </cell>
          <cell r="Q41">
            <v>0</v>
          </cell>
          <cell r="T41">
            <v>0</v>
          </cell>
          <cell r="W41">
            <v>0</v>
          </cell>
          <cell r="Z41">
            <v>0</v>
          </cell>
          <cell r="AC41">
            <v>0</v>
          </cell>
          <cell r="AF41">
            <v>0</v>
          </cell>
          <cell r="AI41">
            <v>0</v>
          </cell>
          <cell r="AL41">
            <v>0</v>
          </cell>
          <cell r="AO41">
            <v>0</v>
          </cell>
          <cell r="AR41">
            <v>0</v>
          </cell>
          <cell r="AU41">
            <v>0</v>
          </cell>
          <cell r="AX41">
            <v>0</v>
          </cell>
          <cell r="BA41">
            <v>0</v>
          </cell>
          <cell r="BD41">
            <v>0</v>
          </cell>
          <cell r="BG41">
            <v>0</v>
          </cell>
          <cell r="BJ41">
            <v>0</v>
          </cell>
          <cell r="BM41">
            <v>0</v>
          </cell>
          <cell r="BP41">
            <v>0</v>
          </cell>
          <cell r="BS41">
            <v>0</v>
          </cell>
          <cell r="BV41">
            <v>0</v>
          </cell>
          <cell r="BY41">
            <v>0</v>
          </cell>
          <cell r="CB41">
            <v>0</v>
          </cell>
          <cell r="CE41">
            <v>0</v>
          </cell>
          <cell r="CH41">
            <v>0</v>
          </cell>
          <cell r="CK41">
            <v>0</v>
          </cell>
        </row>
        <row r="42"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A42">
            <v>0</v>
          </cell>
          <cell r="CB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</row>
        <row r="43"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0</v>
          </cell>
          <cell r="BZ43">
            <v>0</v>
          </cell>
          <cell r="CA43">
            <v>0</v>
          </cell>
          <cell r="CB43">
            <v>0</v>
          </cell>
          <cell r="CE43">
            <v>0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</row>
        <row r="44"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  <cell r="BJ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0</v>
          </cell>
          <cell r="CB44">
            <v>0</v>
          </cell>
          <cell r="CE44">
            <v>0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</row>
        <row r="45"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U45">
            <v>0</v>
          </cell>
          <cell r="AV45">
            <v>0</v>
          </cell>
          <cell r="AW45">
            <v>0</v>
          </cell>
          <cell r="AX45">
            <v>0</v>
          </cell>
          <cell r="AY45">
            <v>0</v>
          </cell>
          <cell r="AZ45">
            <v>0</v>
          </cell>
          <cell r="BA45">
            <v>0</v>
          </cell>
          <cell r="BD45">
            <v>0</v>
          </cell>
          <cell r="BE45">
            <v>0</v>
          </cell>
          <cell r="BF45">
            <v>0</v>
          </cell>
          <cell r="BG45">
            <v>0</v>
          </cell>
          <cell r="BH45">
            <v>0</v>
          </cell>
          <cell r="BI45">
            <v>0</v>
          </cell>
          <cell r="BJ45">
            <v>0</v>
          </cell>
          <cell r="BM45">
            <v>0</v>
          </cell>
          <cell r="BN45">
            <v>0</v>
          </cell>
          <cell r="BO45">
            <v>0</v>
          </cell>
          <cell r="BP45">
            <v>0</v>
          </cell>
          <cell r="BQ45">
            <v>0</v>
          </cell>
          <cell r="BR45">
            <v>0</v>
          </cell>
          <cell r="BS45">
            <v>0</v>
          </cell>
          <cell r="BV45">
            <v>0</v>
          </cell>
          <cell r="BW45">
            <v>0</v>
          </cell>
          <cell r="BX45">
            <v>0</v>
          </cell>
          <cell r="BY45">
            <v>0</v>
          </cell>
          <cell r="BZ45">
            <v>0</v>
          </cell>
          <cell r="CA45">
            <v>0</v>
          </cell>
          <cell r="CB45">
            <v>0</v>
          </cell>
          <cell r="CE45">
            <v>0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</row>
        <row r="46"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U46">
            <v>0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AZ46">
            <v>0</v>
          </cell>
          <cell r="BA46">
            <v>0</v>
          </cell>
          <cell r="BD46">
            <v>0</v>
          </cell>
          <cell r="BE46">
            <v>0</v>
          </cell>
          <cell r="BF46">
            <v>0</v>
          </cell>
          <cell r="BG46">
            <v>0</v>
          </cell>
          <cell r="BH46">
            <v>0</v>
          </cell>
          <cell r="BI46">
            <v>0</v>
          </cell>
          <cell r="BJ46">
            <v>0</v>
          </cell>
          <cell r="BM46">
            <v>0</v>
          </cell>
          <cell r="BN46">
            <v>0</v>
          </cell>
          <cell r="BO46">
            <v>0</v>
          </cell>
          <cell r="BP46">
            <v>0</v>
          </cell>
          <cell r="BQ46">
            <v>0</v>
          </cell>
          <cell r="BR46">
            <v>0</v>
          </cell>
          <cell r="BS46">
            <v>0</v>
          </cell>
          <cell r="BV46">
            <v>0</v>
          </cell>
          <cell r="BW46">
            <v>0</v>
          </cell>
          <cell r="BX46">
            <v>0</v>
          </cell>
          <cell r="BY46">
            <v>0</v>
          </cell>
          <cell r="BZ46">
            <v>0</v>
          </cell>
          <cell r="CA46">
            <v>0</v>
          </cell>
          <cell r="CB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</row>
        <row r="47"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U47">
            <v>0</v>
          </cell>
          <cell r="AV47">
            <v>0</v>
          </cell>
          <cell r="AW47">
            <v>0</v>
          </cell>
          <cell r="AX47">
            <v>0</v>
          </cell>
          <cell r="AY47">
            <v>0</v>
          </cell>
          <cell r="AZ47">
            <v>0</v>
          </cell>
          <cell r="BA47">
            <v>0</v>
          </cell>
          <cell r="BD47">
            <v>0</v>
          </cell>
          <cell r="BE47">
            <v>0</v>
          </cell>
          <cell r="BF47">
            <v>0</v>
          </cell>
          <cell r="BG47">
            <v>0</v>
          </cell>
          <cell r="BH47">
            <v>0</v>
          </cell>
          <cell r="BI47">
            <v>0</v>
          </cell>
          <cell r="BJ47">
            <v>0</v>
          </cell>
          <cell r="BM47">
            <v>0</v>
          </cell>
          <cell r="BN47">
            <v>0</v>
          </cell>
          <cell r="BO47">
            <v>0</v>
          </cell>
          <cell r="BP47">
            <v>0</v>
          </cell>
          <cell r="BQ47">
            <v>0</v>
          </cell>
          <cell r="BR47">
            <v>0</v>
          </cell>
          <cell r="BS47">
            <v>0</v>
          </cell>
          <cell r="BV47">
            <v>0</v>
          </cell>
          <cell r="BW47">
            <v>0</v>
          </cell>
          <cell r="BX47">
            <v>0</v>
          </cell>
          <cell r="BY47">
            <v>0</v>
          </cell>
          <cell r="BZ47">
            <v>0</v>
          </cell>
          <cell r="CA47">
            <v>0</v>
          </cell>
          <cell r="CB47">
            <v>0</v>
          </cell>
          <cell r="CE47">
            <v>0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</row>
        <row r="48"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U48">
            <v>0</v>
          </cell>
          <cell r="AV48">
            <v>0</v>
          </cell>
          <cell r="AW48">
            <v>0</v>
          </cell>
          <cell r="AX48">
            <v>0</v>
          </cell>
          <cell r="AY48">
            <v>0</v>
          </cell>
          <cell r="AZ48">
            <v>0</v>
          </cell>
          <cell r="BA48">
            <v>0</v>
          </cell>
          <cell r="BD48">
            <v>0</v>
          </cell>
          <cell r="BE48">
            <v>0</v>
          </cell>
          <cell r="BF48">
            <v>0</v>
          </cell>
          <cell r="BG48">
            <v>0</v>
          </cell>
          <cell r="BH48">
            <v>0</v>
          </cell>
          <cell r="BI48">
            <v>0</v>
          </cell>
          <cell r="BJ48">
            <v>0</v>
          </cell>
          <cell r="BM48">
            <v>0</v>
          </cell>
          <cell r="BN48">
            <v>0</v>
          </cell>
          <cell r="BO48">
            <v>0</v>
          </cell>
          <cell r="BP48">
            <v>0</v>
          </cell>
          <cell r="BQ48">
            <v>0</v>
          </cell>
          <cell r="BR48">
            <v>0</v>
          </cell>
          <cell r="BS48">
            <v>0</v>
          </cell>
          <cell r="BV48">
            <v>0</v>
          </cell>
          <cell r="BW48">
            <v>0</v>
          </cell>
          <cell r="BX48">
            <v>0</v>
          </cell>
          <cell r="BY48">
            <v>0</v>
          </cell>
          <cell r="BZ48">
            <v>0</v>
          </cell>
          <cell r="CA48">
            <v>0</v>
          </cell>
          <cell r="CB48">
            <v>0</v>
          </cell>
          <cell r="CE48">
            <v>0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</row>
        <row r="49"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  <cell r="AY49">
            <v>0</v>
          </cell>
          <cell r="AZ49">
            <v>0</v>
          </cell>
          <cell r="BA49">
            <v>0</v>
          </cell>
          <cell r="BD49">
            <v>0</v>
          </cell>
          <cell r="BE49">
            <v>0</v>
          </cell>
          <cell r="BF49">
            <v>0</v>
          </cell>
          <cell r="BG49">
            <v>0</v>
          </cell>
          <cell r="BH49">
            <v>0</v>
          </cell>
          <cell r="BI49">
            <v>0</v>
          </cell>
          <cell r="BJ49">
            <v>0</v>
          </cell>
          <cell r="BM49">
            <v>0</v>
          </cell>
          <cell r="BN49">
            <v>0</v>
          </cell>
          <cell r="BO49">
            <v>0</v>
          </cell>
          <cell r="BP49">
            <v>0</v>
          </cell>
          <cell r="BQ49">
            <v>0</v>
          </cell>
          <cell r="BR49">
            <v>0</v>
          </cell>
          <cell r="BS49">
            <v>0</v>
          </cell>
          <cell r="BV49">
            <v>0</v>
          </cell>
          <cell r="BW49">
            <v>0</v>
          </cell>
          <cell r="BX49">
            <v>0</v>
          </cell>
          <cell r="BY49">
            <v>0</v>
          </cell>
          <cell r="BZ49">
            <v>0</v>
          </cell>
          <cell r="CA49">
            <v>0</v>
          </cell>
          <cell r="CB49">
            <v>0</v>
          </cell>
          <cell r="CE49">
            <v>0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</row>
        <row r="50"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U50">
            <v>0</v>
          </cell>
          <cell r="AV50">
            <v>0</v>
          </cell>
          <cell r="AW50">
            <v>0</v>
          </cell>
          <cell r="AX50">
            <v>0</v>
          </cell>
          <cell r="AY50">
            <v>0</v>
          </cell>
          <cell r="AZ50">
            <v>0</v>
          </cell>
          <cell r="BA50">
            <v>0</v>
          </cell>
          <cell r="BD50">
            <v>0</v>
          </cell>
          <cell r="BE50">
            <v>0</v>
          </cell>
          <cell r="BF50">
            <v>0</v>
          </cell>
          <cell r="BG50">
            <v>0</v>
          </cell>
          <cell r="BH50">
            <v>0</v>
          </cell>
          <cell r="BI50">
            <v>0</v>
          </cell>
          <cell r="BJ50">
            <v>0</v>
          </cell>
          <cell r="BM50">
            <v>0</v>
          </cell>
          <cell r="BN50">
            <v>0</v>
          </cell>
          <cell r="BO50">
            <v>0</v>
          </cell>
          <cell r="BP50">
            <v>0</v>
          </cell>
          <cell r="BQ50">
            <v>0</v>
          </cell>
          <cell r="BR50">
            <v>0</v>
          </cell>
          <cell r="BS50">
            <v>0</v>
          </cell>
          <cell r="BV50">
            <v>0</v>
          </cell>
          <cell r="BW50">
            <v>0</v>
          </cell>
          <cell r="BX50">
            <v>0</v>
          </cell>
          <cell r="BY50">
            <v>0</v>
          </cell>
          <cell r="BZ50">
            <v>0</v>
          </cell>
          <cell r="CA50">
            <v>0</v>
          </cell>
          <cell r="CB50">
            <v>0</v>
          </cell>
          <cell r="CE50">
            <v>0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</row>
        <row r="51">
          <cell r="BW51">
            <v>0</v>
          </cell>
          <cell r="BX51">
            <v>0</v>
          </cell>
        </row>
        <row r="53">
          <cell r="K53">
            <v>0</v>
          </cell>
          <cell r="N53">
            <v>0</v>
          </cell>
          <cell r="Q53">
            <v>0</v>
          </cell>
          <cell r="T53">
            <v>0</v>
          </cell>
          <cell r="W53">
            <v>0</v>
          </cell>
          <cell r="Z53">
            <v>0</v>
          </cell>
          <cell r="AC53">
            <v>0</v>
          </cell>
          <cell r="AF53">
            <v>0</v>
          </cell>
          <cell r="AI53">
            <v>0</v>
          </cell>
          <cell r="AL53">
            <v>0</v>
          </cell>
          <cell r="AO53">
            <v>0</v>
          </cell>
          <cell r="AR53">
            <v>0</v>
          </cell>
          <cell r="AU53">
            <v>0</v>
          </cell>
          <cell r="AX53">
            <v>0</v>
          </cell>
          <cell r="BA53">
            <v>0</v>
          </cell>
          <cell r="BD53">
            <v>0</v>
          </cell>
          <cell r="BG53">
            <v>0</v>
          </cell>
          <cell r="BJ53">
            <v>0</v>
          </cell>
          <cell r="BM53">
            <v>0</v>
          </cell>
          <cell r="BP53">
            <v>0</v>
          </cell>
          <cell r="BS53">
            <v>0</v>
          </cell>
          <cell r="BV53">
            <v>0</v>
          </cell>
          <cell r="BY53">
            <v>0</v>
          </cell>
          <cell r="CB53">
            <v>0</v>
          </cell>
          <cell r="CE53">
            <v>0</v>
          </cell>
          <cell r="CH53">
            <v>0</v>
          </cell>
          <cell r="CK53">
            <v>0</v>
          </cell>
        </row>
        <row r="54">
          <cell r="K54">
            <v>0</v>
          </cell>
          <cell r="N54">
            <v>0</v>
          </cell>
          <cell r="Q54">
            <v>0</v>
          </cell>
          <cell r="T54">
            <v>0</v>
          </cell>
          <cell r="W54">
            <v>0</v>
          </cell>
          <cell r="Z54">
            <v>0</v>
          </cell>
          <cell r="AC54">
            <v>0</v>
          </cell>
          <cell r="AF54">
            <v>0</v>
          </cell>
          <cell r="AI54">
            <v>0</v>
          </cell>
          <cell r="AL54">
            <v>0</v>
          </cell>
          <cell r="AO54">
            <v>0</v>
          </cell>
          <cell r="AR54">
            <v>0</v>
          </cell>
          <cell r="AU54">
            <v>0</v>
          </cell>
          <cell r="AX54">
            <v>0</v>
          </cell>
          <cell r="BA54">
            <v>0</v>
          </cell>
          <cell r="BD54">
            <v>0</v>
          </cell>
          <cell r="BG54">
            <v>0</v>
          </cell>
          <cell r="BJ54">
            <v>0</v>
          </cell>
          <cell r="BM54">
            <v>0</v>
          </cell>
          <cell r="BP54">
            <v>0</v>
          </cell>
          <cell r="BS54">
            <v>0</v>
          </cell>
          <cell r="BV54">
            <v>0</v>
          </cell>
          <cell r="BY54">
            <v>0</v>
          </cell>
          <cell r="CB54">
            <v>0</v>
          </cell>
          <cell r="CE54">
            <v>0</v>
          </cell>
          <cell r="CH54">
            <v>0</v>
          </cell>
          <cell r="CK54">
            <v>0</v>
          </cell>
        </row>
        <row r="55">
          <cell r="K55">
            <v>0</v>
          </cell>
          <cell r="N55">
            <v>0</v>
          </cell>
          <cell r="Q55">
            <v>0</v>
          </cell>
          <cell r="T55">
            <v>0</v>
          </cell>
          <cell r="W55">
            <v>0</v>
          </cell>
          <cell r="Z55">
            <v>0</v>
          </cell>
          <cell r="AC55">
            <v>0</v>
          </cell>
          <cell r="AF55">
            <v>0</v>
          </cell>
          <cell r="AI55">
            <v>0</v>
          </cell>
          <cell r="AL55">
            <v>0</v>
          </cell>
          <cell r="AO55">
            <v>0</v>
          </cell>
          <cell r="AR55">
            <v>0</v>
          </cell>
          <cell r="AU55">
            <v>0</v>
          </cell>
          <cell r="AX55">
            <v>0</v>
          </cell>
          <cell r="BA55">
            <v>0</v>
          </cell>
          <cell r="BD55">
            <v>0</v>
          </cell>
          <cell r="BG55">
            <v>0</v>
          </cell>
          <cell r="BJ55">
            <v>0</v>
          </cell>
          <cell r="BM55">
            <v>0</v>
          </cell>
          <cell r="BP55">
            <v>0</v>
          </cell>
          <cell r="BS55">
            <v>0</v>
          </cell>
          <cell r="BV55">
            <v>0</v>
          </cell>
          <cell r="BY55">
            <v>0</v>
          </cell>
          <cell r="CB55">
            <v>0</v>
          </cell>
          <cell r="CE55">
            <v>0</v>
          </cell>
          <cell r="CH55">
            <v>0</v>
          </cell>
          <cell r="CK55">
            <v>0</v>
          </cell>
        </row>
        <row r="56">
          <cell r="K56">
            <v>0</v>
          </cell>
          <cell r="N56">
            <v>0</v>
          </cell>
          <cell r="Q56">
            <v>0</v>
          </cell>
          <cell r="T56">
            <v>0</v>
          </cell>
          <cell r="W56">
            <v>0</v>
          </cell>
          <cell r="Z56">
            <v>0</v>
          </cell>
          <cell r="AC56">
            <v>0</v>
          </cell>
          <cell r="AF56">
            <v>0</v>
          </cell>
          <cell r="AI56">
            <v>0</v>
          </cell>
          <cell r="AL56">
            <v>0</v>
          </cell>
          <cell r="AO56">
            <v>0</v>
          </cell>
          <cell r="AR56">
            <v>0</v>
          </cell>
          <cell r="AU56">
            <v>0</v>
          </cell>
          <cell r="AX56">
            <v>0</v>
          </cell>
          <cell r="BA56">
            <v>0</v>
          </cell>
          <cell r="BD56">
            <v>0</v>
          </cell>
          <cell r="BG56">
            <v>0</v>
          </cell>
          <cell r="BJ56">
            <v>0</v>
          </cell>
          <cell r="BM56">
            <v>0</v>
          </cell>
          <cell r="BP56">
            <v>0</v>
          </cell>
          <cell r="BS56">
            <v>0</v>
          </cell>
          <cell r="BV56">
            <v>0</v>
          </cell>
          <cell r="BY56">
            <v>0</v>
          </cell>
          <cell r="CB56">
            <v>0</v>
          </cell>
          <cell r="CE56">
            <v>0</v>
          </cell>
          <cell r="CH56">
            <v>0</v>
          </cell>
          <cell r="CK56">
            <v>0</v>
          </cell>
        </row>
        <row r="60">
          <cell r="K60">
            <v>0</v>
          </cell>
          <cell r="L60">
            <v>0</v>
          </cell>
          <cell r="N60">
            <v>0</v>
          </cell>
          <cell r="O60">
            <v>0</v>
          </cell>
          <cell r="Q60">
            <v>0</v>
          </cell>
          <cell r="T60">
            <v>0</v>
          </cell>
          <cell r="U60">
            <v>0</v>
          </cell>
          <cell r="W60">
            <v>0</v>
          </cell>
          <cell r="X60">
            <v>0</v>
          </cell>
          <cell r="Z60">
            <v>0</v>
          </cell>
          <cell r="AC60">
            <v>0</v>
          </cell>
          <cell r="AD60">
            <v>0</v>
          </cell>
          <cell r="AF60">
            <v>0</v>
          </cell>
          <cell r="AG60">
            <v>0</v>
          </cell>
          <cell r="AI60">
            <v>0</v>
          </cell>
          <cell r="AL60">
            <v>0</v>
          </cell>
          <cell r="AM60">
            <v>0</v>
          </cell>
          <cell r="AO60">
            <v>0</v>
          </cell>
          <cell r="AP60">
            <v>0</v>
          </cell>
          <cell r="AR60">
            <v>0</v>
          </cell>
          <cell r="AU60">
            <v>0</v>
          </cell>
          <cell r="AV60">
            <v>0</v>
          </cell>
          <cell r="AX60">
            <v>0</v>
          </cell>
          <cell r="AY60">
            <v>0</v>
          </cell>
          <cell r="BA60">
            <v>0</v>
          </cell>
          <cell r="BD60">
            <v>0</v>
          </cell>
          <cell r="BE60">
            <v>0</v>
          </cell>
          <cell r="BG60">
            <v>0</v>
          </cell>
          <cell r="BH60">
            <v>0</v>
          </cell>
          <cell r="BJ60">
            <v>0</v>
          </cell>
          <cell r="BM60">
            <v>0</v>
          </cell>
          <cell r="BN60">
            <v>0</v>
          </cell>
          <cell r="BP60">
            <v>0</v>
          </cell>
          <cell r="BQ60">
            <v>0</v>
          </cell>
          <cell r="BS60">
            <v>0</v>
          </cell>
          <cell r="BV60">
            <v>0</v>
          </cell>
          <cell r="BW60">
            <v>0</v>
          </cell>
          <cell r="BY60">
            <v>0</v>
          </cell>
          <cell r="BZ60">
            <v>0</v>
          </cell>
          <cell r="CB60">
            <v>0</v>
          </cell>
          <cell r="CE60">
            <v>0</v>
          </cell>
          <cell r="CF60">
            <v>0</v>
          </cell>
          <cell r="CH60">
            <v>0</v>
          </cell>
          <cell r="CI60">
            <v>0</v>
          </cell>
          <cell r="CK60">
            <v>0</v>
          </cell>
        </row>
        <row r="61">
          <cell r="K61">
            <v>0</v>
          </cell>
          <cell r="M61">
            <v>0</v>
          </cell>
          <cell r="N61">
            <v>0</v>
          </cell>
          <cell r="P61">
            <v>0</v>
          </cell>
          <cell r="Q61">
            <v>0</v>
          </cell>
          <cell r="T61">
            <v>0</v>
          </cell>
          <cell r="V61">
            <v>0</v>
          </cell>
          <cell r="W61">
            <v>0</v>
          </cell>
          <cell r="Y61">
            <v>0</v>
          </cell>
          <cell r="Z61">
            <v>0</v>
          </cell>
          <cell r="AC61">
            <v>0</v>
          </cell>
          <cell r="AE61">
            <v>0</v>
          </cell>
          <cell r="AF61">
            <v>0</v>
          </cell>
          <cell r="AH61">
            <v>0</v>
          </cell>
          <cell r="AI61">
            <v>0</v>
          </cell>
          <cell r="AL61">
            <v>0</v>
          </cell>
          <cell r="AN61">
            <v>0</v>
          </cell>
          <cell r="AO61">
            <v>0</v>
          </cell>
          <cell r="AQ61">
            <v>0</v>
          </cell>
          <cell r="AR61">
            <v>0</v>
          </cell>
          <cell r="AU61">
            <v>0</v>
          </cell>
          <cell r="AW61">
            <v>0</v>
          </cell>
          <cell r="AX61">
            <v>0</v>
          </cell>
          <cell r="AZ61">
            <v>0</v>
          </cell>
          <cell r="BA61">
            <v>0</v>
          </cell>
          <cell r="BD61">
            <v>0</v>
          </cell>
          <cell r="BF61">
            <v>0</v>
          </cell>
          <cell r="BG61">
            <v>0</v>
          </cell>
          <cell r="BI61">
            <v>0</v>
          </cell>
          <cell r="BJ61">
            <v>0</v>
          </cell>
          <cell r="BM61">
            <v>0</v>
          </cell>
          <cell r="BO61">
            <v>0</v>
          </cell>
          <cell r="BP61">
            <v>0</v>
          </cell>
          <cell r="BR61">
            <v>0</v>
          </cell>
          <cell r="BS61">
            <v>0</v>
          </cell>
          <cell r="BV61">
            <v>0</v>
          </cell>
          <cell r="BX61">
            <v>0</v>
          </cell>
          <cell r="BY61">
            <v>0</v>
          </cell>
          <cell r="CA61">
            <v>0</v>
          </cell>
          <cell r="CB61">
            <v>0</v>
          </cell>
          <cell r="CE61">
            <v>0</v>
          </cell>
          <cell r="CG61">
            <v>0</v>
          </cell>
          <cell r="CH61">
            <v>0</v>
          </cell>
          <cell r="CJ61">
            <v>0</v>
          </cell>
          <cell r="CK61">
            <v>0</v>
          </cell>
        </row>
        <row r="62">
          <cell r="K62">
            <v>0</v>
          </cell>
          <cell r="N62">
            <v>0</v>
          </cell>
          <cell r="Q62">
            <v>0</v>
          </cell>
          <cell r="T62">
            <v>0</v>
          </cell>
          <cell r="W62">
            <v>0</v>
          </cell>
          <cell r="Z62">
            <v>0</v>
          </cell>
          <cell r="AC62">
            <v>0</v>
          </cell>
          <cell r="AF62">
            <v>0</v>
          </cell>
          <cell r="AI62">
            <v>0</v>
          </cell>
          <cell r="AL62">
            <v>0</v>
          </cell>
          <cell r="AO62">
            <v>0</v>
          </cell>
          <cell r="AR62">
            <v>0</v>
          </cell>
          <cell r="AU62">
            <v>0</v>
          </cell>
          <cell r="AX62">
            <v>0</v>
          </cell>
          <cell r="BA62">
            <v>0</v>
          </cell>
          <cell r="BD62">
            <v>0</v>
          </cell>
          <cell r="BG62">
            <v>0</v>
          </cell>
          <cell r="BJ62">
            <v>0</v>
          </cell>
          <cell r="BM62">
            <v>0</v>
          </cell>
          <cell r="BP62">
            <v>0</v>
          </cell>
          <cell r="BS62">
            <v>0</v>
          </cell>
          <cell r="BV62">
            <v>0</v>
          </cell>
          <cell r="BY62">
            <v>0</v>
          </cell>
          <cell r="CB62">
            <v>0</v>
          </cell>
          <cell r="CE62">
            <v>0</v>
          </cell>
          <cell r="CH62">
            <v>0</v>
          </cell>
          <cell r="CK62">
            <v>0</v>
          </cell>
        </row>
        <row r="63"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U63">
            <v>0</v>
          </cell>
          <cell r="AV63">
            <v>0</v>
          </cell>
          <cell r="AW63">
            <v>0</v>
          </cell>
          <cell r="AX63">
            <v>0</v>
          </cell>
          <cell r="AY63">
            <v>0</v>
          </cell>
          <cell r="AZ63">
            <v>0</v>
          </cell>
          <cell r="BA63">
            <v>0</v>
          </cell>
          <cell r="BD63">
            <v>0</v>
          </cell>
          <cell r="BE63">
            <v>0</v>
          </cell>
          <cell r="BF63">
            <v>0</v>
          </cell>
          <cell r="BG63">
            <v>0</v>
          </cell>
          <cell r="BH63">
            <v>0</v>
          </cell>
          <cell r="BI63">
            <v>0</v>
          </cell>
          <cell r="BJ63">
            <v>0</v>
          </cell>
          <cell r="BM63">
            <v>0</v>
          </cell>
          <cell r="BN63">
            <v>0</v>
          </cell>
          <cell r="BO63">
            <v>0</v>
          </cell>
          <cell r="BP63">
            <v>0</v>
          </cell>
          <cell r="BQ63">
            <v>0</v>
          </cell>
          <cell r="BR63">
            <v>0</v>
          </cell>
          <cell r="BS63">
            <v>0</v>
          </cell>
          <cell r="BV63">
            <v>0</v>
          </cell>
          <cell r="BW63">
            <v>0</v>
          </cell>
          <cell r="BX63">
            <v>0</v>
          </cell>
          <cell r="BY63">
            <v>0</v>
          </cell>
          <cell r="BZ63">
            <v>0</v>
          </cell>
          <cell r="CA63">
            <v>0</v>
          </cell>
          <cell r="CB63">
            <v>0</v>
          </cell>
          <cell r="CE63">
            <v>0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</row>
        <row r="64"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0</v>
          </cell>
          <cell r="AU64">
            <v>0</v>
          </cell>
          <cell r="AV64">
            <v>0</v>
          </cell>
          <cell r="AW64">
            <v>0</v>
          </cell>
          <cell r="AX64">
            <v>0</v>
          </cell>
          <cell r="AY64">
            <v>0</v>
          </cell>
          <cell r="AZ64">
            <v>0</v>
          </cell>
          <cell r="BA64">
            <v>0</v>
          </cell>
          <cell r="BD64">
            <v>0</v>
          </cell>
          <cell r="BE64">
            <v>0</v>
          </cell>
          <cell r="BF64">
            <v>0</v>
          </cell>
          <cell r="BG64">
            <v>0</v>
          </cell>
          <cell r="BH64">
            <v>0</v>
          </cell>
          <cell r="BI64">
            <v>0</v>
          </cell>
          <cell r="BJ64">
            <v>0</v>
          </cell>
          <cell r="BM64">
            <v>0</v>
          </cell>
          <cell r="BN64">
            <v>0</v>
          </cell>
          <cell r="BO64">
            <v>0</v>
          </cell>
          <cell r="BP64">
            <v>0</v>
          </cell>
          <cell r="BQ64">
            <v>0</v>
          </cell>
          <cell r="BR64">
            <v>0</v>
          </cell>
          <cell r="BS64">
            <v>0</v>
          </cell>
          <cell r="BV64">
            <v>0</v>
          </cell>
          <cell r="BW64">
            <v>0</v>
          </cell>
          <cell r="BX64">
            <v>0</v>
          </cell>
          <cell r="BY64">
            <v>0</v>
          </cell>
          <cell r="BZ64">
            <v>0</v>
          </cell>
          <cell r="CA64">
            <v>0</v>
          </cell>
          <cell r="CB64">
            <v>0</v>
          </cell>
          <cell r="CE64">
            <v>0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</row>
        <row r="65"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  <cell r="BD65">
            <v>0</v>
          </cell>
          <cell r="BE65">
            <v>0</v>
          </cell>
          <cell r="BF65">
            <v>0</v>
          </cell>
          <cell r="BG65">
            <v>0</v>
          </cell>
          <cell r="BH65">
            <v>0</v>
          </cell>
          <cell r="BI65">
            <v>0</v>
          </cell>
          <cell r="BJ65">
            <v>0</v>
          </cell>
          <cell r="BM65">
            <v>0</v>
          </cell>
          <cell r="BN65">
            <v>0</v>
          </cell>
          <cell r="BO65">
            <v>0</v>
          </cell>
          <cell r="BP65">
            <v>0</v>
          </cell>
          <cell r="BQ65">
            <v>0</v>
          </cell>
          <cell r="BR65">
            <v>0</v>
          </cell>
          <cell r="BS65">
            <v>0</v>
          </cell>
          <cell r="BV65">
            <v>0</v>
          </cell>
          <cell r="BW65">
            <v>0</v>
          </cell>
          <cell r="BX65">
            <v>0</v>
          </cell>
          <cell r="BY65">
            <v>0</v>
          </cell>
          <cell r="BZ65">
            <v>0</v>
          </cell>
          <cell r="CA65">
            <v>0</v>
          </cell>
          <cell r="CB65">
            <v>0</v>
          </cell>
          <cell r="CE65">
            <v>0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</row>
        <row r="66"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  <cell r="AY66">
            <v>0</v>
          </cell>
          <cell r="AZ66">
            <v>0</v>
          </cell>
          <cell r="BA66">
            <v>0</v>
          </cell>
          <cell r="BD66">
            <v>0</v>
          </cell>
          <cell r="BE66">
            <v>0</v>
          </cell>
          <cell r="BF66">
            <v>0</v>
          </cell>
          <cell r="BG66">
            <v>0</v>
          </cell>
          <cell r="BH66">
            <v>0</v>
          </cell>
          <cell r="BI66">
            <v>0</v>
          </cell>
          <cell r="BJ66">
            <v>0</v>
          </cell>
          <cell r="BM66">
            <v>0</v>
          </cell>
          <cell r="BN66">
            <v>0</v>
          </cell>
          <cell r="BO66">
            <v>0</v>
          </cell>
          <cell r="BP66">
            <v>0</v>
          </cell>
          <cell r="BQ66">
            <v>0</v>
          </cell>
          <cell r="BR66">
            <v>0</v>
          </cell>
          <cell r="BS66">
            <v>0</v>
          </cell>
          <cell r="BV66">
            <v>0</v>
          </cell>
          <cell r="BW66">
            <v>0</v>
          </cell>
          <cell r="BX66">
            <v>0</v>
          </cell>
          <cell r="BY66">
            <v>0</v>
          </cell>
          <cell r="BZ66">
            <v>0</v>
          </cell>
          <cell r="CA66">
            <v>0</v>
          </cell>
          <cell r="CB66">
            <v>0</v>
          </cell>
          <cell r="CE66">
            <v>0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</row>
        <row r="67"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U67">
            <v>0</v>
          </cell>
          <cell r="AV67">
            <v>0</v>
          </cell>
          <cell r="AW67">
            <v>0</v>
          </cell>
          <cell r="AX67">
            <v>0</v>
          </cell>
          <cell r="AY67">
            <v>0</v>
          </cell>
          <cell r="AZ67">
            <v>0</v>
          </cell>
          <cell r="BA67">
            <v>0</v>
          </cell>
          <cell r="BD67">
            <v>0</v>
          </cell>
          <cell r="BE67">
            <v>0</v>
          </cell>
          <cell r="BF67">
            <v>0</v>
          </cell>
          <cell r="BG67">
            <v>0</v>
          </cell>
          <cell r="BH67">
            <v>0</v>
          </cell>
          <cell r="BI67">
            <v>0</v>
          </cell>
          <cell r="BJ67">
            <v>0</v>
          </cell>
          <cell r="BM67">
            <v>0</v>
          </cell>
          <cell r="BN67">
            <v>0</v>
          </cell>
          <cell r="BO67">
            <v>0</v>
          </cell>
          <cell r="BP67">
            <v>0</v>
          </cell>
          <cell r="BQ67">
            <v>0</v>
          </cell>
          <cell r="BR67">
            <v>0</v>
          </cell>
          <cell r="BS67">
            <v>0</v>
          </cell>
          <cell r="BV67">
            <v>0</v>
          </cell>
          <cell r="BW67">
            <v>0</v>
          </cell>
          <cell r="BX67">
            <v>0</v>
          </cell>
          <cell r="BY67">
            <v>0</v>
          </cell>
          <cell r="BZ67">
            <v>0</v>
          </cell>
          <cell r="CA67">
            <v>0</v>
          </cell>
          <cell r="CB67">
            <v>0</v>
          </cell>
          <cell r="CE67">
            <v>0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</row>
        <row r="68"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0</v>
          </cell>
          <cell r="BD68">
            <v>0</v>
          </cell>
          <cell r="BE68">
            <v>0</v>
          </cell>
          <cell r="BF68">
            <v>0</v>
          </cell>
          <cell r="BG68">
            <v>0</v>
          </cell>
          <cell r="BH68">
            <v>0</v>
          </cell>
          <cell r="BI68">
            <v>0</v>
          </cell>
          <cell r="BJ68">
            <v>0</v>
          </cell>
          <cell r="BM68">
            <v>0</v>
          </cell>
          <cell r="BN68">
            <v>0</v>
          </cell>
          <cell r="BO68">
            <v>0</v>
          </cell>
          <cell r="BP68">
            <v>0</v>
          </cell>
          <cell r="BQ68">
            <v>0</v>
          </cell>
          <cell r="BR68">
            <v>0</v>
          </cell>
          <cell r="BS68">
            <v>0</v>
          </cell>
          <cell r="BV68">
            <v>0</v>
          </cell>
          <cell r="BW68">
            <v>0</v>
          </cell>
          <cell r="BX68">
            <v>0</v>
          </cell>
          <cell r="BY68">
            <v>0</v>
          </cell>
          <cell r="BZ68">
            <v>0</v>
          </cell>
          <cell r="CA68">
            <v>0</v>
          </cell>
          <cell r="CB68">
            <v>0</v>
          </cell>
          <cell r="CE68">
            <v>0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</row>
        <row r="69"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D69">
            <v>0</v>
          </cell>
          <cell r="BE69">
            <v>0</v>
          </cell>
          <cell r="BF69">
            <v>0</v>
          </cell>
          <cell r="BG69">
            <v>0</v>
          </cell>
          <cell r="BH69">
            <v>0</v>
          </cell>
          <cell r="BI69">
            <v>0</v>
          </cell>
          <cell r="BJ69">
            <v>0</v>
          </cell>
          <cell r="BM69">
            <v>0</v>
          </cell>
          <cell r="BN69">
            <v>0</v>
          </cell>
          <cell r="BO69">
            <v>0</v>
          </cell>
          <cell r="BP69">
            <v>0</v>
          </cell>
          <cell r="BQ69">
            <v>0</v>
          </cell>
          <cell r="BR69">
            <v>0</v>
          </cell>
          <cell r="BS69">
            <v>0</v>
          </cell>
          <cell r="BV69">
            <v>0</v>
          </cell>
          <cell r="BW69">
            <v>0</v>
          </cell>
          <cell r="BX69">
            <v>0</v>
          </cell>
          <cell r="BY69">
            <v>0</v>
          </cell>
          <cell r="BZ69">
            <v>0</v>
          </cell>
          <cell r="CA69">
            <v>0</v>
          </cell>
          <cell r="CB69">
            <v>0</v>
          </cell>
          <cell r="CE69">
            <v>0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</row>
        <row r="70"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U70">
            <v>0</v>
          </cell>
          <cell r="AV70">
            <v>0</v>
          </cell>
          <cell r="AW70">
            <v>0</v>
          </cell>
          <cell r="AX70">
            <v>0</v>
          </cell>
          <cell r="AY70">
            <v>0</v>
          </cell>
          <cell r="AZ70">
            <v>0</v>
          </cell>
          <cell r="BA70">
            <v>0</v>
          </cell>
          <cell r="BD70">
            <v>0</v>
          </cell>
          <cell r="BE70">
            <v>0</v>
          </cell>
          <cell r="BF70">
            <v>0</v>
          </cell>
          <cell r="BG70">
            <v>0</v>
          </cell>
          <cell r="BH70">
            <v>0</v>
          </cell>
          <cell r="BI70">
            <v>0</v>
          </cell>
          <cell r="BJ70">
            <v>0</v>
          </cell>
          <cell r="BM70">
            <v>0</v>
          </cell>
          <cell r="BN70">
            <v>0</v>
          </cell>
          <cell r="BO70">
            <v>0</v>
          </cell>
          <cell r="BP70">
            <v>0</v>
          </cell>
          <cell r="BQ70">
            <v>0</v>
          </cell>
          <cell r="BR70">
            <v>0</v>
          </cell>
          <cell r="BS70">
            <v>0</v>
          </cell>
          <cell r="BV70">
            <v>0</v>
          </cell>
          <cell r="BW70">
            <v>0</v>
          </cell>
          <cell r="BX70">
            <v>0</v>
          </cell>
          <cell r="BY70">
            <v>0</v>
          </cell>
          <cell r="BZ70">
            <v>0</v>
          </cell>
          <cell r="CA70">
            <v>0</v>
          </cell>
          <cell r="CB70">
            <v>0</v>
          </cell>
          <cell r="CE70">
            <v>0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</row>
        <row r="71"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U71">
            <v>0</v>
          </cell>
          <cell r="AV71">
            <v>0</v>
          </cell>
          <cell r="AW71">
            <v>0</v>
          </cell>
          <cell r="AX71">
            <v>0</v>
          </cell>
          <cell r="AY71">
            <v>0</v>
          </cell>
          <cell r="AZ71">
            <v>0</v>
          </cell>
          <cell r="BA71">
            <v>0</v>
          </cell>
          <cell r="BD71">
            <v>0</v>
          </cell>
          <cell r="BE71">
            <v>0</v>
          </cell>
          <cell r="BF71">
            <v>0</v>
          </cell>
          <cell r="BG71">
            <v>0</v>
          </cell>
          <cell r="BH71">
            <v>0</v>
          </cell>
          <cell r="BI71">
            <v>0</v>
          </cell>
          <cell r="BJ71">
            <v>0</v>
          </cell>
          <cell r="BM71">
            <v>0</v>
          </cell>
          <cell r="BN71">
            <v>0</v>
          </cell>
          <cell r="BO71">
            <v>0</v>
          </cell>
          <cell r="BP71">
            <v>0</v>
          </cell>
          <cell r="BQ71">
            <v>0</v>
          </cell>
          <cell r="BR71">
            <v>0</v>
          </cell>
          <cell r="BS71">
            <v>0</v>
          </cell>
          <cell r="BV71">
            <v>0</v>
          </cell>
          <cell r="BW71">
            <v>0</v>
          </cell>
          <cell r="BX71">
            <v>0</v>
          </cell>
          <cell r="BY71">
            <v>0</v>
          </cell>
          <cell r="BZ71">
            <v>0</v>
          </cell>
          <cell r="CA71">
            <v>0</v>
          </cell>
          <cell r="CB71">
            <v>0</v>
          </cell>
          <cell r="CE71">
            <v>0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</row>
        <row r="72">
          <cell r="BW72">
            <v>0</v>
          </cell>
          <cell r="BX72">
            <v>0</v>
          </cell>
        </row>
        <row r="74">
          <cell r="K74">
            <v>0</v>
          </cell>
          <cell r="N74">
            <v>0</v>
          </cell>
          <cell r="Q74">
            <v>0</v>
          </cell>
          <cell r="T74">
            <v>0</v>
          </cell>
          <cell r="W74">
            <v>0</v>
          </cell>
          <cell r="Z74">
            <v>0</v>
          </cell>
          <cell r="AC74">
            <v>0</v>
          </cell>
          <cell r="AF74">
            <v>0</v>
          </cell>
          <cell r="AI74">
            <v>0</v>
          </cell>
          <cell r="AL74">
            <v>0</v>
          </cell>
          <cell r="AO74">
            <v>0</v>
          </cell>
          <cell r="AR74">
            <v>0</v>
          </cell>
          <cell r="AU74">
            <v>0</v>
          </cell>
          <cell r="AX74">
            <v>0</v>
          </cell>
          <cell r="BA74">
            <v>0</v>
          </cell>
          <cell r="BD74">
            <v>0</v>
          </cell>
          <cell r="BG74">
            <v>0</v>
          </cell>
          <cell r="BJ74">
            <v>0</v>
          </cell>
          <cell r="BM74">
            <v>0</v>
          </cell>
          <cell r="BP74">
            <v>0</v>
          </cell>
          <cell r="BS74">
            <v>0</v>
          </cell>
          <cell r="BV74">
            <v>0</v>
          </cell>
          <cell r="BY74">
            <v>0</v>
          </cell>
          <cell r="CB74">
            <v>0</v>
          </cell>
          <cell r="CE74">
            <v>0</v>
          </cell>
          <cell r="CH74">
            <v>0</v>
          </cell>
          <cell r="CK74">
            <v>0</v>
          </cell>
        </row>
        <row r="75">
          <cell r="K75">
            <v>0</v>
          </cell>
          <cell r="N75">
            <v>0</v>
          </cell>
          <cell r="Q75">
            <v>0</v>
          </cell>
          <cell r="T75">
            <v>0</v>
          </cell>
          <cell r="W75">
            <v>0</v>
          </cell>
          <cell r="Z75">
            <v>0</v>
          </cell>
          <cell r="AC75">
            <v>0</v>
          </cell>
          <cell r="AF75">
            <v>0</v>
          </cell>
          <cell r="AI75">
            <v>0</v>
          </cell>
          <cell r="AL75">
            <v>0</v>
          </cell>
          <cell r="AO75">
            <v>0</v>
          </cell>
          <cell r="AR75">
            <v>0</v>
          </cell>
          <cell r="AU75">
            <v>0</v>
          </cell>
          <cell r="AX75">
            <v>0</v>
          </cell>
          <cell r="BA75">
            <v>0</v>
          </cell>
          <cell r="BD75">
            <v>0</v>
          </cell>
          <cell r="BG75">
            <v>0</v>
          </cell>
          <cell r="BJ75">
            <v>0</v>
          </cell>
          <cell r="BM75">
            <v>0</v>
          </cell>
          <cell r="BP75">
            <v>0</v>
          </cell>
          <cell r="BS75">
            <v>0</v>
          </cell>
          <cell r="BV75">
            <v>0</v>
          </cell>
          <cell r="BY75">
            <v>0</v>
          </cell>
          <cell r="CB75">
            <v>0</v>
          </cell>
          <cell r="CE75">
            <v>0</v>
          </cell>
          <cell r="CH75">
            <v>0</v>
          </cell>
          <cell r="CK75">
            <v>0</v>
          </cell>
        </row>
        <row r="76">
          <cell r="K76">
            <v>0</v>
          </cell>
          <cell r="N76">
            <v>0</v>
          </cell>
          <cell r="Q76">
            <v>0</v>
          </cell>
          <cell r="T76">
            <v>0</v>
          </cell>
          <cell r="W76">
            <v>0</v>
          </cell>
          <cell r="Z76">
            <v>0</v>
          </cell>
          <cell r="AC76">
            <v>0</v>
          </cell>
          <cell r="AF76">
            <v>0</v>
          </cell>
          <cell r="AI76">
            <v>0</v>
          </cell>
          <cell r="AL76">
            <v>0</v>
          </cell>
          <cell r="AO76">
            <v>0</v>
          </cell>
          <cell r="AR76">
            <v>0</v>
          </cell>
          <cell r="AU76">
            <v>0</v>
          </cell>
          <cell r="AX76">
            <v>0</v>
          </cell>
          <cell r="BA76">
            <v>0</v>
          </cell>
          <cell r="BD76">
            <v>0</v>
          </cell>
          <cell r="BG76">
            <v>0</v>
          </cell>
          <cell r="BJ76">
            <v>0</v>
          </cell>
          <cell r="BM76">
            <v>0</v>
          </cell>
          <cell r="BP76">
            <v>0</v>
          </cell>
          <cell r="BS76">
            <v>0</v>
          </cell>
          <cell r="BV76">
            <v>0</v>
          </cell>
          <cell r="BY76">
            <v>0</v>
          </cell>
          <cell r="CB76">
            <v>0</v>
          </cell>
          <cell r="CE76">
            <v>0</v>
          </cell>
          <cell r="CH76">
            <v>0</v>
          </cell>
          <cell r="CK76">
            <v>0</v>
          </cell>
        </row>
        <row r="77">
          <cell r="K77">
            <v>0</v>
          </cell>
          <cell r="N77">
            <v>0</v>
          </cell>
          <cell r="Q77">
            <v>0</v>
          </cell>
          <cell r="T77">
            <v>0</v>
          </cell>
          <cell r="W77">
            <v>0</v>
          </cell>
          <cell r="Z77">
            <v>0</v>
          </cell>
          <cell r="AC77">
            <v>0</v>
          </cell>
          <cell r="AF77">
            <v>0</v>
          </cell>
          <cell r="AI77">
            <v>0</v>
          </cell>
          <cell r="AL77">
            <v>0</v>
          </cell>
          <cell r="AO77">
            <v>0</v>
          </cell>
          <cell r="AR77">
            <v>0</v>
          </cell>
          <cell r="AU77">
            <v>0</v>
          </cell>
          <cell r="AX77">
            <v>0</v>
          </cell>
          <cell r="BA77">
            <v>0</v>
          </cell>
          <cell r="BD77">
            <v>0</v>
          </cell>
          <cell r="BG77">
            <v>0</v>
          </cell>
          <cell r="BJ77">
            <v>0</v>
          </cell>
          <cell r="BM77">
            <v>0</v>
          </cell>
          <cell r="BP77">
            <v>0</v>
          </cell>
          <cell r="BS77">
            <v>0</v>
          </cell>
          <cell r="BV77">
            <v>0</v>
          </cell>
          <cell r="BY77">
            <v>0</v>
          </cell>
          <cell r="CB77">
            <v>0</v>
          </cell>
          <cell r="CE77">
            <v>0</v>
          </cell>
          <cell r="CH77">
            <v>0</v>
          </cell>
          <cell r="CK77">
            <v>0</v>
          </cell>
        </row>
        <row r="78">
          <cell r="BW78">
            <v>0</v>
          </cell>
          <cell r="BX78">
            <v>0</v>
          </cell>
        </row>
        <row r="80">
          <cell r="K80">
            <v>0</v>
          </cell>
          <cell r="N80">
            <v>0</v>
          </cell>
          <cell r="Q80">
            <v>0</v>
          </cell>
          <cell r="T80">
            <v>0</v>
          </cell>
          <cell r="W80">
            <v>0</v>
          </cell>
          <cell r="Z80">
            <v>0</v>
          </cell>
          <cell r="AC80">
            <v>0</v>
          </cell>
          <cell r="AF80">
            <v>0</v>
          </cell>
          <cell r="AI80">
            <v>0</v>
          </cell>
          <cell r="AL80">
            <v>0</v>
          </cell>
          <cell r="AO80">
            <v>0</v>
          </cell>
          <cell r="AR80">
            <v>0</v>
          </cell>
          <cell r="AU80">
            <v>0</v>
          </cell>
          <cell r="AX80">
            <v>0</v>
          </cell>
          <cell r="BA80">
            <v>0</v>
          </cell>
          <cell r="BD80">
            <v>0</v>
          </cell>
          <cell r="BG80">
            <v>0</v>
          </cell>
          <cell r="BJ80">
            <v>0</v>
          </cell>
          <cell r="BM80">
            <v>0</v>
          </cell>
          <cell r="BP80">
            <v>0</v>
          </cell>
          <cell r="BS80">
            <v>0</v>
          </cell>
          <cell r="BV80">
            <v>0</v>
          </cell>
          <cell r="BY80">
            <v>0</v>
          </cell>
          <cell r="CB80">
            <v>0</v>
          </cell>
          <cell r="CE80">
            <v>0</v>
          </cell>
          <cell r="CH80">
            <v>0</v>
          </cell>
          <cell r="CK80">
            <v>0</v>
          </cell>
        </row>
        <row r="81">
          <cell r="K81">
            <v>0</v>
          </cell>
          <cell r="N81">
            <v>0</v>
          </cell>
          <cell r="Q81">
            <v>0</v>
          </cell>
          <cell r="T81">
            <v>0</v>
          </cell>
          <cell r="W81">
            <v>0</v>
          </cell>
          <cell r="Z81">
            <v>0</v>
          </cell>
          <cell r="AC81">
            <v>0</v>
          </cell>
          <cell r="AF81">
            <v>0</v>
          </cell>
          <cell r="AI81">
            <v>0</v>
          </cell>
          <cell r="AL81">
            <v>0</v>
          </cell>
          <cell r="AO81">
            <v>0</v>
          </cell>
          <cell r="AR81">
            <v>0</v>
          </cell>
          <cell r="AU81">
            <v>0</v>
          </cell>
          <cell r="AX81">
            <v>0</v>
          </cell>
          <cell r="BA81">
            <v>0</v>
          </cell>
          <cell r="BD81">
            <v>0</v>
          </cell>
          <cell r="BG81">
            <v>0</v>
          </cell>
          <cell r="BJ81">
            <v>0</v>
          </cell>
          <cell r="BM81">
            <v>0</v>
          </cell>
          <cell r="BP81">
            <v>0</v>
          </cell>
          <cell r="BS81">
            <v>0</v>
          </cell>
          <cell r="BV81">
            <v>0</v>
          </cell>
          <cell r="BY81">
            <v>0</v>
          </cell>
          <cell r="CB81">
            <v>0</v>
          </cell>
          <cell r="CE81">
            <v>0</v>
          </cell>
          <cell r="CH81">
            <v>0</v>
          </cell>
          <cell r="CK81">
            <v>0</v>
          </cell>
        </row>
        <row r="82">
          <cell r="K82">
            <v>0</v>
          </cell>
          <cell r="N82">
            <v>0</v>
          </cell>
          <cell r="Q82">
            <v>0</v>
          </cell>
          <cell r="T82">
            <v>0</v>
          </cell>
          <cell r="W82">
            <v>0</v>
          </cell>
          <cell r="Z82">
            <v>0</v>
          </cell>
          <cell r="AC82">
            <v>0</v>
          </cell>
          <cell r="AF82">
            <v>0</v>
          </cell>
          <cell r="AI82">
            <v>0</v>
          </cell>
          <cell r="AL82">
            <v>0</v>
          </cell>
          <cell r="AO82">
            <v>0</v>
          </cell>
          <cell r="AR82">
            <v>0</v>
          </cell>
          <cell r="AU82">
            <v>0</v>
          </cell>
          <cell r="AX82">
            <v>0</v>
          </cell>
          <cell r="BA82">
            <v>0</v>
          </cell>
          <cell r="BD82">
            <v>0</v>
          </cell>
          <cell r="BG82">
            <v>0</v>
          </cell>
          <cell r="BJ82">
            <v>0</v>
          </cell>
          <cell r="BM82">
            <v>0</v>
          </cell>
          <cell r="BP82">
            <v>0</v>
          </cell>
          <cell r="BS82">
            <v>0</v>
          </cell>
          <cell r="BV82">
            <v>0</v>
          </cell>
          <cell r="BY82">
            <v>0</v>
          </cell>
          <cell r="CB82">
            <v>0</v>
          </cell>
          <cell r="CE82">
            <v>0</v>
          </cell>
          <cell r="CH82">
            <v>0</v>
          </cell>
          <cell r="CK82">
            <v>0</v>
          </cell>
        </row>
        <row r="83">
          <cell r="K83">
            <v>0</v>
          </cell>
          <cell r="N83">
            <v>0</v>
          </cell>
          <cell r="Q83">
            <v>0</v>
          </cell>
          <cell r="T83">
            <v>0</v>
          </cell>
          <cell r="W83">
            <v>0</v>
          </cell>
          <cell r="Z83">
            <v>0</v>
          </cell>
          <cell r="AC83">
            <v>0</v>
          </cell>
          <cell r="AF83">
            <v>0</v>
          </cell>
          <cell r="AI83">
            <v>0</v>
          </cell>
          <cell r="AL83">
            <v>0</v>
          </cell>
          <cell r="AO83">
            <v>0</v>
          </cell>
          <cell r="AR83">
            <v>0</v>
          </cell>
          <cell r="AU83">
            <v>0</v>
          </cell>
          <cell r="AX83">
            <v>0</v>
          </cell>
          <cell r="BA83">
            <v>0</v>
          </cell>
          <cell r="BD83">
            <v>0</v>
          </cell>
          <cell r="BG83">
            <v>0</v>
          </cell>
          <cell r="BJ83">
            <v>0</v>
          </cell>
          <cell r="BM83">
            <v>0</v>
          </cell>
          <cell r="BP83">
            <v>0</v>
          </cell>
          <cell r="BS83">
            <v>0</v>
          </cell>
          <cell r="BV83">
            <v>0</v>
          </cell>
          <cell r="BY83">
            <v>0</v>
          </cell>
          <cell r="CB83">
            <v>0</v>
          </cell>
          <cell r="CE83">
            <v>0</v>
          </cell>
          <cell r="CH83">
            <v>0</v>
          </cell>
          <cell r="CK83">
            <v>0</v>
          </cell>
        </row>
        <row r="86">
          <cell r="K86">
            <v>0</v>
          </cell>
          <cell r="N86">
            <v>0</v>
          </cell>
          <cell r="Q86">
            <v>0</v>
          </cell>
          <cell r="T86">
            <v>0</v>
          </cell>
          <cell r="W86">
            <v>0</v>
          </cell>
          <cell r="Z86">
            <v>0</v>
          </cell>
          <cell r="AC86">
            <v>0</v>
          </cell>
          <cell r="AF86">
            <v>0</v>
          </cell>
          <cell r="AI86">
            <v>0</v>
          </cell>
          <cell r="AL86">
            <v>0</v>
          </cell>
          <cell r="AO86">
            <v>0</v>
          </cell>
          <cell r="AR86">
            <v>0</v>
          </cell>
          <cell r="AU86">
            <v>0</v>
          </cell>
          <cell r="AX86">
            <v>0</v>
          </cell>
          <cell r="BA86">
            <v>0</v>
          </cell>
          <cell r="BD86">
            <v>0</v>
          </cell>
          <cell r="BG86">
            <v>0</v>
          </cell>
          <cell r="BJ86">
            <v>0</v>
          </cell>
          <cell r="BM86">
            <v>0</v>
          </cell>
          <cell r="BP86">
            <v>0</v>
          </cell>
          <cell r="BS86">
            <v>0</v>
          </cell>
          <cell r="BV86">
            <v>0</v>
          </cell>
          <cell r="BY86">
            <v>0</v>
          </cell>
          <cell r="CB86">
            <v>0</v>
          </cell>
          <cell r="CE86">
            <v>0</v>
          </cell>
          <cell r="CH86">
            <v>0</v>
          </cell>
          <cell r="CK86">
            <v>0</v>
          </cell>
        </row>
        <row r="87">
          <cell r="K87">
            <v>0</v>
          </cell>
          <cell r="N87">
            <v>0</v>
          </cell>
          <cell r="Q87">
            <v>0</v>
          </cell>
          <cell r="T87">
            <v>0</v>
          </cell>
          <cell r="W87">
            <v>0</v>
          </cell>
          <cell r="Z87">
            <v>0</v>
          </cell>
          <cell r="AC87">
            <v>0</v>
          </cell>
          <cell r="AF87">
            <v>0</v>
          </cell>
          <cell r="AI87">
            <v>0</v>
          </cell>
          <cell r="AL87">
            <v>0</v>
          </cell>
          <cell r="AO87">
            <v>0</v>
          </cell>
          <cell r="AR87">
            <v>0</v>
          </cell>
          <cell r="AU87">
            <v>0</v>
          </cell>
          <cell r="AX87">
            <v>0</v>
          </cell>
          <cell r="BA87">
            <v>0</v>
          </cell>
          <cell r="BD87">
            <v>0</v>
          </cell>
          <cell r="BG87">
            <v>0</v>
          </cell>
          <cell r="BJ87">
            <v>0</v>
          </cell>
          <cell r="BM87">
            <v>0</v>
          </cell>
          <cell r="BP87">
            <v>0</v>
          </cell>
          <cell r="BS87">
            <v>0</v>
          </cell>
          <cell r="BV87">
            <v>0</v>
          </cell>
          <cell r="BY87">
            <v>0</v>
          </cell>
          <cell r="CB87">
            <v>0</v>
          </cell>
          <cell r="CE87">
            <v>0</v>
          </cell>
          <cell r="CH87">
            <v>0</v>
          </cell>
          <cell r="CK87">
            <v>0</v>
          </cell>
        </row>
        <row r="88">
          <cell r="K88">
            <v>0</v>
          </cell>
          <cell r="N88">
            <v>0</v>
          </cell>
          <cell r="Q88">
            <v>0</v>
          </cell>
          <cell r="T88">
            <v>0</v>
          </cell>
          <cell r="W88">
            <v>0</v>
          </cell>
          <cell r="Z88">
            <v>0</v>
          </cell>
          <cell r="AC88">
            <v>0</v>
          </cell>
          <cell r="AF88">
            <v>0</v>
          </cell>
          <cell r="AI88">
            <v>0</v>
          </cell>
          <cell r="AL88">
            <v>0</v>
          </cell>
          <cell r="AO88">
            <v>0</v>
          </cell>
          <cell r="AR88">
            <v>0</v>
          </cell>
          <cell r="AU88">
            <v>0</v>
          </cell>
          <cell r="AX88">
            <v>0</v>
          </cell>
          <cell r="BA88">
            <v>0</v>
          </cell>
          <cell r="BD88">
            <v>0</v>
          </cell>
          <cell r="BG88">
            <v>0</v>
          </cell>
          <cell r="BJ88">
            <v>0</v>
          </cell>
          <cell r="BM88">
            <v>0</v>
          </cell>
          <cell r="BP88">
            <v>0</v>
          </cell>
          <cell r="BS88">
            <v>0</v>
          </cell>
          <cell r="BV88">
            <v>0</v>
          </cell>
          <cell r="BY88">
            <v>0</v>
          </cell>
          <cell r="CB88">
            <v>0</v>
          </cell>
          <cell r="CE88">
            <v>0</v>
          </cell>
          <cell r="CH88">
            <v>0</v>
          </cell>
          <cell r="CK88">
            <v>0</v>
          </cell>
        </row>
        <row r="89">
          <cell r="K89">
            <v>0</v>
          </cell>
          <cell r="N89">
            <v>0</v>
          </cell>
          <cell r="Q89">
            <v>0</v>
          </cell>
          <cell r="T89">
            <v>0</v>
          </cell>
          <cell r="W89">
            <v>0</v>
          </cell>
          <cell r="Z89">
            <v>0</v>
          </cell>
          <cell r="AC89">
            <v>0</v>
          </cell>
          <cell r="AF89">
            <v>0</v>
          </cell>
          <cell r="AI89">
            <v>0</v>
          </cell>
          <cell r="AL89">
            <v>0</v>
          </cell>
          <cell r="AO89">
            <v>0</v>
          </cell>
          <cell r="AR89">
            <v>0</v>
          </cell>
          <cell r="AU89">
            <v>0</v>
          </cell>
          <cell r="AX89">
            <v>0</v>
          </cell>
          <cell r="BA89">
            <v>0</v>
          </cell>
          <cell r="BD89">
            <v>0</v>
          </cell>
          <cell r="BG89">
            <v>0</v>
          </cell>
          <cell r="BJ89">
            <v>0</v>
          </cell>
          <cell r="BM89">
            <v>0</v>
          </cell>
          <cell r="BP89">
            <v>0</v>
          </cell>
          <cell r="BS89">
            <v>0</v>
          </cell>
          <cell r="BV89">
            <v>0</v>
          </cell>
          <cell r="BY89">
            <v>0</v>
          </cell>
          <cell r="CB89">
            <v>0</v>
          </cell>
          <cell r="CE89">
            <v>0</v>
          </cell>
          <cell r="CH89">
            <v>0</v>
          </cell>
          <cell r="CK89">
            <v>0</v>
          </cell>
        </row>
        <row r="93">
          <cell r="K93">
            <v>0</v>
          </cell>
          <cell r="N93">
            <v>0</v>
          </cell>
          <cell r="Q93">
            <v>0</v>
          </cell>
          <cell r="T93">
            <v>0</v>
          </cell>
          <cell r="W93">
            <v>0</v>
          </cell>
          <cell r="Z93">
            <v>0</v>
          </cell>
          <cell r="AC93">
            <v>0</v>
          </cell>
          <cell r="AF93">
            <v>0</v>
          </cell>
          <cell r="AI93">
            <v>0</v>
          </cell>
          <cell r="AL93">
            <v>0</v>
          </cell>
          <cell r="AO93">
            <v>0</v>
          </cell>
          <cell r="AR93">
            <v>0</v>
          </cell>
          <cell r="AU93">
            <v>0</v>
          </cell>
          <cell r="AX93">
            <v>0</v>
          </cell>
          <cell r="BA93">
            <v>0</v>
          </cell>
          <cell r="BD93">
            <v>0</v>
          </cell>
          <cell r="BG93">
            <v>0</v>
          </cell>
          <cell r="BJ93">
            <v>0</v>
          </cell>
          <cell r="BM93">
            <v>0</v>
          </cell>
          <cell r="BP93">
            <v>0</v>
          </cell>
          <cell r="BS93">
            <v>0</v>
          </cell>
          <cell r="BV93">
            <v>0</v>
          </cell>
          <cell r="BY93">
            <v>0</v>
          </cell>
          <cell r="CB93">
            <v>0</v>
          </cell>
          <cell r="CE93">
            <v>0</v>
          </cell>
          <cell r="CH93">
            <v>0</v>
          </cell>
          <cell r="CK93">
            <v>0</v>
          </cell>
        </row>
        <row r="94">
          <cell r="K94">
            <v>0</v>
          </cell>
          <cell r="N94">
            <v>0</v>
          </cell>
          <cell r="Q94">
            <v>0</v>
          </cell>
          <cell r="T94">
            <v>0</v>
          </cell>
          <cell r="W94">
            <v>0</v>
          </cell>
          <cell r="Z94">
            <v>0</v>
          </cell>
          <cell r="AC94">
            <v>0</v>
          </cell>
          <cell r="AF94">
            <v>0</v>
          </cell>
          <cell r="AI94">
            <v>0</v>
          </cell>
          <cell r="AL94">
            <v>0</v>
          </cell>
          <cell r="AO94">
            <v>0</v>
          </cell>
          <cell r="AR94">
            <v>0</v>
          </cell>
          <cell r="AU94">
            <v>0</v>
          </cell>
          <cell r="AX94">
            <v>0</v>
          </cell>
          <cell r="BA94">
            <v>0</v>
          </cell>
          <cell r="BD94">
            <v>0</v>
          </cell>
          <cell r="BG94">
            <v>0</v>
          </cell>
          <cell r="BJ94">
            <v>0</v>
          </cell>
          <cell r="BM94">
            <v>0</v>
          </cell>
          <cell r="BP94">
            <v>0</v>
          </cell>
          <cell r="BS94">
            <v>0</v>
          </cell>
          <cell r="BV94">
            <v>0</v>
          </cell>
          <cell r="BY94">
            <v>0</v>
          </cell>
          <cell r="CB94">
            <v>0</v>
          </cell>
          <cell r="CE94">
            <v>0</v>
          </cell>
          <cell r="CH94">
            <v>0</v>
          </cell>
          <cell r="CK94">
            <v>0</v>
          </cell>
        </row>
        <row r="95">
          <cell r="K95">
            <v>0</v>
          </cell>
          <cell r="N95">
            <v>0</v>
          </cell>
          <cell r="Q95">
            <v>0</v>
          </cell>
          <cell r="T95">
            <v>0</v>
          </cell>
          <cell r="W95">
            <v>0</v>
          </cell>
          <cell r="Z95">
            <v>0</v>
          </cell>
          <cell r="AC95">
            <v>0</v>
          </cell>
          <cell r="AF95">
            <v>0</v>
          </cell>
          <cell r="AI95">
            <v>0</v>
          </cell>
          <cell r="AL95">
            <v>0</v>
          </cell>
          <cell r="AO95">
            <v>0</v>
          </cell>
          <cell r="AR95">
            <v>0</v>
          </cell>
          <cell r="AU95">
            <v>0</v>
          </cell>
          <cell r="AX95">
            <v>0</v>
          </cell>
          <cell r="BA95">
            <v>0</v>
          </cell>
          <cell r="BD95">
            <v>0</v>
          </cell>
          <cell r="BG95">
            <v>0</v>
          </cell>
          <cell r="BJ95">
            <v>0</v>
          </cell>
          <cell r="BM95">
            <v>0</v>
          </cell>
          <cell r="BP95">
            <v>0</v>
          </cell>
          <cell r="BS95">
            <v>0</v>
          </cell>
          <cell r="BV95">
            <v>0</v>
          </cell>
          <cell r="BY95">
            <v>0</v>
          </cell>
          <cell r="CB95">
            <v>0</v>
          </cell>
          <cell r="CE95">
            <v>0</v>
          </cell>
          <cell r="CH95">
            <v>0</v>
          </cell>
          <cell r="CK95">
            <v>0</v>
          </cell>
        </row>
        <row r="96">
          <cell r="K96">
            <v>0</v>
          </cell>
          <cell r="N96">
            <v>0</v>
          </cell>
          <cell r="Q96">
            <v>0</v>
          </cell>
          <cell r="T96">
            <v>0</v>
          </cell>
          <cell r="W96">
            <v>0</v>
          </cell>
          <cell r="Z96">
            <v>0</v>
          </cell>
          <cell r="AC96">
            <v>0</v>
          </cell>
          <cell r="AF96">
            <v>0</v>
          </cell>
          <cell r="AI96">
            <v>0</v>
          </cell>
          <cell r="AL96">
            <v>0</v>
          </cell>
          <cell r="AO96">
            <v>0</v>
          </cell>
          <cell r="AR96">
            <v>0</v>
          </cell>
          <cell r="AU96">
            <v>0</v>
          </cell>
          <cell r="AX96">
            <v>0</v>
          </cell>
          <cell r="BA96">
            <v>0</v>
          </cell>
          <cell r="BD96">
            <v>0</v>
          </cell>
          <cell r="BG96">
            <v>0</v>
          </cell>
          <cell r="BJ96">
            <v>0</v>
          </cell>
          <cell r="BM96">
            <v>0</v>
          </cell>
          <cell r="BP96">
            <v>0</v>
          </cell>
          <cell r="BS96">
            <v>0</v>
          </cell>
          <cell r="BV96">
            <v>0</v>
          </cell>
          <cell r="BY96">
            <v>0</v>
          </cell>
          <cell r="CB96">
            <v>0</v>
          </cell>
          <cell r="CE96">
            <v>0</v>
          </cell>
          <cell r="CH96">
            <v>0</v>
          </cell>
          <cell r="CK96">
            <v>0</v>
          </cell>
        </row>
        <row r="98">
          <cell r="K98">
            <v>0</v>
          </cell>
          <cell r="N98">
            <v>0</v>
          </cell>
          <cell r="Q98">
            <v>0</v>
          </cell>
          <cell r="T98">
            <v>0</v>
          </cell>
          <cell r="W98">
            <v>0</v>
          </cell>
          <cell r="Z98">
            <v>0</v>
          </cell>
          <cell r="AC98">
            <v>0</v>
          </cell>
          <cell r="AF98">
            <v>0</v>
          </cell>
          <cell r="AI98">
            <v>0</v>
          </cell>
          <cell r="AL98">
            <v>0</v>
          </cell>
          <cell r="AO98">
            <v>0</v>
          </cell>
          <cell r="AR98">
            <v>0</v>
          </cell>
          <cell r="AU98">
            <v>0</v>
          </cell>
          <cell r="AX98">
            <v>0</v>
          </cell>
          <cell r="BA98">
            <v>0</v>
          </cell>
          <cell r="BD98">
            <v>0</v>
          </cell>
          <cell r="BG98">
            <v>0</v>
          </cell>
          <cell r="BJ98">
            <v>0</v>
          </cell>
          <cell r="BM98">
            <v>0</v>
          </cell>
          <cell r="BP98">
            <v>0</v>
          </cell>
          <cell r="BS98">
            <v>0</v>
          </cell>
          <cell r="BV98">
            <v>0</v>
          </cell>
          <cell r="BY98">
            <v>0</v>
          </cell>
          <cell r="CB98">
            <v>0</v>
          </cell>
          <cell r="CE98">
            <v>0</v>
          </cell>
          <cell r="CH98">
            <v>0</v>
          </cell>
          <cell r="CK98">
            <v>0</v>
          </cell>
        </row>
        <row r="99">
          <cell r="K99">
            <v>0</v>
          </cell>
          <cell r="N99">
            <v>0</v>
          </cell>
          <cell r="Q99">
            <v>0</v>
          </cell>
          <cell r="T99">
            <v>0</v>
          </cell>
          <cell r="W99">
            <v>0</v>
          </cell>
          <cell r="Z99">
            <v>0</v>
          </cell>
          <cell r="AC99">
            <v>0</v>
          </cell>
          <cell r="AF99">
            <v>0</v>
          </cell>
          <cell r="AI99">
            <v>0</v>
          </cell>
          <cell r="AL99">
            <v>0</v>
          </cell>
          <cell r="AO99">
            <v>0</v>
          </cell>
          <cell r="AR99">
            <v>0</v>
          </cell>
          <cell r="AU99">
            <v>0</v>
          </cell>
          <cell r="AX99">
            <v>0</v>
          </cell>
          <cell r="BA99">
            <v>0</v>
          </cell>
          <cell r="BD99">
            <v>0</v>
          </cell>
          <cell r="BG99">
            <v>0</v>
          </cell>
          <cell r="BJ99">
            <v>0</v>
          </cell>
          <cell r="BM99">
            <v>0</v>
          </cell>
          <cell r="BP99">
            <v>0</v>
          </cell>
          <cell r="BS99">
            <v>0</v>
          </cell>
          <cell r="BV99">
            <v>0</v>
          </cell>
          <cell r="BY99">
            <v>0</v>
          </cell>
          <cell r="CB99">
            <v>0</v>
          </cell>
          <cell r="CE99">
            <v>0</v>
          </cell>
          <cell r="CH99">
            <v>0</v>
          </cell>
          <cell r="CK99">
            <v>0</v>
          </cell>
        </row>
        <row r="100">
          <cell r="K100">
            <v>0</v>
          </cell>
          <cell r="N100">
            <v>0</v>
          </cell>
          <cell r="Q100">
            <v>0</v>
          </cell>
          <cell r="T100">
            <v>0</v>
          </cell>
          <cell r="W100">
            <v>0</v>
          </cell>
          <cell r="Z100">
            <v>0</v>
          </cell>
          <cell r="AC100">
            <v>0</v>
          </cell>
          <cell r="AF100">
            <v>0</v>
          </cell>
          <cell r="AI100">
            <v>0</v>
          </cell>
          <cell r="AL100">
            <v>0</v>
          </cell>
          <cell r="AO100">
            <v>0</v>
          </cell>
          <cell r="AR100">
            <v>0</v>
          </cell>
          <cell r="AU100">
            <v>0</v>
          </cell>
          <cell r="AX100">
            <v>0</v>
          </cell>
          <cell r="BA100">
            <v>0</v>
          </cell>
          <cell r="BD100">
            <v>0</v>
          </cell>
          <cell r="BG100">
            <v>0</v>
          </cell>
          <cell r="BJ100">
            <v>0</v>
          </cell>
          <cell r="BM100">
            <v>0</v>
          </cell>
          <cell r="BP100">
            <v>0</v>
          </cell>
          <cell r="BS100">
            <v>0</v>
          </cell>
          <cell r="BV100">
            <v>0</v>
          </cell>
          <cell r="BY100">
            <v>0</v>
          </cell>
          <cell r="CB100">
            <v>0</v>
          </cell>
          <cell r="CE100">
            <v>0</v>
          </cell>
          <cell r="CH100">
            <v>0</v>
          </cell>
          <cell r="CK100">
            <v>0</v>
          </cell>
        </row>
        <row r="101">
          <cell r="K101">
            <v>0</v>
          </cell>
          <cell r="N101">
            <v>0</v>
          </cell>
          <cell r="Q101">
            <v>0</v>
          </cell>
          <cell r="T101">
            <v>0</v>
          </cell>
          <cell r="W101">
            <v>0</v>
          </cell>
          <cell r="Z101">
            <v>0</v>
          </cell>
          <cell r="AC101">
            <v>0</v>
          </cell>
          <cell r="AF101">
            <v>0</v>
          </cell>
          <cell r="AI101">
            <v>0</v>
          </cell>
          <cell r="AL101">
            <v>0</v>
          </cell>
          <cell r="AO101">
            <v>0</v>
          </cell>
          <cell r="AR101">
            <v>0</v>
          </cell>
          <cell r="AU101">
            <v>0</v>
          </cell>
          <cell r="AX101">
            <v>0</v>
          </cell>
          <cell r="BA101">
            <v>0</v>
          </cell>
          <cell r="BD101">
            <v>0</v>
          </cell>
          <cell r="BG101">
            <v>0</v>
          </cell>
          <cell r="BJ101">
            <v>0</v>
          </cell>
          <cell r="BM101">
            <v>0</v>
          </cell>
          <cell r="BP101">
            <v>0</v>
          </cell>
          <cell r="BS101">
            <v>0</v>
          </cell>
          <cell r="BV101">
            <v>0</v>
          </cell>
          <cell r="BY101">
            <v>0</v>
          </cell>
          <cell r="CB101">
            <v>0</v>
          </cell>
          <cell r="CE101">
            <v>0</v>
          </cell>
          <cell r="CH101">
            <v>0</v>
          </cell>
          <cell r="CK101">
            <v>0</v>
          </cell>
        </row>
        <row r="103">
          <cell r="K103">
            <v>0</v>
          </cell>
          <cell r="N103">
            <v>0</v>
          </cell>
          <cell r="Q103">
            <v>0</v>
          </cell>
          <cell r="T103">
            <v>0</v>
          </cell>
          <cell r="W103">
            <v>0</v>
          </cell>
          <cell r="Z103">
            <v>0</v>
          </cell>
          <cell r="AC103">
            <v>0</v>
          </cell>
          <cell r="AF103">
            <v>0</v>
          </cell>
          <cell r="AI103">
            <v>0</v>
          </cell>
          <cell r="AL103">
            <v>0</v>
          </cell>
          <cell r="AO103">
            <v>0</v>
          </cell>
          <cell r="AR103">
            <v>0</v>
          </cell>
          <cell r="AU103">
            <v>0</v>
          </cell>
          <cell r="AX103">
            <v>0</v>
          </cell>
          <cell r="BA103">
            <v>0</v>
          </cell>
          <cell r="BD103">
            <v>0</v>
          </cell>
          <cell r="BG103">
            <v>0</v>
          </cell>
          <cell r="BJ103">
            <v>0</v>
          </cell>
          <cell r="BM103">
            <v>0</v>
          </cell>
          <cell r="BP103">
            <v>0</v>
          </cell>
          <cell r="BS103">
            <v>0</v>
          </cell>
          <cell r="BV103">
            <v>0</v>
          </cell>
          <cell r="BY103">
            <v>0</v>
          </cell>
          <cell r="CB103">
            <v>0</v>
          </cell>
          <cell r="CE103">
            <v>0</v>
          </cell>
          <cell r="CH103">
            <v>0</v>
          </cell>
          <cell r="CK103">
            <v>0</v>
          </cell>
        </row>
        <row r="104">
          <cell r="K104">
            <v>0</v>
          </cell>
          <cell r="N104">
            <v>0</v>
          </cell>
          <cell r="Q104">
            <v>0</v>
          </cell>
          <cell r="T104">
            <v>0</v>
          </cell>
          <cell r="W104">
            <v>0</v>
          </cell>
          <cell r="Z104">
            <v>0</v>
          </cell>
          <cell r="AC104">
            <v>0</v>
          </cell>
          <cell r="AF104">
            <v>0</v>
          </cell>
          <cell r="AI104">
            <v>0</v>
          </cell>
          <cell r="AL104">
            <v>0</v>
          </cell>
          <cell r="AO104">
            <v>0</v>
          </cell>
          <cell r="AR104">
            <v>0</v>
          </cell>
          <cell r="AU104">
            <v>0</v>
          </cell>
          <cell r="AX104">
            <v>0</v>
          </cell>
          <cell r="BA104">
            <v>0</v>
          </cell>
          <cell r="BD104">
            <v>0</v>
          </cell>
          <cell r="BG104">
            <v>0</v>
          </cell>
          <cell r="BJ104">
            <v>0</v>
          </cell>
          <cell r="BM104">
            <v>0</v>
          </cell>
          <cell r="BP104">
            <v>0</v>
          </cell>
          <cell r="BS104">
            <v>0</v>
          </cell>
          <cell r="BV104">
            <v>0</v>
          </cell>
          <cell r="BY104">
            <v>0</v>
          </cell>
          <cell r="CB104">
            <v>0</v>
          </cell>
          <cell r="CE104">
            <v>0</v>
          </cell>
          <cell r="CH104">
            <v>0</v>
          </cell>
          <cell r="CK104">
            <v>0</v>
          </cell>
        </row>
        <row r="105">
          <cell r="K105">
            <v>0</v>
          </cell>
          <cell r="N105">
            <v>0</v>
          </cell>
          <cell r="Q105">
            <v>0</v>
          </cell>
          <cell r="T105">
            <v>0</v>
          </cell>
          <cell r="W105">
            <v>0</v>
          </cell>
          <cell r="Z105">
            <v>0</v>
          </cell>
          <cell r="AC105">
            <v>0</v>
          </cell>
          <cell r="AF105">
            <v>0</v>
          </cell>
          <cell r="AI105">
            <v>0</v>
          </cell>
          <cell r="AL105">
            <v>0</v>
          </cell>
          <cell r="AO105">
            <v>0</v>
          </cell>
          <cell r="AR105">
            <v>0</v>
          </cell>
          <cell r="AU105">
            <v>0</v>
          </cell>
          <cell r="AX105">
            <v>0</v>
          </cell>
          <cell r="BA105">
            <v>0</v>
          </cell>
          <cell r="BD105">
            <v>0</v>
          </cell>
          <cell r="BG105">
            <v>0</v>
          </cell>
          <cell r="BJ105">
            <v>0</v>
          </cell>
          <cell r="BM105">
            <v>0</v>
          </cell>
          <cell r="BP105">
            <v>0</v>
          </cell>
          <cell r="BS105">
            <v>0</v>
          </cell>
          <cell r="BV105">
            <v>0</v>
          </cell>
          <cell r="BY105">
            <v>0</v>
          </cell>
          <cell r="CB105">
            <v>0</v>
          </cell>
          <cell r="CE105">
            <v>0</v>
          </cell>
          <cell r="CH105">
            <v>0</v>
          </cell>
          <cell r="CK105">
            <v>0</v>
          </cell>
        </row>
        <row r="106">
          <cell r="K106">
            <v>0</v>
          </cell>
          <cell r="N106">
            <v>0</v>
          </cell>
          <cell r="Q106">
            <v>0</v>
          </cell>
          <cell r="T106">
            <v>0</v>
          </cell>
          <cell r="W106">
            <v>0</v>
          </cell>
          <cell r="Z106">
            <v>0</v>
          </cell>
          <cell r="AC106">
            <v>0</v>
          </cell>
          <cell r="AF106">
            <v>0</v>
          </cell>
          <cell r="AI106">
            <v>0</v>
          </cell>
          <cell r="AL106">
            <v>0</v>
          </cell>
          <cell r="AO106">
            <v>0</v>
          </cell>
          <cell r="AR106">
            <v>0</v>
          </cell>
          <cell r="AU106">
            <v>0</v>
          </cell>
          <cell r="AX106">
            <v>0</v>
          </cell>
          <cell r="BA106">
            <v>0</v>
          </cell>
          <cell r="BD106">
            <v>0</v>
          </cell>
          <cell r="BG106">
            <v>0</v>
          </cell>
          <cell r="BJ106">
            <v>0</v>
          </cell>
          <cell r="BM106">
            <v>0</v>
          </cell>
          <cell r="BP106">
            <v>0</v>
          </cell>
          <cell r="BS106">
            <v>0</v>
          </cell>
          <cell r="BV106">
            <v>0</v>
          </cell>
          <cell r="BY106">
            <v>0</v>
          </cell>
          <cell r="CB106">
            <v>0</v>
          </cell>
          <cell r="CE106">
            <v>0</v>
          </cell>
          <cell r="CH106">
            <v>0</v>
          </cell>
          <cell r="CK106">
            <v>0</v>
          </cell>
        </row>
        <row r="108">
          <cell r="K108">
            <v>0</v>
          </cell>
          <cell r="N108">
            <v>0</v>
          </cell>
          <cell r="Q108">
            <v>0</v>
          </cell>
          <cell r="T108">
            <v>0</v>
          </cell>
          <cell r="W108">
            <v>0</v>
          </cell>
          <cell r="Z108">
            <v>0</v>
          </cell>
          <cell r="AC108">
            <v>0</v>
          </cell>
          <cell r="AF108">
            <v>0</v>
          </cell>
          <cell r="AI108">
            <v>0</v>
          </cell>
          <cell r="AL108">
            <v>0</v>
          </cell>
          <cell r="AO108">
            <v>0</v>
          </cell>
          <cell r="AR108">
            <v>0</v>
          </cell>
          <cell r="AU108">
            <v>0</v>
          </cell>
          <cell r="AX108">
            <v>0</v>
          </cell>
          <cell r="BA108">
            <v>0</v>
          </cell>
          <cell r="BD108">
            <v>0</v>
          </cell>
          <cell r="BG108">
            <v>0</v>
          </cell>
          <cell r="BJ108">
            <v>0</v>
          </cell>
          <cell r="BM108">
            <v>0</v>
          </cell>
          <cell r="BP108">
            <v>0</v>
          </cell>
          <cell r="BS108">
            <v>0</v>
          </cell>
          <cell r="BV108">
            <v>0</v>
          </cell>
          <cell r="BY108">
            <v>0</v>
          </cell>
          <cell r="CB108">
            <v>0</v>
          </cell>
          <cell r="CE108">
            <v>0</v>
          </cell>
          <cell r="CH108">
            <v>0</v>
          </cell>
          <cell r="CK108">
            <v>0</v>
          </cell>
        </row>
        <row r="109">
          <cell r="K109">
            <v>0</v>
          </cell>
          <cell r="N109">
            <v>0</v>
          </cell>
          <cell r="Q109">
            <v>0</v>
          </cell>
          <cell r="T109">
            <v>0</v>
          </cell>
          <cell r="W109">
            <v>0</v>
          </cell>
          <cell r="Z109">
            <v>0</v>
          </cell>
          <cell r="AC109">
            <v>0</v>
          </cell>
          <cell r="AF109">
            <v>0</v>
          </cell>
          <cell r="AI109">
            <v>0</v>
          </cell>
          <cell r="AL109">
            <v>0</v>
          </cell>
          <cell r="AO109">
            <v>0</v>
          </cell>
          <cell r="AR109">
            <v>0</v>
          </cell>
          <cell r="AU109">
            <v>0</v>
          </cell>
          <cell r="AX109">
            <v>0</v>
          </cell>
          <cell r="BA109">
            <v>0</v>
          </cell>
          <cell r="BD109">
            <v>0</v>
          </cell>
          <cell r="BG109">
            <v>0</v>
          </cell>
          <cell r="BJ109">
            <v>0</v>
          </cell>
          <cell r="BM109">
            <v>0</v>
          </cell>
          <cell r="BP109">
            <v>0</v>
          </cell>
          <cell r="BS109">
            <v>0</v>
          </cell>
          <cell r="BV109">
            <v>0</v>
          </cell>
          <cell r="BY109">
            <v>0</v>
          </cell>
          <cell r="CB109">
            <v>0</v>
          </cell>
          <cell r="CE109">
            <v>0</v>
          </cell>
          <cell r="CH109">
            <v>0</v>
          </cell>
          <cell r="CK109">
            <v>0</v>
          </cell>
        </row>
        <row r="110">
          <cell r="K110">
            <v>0</v>
          </cell>
          <cell r="N110">
            <v>0</v>
          </cell>
          <cell r="Q110">
            <v>0</v>
          </cell>
          <cell r="T110">
            <v>0</v>
          </cell>
          <cell r="W110">
            <v>0</v>
          </cell>
          <cell r="Z110">
            <v>0</v>
          </cell>
          <cell r="AC110">
            <v>0</v>
          </cell>
          <cell r="AF110">
            <v>0</v>
          </cell>
          <cell r="AI110">
            <v>0</v>
          </cell>
          <cell r="AL110">
            <v>0</v>
          </cell>
          <cell r="AO110">
            <v>0</v>
          </cell>
          <cell r="AR110">
            <v>0</v>
          </cell>
          <cell r="AU110">
            <v>0</v>
          </cell>
          <cell r="AX110">
            <v>0</v>
          </cell>
          <cell r="BA110">
            <v>0</v>
          </cell>
          <cell r="BD110">
            <v>0</v>
          </cell>
          <cell r="BG110">
            <v>0</v>
          </cell>
          <cell r="BJ110">
            <v>0</v>
          </cell>
          <cell r="BM110">
            <v>0</v>
          </cell>
          <cell r="BP110">
            <v>0</v>
          </cell>
          <cell r="BS110">
            <v>0</v>
          </cell>
          <cell r="BV110">
            <v>0</v>
          </cell>
          <cell r="BY110">
            <v>0</v>
          </cell>
          <cell r="CB110">
            <v>0</v>
          </cell>
          <cell r="CE110">
            <v>0</v>
          </cell>
          <cell r="CH110">
            <v>0</v>
          </cell>
          <cell r="CK110">
            <v>0</v>
          </cell>
        </row>
        <row r="111">
          <cell r="K111">
            <v>0</v>
          </cell>
          <cell r="N111">
            <v>0</v>
          </cell>
          <cell r="Q111">
            <v>0</v>
          </cell>
          <cell r="T111">
            <v>0</v>
          </cell>
          <cell r="W111">
            <v>0</v>
          </cell>
          <cell r="Z111">
            <v>0</v>
          </cell>
          <cell r="AC111">
            <v>0</v>
          </cell>
          <cell r="AF111">
            <v>0</v>
          </cell>
          <cell r="AI111">
            <v>0</v>
          </cell>
          <cell r="AL111">
            <v>0</v>
          </cell>
          <cell r="AO111">
            <v>0</v>
          </cell>
          <cell r="AR111">
            <v>0</v>
          </cell>
          <cell r="AU111">
            <v>0</v>
          </cell>
          <cell r="AX111">
            <v>0</v>
          </cell>
          <cell r="BA111">
            <v>0</v>
          </cell>
          <cell r="BD111">
            <v>0</v>
          </cell>
          <cell r="BG111">
            <v>0</v>
          </cell>
          <cell r="BJ111">
            <v>0</v>
          </cell>
          <cell r="BM111">
            <v>0</v>
          </cell>
          <cell r="BP111">
            <v>0</v>
          </cell>
          <cell r="BS111">
            <v>0</v>
          </cell>
          <cell r="BV111">
            <v>0</v>
          </cell>
          <cell r="BY111">
            <v>0</v>
          </cell>
          <cell r="CB111">
            <v>0</v>
          </cell>
          <cell r="CE111">
            <v>0</v>
          </cell>
          <cell r="CH111">
            <v>0</v>
          </cell>
          <cell r="CK111">
            <v>0</v>
          </cell>
        </row>
        <row r="113">
          <cell r="K113">
            <v>0</v>
          </cell>
          <cell r="N113">
            <v>0</v>
          </cell>
          <cell r="Q113">
            <v>0</v>
          </cell>
          <cell r="T113">
            <v>0</v>
          </cell>
          <cell r="W113">
            <v>0</v>
          </cell>
          <cell r="Z113">
            <v>0</v>
          </cell>
          <cell r="AC113">
            <v>0</v>
          </cell>
          <cell r="AF113">
            <v>0</v>
          </cell>
          <cell r="AI113">
            <v>0</v>
          </cell>
          <cell r="AL113">
            <v>0</v>
          </cell>
          <cell r="AO113">
            <v>0</v>
          </cell>
          <cell r="AR113">
            <v>0</v>
          </cell>
          <cell r="AU113">
            <v>0</v>
          </cell>
          <cell r="AX113">
            <v>0</v>
          </cell>
          <cell r="BA113">
            <v>0</v>
          </cell>
          <cell r="BD113">
            <v>0</v>
          </cell>
          <cell r="BG113">
            <v>0</v>
          </cell>
          <cell r="BJ113">
            <v>0</v>
          </cell>
          <cell r="BM113">
            <v>0</v>
          </cell>
          <cell r="BP113">
            <v>0</v>
          </cell>
          <cell r="BS113">
            <v>0</v>
          </cell>
          <cell r="BV113">
            <v>0</v>
          </cell>
          <cell r="BY113">
            <v>0</v>
          </cell>
          <cell r="CB113">
            <v>0</v>
          </cell>
          <cell r="CE113">
            <v>0</v>
          </cell>
          <cell r="CH113">
            <v>0</v>
          </cell>
          <cell r="CK113">
            <v>0</v>
          </cell>
        </row>
        <row r="114">
          <cell r="K114">
            <v>0</v>
          </cell>
          <cell r="N114">
            <v>0</v>
          </cell>
          <cell r="Q114">
            <v>0</v>
          </cell>
          <cell r="T114">
            <v>0</v>
          </cell>
          <cell r="W114">
            <v>0</v>
          </cell>
          <cell r="Z114">
            <v>0</v>
          </cell>
          <cell r="AC114">
            <v>0</v>
          </cell>
          <cell r="AF114">
            <v>0</v>
          </cell>
          <cell r="AI114">
            <v>0</v>
          </cell>
          <cell r="AL114">
            <v>0</v>
          </cell>
          <cell r="AO114">
            <v>0</v>
          </cell>
          <cell r="AR114">
            <v>0</v>
          </cell>
          <cell r="AU114">
            <v>0</v>
          </cell>
          <cell r="AX114">
            <v>0</v>
          </cell>
          <cell r="BA114">
            <v>0</v>
          </cell>
          <cell r="BD114">
            <v>0</v>
          </cell>
          <cell r="BG114">
            <v>0</v>
          </cell>
          <cell r="BJ114">
            <v>0</v>
          </cell>
          <cell r="BM114">
            <v>0</v>
          </cell>
          <cell r="BP114">
            <v>0</v>
          </cell>
          <cell r="BS114">
            <v>0</v>
          </cell>
          <cell r="BV114">
            <v>0</v>
          </cell>
          <cell r="BY114">
            <v>0</v>
          </cell>
          <cell r="CB114">
            <v>0</v>
          </cell>
          <cell r="CE114">
            <v>0</v>
          </cell>
          <cell r="CH114">
            <v>0</v>
          </cell>
          <cell r="CK114">
            <v>0</v>
          </cell>
        </row>
        <row r="115">
          <cell r="K115">
            <v>0</v>
          </cell>
          <cell r="N115">
            <v>0</v>
          </cell>
          <cell r="Q115">
            <v>0</v>
          </cell>
          <cell r="T115">
            <v>0</v>
          </cell>
          <cell r="W115">
            <v>0</v>
          </cell>
          <cell r="Z115">
            <v>0</v>
          </cell>
          <cell r="AC115">
            <v>0</v>
          </cell>
          <cell r="AF115">
            <v>0</v>
          </cell>
          <cell r="AI115">
            <v>0</v>
          </cell>
          <cell r="AL115">
            <v>0</v>
          </cell>
          <cell r="AO115">
            <v>0</v>
          </cell>
          <cell r="AR115">
            <v>0</v>
          </cell>
          <cell r="AU115">
            <v>0</v>
          </cell>
          <cell r="AX115">
            <v>0</v>
          </cell>
          <cell r="BA115">
            <v>0</v>
          </cell>
          <cell r="BD115">
            <v>0</v>
          </cell>
          <cell r="BG115">
            <v>0</v>
          </cell>
          <cell r="BJ115">
            <v>0</v>
          </cell>
          <cell r="BM115">
            <v>0</v>
          </cell>
          <cell r="BP115">
            <v>0</v>
          </cell>
          <cell r="BS115">
            <v>0</v>
          </cell>
          <cell r="BV115">
            <v>0</v>
          </cell>
          <cell r="BY115">
            <v>0</v>
          </cell>
          <cell r="CB115">
            <v>0</v>
          </cell>
          <cell r="CE115">
            <v>0</v>
          </cell>
          <cell r="CH115">
            <v>0</v>
          </cell>
          <cell r="CK115">
            <v>0</v>
          </cell>
        </row>
        <row r="116">
          <cell r="K116">
            <v>0</v>
          </cell>
          <cell r="N116">
            <v>0</v>
          </cell>
          <cell r="Q116">
            <v>0</v>
          </cell>
          <cell r="T116">
            <v>0</v>
          </cell>
          <cell r="W116">
            <v>0</v>
          </cell>
          <cell r="Z116">
            <v>0</v>
          </cell>
          <cell r="AC116">
            <v>0</v>
          </cell>
          <cell r="AF116">
            <v>0</v>
          </cell>
          <cell r="AI116">
            <v>0</v>
          </cell>
          <cell r="AL116">
            <v>0</v>
          </cell>
          <cell r="AO116">
            <v>0</v>
          </cell>
          <cell r="AR116">
            <v>0</v>
          </cell>
          <cell r="AU116">
            <v>0</v>
          </cell>
          <cell r="AX116">
            <v>0</v>
          </cell>
          <cell r="BA116">
            <v>0</v>
          </cell>
          <cell r="BD116">
            <v>0</v>
          </cell>
          <cell r="BG116">
            <v>0</v>
          </cell>
          <cell r="BJ116">
            <v>0</v>
          </cell>
          <cell r="BM116">
            <v>0</v>
          </cell>
          <cell r="BP116">
            <v>0</v>
          </cell>
          <cell r="BS116">
            <v>0</v>
          </cell>
          <cell r="BV116">
            <v>0</v>
          </cell>
          <cell r="BY116">
            <v>0</v>
          </cell>
          <cell r="CB116">
            <v>0</v>
          </cell>
          <cell r="CE116">
            <v>0</v>
          </cell>
          <cell r="CH116">
            <v>0</v>
          </cell>
          <cell r="CK116">
            <v>0</v>
          </cell>
        </row>
        <row r="118">
          <cell r="K118">
            <v>0</v>
          </cell>
          <cell r="N118">
            <v>0</v>
          </cell>
          <cell r="Q118">
            <v>0</v>
          </cell>
          <cell r="T118">
            <v>0</v>
          </cell>
          <cell r="W118">
            <v>0</v>
          </cell>
          <cell r="Z118">
            <v>0</v>
          </cell>
          <cell r="AC118">
            <v>0</v>
          </cell>
          <cell r="AF118">
            <v>0</v>
          </cell>
          <cell r="AI118">
            <v>0</v>
          </cell>
          <cell r="AL118">
            <v>0</v>
          </cell>
          <cell r="AO118">
            <v>0</v>
          </cell>
          <cell r="AR118">
            <v>0</v>
          </cell>
          <cell r="AU118">
            <v>0</v>
          </cell>
          <cell r="AX118">
            <v>0</v>
          </cell>
          <cell r="BA118">
            <v>0</v>
          </cell>
          <cell r="BD118">
            <v>0</v>
          </cell>
          <cell r="BG118">
            <v>0</v>
          </cell>
          <cell r="BJ118">
            <v>0</v>
          </cell>
          <cell r="BM118">
            <v>0</v>
          </cell>
          <cell r="BP118">
            <v>0</v>
          </cell>
          <cell r="BS118">
            <v>0</v>
          </cell>
          <cell r="BV118">
            <v>0</v>
          </cell>
          <cell r="BY118">
            <v>0</v>
          </cell>
          <cell r="CB118">
            <v>0</v>
          </cell>
          <cell r="CE118">
            <v>0</v>
          </cell>
          <cell r="CH118">
            <v>0</v>
          </cell>
          <cell r="CK118">
            <v>0</v>
          </cell>
        </row>
        <row r="119">
          <cell r="K119">
            <v>0</v>
          </cell>
          <cell r="N119">
            <v>0</v>
          </cell>
          <cell r="Q119">
            <v>0</v>
          </cell>
          <cell r="T119">
            <v>0</v>
          </cell>
          <cell r="W119">
            <v>0</v>
          </cell>
          <cell r="Z119">
            <v>0</v>
          </cell>
          <cell r="AC119">
            <v>0</v>
          </cell>
          <cell r="AF119">
            <v>0</v>
          </cell>
          <cell r="AI119">
            <v>0</v>
          </cell>
          <cell r="AL119">
            <v>0</v>
          </cell>
          <cell r="AO119">
            <v>0</v>
          </cell>
          <cell r="AR119">
            <v>0</v>
          </cell>
          <cell r="AU119">
            <v>0</v>
          </cell>
          <cell r="AX119">
            <v>0</v>
          </cell>
          <cell r="BA119">
            <v>0</v>
          </cell>
          <cell r="BD119">
            <v>0</v>
          </cell>
          <cell r="BG119">
            <v>0</v>
          </cell>
          <cell r="BJ119">
            <v>0</v>
          </cell>
          <cell r="BM119">
            <v>0</v>
          </cell>
          <cell r="BP119">
            <v>0</v>
          </cell>
          <cell r="BS119">
            <v>0</v>
          </cell>
          <cell r="BV119">
            <v>0</v>
          </cell>
          <cell r="BY119">
            <v>0</v>
          </cell>
          <cell r="CB119">
            <v>0</v>
          </cell>
          <cell r="CE119">
            <v>0</v>
          </cell>
          <cell r="CH119">
            <v>0</v>
          </cell>
          <cell r="CK119">
            <v>0</v>
          </cell>
        </row>
        <row r="120">
          <cell r="K120">
            <v>0</v>
          </cell>
          <cell r="N120">
            <v>0</v>
          </cell>
          <cell r="Q120">
            <v>0</v>
          </cell>
          <cell r="T120">
            <v>0</v>
          </cell>
          <cell r="W120">
            <v>0</v>
          </cell>
          <cell r="Z120">
            <v>0</v>
          </cell>
          <cell r="AC120">
            <v>0</v>
          </cell>
          <cell r="AF120">
            <v>0</v>
          </cell>
          <cell r="AI120">
            <v>0</v>
          </cell>
          <cell r="AL120">
            <v>0</v>
          </cell>
          <cell r="AO120">
            <v>0</v>
          </cell>
          <cell r="AR120">
            <v>0</v>
          </cell>
          <cell r="AU120">
            <v>0</v>
          </cell>
          <cell r="AX120">
            <v>0</v>
          </cell>
          <cell r="BA120">
            <v>0</v>
          </cell>
          <cell r="BD120">
            <v>0</v>
          </cell>
          <cell r="BG120">
            <v>0</v>
          </cell>
          <cell r="BJ120">
            <v>0</v>
          </cell>
          <cell r="BM120">
            <v>0</v>
          </cell>
          <cell r="BP120">
            <v>0</v>
          </cell>
          <cell r="BS120">
            <v>0</v>
          </cell>
          <cell r="BV120">
            <v>0</v>
          </cell>
          <cell r="BY120">
            <v>0</v>
          </cell>
          <cell r="CB120">
            <v>0</v>
          </cell>
          <cell r="CE120">
            <v>0</v>
          </cell>
          <cell r="CH120">
            <v>0</v>
          </cell>
          <cell r="CK120">
            <v>0</v>
          </cell>
        </row>
        <row r="121">
          <cell r="K121">
            <v>0</v>
          </cell>
          <cell r="N121">
            <v>0</v>
          </cell>
          <cell r="Q121">
            <v>0</v>
          </cell>
          <cell r="T121">
            <v>0</v>
          </cell>
          <cell r="W121">
            <v>0</v>
          </cell>
          <cell r="Z121">
            <v>0</v>
          </cell>
          <cell r="AC121">
            <v>0</v>
          </cell>
          <cell r="AF121">
            <v>0</v>
          </cell>
          <cell r="AI121">
            <v>0</v>
          </cell>
          <cell r="AL121">
            <v>0</v>
          </cell>
          <cell r="AO121">
            <v>0</v>
          </cell>
          <cell r="AR121">
            <v>0</v>
          </cell>
          <cell r="AU121">
            <v>0</v>
          </cell>
          <cell r="AX121">
            <v>0</v>
          </cell>
          <cell r="BA121">
            <v>0</v>
          </cell>
          <cell r="BD121">
            <v>0</v>
          </cell>
          <cell r="BG121">
            <v>0</v>
          </cell>
          <cell r="BJ121">
            <v>0</v>
          </cell>
          <cell r="BM121">
            <v>0</v>
          </cell>
          <cell r="BP121">
            <v>0</v>
          </cell>
          <cell r="BS121">
            <v>0</v>
          </cell>
          <cell r="BV121">
            <v>0</v>
          </cell>
          <cell r="BY121">
            <v>0</v>
          </cell>
          <cell r="CB121">
            <v>0</v>
          </cell>
          <cell r="CE121">
            <v>0</v>
          </cell>
          <cell r="CH121">
            <v>0</v>
          </cell>
          <cell r="CK121">
            <v>0</v>
          </cell>
        </row>
        <row r="124">
          <cell r="K124">
            <v>0</v>
          </cell>
          <cell r="N124">
            <v>0</v>
          </cell>
          <cell r="Q124">
            <v>0</v>
          </cell>
          <cell r="T124">
            <v>0</v>
          </cell>
          <cell r="W124">
            <v>0</v>
          </cell>
          <cell r="Z124">
            <v>0</v>
          </cell>
          <cell r="AC124">
            <v>0</v>
          </cell>
          <cell r="AF124">
            <v>0</v>
          </cell>
          <cell r="AI124">
            <v>0</v>
          </cell>
          <cell r="AL124">
            <v>0</v>
          </cell>
          <cell r="AO124">
            <v>0</v>
          </cell>
          <cell r="AR124">
            <v>0</v>
          </cell>
          <cell r="AU124">
            <v>0</v>
          </cell>
          <cell r="AX124">
            <v>0</v>
          </cell>
          <cell r="BA124">
            <v>0</v>
          </cell>
          <cell r="BD124">
            <v>0</v>
          </cell>
          <cell r="BG124">
            <v>0</v>
          </cell>
          <cell r="BJ124">
            <v>0</v>
          </cell>
          <cell r="BM124">
            <v>0</v>
          </cell>
          <cell r="BP124">
            <v>0</v>
          </cell>
          <cell r="BS124">
            <v>0</v>
          </cell>
          <cell r="BV124">
            <v>0</v>
          </cell>
          <cell r="BY124">
            <v>0</v>
          </cell>
          <cell r="CB124">
            <v>0</v>
          </cell>
          <cell r="CE124">
            <v>0</v>
          </cell>
          <cell r="CH124">
            <v>0</v>
          </cell>
          <cell r="CK124">
            <v>0</v>
          </cell>
        </row>
        <row r="125">
          <cell r="K125">
            <v>0</v>
          </cell>
          <cell r="N125">
            <v>0</v>
          </cell>
          <cell r="Q125">
            <v>0</v>
          </cell>
          <cell r="T125">
            <v>0</v>
          </cell>
          <cell r="W125">
            <v>0</v>
          </cell>
          <cell r="Z125">
            <v>0</v>
          </cell>
          <cell r="AC125">
            <v>0</v>
          </cell>
          <cell r="AF125">
            <v>0</v>
          </cell>
          <cell r="AI125">
            <v>0</v>
          </cell>
          <cell r="AL125">
            <v>0</v>
          </cell>
          <cell r="AO125">
            <v>0</v>
          </cell>
          <cell r="AR125">
            <v>0</v>
          </cell>
          <cell r="AU125">
            <v>0</v>
          </cell>
          <cell r="AX125">
            <v>0</v>
          </cell>
          <cell r="BA125">
            <v>0</v>
          </cell>
          <cell r="BD125">
            <v>0</v>
          </cell>
          <cell r="BG125">
            <v>0</v>
          </cell>
          <cell r="BJ125">
            <v>0</v>
          </cell>
          <cell r="BM125">
            <v>0</v>
          </cell>
          <cell r="BP125">
            <v>0</v>
          </cell>
          <cell r="BS125">
            <v>0</v>
          </cell>
          <cell r="BV125">
            <v>0</v>
          </cell>
          <cell r="BY125">
            <v>0</v>
          </cell>
          <cell r="CB125">
            <v>0</v>
          </cell>
          <cell r="CE125">
            <v>0</v>
          </cell>
          <cell r="CH125">
            <v>0</v>
          </cell>
          <cell r="CK125">
            <v>0</v>
          </cell>
        </row>
        <row r="126">
          <cell r="K126">
            <v>0</v>
          </cell>
          <cell r="N126">
            <v>0</v>
          </cell>
          <cell r="Q126">
            <v>0</v>
          </cell>
          <cell r="T126">
            <v>0</v>
          </cell>
          <cell r="W126">
            <v>0</v>
          </cell>
          <cell r="Z126">
            <v>0</v>
          </cell>
          <cell r="AC126">
            <v>0</v>
          </cell>
          <cell r="AF126">
            <v>0</v>
          </cell>
          <cell r="AI126">
            <v>0</v>
          </cell>
          <cell r="AL126">
            <v>0</v>
          </cell>
          <cell r="AO126">
            <v>0</v>
          </cell>
          <cell r="AR126">
            <v>0</v>
          </cell>
          <cell r="AU126">
            <v>0</v>
          </cell>
          <cell r="AX126">
            <v>0</v>
          </cell>
          <cell r="BA126">
            <v>0</v>
          </cell>
          <cell r="BD126">
            <v>0</v>
          </cell>
          <cell r="BG126">
            <v>0</v>
          </cell>
          <cell r="BJ126">
            <v>0</v>
          </cell>
          <cell r="BM126">
            <v>0</v>
          </cell>
          <cell r="BP126">
            <v>0</v>
          </cell>
          <cell r="BS126">
            <v>0</v>
          </cell>
          <cell r="BV126">
            <v>0</v>
          </cell>
          <cell r="BY126">
            <v>0</v>
          </cell>
          <cell r="CB126">
            <v>0</v>
          </cell>
          <cell r="CE126">
            <v>0</v>
          </cell>
          <cell r="CH126">
            <v>0</v>
          </cell>
          <cell r="CK126">
            <v>0</v>
          </cell>
        </row>
        <row r="127">
          <cell r="K127">
            <v>0</v>
          </cell>
          <cell r="N127">
            <v>0</v>
          </cell>
          <cell r="Q127">
            <v>0</v>
          </cell>
          <cell r="T127">
            <v>0</v>
          </cell>
          <cell r="W127">
            <v>0</v>
          </cell>
          <cell r="Z127">
            <v>0</v>
          </cell>
          <cell r="AC127">
            <v>0</v>
          </cell>
          <cell r="AF127">
            <v>0</v>
          </cell>
          <cell r="AI127">
            <v>0</v>
          </cell>
          <cell r="AL127">
            <v>0</v>
          </cell>
          <cell r="AO127">
            <v>0</v>
          </cell>
          <cell r="AR127">
            <v>0</v>
          </cell>
          <cell r="AU127">
            <v>0</v>
          </cell>
          <cell r="AX127">
            <v>0</v>
          </cell>
          <cell r="BA127">
            <v>0</v>
          </cell>
          <cell r="BD127">
            <v>0</v>
          </cell>
          <cell r="BG127">
            <v>0</v>
          </cell>
          <cell r="BJ127">
            <v>0</v>
          </cell>
          <cell r="BM127">
            <v>0</v>
          </cell>
          <cell r="BP127">
            <v>0</v>
          </cell>
          <cell r="BS127">
            <v>0</v>
          </cell>
          <cell r="BV127">
            <v>0</v>
          </cell>
          <cell r="BY127">
            <v>0</v>
          </cell>
          <cell r="CB127">
            <v>0</v>
          </cell>
          <cell r="CE127">
            <v>0</v>
          </cell>
          <cell r="CH127">
            <v>0</v>
          </cell>
          <cell r="CK127">
            <v>0</v>
          </cell>
        </row>
        <row r="128">
          <cell r="K128">
            <v>0</v>
          </cell>
          <cell r="N128">
            <v>0</v>
          </cell>
          <cell r="Q128">
            <v>0</v>
          </cell>
          <cell r="T128">
            <v>0</v>
          </cell>
          <cell r="W128">
            <v>0</v>
          </cell>
          <cell r="Z128">
            <v>0</v>
          </cell>
          <cell r="AC128">
            <v>0</v>
          </cell>
          <cell r="AF128">
            <v>0</v>
          </cell>
          <cell r="AI128">
            <v>0</v>
          </cell>
          <cell r="AL128">
            <v>0</v>
          </cell>
          <cell r="AO128">
            <v>0</v>
          </cell>
          <cell r="AR128">
            <v>0</v>
          </cell>
          <cell r="AU128">
            <v>0</v>
          </cell>
          <cell r="AX128">
            <v>0</v>
          </cell>
          <cell r="BA128">
            <v>0</v>
          </cell>
          <cell r="BD128">
            <v>0</v>
          </cell>
          <cell r="BG128">
            <v>0</v>
          </cell>
          <cell r="BJ128">
            <v>0</v>
          </cell>
          <cell r="BM128">
            <v>0</v>
          </cell>
          <cell r="BP128">
            <v>0</v>
          </cell>
          <cell r="BS128">
            <v>0</v>
          </cell>
          <cell r="BV128">
            <v>0</v>
          </cell>
          <cell r="BY128">
            <v>0</v>
          </cell>
          <cell r="CB128">
            <v>0</v>
          </cell>
          <cell r="CE128">
            <v>0</v>
          </cell>
          <cell r="CH128">
            <v>0</v>
          </cell>
          <cell r="CK128">
            <v>0</v>
          </cell>
        </row>
        <row r="129">
          <cell r="K129">
            <v>0</v>
          </cell>
          <cell r="N129">
            <v>0</v>
          </cell>
          <cell r="Q129">
            <v>0</v>
          </cell>
          <cell r="T129">
            <v>0</v>
          </cell>
          <cell r="W129">
            <v>0</v>
          </cell>
          <cell r="Z129">
            <v>0</v>
          </cell>
          <cell r="AC129">
            <v>0</v>
          </cell>
          <cell r="AF129">
            <v>0</v>
          </cell>
          <cell r="AI129">
            <v>0</v>
          </cell>
          <cell r="AL129">
            <v>0</v>
          </cell>
          <cell r="AO129">
            <v>0</v>
          </cell>
          <cell r="AR129">
            <v>0</v>
          </cell>
          <cell r="AU129">
            <v>0</v>
          </cell>
          <cell r="AX129">
            <v>0</v>
          </cell>
          <cell r="BA129">
            <v>0</v>
          </cell>
          <cell r="BD129">
            <v>0</v>
          </cell>
          <cell r="BG129">
            <v>0</v>
          </cell>
          <cell r="BJ129">
            <v>0</v>
          </cell>
          <cell r="BM129">
            <v>0</v>
          </cell>
          <cell r="BP129">
            <v>0</v>
          </cell>
          <cell r="BS129">
            <v>0</v>
          </cell>
          <cell r="BV129">
            <v>0</v>
          </cell>
          <cell r="BY129">
            <v>0</v>
          </cell>
          <cell r="CB129">
            <v>0</v>
          </cell>
          <cell r="CE129">
            <v>0</v>
          </cell>
          <cell r="CH129">
            <v>0</v>
          </cell>
          <cell r="CK129">
            <v>0</v>
          </cell>
        </row>
        <row r="137">
          <cell r="J137" t="str">
            <v>Устименко Н.Г.</v>
          </cell>
          <cell r="S137" t="str">
            <v>Устименко Н.Г.</v>
          </cell>
          <cell r="AB137" t="str">
            <v>Устименко Н.Г.</v>
          </cell>
          <cell r="AK137" t="str">
            <v>Устименко Н.Г.</v>
          </cell>
          <cell r="AT137" t="str">
            <v>Устименко Н.Г.</v>
          </cell>
          <cell r="BC137" t="str">
            <v>Устименко Н.Г.</v>
          </cell>
          <cell r="BL137" t="str">
            <v>Устименко Н.Г.</v>
          </cell>
          <cell r="BU137" t="str">
            <v>Устименко Н.Г.</v>
          </cell>
          <cell r="CD137" t="str">
            <v>Устименко Н.Г.</v>
          </cell>
        </row>
      </sheetData>
      <sheetData sheetId="3">
        <row r="2">
          <cell r="G2" t="e">
            <v>#REF!</v>
          </cell>
          <cell r="J2" t="e">
            <v>#REF!</v>
          </cell>
          <cell r="P2" t="e">
            <v>#REF!</v>
          </cell>
          <cell r="S2" t="e">
            <v>#REF!</v>
          </cell>
          <cell r="Y2" t="e">
            <v>#REF!</v>
          </cell>
          <cell r="AB2" t="e">
            <v>#REF!</v>
          </cell>
          <cell r="AH2" t="e">
            <v>#REF!</v>
          </cell>
          <cell r="AK2" t="e">
            <v>#REF!</v>
          </cell>
          <cell r="AQ2" t="e">
            <v>#REF!</v>
          </cell>
          <cell r="AT2" t="e">
            <v>#REF!</v>
          </cell>
          <cell r="AZ2" t="e">
            <v>#REF!</v>
          </cell>
          <cell r="BC2" t="e">
            <v>#REF!</v>
          </cell>
          <cell r="BI2" t="e">
            <v>#REF!</v>
          </cell>
          <cell r="BL2" t="e">
            <v>#REF!</v>
          </cell>
          <cell r="BR2" t="e">
            <v>#REF!</v>
          </cell>
          <cell r="BU2" t="e">
            <v>#REF!</v>
          </cell>
          <cell r="CA2" t="e">
            <v>#REF!</v>
          </cell>
          <cell r="CD2" t="e">
            <v>#REF!</v>
          </cell>
        </row>
        <row r="7">
          <cell r="H7" t="str">
            <v>Итого:</v>
          </cell>
          <cell r="I7">
            <v>0</v>
          </cell>
          <cell r="K7" t="str">
            <v>Итого:</v>
          </cell>
          <cell r="L7">
            <v>0</v>
          </cell>
          <cell r="N7" t="str">
            <v>Итого:</v>
          </cell>
          <cell r="O7">
            <v>0</v>
          </cell>
          <cell r="Q7" t="str">
            <v>Итого:</v>
          </cell>
          <cell r="R7">
            <v>0</v>
          </cell>
          <cell r="T7" t="str">
            <v>Итого:</v>
          </cell>
          <cell r="U7">
            <v>0</v>
          </cell>
          <cell r="W7" t="str">
            <v>Итого:</v>
          </cell>
          <cell r="X7">
            <v>0</v>
          </cell>
          <cell r="Z7" t="str">
            <v>Итого:</v>
          </cell>
          <cell r="AA7">
            <v>0</v>
          </cell>
          <cell r="AC7" t="str">
            <v>Итого:</v>
          </cell>
          <cell r="AD7">
            <v>0</v>
          </cell>
          <cell r="AF7" t="str">
            <v>Итого:</v>
          </cell>
          <cell r="AG7">
            <v>0</v>
          </cell>
          <cell r="AI7" t="str">
            <v>Итого:</v>
          </cell>
          <cell r="AJ7">
            <v>0</v>
          </cell>
          <cell r="AL7" t="str">
            <v>Итого:</v>
          </cell>
          <cell r="AM7">
            <v>0</v>
          </cell>
          <cell r="AO7" t="str">
            <v>Итого:</v>
          </cell>
          <cell r="AP7">
            <v>0</v>
          </cell>
          <cell r="AR7" t="str">
            <v>Итого:</v>
          </cell>
          <cell r="AS7">
            <v>0</v>
          </cell>
          <cell r="AU7" t="str">
            <v>Итого:</v>
          </cell>
          <cell r="AV7">
            <v>0</v>
          </cell>
          <cell r="AX7" t="str">
            <v>Итого:</v>
          </cell>
          <cell r="AY7">
            <v>0</v>
          </cell>
          <cell r="BA7" t="str">
            <v>Итого:</v>
          </cell>
          <cell r="BB7">
            <v>0</v>
          </cell>
          <cell r="BD7" t="str">
            <v>Итого:</v>
          </cell>
          <cell r="BE7">
            <v>0</v>
          </cell>
          <cell r="BG7" t="str">
            <v>Итого:</v>
          </cell>
          <cell r="BH7">
            <v>0</v>
          </cell>
          <cell r="BJ7" t="str">
            <v>Итого:</v>
          </cell>
          <cell r="BK7">
            <v>0</v>
          </cell>
          <cell r="BM7" t="str">
            <v>Итого:</v>
          </cell>
          <cell r="BN7">
            <v>0</v>
          </cell>
          <cell r="BP7" t="str">
            <v>Итого:</v>
          </cell>
          <cell r="BQ7">
            <v>0</v>
          </cell>
          <cell r="BS7" t="str">
            <v>Итого:</v>
          </cell>
          <cell r="BT7">
            <v>0</v>
          </cell>
          <cell r="BV7" t="str">
            <v>Итого:</v>
          </cell>
          <cell r="BW7">
            <v>0</v>
          </cell>
          <cell r="BY7" t="str">
            <v>Итого:</v>
          </cell>
          <cell r="BZ7">
            <v>0</v>
          </cell>
          <cell r="CB7" t="str">
            <v>Итого:</v>
          </cell>
          <cell r="CC7">
            <v>0</v>
          </cell>
          <cell r="CE7" t="str">
            <v>Итого:</v>
          </cell>
          <cell r="CF7">
            <v>0</v>
          </cell>
          <cell r="CH7" t="str">
            <v>Итого:</v>
          </cell>
          <cell r="CI7">
            <v>0</v>
          </cell>
        </row>
        <row r="8">
          <cell r="I8" t="e">
            <v>#REF!</v>
          </cell>
          <cell r="L8" t="e">
            <v>#REF!</v>
          </cell>
          <cell r="R8" t="e">
            <v>#REF!</v>
          </cell>
          <cell r="U8" t="e">
            <v>#REF!</v>
          </cell>
          <cell r="AA8" t="e">
            <v>#REF!</v>
          </cell>
          <cell r="AD8" t="e">
            <v>#REF!</v>
          </cell>
          <cell r="AJ8" t="e">
            <v>#REF!</v>
          </cell>
          <cell r="AM8" t="e">
            <v>#REF!</v>
          </cell>
          <cell r="AS8" t="e">
            <v>#REF!</v>
          </cell>
          <cell r="AV8" t="e">
            <v>#REF!</v>
          </cell>
          <cell r="BB8" t="e">
            <v>#REF!</v>
          </cell>
          <cell r="BE8" t="e">
            <v>#REF!</v>
          </cell>
          <cell r="BK8" t="e">
            <v>#REF!</v>
          </cell>
          <cell r="BN8" t="e">
            <v>#REF!</v>
          </cell>
          <cell r="BT8">
            <v>0</v>
          </cell>
          <cell r="BW8">
            <v>0</v>
          </cell>
          <cell r="CC8">
            <v>0</v>
          </cell>
          <cell r="CF8">
            <v>0</v>
          </cell>
        </row>
        <row r="9">
          <cell r="G9" t="str">
            <v>Предъявлено</v>
          </cell>
          <cell r="J9" t="str">
            <v>Принято</v>
          </cell>
          <cell r="M9" t="str">
            <v>Текущие разногласия</v>
          </cell>
          <cell r="P9" t="str">
            <v>Предъявлено</v>
          </cell>
          <cell r="S9" t="str">
            <v>Принято</v>
          </cell>
          <cell r="V9" t="str">
            <v>Текущие разногласия</v>
          </cell>
          <cell r="Y9" t="str">
            <v>Предъявлено</v>
          </cell>
          <cell r="AB9" t="str">
            <v>Принято</v>
          </cell>
          <cell r="AE9" t="str">
            <v>Текущие разногласия</v>
          </cell>
          <cell r="AH9" t="str">
            <v>Предъявлено</v>
          </cell>
          <cell r="AK9" t="str">
            <v>Принято</v>
          </cell>
          <cell r="AN9" t="str">
            <v>Текущие разногласия</v>
          </cell>
          <cell r="AQ9" t="str">
            <v>Предъявлено</v>
          </cell>
          <cell r="AT9" t="str">
            <v>Принято</v>
          </cell>
          <cell r="AW9" t="str">
            <v>Текущие разногласия</v>
          </cell>
          <cell r="AZ9" t="str">
            <v>Предъявлено</v>
          </cell>
          <cell r="BC9" t="str">
            <v>Принято</v>
          </cell>
          <cell r="BF9" t="str">
            <v>Текущие разногласия</v>
          </cell>
          <cell r="BI9" t="str">
            <v>Предъявлено</v>
          </cell>
          <cell r="BL9" t="str">
            <v>Принято</v>
          </cell>
          <cell r="BO9" t="str">
            <v>Текущие разногласия</v>
          </cell>
          <cell r="BR9" t="str">
            <v>Предъявлено</v>
          </cell>
          <cell r="BU9" t="str">
            <v>Принято</v>
          </cell>
          <cell r="BX9" t="str">
            <v>Текущие разногласия</v>
          </cell>
          <cell r="CA9" t="str">
            <v>Предъявлено</v>
          </cell>
          <cell r="CD9" t="str">
            <v>Принято</v>
          </cell>
          <cell r="CG9" t="str">
            <v>Текущие разногласия</v>
          </cell>
        </row>
        <row r="10">
          <cell r="G10" t="str">
            <v>Кол-во</v>
          </cell>
          <cell r="H10" t="str">
            <v>Ср. цена</v>
          </cell>
          <cell r="I10" t="str">
            <v>Сумма</v>
          </cell>
          <cell r="J10" t="str">
            <v>Кол-во</v>
          </cell>
          <cell r="K10" t="str">
            <v>Ср. цена</v>
          </cell>
          <cell r="L10" t="str">
            <v>Сумма</v>
          </cell>
          <cell r="M10" t="str">
            <v>Кол-во</v>
          </cell>
          <cell r="N10" t="str">
            <v>Ср. цена</v>
          </cell>
          <cell r="O10" t="str">
            <v>Сумма</v>
          </cell>
          <cell r="P10" t="str">
            <v>Кол-во</v>
          </cell>
          <cell r="Q10" t="str">
            <v>Ср. цена</v>
          </cell>
          <cell r="R10" t="str">
            <v>Сумма</v>
          </cell>
          <cell r="S10" t="str">
            <v>Кол-во</v>
          </cell>
          <cell r="T10" t="str">
            <v>Ср. цена</v>
          </cell>
          <cell r="U10" t="str">
            <v>Сумма</v>
          </cell>
          <cell r="V10" t="str">
            <v>Кол-во</v>
          </cell>
          <cell r="W10" t="str">
            <v>Ср. цена</v>
          </cell>
          <cell r="X10" t="str">
            <v>Сумма</v>
          </cell>
          <cell r="Y10" t="str">
            <v>Кол-во</v>
          </cell>
          <cell r="Z10" t="str">
            <v>Ср. цена</v>
          </cell>
          <cell r="AA10" t="str">
            <v>Сумма</v>
          </cell>
          <cell r="AB10" t="str">
            <v>Кол-во</v>
          </cell>
          <cell r="AC10" t="str">
            <v>Ср. цена</v>
          </cell>
          <cell r="AD10" t="str">
            <v>Сумма</v>
          </cell>
          <cell r="AE10" t="str">
            <v>Кол-во</v>
          </cell>
          <cell r="AF10" t="str">
            <v>Ср. цена</v>
          </cell>
          <cell r="AG10" t="str">
            <v>Сумма</v>
          </cell>
          <cell r="AH10" t="str">
            <v>Кол-во</v>
          </cell>
          <cell r="AI10" t="str">
            <v>Ср. цена</v>
          </cell>
          <cell r="AJ10" t="str">
            <v>Сумма</v>
          </cell>
          <cell r="AK10" t="str">
            <v>Кол-во</v>
          </cell>
          <cell r="AL10" t="str">
            <v>Ср. цена</v>
          </cell>
          <cell r="AM10" t="str">
            <v>Сумма</v>
          </cell>
          <cell r="AN10" t="str">
            <v>Кол-во</v>
          </cell>
          <cell r="AO10" t="str">
            <v>Ср. цена</v>
          </cell>
          <cell r="AP10" t="str">
            <v>Сумма</v>
          </cell>
          <cell r="AQ10" t="str">
            <v>Кол-во</v>
          </cell>
          <cell r="AR10" t="str">
            <v>Ср. цена</v>
          </cell>
          <cell r="AS10" t="str">
            <v>Сумма</v>
          </cell>
          <cell r="AT10" t="str">
            <v>Кол-во</v>
          </cell>
          <cell r="AU10" t="str">
            <v>Ср. цена</v>
          </cell>
          <cell r="AV10" t="str">
            <v>Сумма</v>
          </cell>
          <cell r="AW10" t="str">
            <v>Кол-во</v>
          </cell>
          <cell r="AX10" t="str">
            <v>Ср. цена</v>
          </cell>
          <cell r="AY10" t="str">
            <v>Сумма</v>
          </cell>
          <cell r="AZ10" t="str">
            <v>Кол-во</v>
          </cell>
          <cell r="BA10" t="str">
            <v>Ср. цена</v>
          </cell>
          <cell r="BB10" t="str">
            <v>Сумма</v>
          </cell>
          <cell r="BC10" t="str">
            <v>Кол-во</v>
          </cell>
          <cell r="BD10" t="str">
            <v>Ср. цена</v>
          </cell>
          <cell r="BE10" t="str">
            <v>Сумма</v>
          </cell>
          <cell r="BF10" t="str">
            <v>Кол-во</v>
          </cell>
          <cell r="BG10" t="str">
            <v>Ср. цена</v>
          </cell>
          <cell r="BH10" t="str">
            <v>Сумма</v>
          </cell>
          <cell r="BI10" t="str">
            <v>Кол-во</v>
          </cell>
          <cell r="BJ10" t="str">
            <v>Ср. цена</v>
          </cell>
          <cell r="BK10" t="str">
            <v>Сумма</v>
          </cell>
          <cell r="BL10" t="str">
            <v>Кол-во</v>
          </cell>
          <cell r="BM10" t="str">
            <v>Ср. цена</v>
          </cell>
          <cell r="BN10" t="str">
            <v>Сумма</v>
          </cell>
          <cell r="BO10" t="str">
            <v>Кол-во</v>
          </cell>
          <cell r="BP10" t="str">
            <v>Ср. цена</v>
          </cell>
          <cell r="BQ10" t="str">
            <v>Сумма</v>
          </cell>
          <cell r="BR10" t="str">
            <v>Кол-во</v>
          </cell>
          <cell r="BS10" t="str">
            <v>Ср. цена</v>
          </cell>
          <cell r="BT10" t="str">
            <v>Сумма</v>
          </cell>
          <cell r="BU10" t="str">
            <v>Кол-во</v>
          </cell>
          <cell r="BV10" t="str">
            <v>Ср. цена</v>
          </cell>
          <cell r="BW10" t="str">
            <v>Сумма</v>
          </cell>
          <cell r="BX10" t="str">
            <v>Кол-во</v>
          </cell>
          <cell r="BY10" t="str">
            <v>Ср. цена</v>
          </cell>
          <cell r="BZ10" t="str">
            <v>Сумма</v>
          </cell>
          <cell r="CA10" t="str">
            <v>Кол-во</v>
          </cell>
          <cell r="CB10" t="str">
            <v>Ср. цена</v>
          </cell>
          <cell r="CC10" t="str">
            <v>Сумма</v>
          </cell>
          <cell r="CD10" t="str">
            <v>Кол-во</v>
          </cell>
          <cell r="CE10" t="str">
            <v>Ср. цена</v>
          </cell>
          <cell r="CF10" t="str">
            <v>Сумма</v>
          </cell>
          <cell r="CG10" t="str">
            <v>Кол-во</v>
          </cell>
          <cell r="CH10" t="str">
            <v>Ср. цена</v>
          </cell>
          <cell r="CI10" t="str">
            <v>Сумма</v>
          </cell>
        </row>
        <row r="11">
          <cell r="G11">
            <v>4</v>
          </cell>
          <cell r="H11">
            <v>5</v>
          </cell>
          <cell r="I11">
            <v>6</v>
          </cell>
          <cell r="J11">
            <v>7</v>
          </cell>
          <cell r="K11">
            <v>8</v>
          </cell>
          <cell r="L11">
            <v>9</v>
          </cell>
          <cell r="M11">
            <v>10</v>
          </cell>
          <cell r="N11">
            <v>11</v>
          </cell>
          <cell r="O11">
            <v>12</v>
          </cell>
          <cell r="P11">
            <v>4</v>
          </cell>
          <cell r="Q11">
            <v>5</v>
          </cell>
          <cell r="R11">
            <v>6</v>
          </cell>
          <cell r="S11">
            <v>7</v>
          </cell>
          <cell r="T11">
            <v>8</v>
          </cell>
          <cell r="U11">
            <v>9</v>
          </cell>
          <cell r="V11">
            <v>10</v>
          </cell>
          <cell r="W11">
            <v>11</v>
          </cell>
          <cell r="X11">
            <v>12</v>
          </cell>
          <cell r="Y11">
            <v>4</v>
          </cell>
          <cell r="Z11">
            <v>5</v>
          </cell>
          <cell r="AA11">
            <v>6</v>
          </cell>
          <cell r="AB11">
            <v>7</v>
          </cell>
          <cell r="AC11">
            <v>8</v>
          </cell>
          <cell r="AD11">
            <v>9</v>
          </cell>
          <cell r="AE11">
            <v>10</v>
          </cell>
          <cell r="AF11">
            <v>11</v>
          </cell>
          <cell r="AG11">
            <v>12</v>
          </cell>
          <cell r="AH11">
            <v>4</v>
          </cell>
          <cell r="AI11">
            <v>5</v>
          </cell>
          <cell r="AJ11">
            <v>6</v>
          </cell>
          <cell r="AK11">
            <v>7</v>
          </cell>
          <cell r="AL11">
            <v>8</v>
          </cell>
          <cell r="AM11">
            <v>9</v>
          </cell>
          <cell r="AN11">
            <v>10</v>
          </cell>
          <cell r="AO11">
            <v>11</v>
          </cell>
          <cell r="AP11">
            <v>12</v>
          </cell>
          <cell r="AQ11">
            <v>4</v>
          </cell>
          <cell r="AR11">
            <v>5</v>
          </cell>
          <cell r="AS11">
            <v>6</v>
          </cell>
          <cell r="AT11">
            <v>7</v>
          </cell>
          <cell r="AU11">
            <v>8</v>
          </cell>
          <cell r="AV11">
            <v>9</v>
          </cell>
          <cell r="AW11">
            <v>10</v>
          </cell>
          <cell r="AX11">
            <v>11</v>
          </cell>
          <cell r="AY11">
            <v>12</v>
          </cell>
          <cell r="AZ11">
            <v>4</v>
          </cell>
          <cell r="BA11">
            <v>5</v>
          </cell>
          <cell r="BB11">
            <v>6</v>
          </cell>
          <cell r="BC11">
            <v>7</v>
          </cell>
          <cell r="BD11">
            <v>8</v>
          </cell>
          <cell r="BE11">
            <v>9</v>
          </cell>
          <cell r="BF11">
            <v>10</v>
          </cell>
          <cell r="BG11">
            <v>11</v>
          </cell>
          <cell r="BH11">
            <v>12</v>
          </cell>
          <cell r="BI11">
            <v>4</v>
          </cell>
          <cell r="BJ11">
            <v>5</v>
          </cell>
          <cell r="BK11">
            <v>6</v>
          </cell>
          <cell r="BL11">
            <v>7</v>
          </cell>
          <cell r="BM11">
            <v>8</v>
          </cell>
          <cell r="BN11">
            <v>9</v>
          </cell>
          <cell r="BO11">
            <v>10</v>
          </cell>
          <cell r="BP11">
            <v>11</v>
          </cell>
          <cell r="BQ11">
            <v>12</v>
          </cell>
          <cell r="BR11">
            <v>4</v>
          </cell>
          <cell r="BS11">
            <v>5</v>
          </cell>
          <cell r="BT11">
            <v>6</v>
          </cell>
          <cell r="BU11">
            <v>7</v>
          </cell>
          <cell r="BV11">
            <v>8</v>
          </cell>
          <cell r="BW11">
            <v>9</v>
          </cell>
          <cell r="BX11">
            <v>10</v>
          </cell>
          <cell r="BY11">
            <v>11</v>
          </cell>
          <cell r="BZ11">
            <v>12</v>
          </cell>
          <cell r="CA11">
            <v>4</v>
          </cell>
          <cell r="CB11">
            <v>5</v>
          </cell>
          <cell r="CC11">
            <v>6</v>
          </cell>
          <cell r="CD11">
            <v>7</v>
          </cell>
          <cell r="CE11">
            <v>8</v>
          </cell>
          <cell r="CF11">
            <v>9</v>
          </cell>
          <cell r="CG11">
            <v>10</v>
          </cell>
          <cell r="CH11">
            <v>11</v>
          </cell>
          <cell r="CI11">
            <v>12</v>
          </cell>
        </row>
        <row r="13">
          <cell r="I13">
            <v>0</v>
          </cell>
          <cell r="L13">
            <v>0</v>
          </cell>
          <cell r="O13">
            <v>0</v>
          </cell>
          <cell r="R13">
            <v>0</v>
          </cell>
          <cell r="U13">
            <v>0</v>
          </cell>
          <cell r="X13">
            <v>0</v>
          </cell>
          <cell r="AA13">
            <v>0</v>
          </cell>
          <cell r="AD13">
            <v>0</v>
          </cell>
          <cell r="AG13">
            <v>0</v>
          </cell>
          <cell r="AJ13">
            <v>0</v>
          </cell>
          <cell r="AM13">
            <v>0</v>
          </cell>
          <cell r="AP13">
            <v>0</v>
          </cell>
          <cell r="AS13">
            <v>0</v>
          </cell>
          <cell r="AV13">
            <v>0</v>
          </cell>
          <cell r="AY13">
            <v>0</v>
          </cell>
          <cell r="BB13">
            <v>0</v>
          </cell>
          <cell r="BE13">
            <v>0</v>
          </cell>
          <cell r="BH13">
            <v>0</v>
          </cell>
          <cell r="BK13">
            <v>0</v>
          </cell>
          <cell r="BN13">
            <v>0</v>
          </cell>
          <cell r="BQ13">
            <v>0</v>
          </cell>
          <cell r="BT13">
            <v>0</v>
          </cell>
          <cell r="BW13">
            <v>0</v>
          </cell>
          <cell r="BZ13">
            <v>0</v>
          </cell>
          <cell r="CC13">
            <v>0</v>
          </cell>
          <cell r="CF13">
            <v>0</v>
          </cell>
          <cell r="CI13">
            <v>0</v>
          </cell>
        </row>
        <row r="14"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  <cell r="AV14">
            <v>0</v>
          </cell>
          <cell r="AW14">
            <v>0</v>
          </cell>
          <cell r="AX14">
            <v>0</v>
          </cell>
          <cell r="AY14">
            <v>0</v>
          </cell>
          <cell r="AZ14">
            <v>0</v>
          </cell>
          <cell r="BA14">
            <v>0</v>
          </cell>
          <cell r="BB14">
            <v>0</v>
          </cell>
          <cell r="BC14">
            <v>0</v>
          </cell>
          <cell r="BD14">
            <v>0</v>
          </cell>
          <cell r="BE14">
            <v>0</v>
          </cell>
          <cell r="BF14">
            <v>0</v>
          </cell>
          <cell r="BG14">
            <v>0</v>
          </cell>
          <cell r="BH14">
            <v>0</v>
          </cell>
          <cell r="BI14">
            <v>0</v>
          </cell>
          <cell r="BJ14">
            <v>0</v>
          </cell>
          <cell r="BK14">
            <v>0</v>
          </cell>
          <cell r="BL14">
            <v>0</v>
          </cell>
          <cell r="BM14">
            <v>0</v>
          </cell>
          <cell r="BN14">
            <v>0</v>
          </cell>
          <cell r="BO14">
            <v>0</v>
          </cell>
          <cell r="BP14">
            <v>0</v>
          </cell>
          <cell r="BQ14">
            <v>0</v>
          </cell>
          <cell r="BR14">
            <v>0</v>
          </cell>
          <cell r="BS14">
            <v>0</v>
          </cell>
          <cell r="BT14">
            <v>0</v>
          </cell>
          <cell r="BU14">
            <v>0</v>
          </cell>
          <cell r="BV14">
            <v>0</v>
          </cell>
          <cell r="BW14">
            <v>0</v>
          </cell>
          <cell r="BX14">
            <v>0</v>
          </cell>
          <cell r="BY14">
            <v>0</v>
          </cell>
          <cell r="BZ14">
            <v>0</v>
          </cell>
          <cell r="CA14">
            <v>0</v>
          </cell>
          <cell r="CB14">
            <v>0</v>
          </cell>
          <cell r="CC14">
            <v>0</v>
          </cell>
          <cell r="CD14">
            <v>0</v>
          </cell>
          <cell r="CE14">
            <v>0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</row>
        <row r="15"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BK15">
            <v>0</v>
          </cell>
          <cell r="BL15">
            <v>0</v>
          </cell>
          <cell r="BM15">
            <v>0</v>
          </cell>
          <cell r="BN15">
            <v>0</v>
          </cell>
          <cell r="BO15">
            <v>0</v>
          </cell>
          <cell r="BP15">
            <v>0</v>
          </cell>
          <cell r="BQ15">
            <v>0</v>
          </cell>
          <cell r="BR15">
            <v>0</v>
          </cell>
          <cell r="BS15">
            <v>0</v>
          </cell>
          <cell r="BT15">
            <v>0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0</v>
          </cell>
          <cell r="BZ15">
            <v>0</v>
          </cell>
          <cell r="CA15">
            <v>0</v>
          </cell>
          <cell r="CB15">
            <v>0</v>
          </cell>
          <cell r="CC15">
            <v>0</v>
          </cell>
          <cell r="CD15">
            <v>0</v>
          </cell>
          <cell r="CE15">
            <v>0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</row>
        <row r="16"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P16">
            <v>0</v>
          </cell>
          <cell r="BQ16">
            <v>0</v>
          </cell>
          <cell r="BR16">
            <v>0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0</v>
          </cell>
          <cell r="CA16">
            <v>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</row>
        <row r="17"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0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0</v>
          </cell>
          <cell r="CA17">
            <v>0</v>
          </cell>
          <cell r="CB17">
            <v>0</v>
          </cell>
          <cell r="CC17">
            <v>0</v>
          </cell>
          <cell r="CD17">
            <v>0</v>
          </cell>
          <cell r="CE17">
            <v>0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</row>
        <row r="18"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0</v>
          </cell>
          <cell r="BP18">
            <v>0</v>
          </cell>
          <cell r="BQ18">
            <v>0</v>
          </cell>
          <cell r="BR18">
            <v>0</v>
          </cell>
          <cell r="BS18">
            <v>0</v>
          </cell>
          <cell r="BT18">
            <v>0</v>
          </cell>
          <cell r="BU18">
            <v>0</v>
          </cell>
          <cell r="BV18">
            <v>0</v>
          </cell>
          <cell r="BW18">
            <v>0</v>
          </cell>
          <cell r="BX18">
            <v>0</v>
          </cell>
          <cell r="BY18">
            <v>0</v>
          </cell>
          <cell r="BZ18">
            <v>0</v>
          </cell>
          <cell r="CA18">
            <v>0</v>
          </cell>
          <cell r="CB18">
            <v>0</v>
          </cell>
          <cell r="CC18">
            <v>0</v>
          </cell>
          <cell r="CD18">
            <v>0</v>
          </cell>
          <cell r="CE18">
            <v>0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</row>
        <row r="19"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0</v>
          </cell>
          <cell r="BZ19">
            <v>0</v>
          </cell>
          <cell r="CA19">
            <v>0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</row>
        <row r="20"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0</v>
          </cell>
          <cell r="BN20">
            <v>0</v>
          </cell>
          <cell r="BO20">
            <v>0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0</v>
          </cell>
          <cell r="BZ20">
            <v>0</v>
          </cell>
          <cell r="CA20">
            <v>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</row>
        <row r="21"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O21">
            <v>0</v>
          </cell>
          <cell r="BP21">
            <v>0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A21">
            <v>0</v>
          </cell>
          <cell r="CB21">
            <v>0</v>
          </cell>
          <cell r="CC21">
            <v>0</v>
          </cell>
          <cell r="CD21">
            <v>0</v>
          </cell>
          <cell r="CE21">
            <v>0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</row>
        <row r="22"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0</v>
          </cell>
          <cell r="BA22">
            <v>0</v>
          </cell>
          <cell r="BB22">
            <v>0</v>
          </cell>
          <cell r="BC22">
            <v>0</v>
          </cell>
          <cell r="BD22">
            <v>0</v>
          </cell>
          <cell r="BE22">
            <v>0</v>
          </cell>
          <cell r="BF22">
            <v>0</v>
          </cell>
          <cell r="BG22">
            <v>0</v>
          </cell>
          <cell r="BH22">
            <v>0</v>
          </cell>
          <cell r="BI22">
            <v>0</v>
          </cell>
          <cell r="BJ22">
            <v>0</v>
          </cell>
          <cell r="BK22">
            <v>0</v>
          </cell>
          <cell r="BL22">
            <v>0</v>
          </cell>
          <cell r="BM22">
            <v>0</v>
          </cell>
          <cell r="BN22">
            <v>0</v>
          </cell>
          <cell r="BO22">
            <v>0</v>
          </cell>
          <cell r="BP22">
            <v>0</v>
          </cell>
          <cell r="BQ22">
            <v>0</v>
          </cell>
          <cell r="BR22">
            <v>0</v>
          </cell>
          <cell r="BS22">
            <v>0</v>
          </cell>
          <cell r="BT22">
            <v>0</v>
          </cell>
          <cell r="BU22">
            <v>0</v>
          </cell>
          <cell r="BV22">
            <v>0</v>
          </cell>
          <cell r="BW22">
            <v>0</v>
          </cell>
          <cell r="BX22">
            <v>0</v>
          </cell>
          <cell r="BY22">
            <v>0</v>
          </cell>
          <cell r="BZ22">
            <v>0</v>
          </cell>
          <cell r="CA22">
            <v>0</v>
          </cell>
          <cell r="CB22">
            <v>0</v>
          </cell>
          <cell r="CC22">
            <v>0</v>
          </cell>
          <cell r="CD22">
            <v>0</v>
          </cell>
          <cell r="CE22">
            <v>0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</row>
        <row r="23"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0</v>
          </cell>
          <cell r="BN23">
            <v>0</v>
          </cell>
          <cell r="BO23">
            <v>0</v>
          </cell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A23">
            <v>0</v>
          </cell>
          <cell r="CB23">
            <v>0</v>
          </cell>
          <cell r="CC23">
            <v>0</v>
          </cell>
          <cell r="CD23">
            <v>0</v>
          </cell>
          <cell r="CE23">
            <v>0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</row>
        <row r="24"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>
            <v>0</v>
          </cell>
          <cell r="BE24">
            <v>0</v>
          </cell>
          <cell r="BF24">
            <v>0</v>
          </cell>
          <cell r="BG24">
            <v>0</v>
          </cell>
          <cell r="BH24">
            <v>0</v>
          </cell>
          <cell r="BI24">
            <v>0</v>
          </cell>
          <cell r="BJ24">
            <v>0</v>
          </cell>
          <cell r="BK24">
            <v>0</v>
          </cell>
          <cell r="BL24">
            <v>0</v>
          </cell>
          <cell r="BM24">
            <v>0</v>
          </cell>
          <cell r="BN24">
            <v>0</v>
          </cell>
          <cell r="BO24">
            <v>0</v>
          </cell>
          <cell r="BP24">
            <v>0</v>
          </cell>
          <cell r="BQ24">
            <v>0</v>
          </cell>
          <cell r="BR24">
            <v>0</v>
          </cell>
          <cell r="BS24">
            <v>0</v>
          </cell>
          <cell r="BT24">
            <v>0</v>
          </cell>
          <cell r="BU24">
            <v>0</v>
          </cell>
          <cell r="BV24">
            <v>0</v>
          </cell>
          <cell r="BW24">
            <v>0</v>
          </cell>
          <cell r="BX24">
            <v>0</v>
          </cell>
          <cell r="BY24">
            <v>0</v>
          </cell>
          <cell r="BZ24">
            <v>0</v>
          </cell>
          <cell r="CA24">
            <v>0</v>
          </cell>
          <cell r="CB24">
            <v>0</v>
          </cell>
          <cell r="CC24">
            <v>0</v>
          </cell>
          <cell r="CD24">
            <v>0</v>
          </cell>
          <cell r="CE24">
            <v>0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</row>
        <row r="25"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0</v>
          </cell>
          <cell r="BN25">
            <v>0</v>
          </cell>
          <cell r="BO25">
            <v>0</v>
          </cell>
          <cell r="BP25">
            <v>0</v>
          </cell>
          <cell r="BQ25">
            <v>0</v>
          </cell>
          <cell r="BR25">
            <v>0</v>
          </cell>
          <cell r="BS25">
            <v>0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0</v>
          </cell>
          <cell r="CA25">
            <v>0</v>
          </cell>
          <cell r="CB25">
            <v>0</v>
          </cell>
          <cell r="CC25">
            <v>0</v>
          </cell>
          <cell r="CD25">
            <v>0</v>
          </cell>
          <cell r="CE25">
            <v>0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</row>
        <row r="26"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0</v>
          </cell>
          <cell r="AY26">
            <v>0</v>
          </cell>
          <cell r="AZ26">
            <v>0</v>
          </cell>
          <cell r="BA26">
            <v>0</v>
          </cell>
          <cell r="BB26">
            <v>0</v>
          </cell>
          <cell r="BC26">
            <v>0</v>
          </cell>
          <cell r="BD26">
            <v>0</v>
          </cell>
          <cell r="BE26">
            <v>0</v>
          </cell>
          <cell r="BF26">
            <v>0</v>
          </cell>
          <cell r="BG26">
            <v>0</v>
          </cell>
          <cell r="BH26">
            <v>0</v>
          </cell>
          <cell r="BI26">
            <v>0</v>
          </cell>
          <cell r="BJ26">
            <v>0</v>
          </cell>
          <cell r="BK26">
            <v>0</v>
          </cell>
          <cell r="BL26">
            <v>0</v>
          </cell>
          <cell r="BM26">
            <v>0</v>
          </cell>
          <cell r="BN26">
            <v>0</v>
          </cell>
          <cell r="BO26">
            <v>0</v>
          </cell>
          <cell r="BP26">
            <v>0</v>
          </cell>
          <cell r="BQ26">
            <v>0</v>
          </cell>
          <cell r="BR26">
            <v>0</v>
          </cell>
          <cell r="BS26">
            <v>0</v>
          </cell>
          <cell r="BT26">
            <v>0</v>
          </cell>
          <cell r="BU26">
            <v>0</v>
          </cell>
          <cell r="BV26">
            <v>0</v>
          </cell>
          <cell r="BW26">
            <v>0</v>
          </cell>
          <cell r="BX26">
            <v>0</v>
          </cell>
          <cell r="BY26">
            <v>0</v>
          </cell>
          <cell r="BZ26">
            <v>0</v>
          </cell>
          <cell r="CA26">
            <v>0</v>
          </cell>
          <cell r="CB26">
            <v>0</v>
          </cell>
          <cell r="CC26">
            <v>0</v>
          </cell>
          <cell r="CD26">
            <v>0</v>
          </cell>
          <cell r="CE26">
            <v>0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</row>
        <row r="27"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J27">
            <v>0</v>
          </cell>
          <cell r="BK27">
            <v>0</v>
          </cell>
          <cell r="BL27">
            <v>0</v>
          </cell>
          <cell r="BM27">
            <v>0</v>
          </cell>
          <cell r="BN27">
            <v>0</v>
          </cell>
          <cell r="BO27">
            <v>0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A27">
            <v>0</v>
          </cell>
          <cell r="CB27">
            <v>0</v>
          </cell>
          <cell r="CC27">
            <v>0</v>
          </cell>
          <cell r="CD27">
            <v>0</v>
          </cell>
          <cell r="CE27">
            <v>0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</row>
        <row r="28"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0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0</v>
          </cell>
          <cell r="BF28">
            <v>0</v>
          </cell>
          <cell r="BG28">
            <v>0</v>
          </cell>
          <cell r="BH28">
            <v>0</v>
          </cell>
          <cell r="BI28">
            <v>0</v>
          </cell>
          <cell r="BJ28">
            <v>0</v>
          </cell>
          <cell r="BK28">
            <v>0</v>
          </cell>
          <cell r="BL28">
            <v>0</v>
          </cell>
          <cell r="BM28">
            <v>0</v>
          </cell>
          <cell r="BN28">
            <v>0</v>
          </cell>
          <cell r="BO28">
            <v>0</v>
          </cell>
          <cell r="BP28">
            <v>0</v>
          </cell>
          <cell r="BQ28">
            <v>0</v>
          </cell>
          <cell r="BR28">
            <v>0</v>
          </cell>
          <cell r="BS28">
            <v>0</v>
          </cell>
          <cell r="BT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0</v>
          </cell>
          <cell r="BZ28">
            <v>0</v>
          </cell>
          <cell r="CA28">
            <v>0</v>
          </cell>
          <cell r="CB28">
            <v>0</v>
          </cell>
          <cell r="CC28">
            <v>0</v>
          </cell>
          <cell r="CD28">
            <v>0</v>
          </cell>
          <cell r="CE28">
            <v>0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</row>
        <row r="29"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K29">
            <v>0</v>
          </cell>
          <cell r="BL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T29">
            <v>0</v>
          </cell>
          <cell r="BU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C29">
            <v>0</v>
          </cell>
          <cell r="CD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</row>
        <row r="30"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B30">
            <v>0</v>
          </cell>
          <cell r="BC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T30">
            <v>0</v>
          </cell>
          <cell r="BU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C30">
            <v>0</v>
          </cell>
          <cell r="CD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</row>
        <row r="31"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O31">
            <v>0</v>
          </cell>
          <cell r="BP31">
            <v>0</v>
          </cell>
          <cell r="BQ31">
            <v>0</v>
          </cell>
          <cell r="BR31">
            <v>0</v>
          </cell>
          <cell r="BS31">
            <v>0</v>
          </cell>
          <cell r="BT31">
            <v>0</v>
          </cell>
          <cell r="BU31">
            <v>0</v>
          </cell>
          <cell r="BV31">
            <v>0</v>
          </cell>
          <cell r="BW31">
            <v>0</v>
          </cell>
          <cell r="BX31">
            <v>0</v>
          </cell>
          <cell r="BY31">
            <v>0</v>
          </cell>
          <cell r="BZ31">
            <v>0</v>
          </cell>
          <cell r="CA31">
            <v>0</v>
          </cell>
          <cell r="CB31">
            <v>0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</row>
        <row r="32"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0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0</v>
          </cell>
          <cell r="CA32">
            <v>0</v>
          </cell>
          <cell r="CB32">
            <v>0</v>
          </cell>
          <cell r="CC32">
            <v>0</v>
          </cell>
          <cell r="CD32">
            <v>0</v>
          </cell>
          <cell r="CE32">
            <v>0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</row>
        <row r="33"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0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0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</row>
        <row r="34"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0</v>
          </cell>
          <cell r="AY34">
            <v>0</v>
          </cell>
          <cell r="AZ34">
            <v>0</v>
          </cell>
          <cell r="BA34">
            <v>0</v>
          </cell>
          <cell r="BB34">
            <v>0</v>
          </cell>
          <cell r="BC34">
            <v>0</v>
          </cell>
          <cell r="BD34">
            <v>0</v>
          </cell>
          <cell r="BE34">
            <v>0</v>
          </cell>
          <cell r="BF34">
            <v>0</v>
          </cell>
          <cell r="BG34">
            <v>0</v>
          </cell>
          <cell r="BH34">
            <v>0</v>
          </cell>
          <cell r="BI34">
            <v>0</v>
          </cell>
          <cell r="BJ34">
            <v>0</v>
          </cell>
          <cell r="BK34">
            <v>0</v>
          </cell>
          <cell r="BL34">
            <v>0</v>
          </cell>
          <cell r="BM34">
            <v>0</v>
          </cell>
          <cell r="BN34">
            <v>0</v>
          </cell>
          <cell r="BO34">
            <v>0</v>
          </cell>
          <cell r="BP34">
            <v>0</v>
          </cell>
          <cell r="BQ34">
            <v>0</v>
          </cell>
          <cell r="BR34">
            <v>0</v>
          </cell>
          <cell r="BS34">
            <v>0</v>
          </cell>
          <cell r="BT34">
            <v>0</v>
          </cell>
          <cell r="BU34">
            <v>0</v>
          </cell>
          <cell r="BV34">
            <v>0</v>
          </cell>
          <cell r="BW34">
            <v>0</v>
          </cell>
          <cell r="BX34">
            <v>0</v>
          </cell>
          <cell r="BY34">
            <v>0</v>
          </cell>
          <cell r="BZ34">
            <v>0</v>
          </cell>
          <cell r="CA34">
            <v>0</v>
          </cell>
          <cell r="CB34">
            <v>0</v>
          </cell>
          <cell r="CC34">
            <v>0</v>
          </cell>
          <cell r="CD34">
            <v>0</v>
          </cell>
          <cell r="CE34">
            <v>0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</row>
        <row r="35"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T35">
            <v>0</v>
          </cell>
          <cell r="BU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C35">
            <v>0</v>
          </cell>
          <cell r="CD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</row>
        <row r="36"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K36">
            <v>0</v>
          </cell>
          <cell r="BL36">
            <v>0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C36">
            <v>0</v>
          </cell>
          <cell r="CD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</row>
        <row r="37"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C37">
            <v>0</v>
          </cell>
          <cell r="CD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</row>
        <row r="38"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  <cell r="AZ38">
            <v>0</v>
          </cell>
          <cell r="BA38">
            <v>0</v>
          </cell>
          <cell r="BB38">
            <v>0</v>
          </cell>
          <cell r="BC38">
            <v>0</v>
          </cell>
          <cell r="BD38">
            <v>0</v>
          </cell>
          <cell r="BE38">
            <v>0</v>
          </cell>
          <cell r="BF38">
            <v>0</v>
          </cell>
          <cell r="BG38">
            <v>0</v>
          </cell>
          <cell r="BH38">
            <v>0</v>
          </cell>
          <cell r="BI38">
            <v>0</v>
          </cell>
          <cell r="BJ38">
            <v>0</v>
          </cell>
          <cell r="BK38">
            <v>0</v>
          </cell>
          <cell r="BL38">
            <v>0</v>
          </cell>
          <cell r="BM38">
            <v>0</v>
          </cell>
          <cell r="BN38">
            <v>0</v>
          </cell>
          <cell r="BO38">
            <v>0</v>
          </cell>
          <cell r="BP38">
            <v>0</v>
          </cell>
          <cell r="BQ38">
            <v>0</v>
          </cell>
          <cell r="BR38">
            <v>0</v>
          </cell>
          <cell r="BS38">
            <v>0</v>
          </cell>
          <cell r="BT38">
            <v>0</v>
          </cell>
          <cell r="BU38">
            <v>0</v>
          </cell>
          <cell r="BV38">
            <v>0</v>
          </cell>
          <cell r="BW38">
            <v>0</v>
          </cell>
          <cell r="BX38">
            <v>0</v>
          </cell>
          <cell r="BY38">
            <v>0</v>
          </cell>
          <cell r="BZ38">
            <v>0</v>
          </cell>
          <cell r="CA38">
            <v>0</v>
          </cell>
          <cell r="CB38">
            <v>0</v>
          </cell>
          <cell r="CC38">
            <v>0</v>
          </cell>
          <cell r="CD38">
            <v>0</v>
          </cell>
          <cell r="CE38">
            <v>0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</row>
        <row r="39"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A39">
            <v>0</v>
          </cell>
          <cell r="BB39">
            <v>0</v>
          </cell>
          <cell r="BC39">
            <v>0</v>
          </cell>
          <cell r="BD39">
            <v>0</v>
          </cell>
          <cell r="BE39">
            <v>0</v>
          </cell>
          <cell r="BF39">
            <v>0</v>
          </cell>
          <cell r="BG39">
            <v>0</v>
          </cell>
          <cell r="BH39">
            <v>0</v>
          </cell>
          <cell r="BI39">
            <v>0</v>
          </cell>
          <cell r="BJ39">
            <v>0</v>
          </cell>
          <cell r="BK39">
            <v>0</v>
          </cell>
          <cell r="BL39">
            <v>0</v>
          </cell>
          <cell r="BM39">
            <v>0</v>
          </cell>
          <cell r="BN39">
            <v>0</v>
          </cell>
          <cell r="BO39">
            <v>0</v>
          </cell>
          <cell r="BP39">
            <v>0</v>
          </cell>
          <cell r="BQ39">
            <v>0</v>
          </cell>
          <cell r="BR39">
            <v>0</v>
          </cell>
          <cell r="BS39">
            <v>0</v>
          </cell>
          <cell r="BT39">
            <v>0</v>
          </cell>
          <cell r="BU39">
            <v>0</v>
          </cell>
          <cell r="BV39">
            <v>0</v>
          </cell>
          <cell r="BW39">
            <v>0</v>
          </cell>
          <cell r="BX39">
            <v>0</v>
          </cell>
          <cell r="BY39">
            <v>0</v>
          </cell>
          <cell r="BZ39">
            <v>0</v>
          </cell>
          <cell r="CA39">
            <v>0</v>
          </cell>
          <cell r="CB39">
            <v>0</v>
          </cell>
          <cell r="CC39">
            <v>0</v>
          </cell>
          <cell r="CD39">
            <v>0</v>
          </cell>
          <cell r="CE39">
            <v>0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</row>
        <row r="40"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0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0</v>
          </cell>
          <cell r="BA40">
            <v>0</v>
          </cell>
          <cell r="BB40">
            <v>0</v>
          </cell>
          <cell r="BC40">
            <v>0</v>
          </cell>
          <cell r="BD40">
            <v>0</v>
          </cell>
          <cell r="BE40">
            <v>0</v>
          </cell>
          <cell r="BF40">
            <v>0</v>
          </cell>
          <cell r="BG40">
            <v>0</v>
          </cell>
          <cell r="BH40">
            <v>0</v>
          </cell>
          <cell r="BI40">
            <v>0</v>
          </cell>
          <cell r="BJ40">
            <v>0</v>
          </cell>
          <cell r="BK40">
            <v>0</v>
          </cell>
          <cell r="BL40">
            <v>0</v>
          </cell>
          <cell r="BM40">
            <v>0</v>
          </cell>
          <cell r="BN40">
            <v>0</v>
          </cell>
          <cell r="BO40">
            <v>0</v>
          </cell>
          <cell r="BP40">
            <v>0</v>
          </cell>
          <cell r="BQ40">
            <v>0</v>
          </cell>
          <cell r="BR40">
            <v>0</v>
          </cell>
          <cell r="BS40">
            <v>0</v>
          </cell>
          <cell r="BT40">
            <v>0</v>
          </cell>
          <cell r="BU40">
            <v>0</v>
          </cell>
          <cell r="BV40">
            <v>0</v>
          </cell>
          <cell r="BW40">
            <v>0</v>
          </cell>
          <cell r="BX40">
            <v>0</v>
          </cell>
          <cell r="BY40">
            <v>0</v>
          </cell>
          <cell r="BZ40">
            <v>0</v>
          </cell>
          <cell r="CA40">
            <v>0</v>
          </cell>
          <cell r="CB40">
            <v>0</v>
          </cell>
          <cell r="CC40">
            <v>0</v>
          </cell>
          <cell r="CD40">
            <v>0</v>
          </cell>
          <cell r="CE40">
            <v>0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</row>
        <row r="41"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0</v>
          </cell>
          <cell r="BA41">
            <v>0</v>
          </cell>
          <cell r="BB41">
            <v>0</v>
          </cell>
          <cell r="BC41">
            <v>0</v>
          </cell>
          <cell r="BD41">
            <v>0</v>
          </cell>
          <cell r="BE41">
            <v>0</v>
          </cell>
          <cell r="BF41">
            <v>0</v>
          </cell>
          <cell r="BG41">
            <v>0</v>
          </cell>
          <cell r="BH41">
            <v>0</v>
          </cell>
          <cell r="BI41">
            <v>0</v>
          </cell>
          <cell r="BJ41">
            <v>0</v>
          </cell>
          <cell r="BK41">
            <v>0</v>
          </cell>
          <cell r="BL41">
            <v>0</v>
          </cell>
          <cell r="BM41">
            <v>0</v>
          </cell>
          <cell r="BN41">
            <v>0</v>
          </cell>
          <cell r="BO41">
            <v>0</v>
          </cell>
          <cell r="BP41">
            <v>0</v>
          </cell>
          <cell r="BQ41">
            <v>0</v>
          </cell>
          <cell r="BR41">
            <v>0</v>
          </cell>
          <cell r="BS41">
            <v>0</v>
          </cell>
          <cell r="BT41">
            <v>0</v>
          </cell>
          <cell r="BU41">
            <v>0</v>
          </cell>
          <cell r="BV41">
            <v>0</v>
          </cell>
          <cell r="BW41">
            <v>0</v>
          </cell>
          <cell r="BX41">
            <v>0</v>
          </cell>
          <cell r="BY41">
            <v>0</v>
          </cell>
          <cell r="BZ41">
            <v>0</v>
          </cell>
          <cell r="CA41">
            <v>0</v>
          </cell>
          <cell r="CB41">
            <v>0</v>
          </cell>
          <cell r="CC41">
            <v>0</v>
          </cell>
          <cell r="CD41">
            <v>0</v>
          </cell>
          <cell r="CE41">
            <v>0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</row>
        <row r="42"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B42">
            <v>0</v>
          </cell>
          <cell r="BC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K42">
            <v>0</v>
          </cell>
          <cell r="BL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  <cell r="BT42">
            <v>0</v>
          </cell>
          <cell r="BU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A42">
            <v>0</v>
          </cell>
          <cell r="CB42">
            <v>0</v>
          </cell>
          <cell r="CC42">
            <v>0</v>
          </cell>
          <cell r="CD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</row>
        <row r="43"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K43">
            <v>0</v>
          </cell>
          <cell r="BL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T43">
            <v>0</v>
          </cell>
          <cell r="BU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0</v>
          </cell>
          <cell r="BZ43">
            <v>0</v>
          </cell>
          <cell r="CA43">
            <v>0</v>
          </cell>
          <cell r="CB43">
            <v>0</v>
          </cell>
          <cell r="CC43">
            <v>0</v>
          </cell>
          <cell r="CD43">
            <v>0</v>
          </cell>
          <cell r="CE43">
            <v>0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</row>
        <row r="44"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B44">
            <v>0</v>
          </cell>
          <cell r="BC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  <cell r="BJ44">
            <v>0</v>
          </cell>
          <cell r="BK44">
            <v>0</v>
          </cell>
          <cell r="BL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T44">
            <v>0</v>
          </cell>
          <cell r="BU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0</v>
          </cell>
          <cell r="CB44">
            <v>0</v>
          </cell>
          <cell r="CC44">
            <v>0</v>
          </cell>
          <cell r="CD44">
            <v>0</v>
          </cell>
          <cell r="CE44">
            <v>0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</row>
        <row r="48">
          <cell r="I48">
            <v>0</v>
          </cell>
          <cell r="R48">
            <v>0</v>
          </cell>
          <cell r="AA48">
            <v>0</v>
          </cell>
          <cell r="AJ48">
            <v>0</v>
          </cell>
          <cell r="AS48">
            <v>0</v>
          </cell>
          <cell r="BB48">
            <v>0</v>
          </cell>
          <cell r="BK48">
            <v>0</v>
          </cell>
          <cell r="BT48">
            <v>0</v>
          </cell>
          <cell r="CC48">
            <v>0</v>
          </cell>
        </row>
      </sheetData>
      <sheetData sheetId="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абель"/>
      <sheetName val="Отв. лица"/>
      <sheetName val="Черный ПВС"/>
      <sheetName val="Приход"/>
      <sheetName val="Арматура для СИП"/>
      <sheetName val="Кабель вне сверки"/>
      <sheetName val="Архив"/>
      <sheetName val="Полиэтилен"/>
      <sheetName val="Суперпредложение"/>
      <sheetName val="Супер"/>
      <sheetName val="Спецпредложение ПУГНП"/>
      <sheetName val="ПУГНП"/>
      <sheetName val="Спецпредложение Броня"/>
      <sheetName val="Броня"/>
      <sheetName val="Спец. Рапира"/>
      <sheetName val="Рапира"/>
      <sheetName val="Спец. ЗВИ"/>
      <sheetName val="ЗВИ"/>
      <sheetName val="СИП"/>
      <sheetName val="Спецпредложение СИП"/>
      <sheetName val="Тула-NEW"/>
      <sheetName val="КГ-ХЛ"/>
      <sheetName val="Спецпредложение КГ-ХЛ"/>
      <sheetName val="КГ"/>
      <sheetName val="Спецпредложение КГ"/>
      <sheetName val="Титул"/>
      <sheetName val="Титул (2)"/>
      <sheetName val="Содержание"/>
      <sheetName val="Пр1"/>
      <sheetName val="Пр2"/>
      <sheetName val="Пр3"/>
      <sheetName val="Пр4"/>
      <sheetName val="Пр5"/>
      <sheetName val="Пр6"/>
      <sheetName val="Пр7"/>
      <sheetName val="Пр8"/>
      <sheetName val="Пр9"/>
      <sheetName val="Пр11"/>
      <sheetName val="Пр10"/>
      <sheetName val="Пр20"/>
      <sheetName val="Кабель, провод"/>
      <sheetName val="Техэлектро"/>
      <sheetName val="СпецТехэлектро"/>
      <sheetName val="Закачка Техэлектро"/>
      <sheetName val="Спец. NYM выставка"/>
      <sheetName val="NYM-vyst"/>
      <sheetName val="Сравнение КГ"/>
      <sheetName val="АСМ и РЭК"/>
      <sheetName val="АСМ и Смоленск"/>
    </sheetNames>
    <sheetDataSet>
      <sheetData sheetId="0">
        <row r="1">
          <cell r="A1" t="str">
            <v>Наименование</v>
          </cell>
          <cell r="FQ1" t="str">
            <v>Опт.</v>
          </cell>
        </row>
        <row r="2">
          <cell r="A2" t="str">
            <v>@</v>
          </cell>
          <cell r="FQ2" t="str">
            <v>@</v>
          </cell>
        </row>
        <row r="3">
          <cell r="A3" t="str">
            <v>.</v>
          </cell>
        </row>
        <row r="4">
          <cell r="A4" t="str">
            <v>.</v>
          </cell>
          <cell r="FQ4">
            <v>38889.404290856481</v>
          </cell>
        </row>
        <row r="5">
          <cell r="A5" t="str">
            <v>.</v>
          </cell>
        </row>
        <row r="6">
          <cell r="A6" t="str">
            <v>.</v>
          </cell>
        </row>
        <row r="7">
          <cell r="A7" t="str">
            <v>.</v>
          </cell>
        </row>
        <row r="8">
          <cell r="A8" t="str">
            <v>.</v>
          </cell>
        </row>
        <row r="9">
          <cell r="A9" t="str">
            <v>.</v>
          </cell>
          <cell r="BR9">
            <v>0.01</v>
          </cell>
        </row>
        <row r="10">
          <cell r="A10" t="str">
            <v xml:space="preserve"> Провод медный</v>
          </cell>
        </row>
        <row r="11">
          <cell r="A11" t="str">
            <v>ПУНП 2х1,5</v>
          </cell>
          <cell r="FQ11">
            <v>4.46</v>
          </cell>
        </row>
        <row r="12">
          <cell r="A12" t="str">
            <v>ПУНП 2х2,5</v>
          </cell>
          <cell r="FQ12">
            <v>7.19</v>
          </cell>
        </row>
        <row r="13">
          <cell r="A13" t="str">
            <v>ПУНП 2х4</v>
          </cell>
          <cell r="FQ13">
            <v>11.25</v>
          </cell>
        </row>
        <row r="14">
          <cell r="A14" t="str">
            <v>ПУНП 3х1,5</v>
          </cell>
          <cell r="FQ14">
            <v>6.58</v>
          </cell>
        </row>
        <row r="15">
          <cell r="A15" t="str">
            <v>ПУНП 3х2,5</v>
          </cell>
          <cell r="FQ15">
            <v>10.73</v>
          </cell>
        </row>
        <row r="16">
          <cell r="A16" t="str">
            <v>ПУНП 3х4</v>
          </cell>
          <cell r="FQ16">
            <v>16.579999999999998</v>
          </cell>
        </row>
        <row r="17">
          <cell r="A17" t="str">
            <v>ПУНП 2х1,5+1х1</v>
          </cell>
          <cell r="FQ17">
            <v>6.08</v>
          </cell>
        </row>
        <row r="18">
          <cell r="A18" t="str">
            <v>ПУНП 2х2,5+1х1,5</v>
          </cell>
          <cell r="FQ18">
            <v>8</v>
          </cell>
        </row>
        <row r="19">
          <cell r="A19" t="str">
            <v>ПУНП 2х4+1х2,5</v>
          </cell>
          <cell r="FQ19">
            <v>15.74</v>
          </cell>
        </row>
        <row r="20">
          <cell r="A20" t="str">
            <v>ПУНП (про-во РЭК)</v>
          </cell>
          <cell r="FQ20">
            <v>0</v>
          </cell>
        </row>
        <row r="21">
          <cell r="A21" t="str">
            <v>ПУНП 2х1,5 (пр-во РЭК)</v>
          </cell>
          <cell r="FQ21">
            <v>4.63</v>
          </cell>
        </row>
        <row r="22">
          <cell r="A22" t="str">
            <v>ПУНП 2х2,5 (пр-во РЭК)</v>
          </cell>
          <cell r="FQ22">
            <v>7.35</v>
          </cell>
        </row>
        <row r="23">
          <cell r="A23" t="str">
            <v>ПУНП 2х4 (пр-во РЭК)</v>
          </cell>
          <cell r="FQ23">
            <v>11.25</v>
          </cell>
        </row>
        <row r="24">
          <cell r="A24" t="str">
            <v>ПУНП 3х1,5 (пр-во РЭК)</v>
          </cell>
          <cell r="FQ24">
            <v>6.77</v>
          </cell>
        </row>
        <row r="25">
          <cell r="A25" t="str">
            <v>ПУНП 3х2,5 (пр-во РЭК)</v>
          </cell>
          <cell r="FQ25">
            <v>10.81</v>
          </cell>
        </row>
        <row r="26">
          <cell r="A26" t="str">
            <v>ПУНП 3х4 (пр-во РЭК)</v>
          </cell>
          <cell r="FQ26">
            <v>16.850000000000001</v>
          </cell>
        </row>
        <row r="27">
          <cell r="A27" t="str">
            <v>ПВ-1  0,5</v>
          </cell>
          <cell r="FQ27">
            <v>0.91</v>
          </cell>
        </row>
        <row r="28">
          <cell r="A28" t="str">
            <v>ПВ-1  0,75</v>
          </cell>
          <cell r="FQ28">
            <v>1.31</v>
          </cell>
        </row>
        <row r="29">
          <cell r="A29" t="str">
            <v>ПВ-1  1</v>
          </cell>
          <cell r="FQ29">
            <v>1.66</v>
          </cell>
        </row>
        <row r="30">
          <cell r="A30" t="str">
            <v>ПВ-1  1,5</v>
          </cell>
          <cell r="FQ30">
            <v>2.33</v>
          </cell>
        </row>
        <row r="31">
          <cell r="A31" t="str">
            <v>ПВ-1  2,5</v>
          </cell>
          <cell r="FQ31">
            <v>3.7</v>
          </cell>
        </row>
        <row r="32">
          <cell r="A32" t="str">
            <v>ПВ-1  4</v>
          </cell>
          <cell r="FQ32">
            <v>5.9</v>
          </cell>
        </row>
        <row r="33">
          <cell r="A33" t="str">
            <v>ПВ-1  6</v>
          </cell>
          <cell r="FQ33">
            <v>8.7799999999999994</v>
          </cell>
        </row>
        <row r="34">
          <cell r="A34" t="str">
            <v>ПВ-1 10</v>
          </cell>
          <cell r="FQ34">
            <v>13.98</v>
          </cell>
        </row>
        <row r="35">
          <cell r="A35" t="str">
            <v>ПВ-1 16</v>
          </cell>
          <cell r="FQ35">
            <v>22.19</v>
          </cell>
        </row>
        <row r="36">
          <cell r="A36" t="str">
            <v>ПВ-1 25</v>
          </cell>
          <cell r="FQ36">
            <v>36.5</v>
          </cell>
        </row>
        <row r="37">
          <cell r="A37" t="str">
            <v>ПВ-1 35</v>
          </cell>
          <cell r="FQ37">
            <v>50.55</v>
          </cell>
        </row>
        <row r="38">
          <cell r="A38" t="str">
            <v>ПВ-1 50</v>
          </cell>
          <cell r="FQ38">
            <v>72.599999999999994</v>
          </cell>
        </row>
        <row r="39">
          <cell r="A39" t="str">
            <v>ПВ-1 70</v>
          </cell>
          <cell r="FQ39">
            <v>103.81</v>
          </cell>
        </row>
        <row r="40">
          <cell r="A40" t="str">
            <v>ПВ-1 95</v>
          </cell>
          <cell r="FQ40">
            <v>141</v>
          </cell>
        </row>
        <row r="41">
          <cell r="A41" t="str">
            <v>ПВ-1 120</v>
          </cell>
          <cell r="FQ41">
            <v>171.02</v>
          </cell>
        </row>
        <row r="42">
          <cell r="A42" t="str">
            <v>ППВ 2х1,5</v>
          </cell>
          <cell r="FQ42">
            <v>4.4400000000000004</v>
          </cell>
        </row>
        <row r="43">
          <cell r="A43" t="str">
            <v>ППВ 2х2,5</v>
          </cell>
          <cell r="FQ43">
            <v>7.41</v>
          </cell>
        </row>
        <row r="44">
          <cell r="A44" t="str">
            <v>ППВ 2х4</v>
          </cell>
          <cell r="FQ44">
            <v>11.84</v>
          </cell>
        </row>
        <row r="45">
          <cell r="A45" t="str">
            <v>ППВ 3х1,5</v>
          </cell>
          <cell r="FQ45">
            <v>6.64</v>
          </cell>
        </row>
        <row r="46">
          <cell r="A46" t="str">
            <v>ППВ 3х2,5</v>
          </cell>
          <cell r="FQ46">
            <v>11.09</v>
          </cell>
        </row>
        <row r="47">
          <cell r="A47" t="str">
            <v>ППВ 3х4</v>
          </cell>
          <cell r="FQ47">
            <v>17.760000000000002</v>
          </cell>
        </row>
        <row r="48">
          <cell r="A48" t="str">
            <v xml:space="preserve"> Провод медный гибкий</v>
          </cell>
        </row>
        <row r="49">
          <cell r="A49" t="str">
            <v>ШВП-2 2х0,2</v>
          </cell>
          <cell r="FQ49">
            <v>1.32</v>
          </cell>
        </row>
        <row r="50">
          <cell r="A50" t="str">
            <v>ШВП-2 2х0,35</v>
          </cell>
          <cell r="FQ50">
            <v>1.93</v>
          </cell>
        </row>
        <row r="51">
          <cell r="A51" t="str">
            <v>ШВП-2 2х0,5</v>
          </cell>
          <cell r="FQ51">
            <v>2.35</v>
          </cell>
        </row>
        <row r="52">
          <cell r="A52" t="str">
            <v>ШВП-2 2х0,75</v>
          </cell>
          <cell r="FQ52">
            <v>3.09</v>
          </cell>
        </row>
        <row r="53">
          <cell r="A53" t="str">
            <v>ШВВП 2х0,35</v>
          </cell>
          <cell r="FQ53">
            <v>2.1</v>
          </cell>
        </row>
        <row r="54">
          <cell r="A54" t="str">
            <v>ШВВП 2х0,5</v>
          </cell>
          <cell r="FQ54">
            <v>2.46</v>
          </cell>
        </row>
        <row r="55">
          <cell r="A55" t="str">
            <v>ШВВП 2х0,75</v>
          </cell>
          <cell r="FQ55">
            <v>3.26</v>
          </cell>
        </row>
        <row r="56">
          <cell r="A56" t="str">
            <v>ШВВП 3х0,5</v>
          </cell>
          <cell r="FQ56">
            <v>3.98</v>
          </cell>
        </row>
        <row r="57">
          <cell r="A57" t="str">
            <v>ШВВП 3х0,75</v>
          </cell>
          <cell r="FQ57">
            <v>5.09</v>
          </cell>
        </row>
        <row r="58">
          <cell r="A58" t="str">
            <v>ПУГНП 2х1,5</v>
          </cell>
          <cell r="FQ58">
            <v>5.0599999999999996</v>
          </cell>
        </row>
        <row r="59">
          <cell r="A59" t="str">
            <v>ПУГНП 2х2,5</v>
          </cell>
          <cell r="FQ59">
            <v>8.07</v>
          </cell>
        </row>
        <row r="60">
          <cell r="A60" t="str">
            <v>ПУГНП 2х4</v>
          </cell>
          <cell r="FQ60">
            <v>11.9</v>
          </cell>
        </row>
        <row r="61">
          <cell r="A61" t="str">
            <v>ПУГНП 3х1,5</v>
          </cell>
          <cell r="FQ61">
            <v>7.37</v>
          </cell>
        </row>
        <row r="62">
          <cell r="A62" t="str">
            <v>ПУГНП 3х2,5</v>
          </cell>
          <cell r="FQ62">
            <v>11.79</v>
          </cell>
        </row>
        <row r="63">
          <cell r="A63" t="str">
            <v>ПУГНП 3х4</v>
          </cell>
          <cell r="FQ63">
            <v>18.13</v>
          </cell>
        </row>
        <row r="64">
          <cell r="A64" t="str">
            <v>ПУГНП 2х1,5+1х1</v>
          </cell>
          <cell r="FQ64">
            <v>6.82</v>
          </cell>
        </row>
        <row r="65">
          <cell r="A65" t="str">
            <v>ПУГНП 2х2,5+1х1,5</v>
          </cell>
          <cell r="FQ65">
            <v>10.36</v>
          </cell>
        </row>
        <row r="66">
          <cell r="A66" t="str">
            <v>ПУГНП 2х4+1х2,5</v>
          </cell>
          <cell r="FQ66">
            <v>16.149999999999999</v>
          </cell>
        </row>
        <row r="67">
          <cell r="A67" t="str">
            <v>ПВС 2х0,75</v>
          </cell>
          <cell r="FQ67">
            <v>4.0999999999999996</v>
          </cell>
        </row>
        <row r="68">
          <cell r="A68" t="str">
            <v>ПВС 2х1</v>
          </cell>
          <cell r="FQ68">
            <v>5.28</v>
          </cell>
        </row>
        <row r="69">
          <cell r="A69" t="str">
            <v>ПВС 2х1,5</v>
          </cell>
          <cell r="FQ69">
            <v>7.02</v>
          </cell>
        </row>
        <row r="70">
          <cell r="A70" t="str">
            <v>ПВС 2х2,5</v>
          </cell>
          <cell r="FQ70">
            <v>10.92</v>
          </cell>
        </row>
        <row r="71">
          <cell r="A71" t="str">
            <v>ПВС 2х4</v>
          </cell>
          <cell r="FQ71">
            <v>16.989999999999998</v>
          </cell>
        </row>
        <row r="72">
          <cell r="A72" t="str">
            <v>ПВС 2х6</v>
          </cell>
          <cell r="FQ72">
            <v>23.6</v>
          </cell>
        </row>
        <row r="73">
          <cell r="A73" t="str">
            <v>ПВС 2х10</v>
          </cell>
          <cell r="FQ73">
            <v>37.520000000000003</v>
          </cell>
        </row>
        <row r="74">
          <cell r="A74" t="str">
            <v>ПВС 2х16</v>
          </cell>
          <cell r="FQ74">
            <v>63.11</v>
          </cell>
        </row>
        <row r="75">
          <cell r="A75" t="str">
            <v>ПВС 3х0,75</v>
          </cell>
          <cell r="FQ75">
            <v>5.49</v>
          </cell>
        </row>
        <row r="76">
          <cell r="A76" t="str">
            <v>ПВС 3х1</v>
          </cell>
          <cell r="FQ76">
            <v>7.21</v>
          </cell>
        </row>
        <row r="77">
          <cell r="A77" t="str">
            <v>ПВС 3х1,5</v>
          </cell>
          <cell r="FQ77">
            <v>9.5</v>
          </cell>
        </row>
        <row r="78">
          <cell r="A78" t="str">
            <v>ПВС 3х2,5</v>
          </cell>
          <cell r="FQ78">
            <v>14.95</v>
          </cell>
        </row>
        <row r="79">
          <cell r="A79" t="str">
            <v>ПВС 3х4</v>
          </cell>
          <cell r="FQ79">
            <v>23.45</v>
          </cell>
        </row>
        <row r="80">
          <cell r="A80" t="str">
            <v>ПВС 3х6</v>
          </cell>
          <cell r="FQ80">
            <v>32.92</v>
          </cell>
        </row>
        <row r="81">
          <cell r="A81" t="str">
            <v>ПВС 3х10</v>
          </cell>
          <cell r="FQ81">
            <v>54.3</v>
          </cell>
        </row>
        <row r="82">
          <cell r="A82" t="str">
            <v>ПВС 3х16</v>
          </cell>
          <cell r="FQ82">
            <v>92.68</v>
          </cell>
        </row>
        <row r="83">
          <cell r="A83" t="str">
            <v>ПВС 4х0,75</v>
          </cell>
          <cell r="FQ83">
            <v>6.98</v>
          </cell>
        </row>
        <row r="84">
          <cell r="A84" t="str">
            <v>ПВС 4х1</v>
          </cell>
          <cell r="FQ84">
            <v>9.5299999999999994</v>
          </cell>
        </row>
        <row r="85">
          <cell r="A85" t="str">
            <v>ПВС 4х1,5</v>
          </cell>
          <cell r="FQ85">
            <v>12.75</v>
          </cell>
        </row>
        <row r="86">
          <cell r="A86" t="str">
            <v>ПВС 4х2,5</v>
          </cell>
          <cell r="FQ86">
            <v>19.78</v>
          </cell>
        </row>
        <row r="87">
          <cell r="A87" t="str">
            <v>ПВС 4х4</v>
          </cell>
          <cell r="FQ87">
            <v>30.77</v>
          </cell>
        </row>
        <row r="88">
          <cell r="A88" t="str">
            <v>ПВС 4х6</v>
          </cell>
          <cell r="FQ88">
            <v>43.11</v>
          </cell>
        </row>
        <row r="89">
          <cell r="A89" t="str">
            <v>ПВС 4х10</v>
          </cell>
          <cell r="FQ89">
            <v>69.760000000000005</v>
          </cell>
        </row>
        <row r="90">
          <cell r="A90" t="str">
            <v>ПВС 4х16</v>
          </cell>
          <cell r="FQ90">
            <v>119.98</v>
          </cell>
        </row>
        <row r="91">
          <cell r="A91" t="str">
            <v>ПВС 5х0,75</v>
          </cell>
          <cell r="FQ91">
            <v>8.9</v>
          </cell>
        </row>
        <row r="92">
          <cell r="A92" t="str">
            <v>ПВС 5х1</v>
          </cell>
          <cell r="FQ92">
            <v>11.91</v>
          </cell>
        </row>
        <row r="93">
          <cell r="A93" t="str">
            <v>ПВС 5х1,5</v>
          </cell>
          <cell r="FQ93">
            <v>16.170000000000002</v>
          </cell>
        </row>
        <row r="94">
          <cell r="A94" t="str">
            <v>ПВС 5х2,5</v>
          </cell>
          <cell r="FQ94">
            <v>25.04</v>
          </cell>
        </row>
        <row r="95">
          <cell r="A95" t="str">
            <v>ПВС 5х4</v>
          </cell>
          <cell r="FQ95">
            <v>38.61</v>
          </cell>
        </row>
        <row r="96">
          <cell r="A96" t="str">
            <v>ПВС 5х6</v>
          </cell>
          <cell r="FQ96">
            <v>54.07</v>
          </cell>
        </row>
        <row r="97">
          <cell r="A97" t="str">
            <v>ПВС 5х10</v>
          </cell>
          <cell r="FQ97">
            <v>86.02</v>
          </cell>
        </row>
        <row r="98">
          <cell r="A98" t="str">
            <v>ПВС 5х16</v>
          </cell>
          <cell r="FQ98">
            <v>150.56</v>
          </cell>
        </row>
        <row r="99">
          <cell r="A99" t="str">
            <v>ПВ-3  0,5</v>
          </cell>
          <cell r="FQ99">
            <v>0.98</v>
          </cell>
        </row>
        <row r="100">
          <cell r="A100" t="str">
            <v>ПВ-3  0,75</v>
          </cell>
          <cell r="FQ100">
            <v>1.36</v>
          </cell>
        </row>
        <row r="101">
          <cell r="A101" t="str">
            <v>ПВ-3  1</v>
          </cell>
          <cell r="FQ101">
            <v>1.69</v>
          </cell>
        </row>
        <row r="102">
          <cell r="A102" t="str">
            <v>ПВ-3  1,5</v>
          </cell>
          <cell r="FQ102">
            <v>2.4300000000000002</v>
          </cell>
        </row>
        <row r="103">
          <cell r="A103" t="str">
            <v>ПВ-3  2,5</v>
          </cell>
          <cell r="FQ103">
            <v>4.07</v>
          </cell>
        </row>
        <row r="104">
          <cell r="A104" t="str">
            <v>ПВ-3  4</v>
          </cell>
          <cell r="FQ104">
            <v>6.11</v>
          </cell>
        </row>
        <row r="105">
          <cell r="A105" t="str">
            <v>ПВ-3  6</v>
          </cell>
          <cell r="FQ105">
            <v>9.26</v>
          </cell>
        </row>
        <row r="106">
          <cell r="A106" t="str">
            <v>ПВ-3 10</v>
          </cell>
          <cell r="FQ106">
            <v>15.32</v>
          </cell>
        </row>
        <row r="107">
          <cell r="A107" t="str">
            <v>ПВ-3 16</v>
          </cell>
          <cell r="FQ107">
            <v>25.52</v>
          </cell>
        </row>
        <row r="108">
          <cell r="A108" t="str">
            <v>ПВ-3 25</v>
          </cell>
          <cell r="FQ108">
            <v>37.5</v>
          </cell>
        </row>
        <row r="109">
          <cell r="A109" t="str">
            <v>ПВ-3 35</v>
          </cell>
          <cell r="FQ109">
            <v>52.65</v>
          </cell>
        </row>
        <row r="110">
          <cell r="A110" t="str">
            <v>ПВ-3 50</v>
          </cell>
          <cell r="FQ110">
            <v>73.92</v>
          </cell>
        </row>
        <row r="111">
          <cell r="A111" t="str">
            <v>ПВ-3 70</v>
          </cell>
          <cell r="FQ111">
            <v>105.82</v>
          </cell>
        </row>
        <row r="112">
          <cell r="A112" t="str">
            <v>ПВ-3 95</v>
          </cell>
          <cell r="FQ112">
            <v>146.75</v>
          </cell>
        </row>
        <row r="113">
          <cell r="A113" t="str">
            <v>ПВ-3 120</v>
          </cell>
          <cell r="FQ113">
            <v>191.17</v>
          </cell>
        </row>
        <row r="114">
          <cell r="A114" t="str">
            <v>ПВ-3 150</v>
          </cell>
          <cell r="FQ114">
            <v>246.8</v>
          </cell>
        </row>
        <row r="115">
          <cell r="A115" t="str">
            <v>ПВ-3 185</v>
          </cell>
          <cell r="FQ115">
            <v>333.8</v>
          </cell>
        </row>
        <row r="116">
          <cell r="A116" t="str">
            <v>ПВ-3 240</v>
          </cell>
          <cell r="FQ116">
            <v>399.59</v>
          </cell>
        </row>
        <row r="117">
          <cell r="A117" t="str">
            <v xml:space="preserve"> Провод алюминиевый</v>
          </cell>
          <cell r="FQ117">
            <v>0</v>
          </cell>
        </row>
        <row r="118">
          <cell r="A118" t="str">
            <v>АПВ 2,5</v>
          </cell>
          <cell r="FQ118">
            <v>0.91</v>
          </cell>
        </row>
        <row r="119">
          <cell r="A119" t="str">
            <v>АПВ 4</v>
          </cell>
          <cell r="FQ119">
            <v>1.35</v>
          </cell>
        </row>
        <row r="120">
          <cell r="A120" t="str">
            <v>АПВ 6</v>
          </cell>
          <cell r="FQ120">
            <v>1.9</v>
          </cell>
        </row>
        <row r="121">
          <cell r="A121" t="str">
            <v>АПВ 10</v>
          </cell>
          <cell r="FQ121">
            <v>3.1</v>
          </cell>
        </row>
        <row r="122">
          <cell r="A122" t="str">
            <v>АПВ 16</v>
          </cell>
          <cell r="FQ122">
            <v>4.63</v>
          </cell>
        </row>
        <row r="123">
          <cell r="A123" t="str">
            <v>АПВ 25</v>
          </cell>
          <cell r="FQ123">
            <v>7.29</v>
          </cell>
        </row>
        <row r="124">
          <cell r="A124" t="str">
            <v>АПВ 35</v>
          </cell>
          <cell r="FQ124">
            <v>10.65</v>
          </cell>
        </row>
        <row r="125">
          <cell r="A125" t="str">
            <v>АПВ 50</v>
          </cell>
          <cell r="FQ125">
            <v>14.42</v>
          </cell>
        </row>
        <row r="126">
          <cell r="A126" t="str">
            <v>АПВ 70</v>
          </cell>
          <cell r="FQ126">
            <v>20.64</v>
          </cell>
        </row>
        <row r="127">
          <cell r="A127" t="str">
            <v>АПВ 95</v>
          </cell>
          <cell r="FQ127">
            <v>28.71</v>
          </cell>
        </row>
        <row r="128">
          <cell r="A128" t="str">
            <v>АПВ 120</v>
          </cell>
          <cell r="FQ128">
            <v>34.42</v>
          </cell>
        </row>
        <row r="129">
          <cell r="A129" t="str">
            <v>АППВ 2х2,5</v>
          </cell>
          <cell r="FQ129">
            <v>1.88</v>
          </cell>
        </row>
        <row r="130">
          <cell r="A130" t="str">
            <v>АППВ 2х4</v>
          </cell>
          <cell r="FQ130">
            <v>2.74</v>
          </cell>
        </row>
        <row r="131">
          <cell r="A131" t="str">
            <v>АППВ 3х2,5</v>
          </cell>
          <cell r="FQ131">
            <v>2.79</v>
          </cell>
        </row>
        <row r="132">
          <cell r="A132" t="str">
            <v>АППВ 3х4</v>
          </cell>
          <cell r="FQ132">
            <v>4.13</v>
          </cell>
        </row>
        <row r="133">
          <cell r="A133" t="str">
            <v>АПУНП 2х2,5</v>
          </cell>
          <cell r="FQ133">
            <v>2.2799999999999998</v>
          </cell>
        </row>
        <row r="134">
          <cell r="A134" t="str">
            <v>АПУНП 2х4</v>
          </cell>
          <cell r="FQ134">
            <v>3.24</v>
          </cell>
        </row>
        <row r="135">
          <cell r="A135" t="str">
            <v>АПУНП 3х2,5</v>
          </cell>
          <cell r="FQ135">
            <v>3.27</v>
          </cell>
        </row>
        <row r="136">
          <cell r="A136" t="str">
            <v>АПУНП 3х4</v>
          </cell>
          <cell r="FQ136">
            <v>4.74</v>
          </cell>
        </row>
        <row r="137">
          <cell r="A137" t="str">
            <v xml:space="preserve"> Кабель медный гибкий</v>
          </cell>
        </row>
        <row r="138">
          <cell r="A138" t="str">
            <v>КГ 1х10</v>
          </cell>
        </row>
        <row r="139">
          <cell r="A139" t="str">
            <v>КГ 1х16</v>
          </cell>
        </row>
        <row r="140">
          <cell r="A140" t="str">
            <v>КГ 1х25</v>
          </cell>
        </row>
        <row r="141">
          <cell r="A141" t="str">
            <v>КГ 1х35</v>
          </cell>
        </row>
        <row r="142">
          <cell r="A142" t="str">
            <v>КГ 1х50</v>
          </cell>
        </row>
        <row r="143">
          <cell r="A143" t="str">
            <v>КГ 1х70</v>
          </cell>
        </row>
        <row r="144">
          <cell r="A144" t="str">
            <v>КГ 1х95</v>
          </cell>
        </row>
        <row r="145">
          <cell r="A145" t="str">
            <v>КГ 1х120</v>
          </cell>
        </row>
        <row r="146">
          <cell r="A146" t="str">
            <v>КГ 1х150</v>
          </cell>
        </row>
        <row r="147">
          <cell r="A147" t="str">
            <v>КГ 1х185</v>
          </cell>
        </row>
        <row r="148">
          <cell r="A148" t="str">
            <v>КГ 1х240</v>
          </cell>
        </row>
        <row r="149">
          <cell r="A149" t="str">
            <v>КГ 2х0,75</v>
          </cell>
        </row>
        <row r="150">
          <cell r="A150" t="str">
            <v>КГ 2х1</v>
          </cell>
        </row>
        <row r="151">
          <cell r="A151" t="str">
            <v>КГ 2х1,5</v>
          </cell>
        </row>
        <row r="152">
          <cell r="A152" t="str">
            <v>КГ 2х2,5</v>
          </cell>
        </row>
        <row r="153">
          <cell r="A153" t="str">
            <v>КГ 2х4</v>
          </cell>
        </row>
        <row r="154">
          <cell r="A154" t="str">
            <v>КГ 2х6</v>
          </cell>
        </row>
        <row r="155">
          <cell r="A155" t="str">
            <v>КГ 3х0,75</v>
          </cell>
        </row>
        <row r="156">
          <cell r="A156" t="str">
            <v>КГ 3х1</v>
          </cell>
        </row>
        <row r="157">
          <cell r="A157" t="str">
            <v>КГ 3х1,5</v>
          </cell>
        </row>
        <row r="158">
          <cell r="A158" t="str">
            <v>КГ 3х2,5</v>
          </cell>
        </row>
        <row r="159">
          <cell r="A159" t="str">
            <v>КГ 3х4</v>
          </cell>
        </row>
        <row r="160">
          <cell r="A160" t="str">
            <v>КГ 3х6</v>
          </cell>
        </row>
        <row r="161">
          <cell r="A161" t="str">
            <v>КГ 3х10</v>
          </cell>
        </row>
        <row r="162">
          <cell r="A162" t="str">
            <v>КГ 3х0,75+1х0,75</v>
          </cell>
        </row>
        <row r="163">
          <cell r="A163" t="str">
            <v>КГ 3х1,5+1х1,5</v>
          </cell>
        </row>
        <row r="164">
          <cell r="A164" t="str">
            <v>КГ 3х2,5+1х1,5</v>
          </cell>
        </row>
        <row r="165">
          <cell r="A165" t="str">
            <v>КГ 3х4+1х2,5</v>
          </cell>
        </row>
        <row r="166">
          <cell r="A166" t="str">
            <v>КГ 3х6+1х4</v>
          </cell>
        </row>
        <row r="167">
          <cell r="A167" t="str">
            <v>КГ 3х10+1х6</v>
          </cell>
        </row>
        <row r="168">
          <cell r="A168" t="str">
            <v>КГ 3х16+1х6</v>
          </cell>
        </row>
        <row r="169">
          <cell r="A169" t="str">
            <v>КГ 3х25+1х10</v>
          </cell>
        </row>
        <row r="170">
          <cell r="A170" t="str">
            <v>КГ 3х35+1х10</v>
          </cell>
        </row>
        <row r="171">
          <cell r="A171" t="str">
            <v>КГ 3х50+1х16</v>
          </cell>
        </row>
        <row r="172">
          <cell r="A172" t="str">
            <v>КГ 3х70+1х25</v>
          </cell>
        </row>
        <row r="173">
          <cell r="A173" t="str">
            <v>КГ 3х95+1х35</v>
          </cell>
        </row>
        <row r="174">
          <cell r="A174" t="str">
            <v>КГ 3х120+1х35</v>
          </cell>
        </row>
        <row r="175">
          <cell r="A175" t="str">
            <v>КГ 3х150+1х50</v>
          </cell>
        </row>
        <row r="176">
          <cell r="A176" t="str">
            <v>КГ 3х185+1х95</v>
          </cell>
        </row>
        <row r="177">
          <cell r="A177" t="str">
            <v>КГ 4х1</v>
          </cell>
        </row>
        <row r="178">
          <cell r="A178" t="str">
            <v>КГ 4х1,5</v>
          </cell>
        </row>
        <row r="179">
          <cell r="A179" t="str">
            <v>КГ 4х2,5</v>
          </cell>
        </row>
        <row r="180">
          <cell r="A180" t="str">
            <v>КГ 4х4</v>
          </cell>
        </row>
        <row r="181">
          <cell r="A181" t="str">
            <v>КГ 4х6</v>
          </cell>
        </row>
        <row r="182">
          <cell r="A182" t="str">
            <v>КГ 4х10</v>
          </cell>
        </row>
        <row r="183">
          <cell r="A183" t="str">
            <v>КГ 4х16</v>
          </cell>
        </row>
        <row r="184">
          <cell r="A184" t="str">
            <v>КГ 4х25</v>
          </cell>
        </row>
        <row r="185">
          <cell r="A185" t="str">
            <v>КГ 4х35</v>
          </cell>
        </row>
        <row r="186">
          <cell r="A186" t="str">
            <v>КГ 4х50</v>
          </cell>
        </row>
        <row r="187">
          <cell r="A187" t="str">
            <v>КГ 4х70</v>
          </cell>
        </row>
        <row r="188">
          <cell r="A188" t="str">
            <v>КГ 5х1</v>
          </cell>
        </row>
        <row r="189">
          <cell r="A189" t="str">
            <v>КГ 5х1,5</v>
          </cell>
        </row>
        <row r="190">
          <cell r="A190" t="str">
            <v>КГ 5х2,5</v>
          </cell>
        </row>
        <row r="191">
          <cell r="A191" t="str">
            <v>КГ 5х4</v>
          </cell>
        </row>
        <row r="192">
          <cell r="A192" t="str">
            <v>КГ 5х6</v>
          </cell>
        </row>
        <row r="193">
          <cell r="A193" t="str">
            <v>КГ 5х10</v>
          </cell>
        </row>
        <row r="194">
          <cell r="A194" t="str">
            <v>КГ 5х16</v>
          </cell>
        </row>
        <row r="195">
          <cell r="A195" t="str">
            <v>КГ 5х25</v>
          </cell>
        </row>
        <row r="196">
          <cell r="A196" t="str">
            <v>КГ 5х35</v>
          </cell>
        </row>
        <row r="197">
          <cell r="A197" t="str">
            <v>КГ 5х50</v>
          </cell>
        </row>
        <row r="198">
          <cell r="A198" t="str">
            <v>КГ 5х70</v>
          </cell>
        </row>
        <row r="199">
          <cell r="A199" t="str">
            <v>КГ-ХЛ 1х10</v>
          </cell>
        </row>
        <row r="200">
          <cell r="A200" t="str">
            <v>КГ-ХЛ 1х16</v>
          </cell>
        </row>
        <row r="201">
          <cell r="A201" t="str">
            <v>КГ-ХЛ 1х25</v>
          </cell>
        </row>
        <row r="202">
          <cell r="A202" t="str">
            <v>КГ-ХЛ 1х35</v>
          </cell>
        </row>
        <row r="203">
          <cell r="A203" t="str">
            <v>КГ-ХЛ 1х50</v>
          </cell>
        </row>
        <row r="204">
          <cell r="A204" t="str">
            <v>КГ-ХЛ 1х70</v>
          </cell>
        </row>
        <row r="205">
          <cell r="A205" t="str">
            <v>КГ-ХЛ 1х95</v>
          </cell>
        </row>
        <row r="206">
          <cell r="A206" t="str">
            <v>КГ-ХЛ 1х120</v>
          </cell>
        </row>
        <row r="207">
          <cell r="A207" t="str">
            <v>КГ-ХЛ 1х150</v>
          </cell>
        </row>
        <row r="208">
          <cell r="A208" t="str">
            <v>КГ-ХЛ 1х240</v>
          </cell>
        </row>
        <row r="209">
          <cell r="A209" t="str">
            <v>КГ-ХЛ 2х0,75</v>
          </cell>
        </row>
        <row r="210">
          <cell r="A210" t="str">
            <v>КГ-ХЛ 2х1</v>
          </cell>
        </row>
        <row r="211">
          <cell r="A211" t="str">
            <v>КГ-ХЛ 2х1,5</v>
          </cell>
        </row>
        <row r="212">
          <cell r="A212" t="str">
            <v>КГ-ХЛ 2х2,5</v>
          </cell>
        </row>
        <row r="213">
          <cell r="A213" t="str">
            <v>КГ-ХЛ 2х4</v>
          </cell>
        </row>
        <row r="214">
          <cell r="A214" t="str">
            <v>КГ-ХЛ 2х6</v>
          </cell>
        </row>
        <row r="215">
          <cell r="A215" t="str">
            <v>КГ-ХЛ 3х1</v>
          </cell>
        </row>
        <row r="216">
          <cell r="A216" t="str">
            <v>КГ-ХЛ 3х1,5</v>
          </cell>
        </row>
        <row r="217">
          <cell r="A217" t="str">
            <v>КГ-ХЛ 3х2,5</v>
          </cell>
        </row>
        <row r="218">
          <cell r="A218" t="str">
            <v>КГ-ХЛ 3х4</v>
          </cell>
        </row>
        <row r="219">
          <cell r="A219" t="str">
            <v>КГ-ХЛ 3х6</v>
          </cell>
        </row>
        <row r="220">
          <cell r="A220" t="str">
            <v>КГ-ХЛ 3х1,5+1х1,5</v>
          </cell>
        </row>
        <row r="221">
          <cell r="A221" t="str">
            <v>КГ-ХЛ 3х2,5+1х1,5</v>
          </cell>
        </row>
        <row r="222">
          <cell r="A222" t="str">
            <v>КГ-ХЛ 3х4+1х2,5</v>
          </cell>
        </row>
        <row r="223">
          <cell r="A223" t="str">
            <v>КГ-ХЛ 3х6+1х4</v>
          </cell>
        </row>
        <row r="224">
          <cell r="A224" t="str">
            <v>КГ-ХЛ 3х10+1х6</v>
          </cell>
        </row>
        <row r="225">
          <cell r="A225" t="str">
            <v>КГ-ХЛ 3х16+1х6</v>
          </cell>
        </row>
        <row r="226">
          <cell r="A226" t="str">
            <v>КГ-ХЛ 3х25+1х10</v>
          </cell>
        </row>
        <row r="227">
          <cell r="A227" t="str">
            <v>КГ-ХЛ 3х35+1х10</v>
          </cell>
        </row>
        <row r="228">
          <cell r="A228" t="str">
            <v>КГ-ХЛ 3х50+1х16</v>
          </cell>
        </row>
        <row r="229">
          <cell r="A229" t="str">
            <v>КГ-ХЛ 3х70+1х25</v>
          </cell>
        </row>
        <row r="230">
          <cell r="A230" t="str">
            <v>КГ-ХЛ 3х95+1х35</v>
          </cell>
        </row>
        <row r="231">
          <cell r="A231" t="str">
            <v>КГ-ХЛ 3х120+1х35</v>
          </cell>
        </row>
        <row r="232">
          <cell r="A232" t="str">
            <v>КГ-ХЛ 3х150+1х50</v>
          </cell>
        </row>
        <row r="233">
          <cell r="A233" t="str">
            <v>КГ-ХЛ 4х1</v>
          </cell>
        </row>
        <row r="234">
          <cell r="A234" t="str">
            <v>КГ-ХЛ 4х1,5</v>
          </cell>
        </row>
        <row r="235">
          <cell r="A235" t="str">
            <v>КГ-ХЛ 4х2,5</v>
          </cell>
        </row>
        <row r="236">
          <cell r="A236" t="str">
            <v>КГ-ХЛ 4х4</v>
          </cell>
        </row>
        <row r="237">
          <cell r="A237" t="str">
            <v>КГ-ХЛ 4х6</v>
          </cell>
        </row>
        <row r="238">
          <cell r="A238" t="str">
            <v>КГ-ХЛ 4х10</v>
          </cell>
        </row>
        <row r="239">
          <cell r="A239" t="str">
            <v>КГ-ХЛ 4х16</v>
          </cell>
        </row>
        <row r="240">
          <cell r="A240" t="str">
            <v>КГ-ХЛ 4х25</v>
          </cell>
        </row>
        <row r="241">
          <cell r="A241" t="str">
            <v>КГ-ХЛ 4х35</v>
          </cell>
        </row>
        <row r="242">
          <cell r="A242" t="str">
            <v>КГ-ХЛ 4х50</v>
          </cell>
        </row>
        <row r="243">
          <cell r="A243" t="str">
            <v>КГ-ХЛ 4х70</v>
          </cell>
        </row>
        <row r="244">
          <cell r="A244" t="str">
            <v>КГ-ХЛ 5х1</v>
          </cell>
        </row>
        <row r="245">
          <cell r="A245" t="str">
            <v>КГ-ХЛ 5х1,5</v>
          </cell>
        </row>
        <row r="246">
          <cell r="A246" t="str">
            <v>КГ-ХЛ 5х2,5</v>
          </cell>
        </row>
        <row r="247">
          <cell r="A247" t="str">
            <v>КГ-ХЛ 5х4</v>
          </cell>
        </row>
        <row r="248">
          <cell r="A248" t="str">
            <v>КГ-ХЛ 5х6</v>
          </cell>
        </row>
        <row r="249">
          <cell r="A249" t="str">
            <v>КГ-ХЛ 5х10</v>
          </cell>
        </row>
        <row r="250">
          <cell r="A250" t="str">
            <v>КГ-ХЛ 5х16</v>
          </cell>
        </row>
        <row r="251">
          <cell r="A251" t="str">
            <v>КГ-ХЛ 5х25</v>
          </cell>
        </row>
        <row r="252">
          <cell r="A252" t="str">
            <v>КГ-ХЛ 5х35</v>
          </cell>
        </row>
        <row r="253">
          <cell r="A253" t="str">
            <v>КГ-ХЛ 5х50</v>
          </cell>
        </row>
        <row r="254">
          <cell r="A254" t="str">
            <v>КГ-ХЛ 5х70</v>
          </cell>
        </row>
        <row r="255">
          <cell r="A255" t="str">
            <v>КГЭ-ХЛ 3х10+1х6</v>
          </cell>
        </row>
        <row r="256">
          <cell r="A256" t="str">
            <v>КГЭ-ХЛ 3х16+1х6</v>
          </cell>
        </row>
        <row r="257">
          <cell r="A257" t="str">
            <v>КГЭ-ХЛ 3х25+1х10</v>
          </cell>
        </row>
        <row r="258">
          <cell r="A258" t="str">
            <v>КГЭ-ХЛ 3х35+1х10</v>
          </cell>
        </row>
        <row r="259">
          <cell r="A259" t="str">
            <v>КГЭ-ХЛ 3х50+1х16</v>
          </cell>
        </row>
        <row r="260">
          <cell r="A260" t="str">
            <v>КГЭ-ХЛ 3х70+1х25</v>
          </cell>
        </row>
        <row r="261">
          <cell r="A261" t="str">
            <v>КГЭ-ХЛ 3х120+1х35</v>
          </cell>
        </row>
        <row r="262">
          <cell r="A262" t="str">
            <v>КГЭ-ХЛ 3х150+1х50</v>
          </cell>
        </row>
        <row r="263">
          <cell r="A263" t="str">
            <v>КГН 1х10</v>
          </cell>
        </row>
        <row r="264">
          <cell r="A264" t="str">
            <v>КГН 1х16</v>
          </cell>
        </row>
        <row r="265">
          <cell r="A265" t="str">
            <v>КГН 1х25</v>
          </cell>
        </row>
        <row r="266">
          <cell r="A266" t="str">
            <v>КГН 1х35</v>
          </cell>
        </row>
        <row r="267">
          <cell r="A267" t="str">
            <v>КГН 1х50</v>
          </cell>
        </row>
        <row r="268">
          <cell r="A268" t="str">
            <v>КГН 1х70</v>
          </cell>
        </row>
        <row r="269">
          <cell r="A269" t="str">
            <v>КГН 1х95</v>
          </cell>
        </row>
        <row r="270">
          <cell r="A270" t="str">
            <v>КГН 1х120</v>
          </cell>
        </row>
        <row r="271">
          <cell r="A271" t="str">
            <v>КГН 1х150</v>
          </cell>
        </row>
        <row r="272">
          <cell r="A272" t="str">
            <v>КГН 1х185</v>
          </cell>
        </row>
        <row r="273">
          <cell r="A273" t="str">
            <v>КГН 1х240</v>
          </cell>
        </row>
        <row r="274">
          <cell r="A274" t="str">
            <v>КГН 2х0,75</v>
          </cell>
        </row>
        <row r="275">
          <cell r="A275" t="str">
            <v>КГН 2х1</v>
          </cell>
        </row>
        <row r="276">
          <cell r="A276" t="str">
            <v>КГН 2х1,5</v>
          </cell>
        </row>
        <row r="277">
          <cell r="A277" t="str">
            <v>КГН 2х2,5</v>
          </cell>
        </row>
        <row r="278">
          <cell r="A278" t="str">
            <v>КГН 2х4</v>
          </cell>
        </row>
        <row r="279">
          <cell r="A279" t="str">
            <v>КГН 2х6</v>
          </cell>
        </row>
        <row r="280">
          <cell r="A280" t="str">
            <v>КГН 3х0,75</v>
          </cell>
        </row>
        <row r="281">
          <cell r="A281" t="str">
            <v>КГН 3х1</v>
          </cell>
        </row>
        <row r="282">
          <cell r="A282" t="str">
            <v>КГН 3х1,5</v>
          </cell>
        </row>
        <row r="283">
          <cell r="A283" t="str">
            <v>КГН 3х2,5</v>
          </cell>
        </row>
        <row r="284">
          <cell r="A284" t="str">
            <v>КГН 3х4</v>
          </cell>
        </row>
        <row r="285">
          <cell r="A285" t="str">
            <v>КГН 3х6</v>
          </cell>
        </row>
        <row r="286">
          <cell r="A286" t="str">
            <v>КГН 3х10</v>
          </cell>
        </row>
        <row r="287">
          <cell r="A287" t="str">
            <v>КГН 3х0,75+1х0,75</v>
          </cell>
        </row>
        <row r="288">
          <cell r="A288" t="str">
            <v>КГН 3х1,5+1х1,5</v>
          </cell>
        </row>
        <row r="289">
          <cell r="A289" t="str">
            <v>КГН 3х2,5+1х1,5</v>
          </cell>
        </row>
        <row r="290">
          <cell r="A290" t="str">
            <v>КГН 3х4+1х2,5</v>
          </cell>
        </row>
        <row r="291">
          <cell r="A291" t="str">
            <v>КГН 3х6+1х4</v>
          </cell>
        </row>
        <row r="292">
          <cell r="A292" t="str">
            <v>КГН 3х10+1х6</v>
          </cell>
        </row>
        <row r="293">
          <cell r="A293" t="str">
            <v>КГН 3х16+1х6</v>
          </cell>
        </row>
        <row r="294">
          <cell r="A294" t="str">
            <v>КГН 3х25+1х10</v>
          </cell>
        </row>
        <row r="295">
          <cell r="A295" t="str">
            <v>КГН 3х35+1х10</v>
          </cell>
        </row>
        <row r="296">
          <cell r="A296" t="str">
            <v>КГН 3х50+1х16</v>
          </cell>
        </row>
        <row r="297">
          <cell r="A297" t="str">
            <v>КГН 3х70+1х25</v>
          </cell>
        </row>
        <row r="298">
          <cell r="A298" t="str">
            <v>КГН 3х95+1х35</v>
          </cell>
        </row>
        <row r="299">
          <cell r="A299" t="str">
            <v>КГН 3х120+1х35</v>
          </cell>
        </row>
        <row r="300">
          <cell r="A300" t="str">
            <v>КГН 3х150+1х50</v>
          </cell>
        </row>
        <row r="301">
          <cell r="A301" t="str">
            <v>КГН 4х1</v>
          </cell>
        </row>
        <row r="302">
          <cell r="A302" t="str">
            <v>КГН 4х1,5</v>
          </cell>
        </row>
        <row r="303">
          <cell r="A303" t="str">
            <v>КГН 4х2,5</v>
          </cell>
        </row>
        <row r="304">
          <cell r="A304" t="str">
            <v>КГН 4х4</v>
          </cell>
        </row>
        <row r="305">
          <cell r="A305" t="str">
            <v>КГН 4х6</v>
          </cell>
        </row>
        <row r="306">
          <cell r="A306" t="str">
            <v>КГН 4х10</v>
          </cell>
        </row>
        <row r="307">
          <cell r="A307" t="str">
            <v>КГН 4х16</v>
          </cell>
        </row>
        <row r="308">
          <cell r="A308" t="str">
            <v>КГН 4х25</v>
          </cell>
        </row>
        <row r="309">
          <cell r="A309" t="str">
            <v>КГН 4х35</v>
          </cell>
        </row>
        <row r="310">
          <cell r="A310" t="str">
            <v>КГН 4х50</v>
          </cell>
        </row>
        <row r="311">
          <cell r="A311" t="str">
            <v>КГН 4х70</v>
          </cell>
        </row>
        <row r="312">
          <cell r="A312" t="str">
            <v>КГН 5х1</v>
          </cell>
        </row>
        <row r="313">
          <cell r="A313" t="str">
            <v>КГН 5х1,5</v>
          </cell>
        </row>
        <row r="314">
          <cell r="A314" t="str">
            <v>КГН 5х2,5</v>
          </cell>
        </row>
        <row r="315">
          <cell r="A315" t="str">
            <v>КГН 5х4</v>
          </cell>
        </row>
        <row r="316">
          <cell r="A316" t="str">
            <v>КГН 5х6</v>
          </cell>
        </row>
        <row r="317">
          <cell r="A317" t="str">
            <v>КГН 5х10</v>
          </cell>
        </row>
        <row r="318">
          <cell r="A318" t="str">
            <v>КГН 5х16</v>
          </cell>
        </row>
        <row r="319">
          <cell r="A319" t="str">
            <v>КГН 5х25</v>
          </cell>
        </row>
        <row r="320">
          <cell r="A320" t="str">
            <v>КГН 5х35</v>
          </cell>
        </row>
        <row r="321">
          <cell r="A321" t="str">
            <v>КГН 5х50</v>
          </cell>
        </row>
        <row r="322">
          <cell r="A322" t="str">
            <v>КГН 5х70</v>
          </cell>
        </row>
        <row r="323">
          <cell r="A323" t="str">
            <v>Провод с изоляцией и оболочкой из резины</v>
          </cell>
        </row>
        <row r="324">
          <cell r="A324" t="str">
            <v>ПРС 2х0,75</v>
          </cell>
        </row>
        <row r="325">
          <cell r="A325" t="str">
            <v>ПРС 2х1</v>
          </cell>
        </row>
        <row r="326">
          <cell r="A326" t="str">
            <v>ПРС 2х1,5</v>
          </cell>
        </row>
        <row r="327">
          <cell r="A327" t="str">
            <v>ПРС 2х2,5</v>
          </cell>
        </row>
        <row r="328">
          <cell r="A328" t="str">
            <v>ПРС 3х0,75</v>
          </cell>
        </row>
        <row r="329">
          <cell r="A329" t="str">
            <v>ПРС 3х1</v>
          </cell>
        </row>
        <row r="330">
          <cell r="A330" t="str">
            <v>ПРС 3х1,5</v>
          </cell>
        </row>
        <row r="331">
          <cell r="A331" t="str">
            <v xml:space="preserve"> Кабель медный силовой</v>
          </cell>
        </row>
        <row r="332">
          <cell r="A332" t="str">
            <v>ВВГ 1х  1,5</v>
          </cell>
        </row>
        <row r="333">
          <cell r="A333" t="str">
            <v>ВВГ 1х  2,5</v>
          </cell>
        </row>
        <row r="334">
          <cell r="A334" t="str">
            <v>ВВГ 1х  4</v>
          </cell>
        </row>
        <row r="335">
          <cell r="A335" t="str">
            <v>ВВГ 1х  6</v>
          </cell>
        </row>
        <row r="336">
          <cell r="A336" t="str">
            <v>ВВГ 1х 10</v>
          </cell>
        </row>
        <row r="337">
          <cell r="A337" t="str">
            <v>ВВГ 1х 16</v>
          </cell>
        </row>
        <row r="338">
          <cell r="A338" t="str">
            <v>ВВГ 1х 25</v>
          </cell>
        </row>
        <row r="339">
          <cell r="A339" t="str">
            <v>ВВГ 1х 35</v>
          </cell>
        </row>
        <row r="340">
          <cell r="A340" t="str">
            <v>ВВГ 1х 50</v>
          </cell>
        </row>
        <row r="341">
          <cell r="A341" t="str">
            <v>ВВГ 1х 70</v>
          </cell>
        </row>
        <row r="342">
          <cell r="A342" t="str">
            <v>ВВГ 1х 95</v>
          </cell>
        </row>
        <row r="343">
          <cell r="A343" t="str">
            <v>ВВГ 1х120</v>
          </cell>
        </row>
        <row r="344">
          <cell r="A344" t="str">
            <v>ВВГ 1х150</v>
          </cell>
        </row>
        <row r="345">
          <cell r="A345" t="str">
            <v>ВВГ 1х185</v>
          </cell>
        </row>
        <row r="346">
          <cell r="A346" t="str">
            <v>ВВГ 1х240</v>
          </cell>
        </row>
        <row r="347">
          <cell r="A347" t="str">
            <v>ВВГ 1х300</v>
          </cell>
        </row>
        <row r="348">
          <cell r="A348" t="str">
            <v>ВВГ 1х400</v>
          </cell>
        </row>
        <row r="349">
          <cell r="A349" t="str">
            <v>ВВГ 1х500</v>
          </cell>
        </row>
        <row r="350">
          <cell r="A350" t="str">
            <v>ВВГп 2х  1,5</v>
          </cell>
        </row>
        <row r="351">
          <cell r="A351" t="str">
            <v>ВВГп 2х  2,5</v>
          </cell>
        </row>
        <row r="352">
          <cell r="A352" t="str">
            <v>ВВГп 2х  4</v>
          </cell>
        </row>
        <row r="353">
          <cell r="A353" t="str">
            <v>ВВГп 2х  6</v>
          </cell>
        </row>
        <row r="354">
          <cell r="A354" t="str">
            <v>ВВГп 2х 10</v>
          </cell>
        </row>
        <row r="355">
          <cell r="A355" t="str">
            <v>ВВГп 2х 16</v>
          </cell>
        </row>
        <row r="356">
          <cell r="A356" t="str">
            <v>ВВГ 2х 25</v>
          </cell>
        </row>
        <row r="357">
          <cell r="A357" t="str">
            <v>ВВГ 2х 35</v>
          </cell>
        </row>
        <row r="358">
          <cell r="A358" t="str">
            <v>ВВГп 3х  1,5</v>
          </cell>
        </row>
        <row r="359">
          <cell r="A359" t="str">
            <v>ВВГп 3х  2,5</v>
          </cell>
        </row>
        <row r="360">
          <cell r="A360" t="str">
            <v>ВВГп 3х  4</v>
          </cell>
        </row>
        <row r="361">
          <cell r="A361" t="str">
            <v>ВВГп 3х  6</v>
          </cell>
        </row>
        <row r="362">
          <cell r="A362" t="str">
            <v>ВВГ 3х  1,5</v>
          </cell>
        </row>
        <row r="363">
          <cell r="A363" t="str">
            <v>ВВГ 3х  2,5</v>
          </cell>
        </row>
        <row r="364">
          <cell r="A364" t="str">
            <v>ВВГ 3х  4</v>
          </cell>
        </row>
        <row r="365">
          <cell r="A365" t="str">
            <v>ВВГ 3х  6</v>
          </cell>
        </row>
        <row r="366">
          <cell r="A366" t="str">
            <v>ВВГ 3х 10</v>
          </cell>
        </row>
        <row r="367">
          <cell r="A367" t="str">
            <v>ВВГ 3х 16</v>
          </cell>
        </row>
        <row r="368">
          <cell r="A368" t="str">
            <v>ВВГ 3х 25</v>
          </cell>
        </row>
        <row r="369">
          <cell r="A369" t="str">
            <v>ВВГ 3х 35</v>
          </cell>
        </row>
        <row r="370">
          <cell r="A370" t="str">
            <v>ВВГ 3х 50</v>
          </cell>
        </row>
        <row r="371">
          <cell r="A371" t="str">
            <v>ВВГ 3х  2,5+1х1,5</v>
          </cell>
        </row>
        <row r="372">
          <cell r="A372" t="str">
            <v>ВВГ 3х  4+1х2,5</v>
          </cell>
        </row>
        <row r="373">
          <cell r="A373" t="str">
            <v>ВВГ 3х  6+1х4</v>
          </cell>
        </row>
        <row r="374">
          <cell r="A374" t="str">
            <v>ВВГ 3х 10+1х6</v>
          </cell>
        </row>
        <row r="375">
          <cell r="A375" t="str">
            <v>ВВГ 3х 16+1х10</v>
          </cell>
        </row>
        <row r="376">
          <cell r="A376" t="str">
            <v>ВВГ 3х 25+1х16</v>
          </cell>
        </row>
        <row r="377">
          <cell r="A377" t="str">
            <v>ВВГ 3х 35+1х16</v>
          </cell>
        </row>
        <row r="378">
          <cell r="A378" t="str">
            <v>ВВГ 3х 50+1х25</v>
          </cell>
        </row>
        <row r="379">
          <cell r="A379" t="str">
            <v>ВВГ 3х 70+1х35</v>
          </cell>
        </row>
        <row r="380">
          <cell r="A380" t="str">
            <v>ВВГ 3х 95+1х50</v>
          </cell>
        </row>
        <row r="381">
          <cell r="A381" t="str">
            <v>ВВГ 3х120+1х70</v>
          </cell>
        </row>
        <row r="382">
          <cell r="A382" t="str">
            <v>ВВГ 3х150+1х70</v>
          </cell>
        </row>
        <row r="383">
          <cell r="A383" t="str">
            <v>ВВГ 3х185+1х95</v>
          </cell>
        </row>
        <row r="384">
          <cell r="A384" t="str">
            <v>ВВГ 3х240+1х120</v>
          </cell>
        </row>
        <row r="385">
          <cell r="A385" t="str">
            <v>ВВГ 4х  1,5</v>
          </cell>
        </row>
        <row r="386">
          <cell r="A386" t="str">
            <v>ВВГ 4х  2,5</v>
          </cell>
        </row>
        <row r="387">
          <cell r="A387" t="str">
            <v>ВВГ 4х  4</v>
          </cell>
        </row>
        <row r="388">
          <cell r="A388" t="str">
            <v>ВВГ 4х  6</v>
          </cell>
        </row>
        <row r="389">
          <cell r="A389" t="str">
            <v>ВВГ 4х 10</v>
          </cell>
        </row>
        <row r="390">
          <cell r="A390" t="str">
            <v>ВВГ 4х 16</v>
          </cell>
        </row>
        <row r="391">
          <cell r="A391" t="str">
            <v>ВВГ 4х 25</v>
          </cell>
        </row>
        <row r="392">
          <cell r="A392" t="str">
            <v>ВВГ 4х 35</v>
          </cell>
        </row>
        <row r="393">
          <cell r="A393" t="str">
            <v>ВВГ 4х 50</v>
          </cell>
        </row>
        <row r="394">
          <cell r="A394" t="str">
            <v>ВВГ 4х 70</v>
          </cell>
        </row>
        <row r="395">
          <cell r="A395" t="str">
            <v>ВВГ 4х 95</v>
          </cell>
        </row>
        <row r="396">
          <cell r="A396" t="str">
            <v>ВВГ 4х120</v>
          </cell>
        </row>
        <row r="397">
          <cell r="A397" t="str">
            <v>ВВГ 4х150</v>
          </cell>
        </row>
        <row r="398">
          <cell r="A398" t="str">
            <v>ВВГ 4х185</v>
          </cell>
        </row>
        <row r="399">
          <cell r="A399" t="str">
            <v>ВВГ 4х240</v>
          </cell>
        </row>
        <row r="400">
          <cell r="A400" t="str">
            <v>ВВГ 5х  1,5</v>
          </cell>
        </row>
        <row r="401">
          <cell r="A401" t="str">
            <v>ВВГ 5х  2,5</v>
          </cell>
        </row>
        <row r="402">
          <cell r="A402" t="str">
            <v>ВВГ 5х  4</v>
          </cell>
        </row>
        <row r="403">
          <cell r="A403" t="str">
            <v>ВВГ 5х  6</v>
          </cell>
        </row>
        <row r="404">
          <cell r="A404" t="str">
            <v>ВВГ 5х 10</v>
          </cell>
        </row>
        <row r="405">
          <cell r="A405" t="str">
            <v>ВВГ 5х 16</v>
          </cell>
        </row>
        <row r="406">
          <cell r="A406" t="str">
            <v>ВВГ 5х 25</v>
          </cell>
        </row>
        <row r="407">
          <cell r="A407" t="str">
            <v>ВВГ 5х 35</v>
          </cell>
        </row>
        <row r="408">
          <cell r="A408" t="str">
            <v>ВВГ 5х 50</v>
          </cell>
        </row>
        <row r="409">
          <cell r="A409" t="str">
            <v>ВВГ 5х 70</v>
          </cell>
        </row>
        <row r="410">
          <cell r="A410" t="str">
            <v>ВВГ 5х 95</v>
          </cell>
        </row>
        <row r="411">
          <cell r="A411" t="str">
            <v>ВВГ 5х120</v>
          </cell>
        </row>
        <row r="412">
          <cell r="A412" t="str">
            <v>ВВГ 5х150</v>
          </cell>
        </row>
        <row r="413">
          <cell r="A413" t="str">
            <v>ВВГ 5х185</v>
          </cell>
        </row>
        <row r="414">
          <cell r="A414" t="str">
            <v>ВВГ 5х240</v>
          </cell>
        </row>
        <row r="415">
          <cell r="A415" t="str">
            <v xml:space="preserve"> Тройная изоляция. Евростандарт.</v>
          </cell>
        </row>
        <row r="416">
          <cell r="A416" t="str">
            <v>NYM 2х1,5</v>
          </cell>
        </row>
        <row r="417">
          <cell r="A417" t="str">
            <v>NYM 2х2,5</v>
          </cell>
        </row>
        <row r="418">
          <cell r="A418" t="str">
            <v>NYM 3х1,5</v>
          </cell>
        </row>
        <row r="419">
          <cell r="A419" t="str">
            <v>NYM 3х2,5</v>
          </cell>
        </row>
        <row r="420">
          <cell r="A420" t="str">
            <v>NYM 3х4</v>
          </cell>
          <cell r="FQ420">
            <v>22.44</v>
          </cell>
        </row>
        <row r="421">
          <cell r="A421" t="str">
            <v>NYM 3х6</v>
          </cell>
          <cell r="FQ421">
            <v>36.35</v>
          </cell>
        </row>
        <row r="422">
          <cell r="A422" t="str">
            <v>NYM 3х10</v>
          </cell>
          <cell r="FQ422">
            <v>66.72</v>
          </cell>
        </row>
        <row r="423">
          <cell r="A423" t="str">
            <v>NYM 4х1,5</v>
          </cell>
          <cell r="FQ423">
            <v>12.86</v>
          </cell>
        </row>
        <row r="424">
          <cell r="A424" t="str">
            <v>NYM 4х2,5</v>
          </cell>
          <cell r="FQ424">
            <v>19.78</v>
          </cell>
        </row>
        <row r="425">
          <cell r="A425" t="str">
            <v>NYM 4х4</v>
          </cell>
          <cell r="FQ425">
            <v>30.08</v>
          </cell>
        </row>
        <row r="426">
          <cell r="A426" t="str">
            <v>NYM 4х6</v>
          </cell>
          <cell r="FQ426">
            <v>44.24</v>
          </cell>
        </row>
        <row r="427">
          <cell r="A427" t="str">
            <v>NYM 4х10</v>
          </cell>
          <cell r="FQ427">
            <v>76.52</v>
          </cell>
        </row>
        <row r="428">
          <cell r="A428" t="str">
            <v>NYM 4х16</v>
          </cell>
          <cell r="FQ428">
            <v>123.04</v>
          </cell>
        </row>
        <row r="429">
          <cell r="A429" t="str">
            <v>NYM 4х25</v>
          </cell>
          <cell r="FQ429">
            <v>192.16</v>
          </cell>
        </row>
        <row r="430">
          <cell r="A430" t="str">
            <v>NYM 4х35</v>
          </cell>
          <cell r="FQ430">
            <v>258.02</v>
          </cell>
        </row>
        <row r="431">
          <cell r="A431" t="str">
            <v>NYM 5х1,5</v>
          </cell>
          <cell r="FQ431">
            <v>15.42</v>
          </cell>
        </row>
        <row r="432">
          <cell r="A432" t="str">
            <v>NYM 5х2,5</v>
          </cell>
          <cell r="FQ432">
            <v>24.27</v>
          </cell>
        </row>
        <row r="433">
          <cell r="A433" t="str">
            <v>NYM 5х4</v>
          </cell>
          <cell r="FQ433">
            <v>37.520000000000003</v>
          </cell>
        </row>
        <row r="434">
          <cell r="A434" t="str">
            <v>NYM 5х6</v>
          </cell>
          <cell r="FQ434">
            <v>55.13</v>
          </cell>
        </row>
        <row r="435">
          <cell r="A435" t="str">
            <v>NYM 5х10</v>
          </cell>
          <cell r="FQ435">
            <v>94.87</v>
          </cell>
        </row>
        <row r="436">
          <cell r="A436" t="str">
            <v>NYM 5х16</v>
          </cell>
          <cell r="FQ436">
            <v>148.30000000000001</v>
          </cell>
        </row>
        <row r="437">
          <cell r="A437" t="str">
            <v>NYM 5х25</v>
          </cell>
          <cell r="FQ437">
            <v>241.26</v>
          </cell>
        </row>
        <row r="438">
          <cell r="A438" t="str">
            <v>NYM 5х35</v>
          </cell>
          <cell r="FQ438">
            <v>334.83</v>
          </cell>
        </row>
        <row r="439">
          <cell r="A439" t="str">
            <v>Пр-во "Севкабель"</v>
          </cell>
        </row>
        <row r="440">
          <cell r="A440" t="str">
            <v>NYM 2х1,5 (Севкабель)</v>
          </cell>
          <cell r="FQ440">
            <v>9.4600000000000009</v>
          </cell>
        </row>
        <row r="441">
          <cell r="A441" t="str">
            <v>NYM 2х2,5 (Севкабель)</v>
          </cell>
          <cell r="FQ441">
            <v>13.1</v>
          </cell>
        </row>
        <row r="442">
          <cell r="A442" t="str">
            <v>NYM 3х1,5 (Севкабель)</v>
          </cell>
          <cell r="FQ442">
            <v>10.82</v>
          </cell>
        </row>
        <row r="443">
          <cell r="A443" t="str">
            <v>NYM 3х2,5 (Севкабель)</v>
          </cell>
          <cell r="FQ443">
            <v>15.97</v>
          </cell>
        </row>
        <row r="444">
          <cell r="A444" t="str">
            <v>NYM 4х1,5 (Севкабель)</v>
          </cell>
          <cell r="FQ444">
            <v>14.8</v>
          </cell>
        </row>
        <row r="445">
          <cell r="A445" t="str">
            <v>NYM 4х2,5 (Севкабель)</v>
          </cell>
          <cell r="FQ445">
            <v>21.14</v>
          </cell>
        </row>
        <row r="446">
          <cell r="A446" t="str">
            <v>NYM 5х1,5 (Севкабель)</v>
          </cell>
          <cell r="FQ446">
            <v>18.55</v>
          </cell>
        </row>
        <row r="447">
          <cell r="A447" t="str">
            <v>NYM 5х2,5 (Севкабель)</v>
          </cell>
          <cell r="FQ447">
            <v>25.95</v>
          </cell>
        </row>
        <row r="448">
          <cell r="A448" t="str">
            <v xml:space="preserve"> Кабель медный силовой негорючий</v>
          </cell>
        </row>
        <row r="449">
          <cell r="A449" t="str">
            <v>ВВГнг 1х  1,5</v>
          </cell>
          <cell r="FQ449">
            <v>4.38</v>
          </cell>
        </row>
        <row r="450">
          <cell r="A450" t="str">
            <v>ВВГнг 1х  2,5</v>
          </cell>
          <cell r="FQ450">
            <v>6.12</v>
          </cell>
        </row>
        <row r="451">
          <cell r="A451" t="str">
            <v>ВВГнг 1х  4</v>
          </cell>
          <cell r="FQ451">
            <v>8.56</v>
          </cell>
        </row>
        <row r="452">
          <cell r="A452" t="str">
            <v>ВВГнг 1х  6</v>
          </cell>
          <cell r="FQ452">
            <v>11.78</v>
          </cell>
        </row>
        <row r="453">
          <cell r="A453" t="str">
            <v>ВВГнг 1х 10</v>
          </cell>
          <cell r="FQ453">
            <v>18.73</v>
          </cell>
        </row>
        <row r="454">
          <cell r="A454" t="str">
            <v>ВВГнг 1х 16</v>
          </cell>
          <cell r="FQ454">
            <v>32.5</v>
          </cell>
        </row>
        <row r="455">
          <cell r="A455" t="str">
            <v>ВВГнг 1х 25</v>
          </cell>
          <cell r="FQ455">
            <v>48.25</v>
          </cell>
        </row>
        <row r="456">
          <cell r="A456" t="str">
            <v>ВВГнг 1х 35</v>
          </cell>
          <cell r="FQ456">
            <v>64.92</v>
          </cell>
        </row>
        <row r="457">
          <cell r="A457" t="str">
            <v>ВВГнг 1х 50</v>
          </cell>
          <cell r="FQ457">
            <v>90.36</v>
          </cell>
        </row>
        <row r="458">
          <cell r="A458" t="str">
            <v>ВВГнг 1х 70</v>
          </cell>
          <cell r="FQ458">
            <v>127.41</v>
          </cell>
        </row>
        <row r="459">
          <cell r="A459" t="str">
            <v>ВВГнг 1х 95</v>
          </cell>
          <cell r="FQ459">
            <v>170.95</v>
          </cell>
        </row>
        <row r="460">
          <cell r="A460" t="str">
            <v>ВВГнг 1х120</v>
          </cell>
          <cell r="FQ460">
            <v>214.93</v>
          </cell>
        </row>
        <row r="461">
          <cell r="A461" t="str">
            <v>ВВГнг 1х150</v>
          </cell>
          <cell r="FQ461">
            <v>271.51</v>
          </cell>
        </row>
        <row r="462">
          <cell r="A462" t="str">
            <v>ВВГнг 1х185</v>
          </cell>
          <cell r="FQ462">
            <v>339.36</v>
          </cell>
        </row>
        <row r="463">
          <cell r="A463" t="str">
            <v>ВВГнг 1х240</v>
          </cell>
          <cell r="FQ463">
            <v>410.78</v>
          </cell>
        </row>
        <row r="464">
          <cell r="A464" t="str">
            <v>ВВГнг-п 2х  1,5</v>
          </cell>
          <cell r="FQ464">
            <v>6.37</v>
          </cell>
        </row>
        <row r="465">
          <cell r="A465" t="str">
            <v>ВВГнг-п 2х  2,5</v>
          </cell>
          <cell r="FQ465">
            <v>9.19</v>
          </cell>
        </row>
        <row r="466">
          <cell r="A466" t="str">
            <v>ВВГнг-п 2х  4</v>
          </cell>
          <cell r="FQ466">
            <v>13.62</v>
          </cell>
        </row>
        <row r="467">
          <cell r="A467" t="str">
            <v>ВВГнг-п 2х  6</v>
          </cell>
          <cell r="FQ467">
            <v>20.48</v>
          </cell>
        </row>
        <row r="468">
          <cell r="A468" t="str">
            <v>ВВГнг-п 2х 10</v>
          </cell>
          <cell r="FQ468">
            <v>33.630000000000003</v>
          </cell>
        </row>
        <row r="469">
          <cell r="A469" t="str">
            <v>ВВГнг-п 2х 16</v>
          </cell>
          <cell r="FQ469">
            <v>52.11</v>
          </cell>
        </row>
        <row r="470">
          <cell r="A470" t="str">
            <v>ВВГнг 2х 25</v>
          </cell>
          <cell r="FQ470">
            <v>92.97</v>
          </cell>
        </row>
        <row r="471">
          <cell r="A471" t="str">
            <v>ВВГнг 2х 35</v>
          </cell>
          <cell r="FQ471">
            <v>119.24</v>
          </cell>
        </row>
        <row r="472">
          <cell r="A472" t="str">
            <v>ВВГнг-п 3х  1,5</v>
          </cell>
          <cell r="FQ472">
            <v>9.18</v>
          </cell>
        </row>
        <row r="473">
          <cell r="A473" t="str">
            <v>ВВГнг-п 3х  2,5</v>
          </cell>
          <cell r="FQ473">
            <v>13.72</v>
          </cell>
        </row>
        <row r="474">
          <cell r="A474" t="str">
            <v>ВВГнг-п 3х  4</v>
          </cell>
          <cell r="FQ474">
            <v>20.71</v>
          </cell>
        </row>
        <row r="475">
          <cell r="A475" t="str">
            <v>ВВГнг-п 3х  6</v>
          </cell>
          <cell r="FQ475">
            <v>30.43</v>
          </cell>
        </row>
        <row r="476">
          <cell r="A476" t="str">
            <v>ВВГнг 3х  1,5</v>
          </cell>
          <cell r="FQ476">
            <v>9.23</v>
          </cell>
        </row>
        <row r="477">
          <cell r="A477" t="str">
            <v>ВВГнг 3х  2,5</v>
          </cell>
          <cell r="FQ477">
            <v>14.41</v>
          </cell>
        </row>
        <row r="478">
          <cell r="A478" t="str">
            <v>ВВГнг 3х  4</v>
          </cell>
          <cell r="FQ478">
            <v>21.18</v>
          </cell>
        </row>
        <row r="479">
          <cell r="A479" t="str">
            <v>ВВГнг 3х  6</v>
          </cell>
          <cell r="FQ479">
            <v>31.06</v>
          </cell>
        </row>
        <row r="480">
          <cell r="A480" t="str">
            <v>ВВГнг 3х 10</v>
          </cell>
          <cell r="FQ480">
            <v>48.76</v>
          </cell>
        </row>
        <row r="481">
          <cell r="A481" t="str">
            <v>ВВГнг 3х 16</v>
          </cell>
          <cell r="FQ481">
            <v>76.930000000000007</v>
          </cell>
        </row>
        <row r="482">
          <cell r="A482" t="str">
            <v>ВВГнг 3х 25</v>
          </cell>
          <cell r="FQ482">
            <v>104.65</v>
          </cell>
        </row>
        <row r="483">
          <cell r="A483" t="str">
            <v>ВВГнг 3х 35</v>
          </cell>
          <cell r="FQ483">
            <v>163.25</v>
          </cell>
        </row>
        <row r="484">
          <cell r="A484" t="str">
            <v>ВВГнг 3х 50</v>
          </cell>
          <cell r="FQ484">
            <v>239.6</v>
          </cell>
        </row>
        <row r="485">
          <cell r="A485" t="str">
            <v>ВВГнг 3х  2,5+1х1,5</v>
          </cell>
          <cell r="FQ485">
            <v>18.8</v>
          </cell>
        </row>
        <row r="486">
          <cell r="A486" t="str">
            <v>ВВГнг 3х  4+1х2,5</v>
          </cell>
          <cell r="FQ486">
            <v>29.81</v>
          </cell>
        </row>
        <row r="487">
          <cell r="A487" t="str">
            <v>ВВГнг 3х  6+1х4</v>
          </cell>
          <cell r="FQ487">
            <v>41.65</v>
          </cell>
        </row>
        <row r="488">
          <cell r="A488" t="str">
            <v>ВВГнг 3х 10+1х6</v>
          </cell>
          <cell r="FQ488">
            <v>67.25</v>
          </cell>
        </row>
        <row r="489">
          <cell r="A489" t="str">
            <v>ВВГнг 3х 16+1х10</v>
          </cell>
          <cell r="FQ489">
            <v>115.16</v>
          </cell>
        </row>
        <row r="490">
          <cell r="A490" t="str">
            <v>ВВГнг 3х 25+1х16</v>
          </cell>
          <cell r="FQ490">
            <v>174.38</v>
          </cell>
        </row>
        <row r="491">
          <cell r="A491" t="str">
            <v>ВВГнг 3х 35+1х16</v>
          </cell>
          <cell r="FQ491">
            <v>237.45</v>
          </cell>
        </row>
        <row r="492">
          <cell r="A492" t="str">
            <v>ВВГнг 3х 50+1х25</v>
          </cell>
          <cell r="FQ492">
            <v>326.45</v>
          </cell>
        </row>
        <row r="493">
          <cell r="A493" t="str">
            <v>ВВГнг 3х 70+1х35</v>
          </cell>
          <cell r="FQ493">
            <v>422.27</v>
          </cell>
        </row>
        <row r="494">
          <cell r="A494" t="str">
            <v>ВВГнг 3х 95+1х50</v>
          </cell>
          <cell r="FQ494">
            <v>555.82000000000005</v>
          </cell>
        </row>
        <row r="495">
          <cell r="A495" t="str">
            <v>ВВГнг 3х120+1х70</v>
          </cell>
          <cell r="FQ495">
            <v>752.48</v>
          </cell>
        </row>
        <row r="496">
          <cell r="A496" t="str">
            <v>ВВГнг 3х150+1х70</v>
          </cell>
          <cell r="FQ496">
            <v>839.82</v>
          </cell>
        </row>
        <row r="497">
          <cell r="A497" t="str">
            <v>ВВГнг 3х185+1х95</v>
          </cell>
          <cell r="FQ497">
            <v>1059.92</v>
          </cell>
        </row>
        <row r="498">
          <cell r="A498" t="str">
            <v>ВВГнг 3х240+1х120</v>
          </cell>
          <cell r="FQ498">
            <v>1469.82</v>
          </cell>
        </row>
        <row r="499">
          <cell r="A499" t="str">
            <v>ВВГнг 4х  1,5</v>
          </cell>
          <cell r="FQ499">
            <v>12.21</v>
          </cell>
        </row>
        <row r="500">
          <cell r="A500" t="str">
            <v>ВВГнг 4х  2,5</v>
          </cell>
          <cell r="FQ500">
            <v>18.63</v>
          </cell>
        </row>
        <row r="501">
          <cell r="A501" t="str">
            <v>ВВГнг 4х  4</v>
          </cell>
          <cell r="FQ501">
            <v>28.17</v>
          </cell>
        </row>
        <row r="502">
          <cell r="A502" t="str">
            <v>ВВГнг 4х  6</v>
          </cell>
          <cell r="FQ502">
            <v>40.31</v>
          </cell>
        </row>
        <row r="503">
          <cell r="A503" t="str">
            <v>ВВГнг 4х 10</v>
          </cell>
          <cell r="FQ503">
            <v>61.79</v>
          </cell>
        </row>
        <row r="504">
          <cell r="A504" t="str">
            <v>ВВГнг 4х 16</v>
          </cell>
          <cell r="FQ504">
            <v>94.65</v>
          </cell>
        </row>
        <row r="505">
          <cell r="A505" t="str">
            <v>ВВГнг 4х 25</v>
          </cell>
          <cell r="FQ505">
            <v>158.44</v>
          </cell>
        </row>
        <row r="506">
          <cell r="A506" t="str">
            <v>ВВГнг 4х 35</v>
          </cell>
          <cell r="FQ506">
            <v>208.41</v>
          </cell>
        </row>
        <row r="507">
          <cell r="A507" t="str">
            <v>ВВГнг 4х 50</v>
          </cell>
          <cell r="FQ507">
            <v>307.89</v>
          </cell>
        </row>
        <row r="508">
          <cell r="A508" t="str">
            <v>ВВГнг 4х 70</v>
          </cell>
          <cell r="FQ508">
            <v>442.9</v>
          </cell>
        </row>
        <row r="509">
          <cell r="A509" t="str">
            <v>ВВГнг 4х 95</v>
          </cell>
          <cell r="FQ509">
            <v>607.27</v>
          </cell>
        </row>
        <row r="510">
          <cell r="A510" t="str">
            <v>ВВГнг 4х120</v>
          </cell>
          <cell r="FQ510">
            <v>742.02</v>
          </cell>
        </row>
        <row r="511">
          <cell r="A511" t="str">
            <v>ВВГнг 4х150</v>
          </cell>
          <cell r="FQ511">
            <v>932.54</v>
          </cell>
        </row>
        <row r="512">
          <cell r="A512" t="str">
            <v>ВВГнг 4х185</v>
          </cell>
          <cell r="FQ512">
            <v>1138.44</v>
          </cell>
        </row>
        <row r="513">
          <cell r="A513" t="str">
            <v>ВВГнг 4х240</v>
          </cell>
          <cell r="FQ513">
            <v>1514.99</v>
          </cell>
        </row>
        <row r="514">
          <cell r="A514" t="str">
            <v>ВВГнг 5х  1,5</v>
          </cell>
          <cell r="FQ514">
            <v>15.23</v>
          </cell>
        </row>
        <row r="515">
          <cell r="A515" t="str">
            <v>ВВГнг 5х  2,5</v>
          </cell>
          <cell r="FQ515">
            <v>22.56</v>
          </cell>
        </row>
        <row r="516">
          <cell r="A516" t="str">
            <v>ВВГнг 5х  4</v>
          </cell>
          <cell r="FQ516">
            <v>34.76</v>
          </cell>
        </row>
        <row r="517">
          <cell r="A517" t="str">
            <v>ВВГнг 5х  6</v>
          </cell>
          <cell r="FQ517">
            <v>49.84</v>
          </cell>
        </row>
        <row r="518">
          <cell r="A518" t="str">
            <v>ВВГнг 5х 10</v>
          </cell>
          <cell r="FQ518">
            <v>77.31</v>
          </cell>
        </row>
        <row r="519">
          <cell r="A519" t="str">
            <v>ВВГнг 5х 16</v>
          </cell>
          <cell r="FQ519">
            <v>118.74</v>
          </cell>
        </row>
        <row r="520">
          <cell r="A520" t="str">
            <v>ВВГнг 5х 25</v>
          </cell>
          <cell r="FQ520">
            <v>193.25</v>
          </cell>
        </row>
        <row r="521">
          <cell r="A521" t="str">
            <v>ВВГнг 5х 35</v>
          </cell>
          <cell r="FQ521">
            <v>273.75</v>
          </cell>
        </row>
        <row r="522">
          <cell r="A522" t="str">
            <v>ВВГнг 5х 50</v>
          </cell>
          <cell r="FQ522">
            <v>388.86</v>
          </cell>
        </row>
        <row r="523">
          <cell r="A523" t="str">
            <v>ВВГнг 5х 70</v>
          </cell>
          <cell r="FQ523">
            <v>569.25</v>
          </cell>
        </row>
        <row r="524">
          <cell r="A524" t="str">
            <v>ВВГнг 5х 95</v>
          </cell>
          <cell r="FQ524">
            <v>771.51</v>
          </cell>
        </row>
        <row r="525">
          <cell r="A525" t="str">
            <v>ВВГнг 5х120</v>
          </cell>
          <cell r="FQ525">
            <v>965.97</v>
          </cell>
        </row>
        <row r="526">
          <cell r="A526" t="str">
            <v>ВВГнг 5х150</v>
          </cell>
          <cell r="FQ526">
            <v>1195.56</v>
          </cell>
        </row>
        <row r="527">
          <cell r="A527" t="str">
            <v>ВВГнг 5х185</v>
          </cell>
          <cell r="FQ527">
            <v>1658.72</v>
          </cell>
        </row>
        <row r="528">
          <cell r="A528" t="str">
            <v>ВВГнг-LS 1х  1,5</v>
          </cell>
          <cell r="FQ528">
            <v>5.73</v>
          </cell>
        </row>
        <row r="529">
          <cell r="A529" t="str">
            <v>ВВГнг-LS 1х  2,5</v>
          </cell>
          <cell r="FQ529">
            <v>8.19</v>
          </cell>
        </row>
        <row r="530">
          <cell r="A530" t="str">
            <v>ВВГнг-LS 1х  4</v>
          </cell>
          <cell r="FQ530">
            <v>11.14</v>
          </cell>
        </row>
        <row r="531">
          <cell r="A531" t="str">
            <v>ВВГнг-LS 1х  6</v>
          </cell>
          <cell r="FQ531">
            <v>15.05</v>
          </cell>
        </row>
        <row r="532">
          <cell r="A532" t="str">
            <v>ВВГнг-LS 1х 10</v>
          </cell>
          <cell r="FQ532">
            <v>23.73</v>
          </cell>
        </row>
        <row r="533">
          <cell r="A533" t="str">
            <v>ВВГнг-LS 1х 16</v>
          </cell>
          <cell r="FQ533">
            <v>39.770000000000003</v>
          </cell>
        </row>
        <row r="534">
          <cell r="A534" t="str">
            <v>ВВГнг-LS 1х 25</v>
          </cell>
          <cell r="FQ534">
            <v>58.76</v>
          </cell>
        </row>
        <row r="535">
          <cell r="A535" t="str">
            <v>ВВГнг-LS 1х 35</v>
          </cell>
          <cell r="FQ535">
            <v>76.02</v>
          </cell>
        </row>
        <row r="536">
          <cell r="A536" t="str">
            <v>ВВГнг-LS 1х 50</v>
          </cell>
          <cell r="FQ536">
            <v>108.84</v>
          </cell>
        </row>
        <row r="537">
          <cell r="A537" t="str">
            <v>ВВГнг-LS 1х 70</v>
          </cell>
          <cell r="FQ537">
            <v>145.94999999999999</v>
          </cell>
        </row>
        <row r="538">
          <cell r="A538" t="str">
            <v>ВВГнг-LS 1х 95</v>
          </cell>
          <cell r="FQ538">
            <v>159.66999999999999</v>
          </cell>
        </row>
        <row r="539">
          <cell r="A539" t="str">
            <v>ВВГнг-LS 1х120</v>
          </cell>
          <cell r="FQ539">
            <v>267.52</v>
          </cell>
        </row>
        <row r="540">
          <cell r="A540" t="str">
            <v>ВВГнг-LS 1х150</v>
          </cell>
          <cell r="FQ540">
            <v>331.71</v>
          </cell>
        </row>
        <row r="541">
          <cell r="A541" t="str">
            <v>ВВГнг-LS 1х185</v>
          </cell>
          <cell r="FQ541">
            <v>319.24</v>
          </cell>
        </row>
        <row r="542">
          <cell r="A542" t="str">
            <v>ВВГнг-LS 1х240</v>
          </cell>
          <cell r="FQ542">
            <v>488.94</v>
          </cell>
        </row>
        <row r="543">
          <cell r="A543" t="str">
            <v>ВВГнг-LS-п 2х1,5</v>
          </cell>
          <cell r="FQ543">
            <v>11.7</v>
          </cell>
        </row>
        <row r="544">
          <cell r="A544" t="str">
            <v>ВВГнг-LS-п 2х2,5</v>
          </cell>
          <cell r="FQ544">
            <v>16.309999999999999</v>
          </cell>
        </row>
        <row r="545">
          <cell r="A545" t="str">
            <v>ВВГнг-LS-п 2х4</v>
          </cell>
          <cell r="FQ545">
            <v>25.07</v>
          </cell>
        </row>
        <row r="546">
          <cell r="A546" t="str">
            <v>ВВГнг-LS-п 2х6</v>
          </cell>
          <cell r="FQ546">
            <v>34.520000000000003</v>
          </cell>
        </row>
        <row r="547">
          <cell r="A547" t="str">
            <v>ВВГнг-LS 2х  1,5</v>
          </cell>
          <cell r="FQ547">
            <v>12.07</v>
          </cell>
        </row>
        <row r="548">
          <cell r="A548" t="str">
            <v>ВВГнг-LS 2х  2,5</v>
          </cell>
          <cell r="FQ548">
            <v>16.91</v>
          </cell>
        </row>
        <row r="549">
          <cell r="A549" t="str">
            <v>ВВГнг-LS 2х  4</v>
          </cell>
          <cell r="FQ549">
            <v>26.04</v>
          </cell>
        </row>
        <row r="550">
          <cell r="A550" t="str">
            <v>ВВГнг-LS 2х  6</v>
          </cell>
          <cell r="FQ550">
            <v>35.549999999999997</v>
          </cell>
        </row>
        <row r="551">
          <cell r="A551" t="str">
            <v>ВВГнг-LS 2х 10</v>
          </cell>
          <cell r="FQ551">
            <v>52.37</v>
          </cell>
        </row>
        <row r="552">
          <cell r="A552" t="str">
            <v>ВВГнг-LS 2х 16</v>
          </cell>
          <cell r="FQ552">
            <v>87.08</v>
          </cell>
        </row>
        <row r="553">
          <cell r="A553" t="str">
            <v>ВВГнг-LS-п 3х1,5</v>
          </cell>
          <cell r="FQ553">
            <v>15.92</v>
          </cell>
        </row>
        <row r="554">
          <cell r="A554" t="str">
            <v>ВВГнг-LS-п 3х2,5</v>
          </cell>
          <cell r="FQ554">
            <v>23.17</v>
          </cell>
        </row>
        <row r="555">
          <cell r="A555" t="str">
            <v>ВВГнг-LS-п 3х4</v>
          </cell>
          <cell r="FQ555">
            <v>30.76</v>
          </cell>
        </row>
        <row r="556">
          <cell r="A556" t="str">
            <v>ВВГнг-LS-п 3х6</v>
          </cell>
          <cell r="FQ556">
            <v>46.42</v>
          </cell>
        </row>
        <row r="557">
          <cell r="A557" t="str">
            <v>ВВГнг-LS 3х  1,5</v>
          </cell>
          <cell r="FQ557">
            <v>15.72</v>
          </cell>
        </row>
        <row r="558">
          <cell r="A558" t="str">
            <v>ВВГнг-LS 3х  2,5</v>
          </cell>
          <cell r="FQ558">
            <v>22.97</v>
          </cell>
        </row>
        <row r="559">
          <cell r="A559" t="str">
            <v>ВВГнг-LS 3х  4</v>
          </cell>
          <cell r="FQ559">
            <v>31.22</v>
          </cell>
        </row>
        <row r="560">
          <cell r="A560" t="str">
            <v>ВВГнг-LS 3х  6</v>
          </cell>
          <cell r="FQ560">
            <v>45.21</v>
          </cell>
        </row>
        <row r="561">
          <cell r="A561" t="str">
            <v>ВВГнг-LS 3х 10</v>
          </cell>
          <cell r="FQ561">
            <v>68.709999999999994</v>
          </cell>
        </row>
        <row r="562">
          <cell r="A562" t="str">
            <v>ВВГнг-LS 3х 16</v>
          </cell>
          <cell r="FQ562">
            <v>104.49</v>
          </cell>
        </row>
        <row r="563">
          <cell r="A563" t="str">
            <v>ВВГнг-LS 3х 25</v>
          </cell>
          <cell r="FQ563">
            <v>174.13</v>
          </cell>
        </row>
        <row r="564">
          <cell r="A564" t="str">
            <v>ВВГнг-LS 3х 35</v>
          </cell>
          <cell r="FQ564">
            <v>233.95</v>
          </cell>
        </row>
        <row r="565">
          <cell r="A565" t="str">
            <v>ВВГнг-LS 3х 50</v>
          </cell>
          <cell r="FQ565">
            <v>288.2</v>
          </cell>
        </row>
        <row r="566">
          <cell r="A566" t="str">
            <v>ВВГнг-LS 3х  2,5+1х1,5</v>
          </cell>
          <cell r="FQ566">
            <v>28.56</v>
          </cell>
        </row>
        <row r="567">
          <cell r="A567" t="str">
            <v>ВВГнг-LS 3х  4+1х2,5</v>
          </cell>
          <cell r="FQ567">
            <v>40.049999999999997</v>
          </cell>
        </row>
        <row r="568">
          <cell r="A568" t="str">
            <v>ВВГнг-LS 3х  6+1х4</v>
          </cell>
          <cell r="FQ568">
            <v>56.63</v>
          </cell>
        </row>
        <row r="569">
          <cell r="A569" t="str">
            <v>ВВГнг-LS 3х 10+1х6</v>
          </cell>
          <cell r="FQ569">
            <v>79.33</v>
          </cell>
        </row>
        <row r="570">
          <cell r="A570" t="str">
            <v>ВВГнг-LS 3х 16+1х10</v>
          </cell>
          <cell r="FQ570">
            <v>127.08</v>
          </cell>
        </row>
        <row r="571">
          <cell r="A571" t="str">
            <v>ВВГнг-LS 3х 25+1х16</v>
          </cell>
          <cell r="FQ571">
            <v>188.07</v>
          </cell>
        </row>
        <row r="572">
          <cell r="A572" t="str">
            <v>ВВГнг-LS 3х 35+1х16</v>
          </cell>
          <cell r="FQ572">
            <v>239.63</v>
          </cell>
        </row>
        <row r="573">
          <cell r="A573" t="str">
            <v>ВВГнг-LS 3х 50+1х25</v>
          </cell>
          <cell r="FQ573">
            <v>314.54000000000002</v>
          </cell>
        </row>
        <row r="574">
          <cell r="A574" t="str">
            <v>ВВГнг-LS 3х 70+1х35</v>
          </cell>
          <cell r="FQ574">
            <v>540.17999999999995</v>
          </cell>
        </row>
        <row r="575">
          <cell r="A575" t="str">
            <v>ВВГнг-LS 3х 95+1х50</v>
          </cell>
          <cell r="FQ575">
            <v>578.62</v>
          </cell>
        </row>
        <row r="576">
          <cell r="A576" t="str">
            <v>ВВГнг-LS 3х120+1х70</v>
          </cell>
          <cell r="FQ576">
            <v>725.34</v>
          </cell>
        </row>
        <row r="577">
          <cell r="A577" t="str">
            <v>ВВГнг-LS 3х150+1х70</v>
          </cell>
          <cell r="FQ577">
            <v>855.46</v>
          </cell>
        </row>
        <row r="578">
          <cell r="A578" t="str">
            <v>ВВГнг-LS 3х185+1х95</v>
          </cell>
          <cell r="FQ578">
            <v>1385.96</v>
          </cell>
        </row>
        <row r="579">
          <cell r="A579" t="str">
            <v>ВВГнг-LS 3х240+1х120</v>
          </cell>
          <cell r="FQ579">
            <v>1801.93</v>
          </cell>
        </row>
        <row r="580">
          <cell r="A580" t="str">
            <v>ВВГнг-LS 4х  1,5</v>
          </cell>
          <cell r="FQ580">
            <v>21.8</v>
          </cell>
        </row>
        <row r="581">
          <cell r="A581" t="str">
            <v>ВВГнг-LS 4х  2,5</v>
          </cell>
          <cell r="FQ581">
            <v>30.67</v>
          </cell>
        </row>
        <row r="582">
          <cell r="A582" t="str">
            <v>ВВГнг-LS 4х  4</v>
          </cell>
          <cell r="FQ582">
            <v>43.1</v>
          </cell>
        </row>
        <row r="583">
          <cell r="A583" t="str">
            <v>ВВГнг-LS 4х  6</v>
          </cell>
          <cell r="FQ583">
            <v>58.09</v>
          </cell>
        </row>
        <row r="584">
          <cell r="A584" t="str">
            <v>ВВГнг-LS 4х 10</v>
          </cell>
          <cell r="FQ584">
            <v>89.06</v>
          </cell>
        </row>
        <row r="585">
          <cell r="A585" t="str">
            <v>ВВГнг-LS 4х 16</v>
          </cell>
          <cell r="FQ585">
            <v>131.61000000000001</v>
          </cell>
        </row>
        <row r="586">
          <cell r="A586" t="str">
            <v>ВВГнг-LS 4х 25</v>
          </cell>
          <cell r="FQ586">
            <v>204.09</v>
          </cell>
        </row>
        <row r="587">
          <cell r="A587" t="str">
            <v>ВВГнг-LS 4х 35</v>
          </cell>
          <cell r="FQ587">
            <v>276.43</v>
          </cell>
        </row>
        <row r="588">
          <cell r="A588" t="str">
            <v>ВВГнг-LS 4х 50</v>
          </cell>
          <cell r="FQ588">
            <v>397.1</v>
          </cell>
        </row>
        <row r="589">
          <cell r="A589" t="str">
            <v>ВВГнг-LS 4х 70</v>
          </cell>
          <cell r="FQ589">
            <v>542.91999999999996</v>
          </cell>
        </row>
        <row r="590">
          <cell r="A590" t="str">
            <v>ВВГнг-LS 4х 95</v>
          </cell>
          <cell r="FQ590">
            <v>742.95</v>
          </cell>
        </row>
        <row r="591">
          <cell r="A591" t="str">
            <v>ВВГнг-LS 4х120</v>
          </cell>
          <cell r="FQ591">
            <v>833.54</v>
          </cell>
        </row>
        <row r="592">
          <cell r="A592" t="str">
            <v>ВВГнг-LS 4х150</v>
          </cell>
          <cell r="FQ592">
            <v>1182.6300000000001</v>
          </cell>
        </row>
        <row r="593">
          <cell r="A593" t="str">
            <v>ВВГнг-LS 4х185</v>
          </cell>
          <cell r="FQ593">
            <v>1322.43</v>
          </cell>
        </row>
        <row r="594">
          <cell r="A594" t="str">
            <v>ВВГнг-LS 4х240</v>
          </cell>
          <cell r="FQ594">
            <v>1895.17</v>
          </cell>
        </row>
        <row r="595">
          <cell r="A595" t="str">
            <v>ВВГнг-LS 5х  1,5</v>
          </cell>
          <cell r="FQ595">
            <v>24.83</v>
          </cell>
        </row>
        <row r="596">
          <cell r="A596" t="str">
            <v>ВВГнг-LS 5х  2,5</v>
          </cell>
          <cell r="FQ596">
            <v>35.01</v>
          </cell>
        </row>
        <row r="597">
          <cell r="A597" t="str">
            <v>ВВГнг-LS 5х  4</v>
          </cell>
          <cell r="FQ597">
            <v>52</v>
          </cell>
        </row>
        <row r="598">
          <cell r="A598" t="str">
            <v>ВВГнг-LS 5х  6</v>
          </cell>
          <cell r="FQ598">
            <v>71.36</v>
          </cell>
        </row>
        <row r="599">
          <cell r="A599" t="str">
            <v>ВВГнг-LS 5х 10</v>
          </cell>
          <cell r="FQ599">
            <v>108.13</v>
          </cell>
        </row>
        <row r="600">
          <cell r="A600" t="str">
            <v>ВВГнг-LS 5х 16</v>
          </cell>
          <cell r="FQ600">
            <v>165</v>
          </cell>
        </row>
        <row r="601">
          <cell r="A601" t="str">
            <v>ВВГнг-LS 5х 25</v>
          </cell>
          <cell r="FQ601">
            <v>250.63</v>
          </cell>
        </row>
        <row r="602">
          <cell r="A602" t="str">
            <v>ВВГнг-LS 5х 35</v>
          </cell>
          <cell r="FQ602">
            <v>346.18</v>
          </cell>
        </row>
        <row r="603">
          <cell r="A603" t="str">
            <v>ВВГнг-LS 5х 50</v>
          </cell>
          <cell r="FQ603">
            <v>486.32</v>
          </cell>
        </row>
        <row r="604">
          <cell r="A604" t="str">
            <v>ВВГнг-LS 5х 70</v>
          </cell>
          <cell r="FQ604">
            <v>691.33</v>
          </cell>
        </row>
        <row r="605">
          <cell r="A605" t="str">
            <v>ВВГнг-LS 5х 95</v>
          </cell>
          <cell r="FQ605">
            <v>928.36</v>
          </cell>
        </row>
        <row r="606">
          <cell r="A606" t="str">
            <v>ВВГнг-LS 5х120</v>
          </cell>
          <cell r="FQ606">
            <v>1156.03</v>
          </cell>
        </row>
        <row r="607">
          <cell r="A607" t="str">
            <v>ВВГнг-LS 5х150</v>
          </cell>
          <cell r="FQ607">
            <v>1398.51</v>
          </cell>
        </row>
        <row r="608">
          <cell r="A608" t="str">
            <v>ВВГнг-LS 5х185</v>
          </cell>
          <cell r="FQ608">
            <v>2793.06</v>
          </cell>
        </row>
        <row r="609">
          <cell r="A609" t="str">
            <v xml:space="preserve"> Кабель медный силовой с заполнением</v>
          </cell>
          <cell r="FQ609">
            <v>0</v>
          </cell>
        </row>
        <row r="610">
          <cell r="A610" t="str">
            <v>ВВГз 2х  1,5</v>
          </cell>
          <cell r="FQ610">
            <v>7.55</v>
          </cell>
        </row>
        <row r="611">
          <cell r="A611" t="str">
            <v>ВВГз 2х  2,5</v>
          </cell>
          <cell r="FQ611">
            <v>11.17</v>
          </cell>
        </row>
        <row r="612">
          <cell r="A612" t="str">
            <v>ВВГз 2х  4</v>
          </cell>
          <cell r="FQ612">
            <v>17.440000000000001</v>
          </cell>
        </row>
        <row r="613">
          <cell r="A613" t="str">
            <v>ВВГз 2х  6</v>
          </cell>
          <cell r="FQ613">
            <v>24.51</v>
          </cell>
        </row>
        <row r="614">
          <cell r="A614" t="str">
            <v>ВВГз 2х 10</v>
          </cell>
          <cell r="FQ614">
            <v>45.51</v>
          </cell>
        </row>
        <row r="615">
          <cell r="A615" t="str">
            <v>ВВГз 3х  1,5</v>
          </cell>
          <cell r="FQ615">
            <v>10.37</v>
          </cell>
        </row>
        <row r="616">
          <cell r="A616" t="str">
            <v>ВВГз 3х  2,5</v>
          </cell>
          <cell r="FQ616">
            <v>16.25</v>
          </cell>
        </row>
        <row r="617">
          <cell r="A617" t="str">
            <v>ВВГз 3х  4</v>
          </cell>
          <cell r="FQ617">
            <v>24.6</v>
          </cell>
        </row>
        <row r="618">
          <cell r="A618" t="str">
            <v>ВВГз 3х  6</v>
          </cell>
          <cell r="FQ618">
            <v>35.07</v>
          </cell>
        </row>
        <row r="619">
          <cell r="A619" t="str">
            <v>ВВГз 3х 10</v>
          </cell>
          <cell r="FQ619">
            <v>57.23</v>
          </cell>
        </row>
        <row r="620">
          <cell r="A620" t="str">
            <v>ВВГз 3х 16</v>
          </cell>
          <cell r="FQ620">
            <v>106</v>
          </cell>
        </row>
        <row r="621">
          <cell r="A621" t="str">
            <v>ВВГз 3х  2,5+1х1,5</v>
          </cell>
          <cell r="FQ621">
            <v>18.77</v>
          </cell>
        </row>
        <row r="622">
          <cell r="A622" t="str">
            <v>ВВГз 3х  4+1х2,5</v>
          </cell>
          <cell r="FQ622">
            <v>28.66</v>
          </cell>
        </row>
        <row r="623">
          <cell r="A623" t="str">
            <v>ВВГз 3х  6+1х4</v>
          </cell>
          <cell r="FQ623">
            <v>41.3</v>
          </cell>
        </row>
        <row r="624">
          <cell r="A624" t="str">
            <v>ВВГз 3х 10+1х6</v>
          </cell>
          <cell r="FQ624">
            <v>73.040000000000006</v>
          </cell>
        </row>
        <row r="625">
          <cell r="A625" t="str">
            <v>ВВГз 3х 16+1х10</v>
          </cell>
          <cell r="FQ625">
            <v>105.88</v>
          </cell>
        </row>
        <row r="626">
          <cell r="A626" t="str">
            <v>ВВГз 4х  1,5</v>
          </cell>
          <cell r="FQ626">
            <v>13.79</v>
          </cell>
        </row>
        <row r="627">
          <cell r="A627" t="str">
            <v>ВВГз 4х  2,5</v>
          </cell>
          <cell r="FQ627">
            <v>20.78</v>
          </cell>
        </row>
        <row r="628">
          <cell r="A628" t="str">
            <v>ВВГз 4х  4</v>
          </cell>
          <cell r="FQ628">
            <v>31.69</v>
          </cell>
        </row>
        <row r="629">
          <cell r="A629" t="str">
            <v>ВВГз 4х  6</v>
          </cell>
          <cell r="FQ629">
            <v>45.47</v>
          </cell>
        </row>
        <row r="630">
          <cell r="A630" t="str">
            <v>ВВГз 4х 10</v>
          </cell>
          <cell r="FQ630">
            <v>72.39</v>
          </cell>
        </row>
        <row r="631">
          <cell r="A631" t="str">
            <v>ВВГз 4х 16</v>
          </cell>
          <cell r="FQ631">
            <v>138.6</v>
          </cell>
        </row>
        <row r="632">
          <cell r="A632" t="str">
            <v>ВВГз 4х 25</v>
          </cell>
          <cell r="FQ632">
            <v>208.27</v>
          </cell>
        </row>
        <row r="633">
          <cell r="A633" t="str">
            <v>ВВГз 4х 35</v>
          </cell>
          <cell r="FQ633">
            <v>243.96</v>
          </cell>
        </row>
        <row r="634">
          <cell r="A634" t="str">
            <v>ВВГз 4х 50</v>
          </cell>
          <cell r="FQ634">
            <v>389.76</v>
          </cell>
        </row>
        <row r="635">
          <cell r="A635" t="str">
            <v>ВВГз 4х 70</v>
          </cell>
          <cell r="FQ635">
            <v>509.13</v>
          </cell>
        </row>
        <row r="636">
          <cell r="A636" t="str">
            <v>ВВГз 4х 95</v>
          </cell>
          <cell r="FQ636">
            <v>721.86</v>
          </cell>
        </row>
        <row r="637">
          <cell r="A637" t="str">
            <v>ВВГз 4х120</v>
          </cell>
          <cell r="FQ637">
            <v>873.26</v>
          </cell>
        </row>
        <row r="638">
          <cell r="A638" t="str">
            <v>ВВГз 4х240</v>
          </cell>
          <cell r="FQ638">
            <v>1761.83</v>
          </cell>
        </row>
        <row r="639">
          <cell r="A639" t="str">
            <v>ВВГз 5х  1,5</v>
          </cell>
          <cell r="FQ639">
            <v>20.92</v>
          </cell>
        </row>
        <row r="640">
          <cell r="A640" t="str">
            <v>ВВГз 5х  2,5</v>
          </cell>
          <cell r="FQ640">
            <v>25.45</v>
          </cell>
        </row>
        <row r="641">
          <cell r="A641" t="str">
            <v>ВВГз 5х  4</v>
          </cell>
          <cell r="FQ641">
            <v>44.77</v>
          </cell>
        </row>
        <row r="642">
          <cell r="A642" t="str">
            <v>ВВГз 5х  6</v>
          </cell>
          <cell r="FQ642">
            <v>56.14</v>
          </cell>
        </row>
        <row r="643">
          <cell r="A643" t="str">
            <v>ВВГз 5х 10</v>
          </cell>
          <cell r="FQ643">
            <v>102</v>
          </cell>
        </row>
        <row r="644">
          <cell r="A644" t="str">
            <v>ВВГз 5х 16</v>
          </cell>
          <cell r="FQ644">
            <v>170.24</v>
          </cell>
        </row>
        <row r="645">
          <cell r="A645" t="str">
            <v>ВВГз 5х 25</v>
          </cell>
          <cell r="FQ645">
            <v>257.20999999999998</v>
          </cell>
        </row>
        <row r="646">
          <cell r="A646" t="str">
            <v>ВВГз 5х 35</v>
          </cell>
          <cell r="FQ646">
            <v>346.38</v>
          </cell>
        </row>
        <row r="647">
          <cell r="A647" t="str">
            <v xml:space="preserve"> Кабель медный бронированный</v>
          </cell>
          <cell r="FQ647">
            <v>0</v>
          </cell>
        </row>
        <row r="648">
          <cell r="A648" t="str">
            <v>ВБбШв 3х 2,5</v>
          </cell>
          <cell r="FQ648">
            <v>32.15</v>
          </cell>
        </row>
        <row r="649">
          <cell r="A649" t="str">
            <v>ВБбШв 3х 4</v>
          </cell>
          <cell r="FQ649">
            <v>41.3</v>
          </cell>
        </row>
        <row r="650">
          <cell r="A650" t="str">
            <v>ВБбШв 3х 6</v>
          </cell>
          <cell r="FQ650">
            <v>52.78</v>
          </cell>
        </row>
        <row r="651">
          <cell r="A651" t="str">
            <v>ВБбШв 3х 10</v>
          </cell>
          <cell r="FQ651">
            <v>70.819999999999993</v>
          </cell>
        </row>
        <row r="652">
          <cell r="A652" t="str">
            <v>ВБбШв 3х 16</v>
          </cell>
          <cell r="FQ652">
            <v>116.09</v>
          </cell>
        </row>
        <row r="653">
          <cell r="A653" t="str">
            <v>ВБбШв 3х 25</v>
          </cell>
          <cell r="FQ653">
            <v>149.36000000000001</v>
          </cell>
        </row>
        <row r="654">
          <cell r="A654" t="str">
            <v>ВБбШв 3х 35</v>
          </cell>
          <cell r="FQ654">
            <v>214.15</v>
          </cell>
        </row>
        <row r="655">
          <cell r="A655" t="str">
            <v>ВБбШв 3х 50</v>
          </cell>
          <cell r="FQ655">
            <v>262.77999999999997</v>
          </cell>
        </row>
        <row r="656">
          <cell r="A656" t="str">
            <v>ВБбШв 3х 70</v>
          </cell>
          <cell r="FQ656">
            <v>402.32</v>
          </cell>
        </row>
        <row r="657">
          <cell r="A657" t="str">
            <v>ВБбШв 3х 95</v>
          </cell>
          <cell r="FQ657">
            <v>545.99</v>
          </cell>
        </row>
        <row r="658">
          <cell r="A658" t="str">
            <v>ВБбШв 3х120</v>
          </cell>
          <cell r="FQ658">
            <v>616.16999999999996</v>
          </cell>
        </row>
        <row r="659">
          <cell r="A659" t="str">
            <v>ВБбШв 3х185</v>
          </cell>
          <cell r="FQ659">
            <v>928.92</v>
          </cell>
        </row>
        <row r="660">
          <cell r="A660" t="str">
            <v>ВБбШв 3х240</v>
          </cell>
          <cell r="FQ660">
            <v>1216.7</v>
          </cell>
        </row>
        <row r="661">
          <cell r="A661" t="str">
            <v>ВБбШв 3х 4+1х2,5</v>
          </cell>
          <cell r="FQ661">
            <v>47.36</v>
          </cell>
        </row>
        <row r="662">
          <cell r="A662" t="str">
            <v>ВБбШв 3х 6+1х4</v>
          </cell>
          <cell r="FQ662">
            <v>58.26</v>
          </cell>
        </row>
        <row r="663">
          <cell r="A663" t="str">
            <v>ВБбШв 3х10+1х6</v>
          </cell>
          <cell r="FQ663">
            <v>81.95</v>
          </cell>
        </row>
        <row r="664">
          <cell r="A664" t="str">
            <v>ВБбШв 3х16+1х10</v>
          </cell>
          <cell r="FQ664">
            <v>127.23</v>
          </cell>
        </row>
        <row r="665">
          <cell r="A665" t="str">
            <v>ВБбШв 3х25+1х16</v>
          </cell>
          <cell r="FQ665">
            <v>174.94</v>
          </cell>
        </row>
        <row r="666">
          <cell r="A666" t="str">
            <v>ВБбШв 3х35+1х16</v>
          </cell>
          <cell r="FQ666">
            <v>225.08</v>
          </cell>
        </row>
        <row r="667">
          <cell r="A667" t="str">
            <v>ВБбШв 3х50+1х25</v>
          </cell>
          <cell r="FQ667">
            <v>303.57</v>
          </cell>
        </row>
        <row r="668">
          <cell r="A668" t="str">
            <v>ВБбШв 3х70+1х35</v>
          </cell>
          <cell r="FQ668">
            <v>434.8</v>
          </cell>
        </row>
        <row r="669">
          <cell r="A669" t="str">
            <v>ВБбШв 3х95+1х50</v>
          </cell>
          <cell r="FQ669">
            <v>580.26</v>
          </cell>
        </row>
        <row r="670">
          <cell r="A670" t="str">
            <v>ВБбШв 3х120+1х70</v>
          </cell>
          <cell r="FQ670">
            <v>740.13</v>
          </cell>
        </row>
        <row r="671">
          <cell r="A671" t="str">
            <v>ВБбШв 3х150+1х70</v>
          </cell>
          <cell r="FQ671">
            <v>872.4</v>
          </cell>
        </row>
        <row r="672">
          <cell r="A672" t="str">
            <v>ВБбШв 3х185+1х95</v>
          </cell>
          <cell r="FQ672">
            <v>1093.8900000000001</v>
          </cell>
        </row>
        <row r="673">
          <cell r="A673" t="str">
            <v>ВБбШв 4х 2,5</v>
          </cell>
          <cell r="FQ673">
            <v>34.08</v>
          </cell>
        </row>
        <row r="674">
          <cell r="A674" t="str">
            <v>ВБбШв 4х 4</v>
          </cell>
          <cell r="FQ674">
            <v>44.33</v>
          </cell>
        </row>
        <row r="675">
          <cell r="A675" t="str">
            <v>ВБбШв 4х 6</v>
          </cell>
          <cell r="FQ675">
            <v>57.64</v>
          </cell>
        </row>
        <row r="676">
          <cell r="A676" t="str">
            <v>ВБбШв 4х 10</v>
          </cell>
          <cell r="FQ676">
            <v>87.01</v>
          </cell>
        </row>
        <row r="677">
          <cell r="A677" t="str">
            <v>ВБбШв 4х 16</v>
          </cell>
          <cell r="FQ677">
            <v>124.5</v>
          </cell>
        </row>
        <row r="678">
          <cell r="A678" t="str">
            <v>ВБбШв 4х 25</v>
          </cell>
          <cell r="FQ678">
            <v>184.5</v>
          </cell>
        </row>
        <row r="679">
          <cell r="A679" t="str">
            <v>ВБбШв 4х 35</v>
          </cell>
          <cell r="FQ679">
            <v>246.63</v>
          </cell>
        </row>
        <row r="680">
          <cell r="A680" t="str">
            <v>ВБбШв 4х 50</v>
          </cell>
          <cell r="FQ680">
            <v>357.66</v>
          </cell>
        </row>
        <row r="681">
          <cell r="A681" t="str">
            <v>ВБбШв 4х 70</v>
          </cell>
          <cell r="FQ681">
            <v>487.09</v>
          </cell>
        </row>
        <row r="682">
          <cell r="A682" t="str">
            <v>ВБбШв 4х 95</v>
          </cell>
          <cell r="FQ682">
            <v>658.5</v>
          </cell>
        </row>
        <row r="683">
          <cell r="A683" t="str">
            <v>ВБбШв 4х120</v>
          </cell>
          <cell r="FQ683">
            <v>803.08</v>
          </cell>
        </row>
        <row r="684">
          <cell r="A684" t="str">
            <v>ВБбШв 4х150</v>
          </cell>
          <cell r="FQ684">
            <v>1003.67</v>
          </cell>
        </row>
        <row r="685">
          <cell r="A685" t="str">
            <v>ВБбШв 4х185</v>
          </cell>
          <cell r="FQ685">
            <v>1219.6099999999999</v>
          </cell>
        </row>
        <row r="686">
          <cell r="A686" t="str">
            <v>ВБбШв 4х240</v>
          </cell>
          <cell r="FQ686">
            <v>1598.61</v>
          </cell>
        </row>
        <row r="687">
          <cell r="A687" t="str">
            <v>ВБбШв 5х2,5</v>
          </cell>
          <cell r="FQ687">
            <v>42.77</v>
          </cell>
        </row>
        <row r="688">
          <cell r="A688" t="str">
            <v>ВБбШв 5х4</v>
          </cell>
          <cell r="FQ688">
            <v>58.36</v>
          </cell>
        </row>
        <row r="689">
          <cell r="A689" t="str">
            <v>ВБбШв 5х6</v>
          </cell>
          <cell r="FQ689">
            <v>76.349999999999994</v>
          </cell>
        </row>
        <row r="690">
          <cell r="A690" t="str">
            <v>ВБбШв 5х10</v>
          </cell>
          <cell r="FQ690">
            <v>118.96</v>
          </cell>
        </row>
        <row r="691">
          <cell r="A691" t="str">
            <v>ВБбШв 5х16</v>
          </cell>
          <cell r="FQ691">
            <v>172.8</v>
          </cell>
        </row>
        <row r="692">
          <cell r="A692" t="str">
            <v>ВБбШв 5х25</v>
          </cell>
          <cell r="FQ692">
            <v>256.83</v>
          </cell>
        </row>
        <row r="693">
          <cell r="A693" t="str">
            <v>ВБбШв 5х35</v>
          </cell>
          <cell r="FQ693">
            <v>343.55</v>
          </cell>
        </row>
        <row r="694">
          <cell r="A694" t="str">
            <v>ВБбШв 5х50</v>
          </cell>
          <cell r="FQ694">
            <v>453.33</v>
          </cell>
        </row>
        <row r="695">
          <cell r="A695" t="str">
            <v>ВБбШв 5х70</v>
          </cell>
          <cell r="FQ695">
            <v>609.46</v>
          </cell>
        </row>
        <row r="696">
          <cell r="A696" t="str">
            <v>ВБбШв 5х95</v>
          </cell>
          <cell r="FQ696">
            <v>819.46</v>
          </cell>
        </row>
        <row r="697">
          <cell r="A697" t="str">
            <v>ВБбШв 5х120</v>
          </cell>
          <cell r="FQ697">
            <v>1020.27</v>
          </cell>
        </row>
        <row r="698">
          <cell r="A698" t="str">
            <v>ВБбШв 5х150</v>
          </cell>
          <cell r="FQ698">
            <v>1258.1199999999999</v>
          </cell>
        </row>
        <row r="699">
          <cell r="A699" t="str">
            <v>ВБбШв 5х185</v>
          </cell>
          <cell r="FQ699">
            <v>1711.72</v>
          </cell>
        </row>
        <row r="700">
          <cell r="A700" t="str">
            <v>ВБбШв 5х240</v>
          </cell>
          <cell r="FQ700">
            <v>2221.75</v>
          </cell>
        </row>
        <row r="701">
          <cell r="A701" t="str">
            <v>ВБбШнг 3х 2,5</v>
          </cell>
          <cell r="FQ701">
            <v>41.42</v>
          </cell>
        </row>
        <row r="702">
          <cell r="A702" t="str">
            <v>ВБбШнг 3х 4</v>
          </cell>
          <cell r="FQ702">
            <v>49.07</v>
          </cell>
        </row>
        <row r="703">
          <cell r="A703" t="str">
            <v>ВБбШнг 3х 6</v>
          </cell>
          <cell r="FQ703">
            <v>56.78</v>
          </cell>
        </row>
        <row r="704">
          <cell r="A704" t="str">
            <v>ВБбШнг 3х 10</v>
          </cell>
          <cell r="FQ704">
            <v>88.95</v>
          </cell>
        </row>
        <row r="705">
          <cell r="A705" t="str">
            <v>ВБбШнг 3х 16</v>
          </cell>
          <cell r="FQ705">
            <v>122.86</v>
          </cell>
        </row>
        <row r="706">
          <cell r="A706" t="str">
            <v>ВБбШнг 3х 25</v>
          </cell>
          <cell r="FQ706">
            <v>182.88</v>
          </cell>
        </row>
        <row r="707">
          <cell r="A707" t="str">
            <v>ВБбШнг 3х 35</v>
          </cell>
          <cell r="FQ707">
            <v>242.39</v>
          </cell>
        </row>
        <row r="708">
          <cell r="A708" t="str">
            <v>ВБбШнг 3х 50</v>
          </cell>
          <cell r="FQ708">
            <v>336.4</v>
          </cell>
        </row>
        <row r="709">
          <cell r="A709" t="str">
            <v>ВБбШнг 3х 70</v>
          </cell>
          <cell r="FQ709">
            <v>446.6</v>
          </cell>
        </row>
        <row r="710">
          <cell r="A710" t="str">
            <v>ВБбШнг 3х 95</v>
          </cell>
          <cell r="FQ710">
            <v>599.20000000000005</v>
          </cell>
        </row>
        <row r="711">
          <cell r="A711" t="str">
            <v>ВБбШнг 3х120</v>
          </cell>
          <cell r="FQ711">
            <v>743.13</v>
          </cell>
        </row>
        <row r="712">
          <cell r="A712" t="str">
            <v>ВБбШнг 3х150</v>
          </cell>
          <cell r="FQ712">
            <v>905.68</v>
          </cell>
        </row>
        <row r="713">
          <cell r="A713" t="str">
            <v>ВБбШнг 3х185</v>
          </cell>
          <cell r="FQ713">
            <v>1111.1099999999999</v>
          </cell>
        </row>
        <row r="714">
          <cell r="A714" t="str">
            <v>ВБбШнг 3х240</v>
          </cell>
          <cell r="FQ714">
            <v>1436.55</v>
          </cell>
        </row>
        <row r="715">
          <cell r="A715" t="str">
            <v>ВБбШнг 3х 4+1х2,5</v>
          </cell>
          <cell r="FQ715">
            <v>55.06</v>
          </cell>
        </row>
        <row r="716">
          <cell r="A716" t="str">
            <v>ВБбШнг 3х 6+1х4</v>
          </cell>
          <cell r="FQ716">
            <v>73.05</v>
          </cell>
        </row>
        <row r="717">
          <cell r="A717" t="str">
            <v>ВБбШнг 3х10+1х6</v>
          </cell>
          <cell r="FQ717">
            <v>95.09</v>
          </cell>
        </row>
        <row r="718">
          <cell r="A718" t="str">
            <v>ВБбШнг 3х16+1х10</v>
          </cell>
          <cell r="FQ718">
            <v>133.33000000000001</v>
          </cell>
        </row>
        <row r="719">
          <cell r="A719" t="str">
            <v>ВБбШнг 3х25+1х16</v>
          </cell>
          <cell r="FQ719">
            <v>201.82</v>
          </cell>
        </row>
        <row r="720">
          <cell r="A720" t="str">
            <v>ВБбШнг 3х35+1х16</v>
          </cell>
          <cell r="FQ720">
            <v>245.41</v>
          </cell>
        </row>
        <row r="721">
          <cell r="A721" t="str">
            <v>ВБбШнг 3х50+1х25</v>
          </cell>
          <cell r="FQ721">
            <v>340.77</v>
          </cell>
        </row>
        <row r="722">
          <cell r="A722" t="str">
            <v>ВБбШнг 3х70+1х35</v>
          </cell>
          <cell r="FQ722">
            <v>474.06</v>
          </cell>
        </row>
        <row r="723">
          <cell r="A723" t="str">
            <v>ВБбШнг 3х95+1х50</v>
          </cell>
          <cell r="FQ723">
            <v>590.05999999999995</v>
          </cell>
        </row>
        <row r="724">
          <cell r="A724" t="str">
            <v>ВБбШнг 3х120+1х70</v>
          </cell>
          <cell r="FQ724">
            <v>746.58</v>
          </cell>
        </row>
        <row r="725">
          <cell r="A725" t="str">
            <v>ВБбШнг 3х150+1х70</v>
          </cell>
          <cell r="FQ725">
            <v>887.65</v>
          </cell>
        </row>
        <row r="726">
          <cell r="A726" t="str">
            <v>ВБбШнг 3х185+1х95</v>
          </cell>
          <cell r="FQ726">
            <v>1204.96</v>
          </cell>
        </row>
        <row r="727">
          <cell r="A727" t="str">
            <v>ВБбШнг 4х 2,5</v>
          </cell>
          <cell r="FQ727">
            <v>45.39</v>
          </cell>
        </row>
        <row r="728">
          <cell r="A728" t="str">
            <v>ВБбШнг 4х 4</v>
          </cell>
          <cell r="FQ728">
            <v>58.78</v>
          </cell>
        </row>
        <row r="729">
          <cell r="A729" t="str">
            <v>ВБбШнг 4х 6</v>
          </cell>
          <cell r="FQ729">
            <v>65.13</v>
          </cell>
        </row>
        <row r="730">
          <cell r="A730" t="str">
            <v>ВБбШнг 4х 10</v>
          </cell>
          <cell r="FQ730">
            <v>102.63</v>
          </cell>
        </row>
        <row r="731">
          <cell r="A731" t="str">
            <v>ВБбШнг 4х 16</v>
          </cell>
          <cell r="FQ731">
            <v>154.57</v>
          </cell>
        </row>
        <row r="732">
          <cell r="A732" t="str">
            <v>ВБбШнг 4х 25</v>
          </cell>
          <cell r="FQ732">
            <v>222.71</v>
          </cell>
        </row>
        <row r="733">
          <cell r="A733" t="str">
            <v>ВБбШнг 4х 35</v>
          </cell>
          <cell r="FQ733">
            <v>299.48</v>
          </cell>
        </row>
        <row r="734">
          <cell r="A734" t="str">
            <v>ВБбШнг 4х 50</v>
          </cell>
          <cell r="FQ734">
            <v>380.99</v>
          </cell>
        </row>
        <row r="735">
          <cell r="A735" t="str">
            <v>ВБбШнг 4х 70</v>
          </cell>
          <cell r="FQ735">
            <v>514.44000000000005</v>
          </cell>
        </row>
        <row r="736">
          <cell r="A736" t="str">
            <v>ВБбШнг 4х 95</v>
          </cell>
          <cell r="FQ736">
            <v>704.52</v>
          </cell>
        </row>
        <row r="737">
          <cell r="A737" t="str">
            <v>ВБбШнг 4х120</v>
          </cell>
          <cell r="FQ737">
            <v>898.66</v>
          </cell>
        </row>
        <row r="738">
          <cell r="A738" t="str">
            <v>ВБбШнг 4х150</v>
          </cell>
          <cell r="FQ738">
            <v>1092.1500000000001</v>
          </cell>
        </row>
        <row r="739">
          <cell r="A739" t="str">
            <v>ВБбШнг 4х185</v>
          </cell>
          <cell r="FQ739">
            <v>1309.9100000000001</v>
          </cell>
        </row>
        <row r="740">
          <cell r="A740" t="str">
            <v>ВБбШнг 4х240</v>
          </cell>
          <cell r="FQ740">
            <v>1699.85</v>
          </cell>
        </row>
        <row r="741">
          <cell r="A741" t="str">
            <v>ВБбШнг 5х6</v>
          </cell>
          <cell r="FQ741">
            <v>78.069999999999993</v>
          </cell>
        </row>
        <row r="742">
          <cell r="A742" t="str">
            <v>ВБбШнг 5х10</v>
          </cell>
          <cell r="FQ742">
            <v>130.04</v>
          </cell>
        </row>
        <row r="743">
          <cell r="A743" t="str">
            <v>ВБбШнг 5х16</v>
          </cell>
          <cell r="FQ743">
            <v>186.17</v>
          </cell>
        </row>
        <row r="744">
          <cell r="A744" t="str">
            <v>ВБбШнг 5х25</v>
          </cell>
          <cell r="FQ744">
            <v>272.69</v>
          </cell>
        </row>
        <row r="745">
          <cell r="A745" t="str">
            <v>ВБбШнг 5х35</v>
          </cell>
          <cell r="FQ745">
            <v>361.02</v>
          </cell>
        </row>
        <row r="746">
          <cell r="A746" t="str">
            <v>ВБбШнг 5х50</v>
          </cell>
          <cell r="FQ746">
            <v>471.43</v>
          </cell>
        </row>
        <row r="747">
          <cell r="A747" t="str">
            <v>ВБбШнг 5х70</v>
          </cell>
          <cell r="FQ747">
            <v>629.83000000000004</v>
          </cell>
        </row>
        <row r="748">
          <cell r="A748" t="str">
            <v>ВБбШнг 5х95</v>
          </cell>
          <cell r="FQ748">
            <v>843.79</v>
          </cell>
        </row>
        <row r="749">
          <cell r="A749" t="str">
            <v>ВБбШнг 5х120</v>
          </cell>
          <cell r="FQ749">
            <v>1046.6199999999999</v>
          </cell>
        </row>
        <row r="750">
          <cell r="A750" t="str">
            <v xml:space="preserve"> Кабель алюминиевый силовой</v>
          </cell>
        </row>
        <row r="751">
          <cell r="A751" t="str">
            <v>АВВГ 1х  2,5</v>
          </cell>
          <cell r="FQ751">
            <v>1.96</v>
          </cell>
        </row>
        <row r="752">
          <cell r="A752" t="str">
            <v>АВВГ 1х  4</v>
          </cell>
          <cell r="FQ752">
            <v>2.66</v>
          </cell>
        </row>
        <row r="753">
          <cell r="A753" t="str">
            <v>АВВГ 1х  6</v>
          </cell>
          <cell r="FQ753">
            <v>3.36</v>
          </cell>
        </row>
        <row r="754">
          <cell r="A754" t="str">
            <v>АВВГ 1х 10</v>
          </cell>
          <cell r="FQ754">
            <v>5.0999999999999996</v>
          </cell>
        </row>
        <row r="755">
          <cell r="A755" t="str">
            <v>АВВГ 1х 16</v>
          </cell>
          <cell r="FQ755">
            <v>7.46</v>
          </cell>
        </row>
        <row r="756">
          <cell r="A756" t="str">
            <v>АВВГ 1х 25</v>
          </cell>
          <cell r="FQ756">
            <v>10.91</v>
          </cell>
        </row>
        <row r="757">
          <cell r="A757" t="str">
            <v>АВВГ 1х 35</v>
          </cell>
          <cell r="FQ757">
            <v>13.81</v>
          </cell>
        </row>
        <row r="758">
          <cell r="A758" t="str">
            <v>АВВГ 1х 50</v>
          </cell>
          <cell r="FQ758">
            <v>19.3</v>
          </cell>
        </row>
        <row r="759">
          <cell r="A759" t="str">
            <v>АВВГ 1х 70</v>
          </cell>
          <cell r="FQ759">
            <v>26.44</v>
          </cell>
        </row>
        <row r="760">
          <cell r="A760" t="str">
            <v>АВВГ 1х 95</v>
          </cell>
          <cell r="FQ760">
            <v>35.729999999999997</v>
          </cell>
        </row>
        <row r="761">
          <cell r="A761" t="str">
            <v>АВВГ 1х120</v>
          </cell>
          <cell r="FQ761">
            <v>43.44</v>
          </cell>
        </row>
        <row r="762">
          <cell r="A762" t="str">
            <v>АВВГ 1х150</v>
          </cell>
          <cell r="FQ762">
            <v>59.06</v>
          </cell>
        </row>
        <row r="763">
          <cell r="A763" t="str">
            <v>АВВГ 1х185</v>
          </cell>
          <cell r="FQ763">
            <v>71.739999999999995</v>
          </cell>
        </row>
        <row r="764">
          <cell r="A764" t="str">
            <v>АВВГ 1х240</v>
          </cell>
          <cell r="FQ764">
            <v>90.97</v>
          </cell>
        </row>
        <row r="765">
          <cell r="A765" t="str">
            <v>АВВГп 2х 2,5</v>
          </cell>
          <cell r="FQ765">
            <v>2.77</v>
          </cell>
        </row>
        <row r="766">
          <cell r="A766" t="str">
            <v>АВВГп 2х 4</v>
          </cell>
          <cell r="FQ766">
            <v>3.93</v>
          </cell>
        </row>
        <row r="767">
          <cell r="A767" t="str">
            <v>АВВГп 2х 6</v>
          </cell>
          <cell r="FQ767">
            <v>5.17</v>
          </cell>
        </row>
        <row r="768">
          <cell r="A768" t="str">
            <v>АВВГп 2х10</v>
          </cell>
          <cell r="FQ768">
            <v>8.43</v>
          </cell>
        </row>
        <row r="769">
          <cell r="A769" t="str">
            <v>АВВГп 2х 16</v>
          </cell>
          <cell r="FQ769">
            <v>12.75</v>
          </cell>
        </row>
        <row r="770">
          <cell r="A770" t="str">
            <v>АВВГ 2х 25</v>
          </cell>
          <cell r="FQ770">
            <v>18.79</v>
          </cell>
        </row>
        <row r="771">
          <cell r="A771" t="str">
            <v>АВВГ 2х 35</v>
          </cell>
          <cell r="FQ771">
            <v>29.59</v>
          </cell>
        </row>
        <row r="772">
          <cell r="A772" t="str">
            <v>АВВГ 2х 50</v>
          </cell>
          <cell r="FQ772">
            <v>44.78</v>
          </cell>
        </row>
        <row r="773">
          <cell r="A773" t="str">
            <v>АВВГ 2х 70</v>
          </cell>
          <cell r="FQ773">
            <v>55.64</v>
          </cell>
        </row>
        <row r="774">
          <cell r="A774" t="str">
            <v>АВВГ 2х 95</v>
          </cell>
          <cell r="FQ774">
            <v>75.23</v>
          </cell>
        </row>
        <row r="775">
          <cell r="A775" t="str">
            <v>АВВГ 2х120</v>
          </cell>
          <cell r="FQ775">
            <v>96.3</v>
          </cell>
        </row>
        <row r="776">
          <cell r="A776" t="str">
            <v>АВВГ 2х150</v>
          </cell>
          <cell r="FQ776">
            <v>115.88</v>
          </cell>
        </row>
        <row r="777">
          <cell r="A777" t="str">
            <v>АВВГ 2х185</v>
          </cell>
          <cell r="FQ777">
            <v>159.76</v>
          </cell>
        </row>
        <row r="778">
          <cell r="A778" t="str">
            <v>АВВГ 2х240</v>
          </cell>
          <cell r="FQ778">
            <v>199.34</v>
          </cell>
        </row>
        <row r="779">
          <cell r="A779" t="str">
            <v>АВВГп 3х2,5</v>
          </cell>
          <cell r="FQ779">
            <v>3.94</v>
          </cell>
        </row>
        <row r="780">
          <cell r="A780" t="str">
            <v>АВВГп 3х4</v>
          </cell>
          <cell r="FQ780">
            <v>5.61</v>
          </cell>
        </row>
        <row r="781">
          <cell r="A781" t="str">
            <v>АВВГп 3х6</v>
          </cell>
          <cell r="FQ781">
            <v>8.2899999999999991</v>
          </cell>
        </row>
        <row r="782">
          <cell r="A782" t="str">
            <v>АВВГ 3х10</v>
          </cell>
          <cell r="FQ782">
            <v>12.93</v>
          </cell>
        </row>
        <row r="783">
          <cell r="A783" t="str">
            <v>АВВГ 3х 16</v>
          </cell>
          <cell r="FQ783">
            <v>18.29</v>
          </cell>
        </row>
        <row r="784">
          <cell r="A784" t="str">
            <v>АВВГ 3х 25</v>
          </cell>
          <cell r="FQ784">
            <v>27.97</v>
          </cell>
        </row>
        <row r="785">
          <cell r="A785" t="str">
            <v>АВВГ 3х 35</v>
          </cell>
          <cell r="FQ785">
            <v>38.19</v>
          </cell>
        </row>
        <row r="786">
          <cell r="A786" t="str">
            <v>АВВГ 3х 50</v>
          </cell>
          <cell r="FQ786">
            <v>56.65</v>
          </cell>
        </row>
        <row r="787">
          <cell r="A787" t="str">
            <v>АВВГ 3х 70</v>
          </cell>
          <cell r="FQ787">
            <v>82.26</v>
          </cell>
        </row>
        <row r="788">
          <cell r="A788" t="str">
            <v>АВВГ 3х 95</v>
          </cell>
          <cell r="FQ788">
            <v>116.19</v>
          </cell>
        </row>
        <row r="789">
          <cell r="A789" t="str">
            <v>АВВГ 3х120</v>
          </cell>
          <cell r="FQ789">
            <v>141.22999999999999</v>
          </cell>
        </row>
        <row r="790">
          <cell r="A790" t="str">
            <v>АВВГ 3х150</v>
          </cell>
          <cell r="FQ790">
            <v>166.96</v>
          </cell>
        </row>
        <row r="791">
          <cell r="A791" t="str">
            <v>АВВГ 3х185</v>
          </cell>
          <cell r="FQ791">
            <v>199.73</v>
          </cell>
        </row>
        <row r="792">
          <cell r="A792" t="str">
            <v>АВВГ 3х240</v>
          </cell>
          <cell r="FQ792">
            <v>258.73</v>
          </cell>
        </row>
        <row r="793">
          <cell r="A793" t="str">
            <v>АВВГ 3х  4+1х2,5</v>
          </cell>
          <cell r="FQ793">
            <v>7.5</v>
          </cell>
        </row>
        <row r="794">
          <cell r="A794" t="str">
            <v>АВВГ 3х  6+1х4</v>
          </cell>
          <cell r="FQ794">
            <v>9.5</v>
          </cell>
        </row>
        <row r="795">
          <cell r="A795" t="str">
            <v>АВВГ 3х 10+1х6</v>
          </cell>
          <cell r="FQ795">
            <v>14.73</v>
          </cell>
        </row>
        <row r="796">
          <cell r="A796" t="str">
            <v>АВВГ 3х 16+1х10</v>
          </cell>
          <cell r="FQ796">
            <v>21.91</v>
          </cell>
        </row>
        <row r="797">
          <cell r="A797" t="str">
            <v>АВВГ 3х 25+1х16</v>
          </cell>
          <cell r="FQ797">
            <v>32.340000000000003</v>
          </cell>
        </row>
        <row r="798">
          <cell r="A798" t="str">
            <v>АВВГ 3х 35+1х16</v>
          </cell>
          <cell r="FQ798">
            <v>42.19</v>
          </cell>
        </row>
        <row r="799">
          <cell r="A799" t="str">
            <v>АВВГ 3х 50+1х25</v>
          </cell>
          <cell r="FQ799">
            <v>57.85</v>
          </cell>
        </row>
        <row r="800">
          <cell r="A800" t="str">
            <v>АВВГ 3х 70+1х25</v>
          </cell>
          <cell r="FQ800">
            <v>89.19</v>
          </cell>
        </row>
        <row r="801">
          <cell r="A801" t="str">
            <v>АВВГ 3х 70+1х35</v>
          </cell>
          <cell r="FQ801">
            <v>93.06</v>
          </cell>
        </row>
        <row r="802">
          <cell r="A802" t="str">
            <v>АВВГ 3х 95+1х35</v>
          </cell>
          <cell r="FQ802">
            <v>119.55</v>
          </cell>
        </row>
        <row r="803">
          <cell r="A803" t="str">
            <v>АВВГ 3х 95+1х50</v>
          </cell>
          <cell r="FQ803">
            <v>124.66</v>
          </cell>
        </row>
        <row r="804">
          <cell r="A804" t="str">
            <v>АВВГ 3х120+1х35</v>
          </cell>
          <cell r="FQ804">
            <v>141.47</v>
          </cell>
        </row>
        <row r="805">
          <cell r="A805" t="str">
            <v>АВВГ 3х120+1х70</v>
          </cell>
          <cell r="FQ805">
            <v>155.91999999999999</v>
          </cell>
        </row>
        <row r="806">
          <cell r="A806" t="str">
            <v>АВВГ 3х150+1х70</v>
          </cell>
          <cell r="FQ806">
            <v>187.96</v>
          </cell>
        </row>
        <row r="807">
          <cell r="A807" t="str">
            <v>АВВГ 3х185+1х95</v>
          </cell>
          <cell r="FQ807">
            <v>230.75</v>
          </cell>
        </row>
        <row r="808">
          <cell r="A808" t="str">
            <v>АВВГ 3х240+1х120</v>
          </cell>
          <cell r="FQ808">
            <v>310.08</v>
          </cell>
        </row>
        <row r="809">
          <cell r="A809" t="str">
            <v>АВВГ 4х  2,5</v>
          </cell>
          <cell r="FQ809">
            <v>5.33</v>
          </cell>
        </row>
        <row r="810">
          <cell r="A810" t="str">
            <v>АВВГ 4х  4</v>
          </cell>
          <cell r="FQ810">
            <v>7.84</v>
          </cell>
        </row>
        <row r="811">
          <cell r="A811" t="str">
            <v>АВВГ 4х  6</v>
          </cell>
          <cell r="FQ811">
            <v>10.41</v>
          </cell>
        </row>
        <row r="812">
          <cell r="A812" t="str">
            <v>АВВГ 4х 10</v>
          </cell>
          <cell r="FQ812">
            <v>16.010000000000002</v>
          </cell>
        </row>
        <row r="813">
          <cell r="A813" t="str">
            <v>АВВГ 4х 16</v>
          </cell>
          <cell r="FQ813">
            <v>23.83</v>
          </cell>
        </row>
        <row r="814">
          <cell r="A814" t="str">
            <v>АВВГ 4х 25</v>
          </cell>
          <cell r="FQ814">
            <v>35.6</v>
          </cell>
        </row>
        <row r="815">
          <cell r="A815" t="str">
            <v>АВВГ 4х 35</v>
          </cell>
          <cell r="FQ815">
            <v>46.2</v>
          </cell>
        </row>
        <row r="816">
          <cell r="A816" t="str">
            <v>АВВГ 4х 50</v>
          </cell>
          <cell r="FQ816">
            <v>64.56</v>
          </cell>
        </row>
        <row r="817">
          <cell r="A817" t="str">
            <v>АВВГ 4х 70</v>
          </cell>
          <cell r="FQ817">
            <v>100.06</v>
          </cell>
        </row>
        <row r="818">
          <cell r="A818" t="str">
            <v>АВВГ 4х 95</v>
          </cell>
          <cell r="FQ818">
            <v>138.97</v>
          </cell>
        </row>
        <row r="819">
          <cell r="A819" t="str">
            <v>АВВГ 4х120</v>
          </cell>
          <cell r="FQ819">
            <v>166.75</v>
          </cell>
        </row>
        <row r="820">
          <cell r="A820" t="str">
            <v>АВВГ 4х150</v>
          </cell>
          <cell r="FQ820">
            <v>203.23</v>
          </cell>
        </row>
        <row r="821">
          <cell r="A821" t="str">
            <v>АВВГ 4х185</v>
          </cell>
          <cell r="FQ821">
            <v>251.53</v>
          </cell>
        </row>
        <row r="822">
          <cell r="A822" t="str">
            <v>АВВГ 4х240</v>
          </cell>
          <cell r="FQ822">
            <v>319.67</v>
          </cell>
        </row>
        <row r="823">
          <cell r="A823" t="str">
            <v>АВВГ 5х  2,5</v>
          </cell>
          <cell r="FQ823">
            <v>6.99</v>
          </cell>
        </row>
        <row r="824">
          <cell r="A824" t="str">
            <v>АВВГ 5х  4</v>
          </cell>
          <cell r="FQ824">
            <v>9.86</v>
          </cell>
        </row>
        <row r="825">
          <cell r="A825" t="str">
            <v>АВВГ 5х  6</v>
          </cell>
          <cell r="FQ825">
            <v>13.11</v>
          </cell>
        </row>
        <row r="826">
          <cell r="A826" t="str">
            <v>АВВГ 5х 10</v>
          </cell>
          <cell r="FQ826">
            <v>20.65</v>
          </cell>
        </row>
        <row r="827">
          <cell r="A827" t="str">
            <v>АВВГ 5х 16</v>
          </cell>
          <cell r="FQ827">
            <v>30.57</v>
          </cell>
        </row>
        <row r="828">
          <cell r="A828" t="str">
            <v>АВВГ 5х 25</v>
          </cell>
          <cell r="FQ828">
            <v>44.98</v>
          </cell>
        </row>
        <row r="829">
          <cell r="A829" t="str">
            <v>АВВГ 5х 35</v>
          </cell>
          <cell r="FQ829">
            <v>66.27</v>
          </cell>
        </row>
        <row r="830">
          <cell r="A830" t="str">
            <v>АВВГ 5х 50</v>
          </cell>
          <cell r="FQ830">
            <v>90.21</v>
          </cell>
        </row>
        <row r="831">
          <cell r="A831" t="str">
            <v>АВВГ 5х 70</v>
          </cell>
          <cell r="FQ831">
            <v>142.53</v>
          </cell>
        </row>
        <row r="832">
          <cell r="A832" t="str">
            <v>АВВГ 5х 95</v>
          </cell>
          <cell r="FQ832">
            <v>199.82</v>
          </cell>
        </row>
        <row r="833">
          <cell r="A833" t="str">
            <v>АВВГ 5х120</v>
          </cell>
          <cell r="FQ833">
            <v>245.34</v>
          </cell>
        </row>
        <row r="834">
          <cell r="A834" t="str">
            <v>АВВГ 5х150</v>
          </cell>
          <cell r="FQ834">
            <v>295.3</v>
          </cell>
        </row>
        <row r="835">
          <cell r="A835" t="str">
            <v>АВВГ 5х185</v>
          </cell>
          <cell r="FQ835">
            <v>322.04000000000002</v>
          </cell>
        </row>
        <row r="836">
          <cell r="A836" t="str">
            <v>АВВГнг 1х  2,5</v>
          </cell>
          <cell r="FQ836">
            <v>2.83</v>
          </cell>
        </row>
        <row r="837">
          <cell r="A837" t="str">
            <v>АВВГнг 1х  4</v>
          </cell>
          <cell r="FQ837">
            <v>3.67</v>
          </cell>
        </row>
        <row r="838">
          <cell r="A838" t="str">
            <v>АВВГнг 1х  6</v>
          </cell>
          <cell r="FQ838">
            <v>4.49</v>
          </cell>
        </row>
        <row r="839">
          <cell r="A839" t="str">
            <v>АВВГнг 1х 10</v>
          </cell>
          <cell r="FQ839">
            <v>6.47</v>
          </cell>
        </row>
        <row r="840">
          <cell r="A840" t="str">
            <v>АВВГнг 1х 16</v>
          </cell>
          <cell r="FQ840">
            <v>10.25</v>
          </cell>
        </row>
        <row r="841">
          <cell r="A841" t="str">
            <v>АВВГнг 1х 25</v>
          </cell>
          <cell r="FQ841">
            <v>14.4</v>
          </cell>
        </row>
        <row r="842">
          <cell r="A842" t="str">
            <v>АВВГнг 1х 35</v>
          </cell>
          <cell r="FQ842">
            <v>17.87</v>
          </cell>
        </row>
        <row r="843">
          <cell r="A843" t="str">
            <v>АВВГнг 1х 50</v>
          </cell>
          <cell r="FQ843">
            <v>22.81</v>
          </cell>
        </row>
        <row r="844">
          <cell r="A844" t="str">
            <v>АВВГнг 1х 70</v>
          </cell>
          <cell r="FQ844">
            <v>31.77</v>
          </cell>
        </row>
        <row r="845">
          <cell r="A845" t="str">
            <v>АВВГнг 1х 95</v>
          </cell>
          <cell r="FQ845">
            <v>41.12</v>
          </cell>
        </row>
        <row r="846">
          <cell r="A846" t="str">
            <v>АВВГнг 1х120</v>
          </cell>
          <cell r="FQ846">
            <v>51.06</v>
          </cell>
        </row>
        <row r="847">
          <cell r="A847" t="str">
            <v>АВВГнг 1х150</v>
          </cell>
          <cell r="FQ847">
            <v>66.87</v>
          </cell>
        </row>
        <row r="848">
          <cell r="A848" t="str">
            <v>АВВГнг 1х185</v>
          </cell>
          <cell r="FQ848">
            <v>81.680000000000007</v>
          </cell>
        </row>
        <row r="849">
          <cell r="A849" t="str">
            <v>АВВГнг 1х240</v>
          </cell>
          <cell r="FQ849">
            <v>102.52</v>
          </cell>
        </row>
        <row r="850">
          <cell r="A850" t="str">
            <v>АВВГнг-п 2х  2,5</v>
          </cell>
          <cell r="FQ850">
            <v>4.3</v>
          </cell>
        </row>
        <row r="851">
          <cell r="A851" t="str">
            <v>АВВГнг-п 2х  4</v>
          </cell>
          <cell r="FQ851">
            <v>5.89</v>
          </cell>
        </row>
        <row r="852">
          <cell r="A852" t="str">
            <v>АВВГнг-п 2х  6</v>
          </cell>
          <cell r="FQ852">
            <v>7.48</v>
          </cell>
        </row>
        <row r="853">
          <cell r="A853" t="str">
            <v>АВВГнг-п 2х 10</v>
          </cell>
          <cell r="FQ853">
            <v>11.57</v>
          </cell>
        </row>
        <row r="854">
          <cell r="A854" t="str">
            <v>АВВГнг-п 2х 16</v>
          </cell>
          <cell r="FQ854">
            <v>17.77</v>
          </cell>
        </row>
        <row r="855">
          <cell r="A855" t="str">
            <v>АВВГнг 2х 25</v>
          </cell>
          <cell r="FQ855">
            <v>20.059999999999999</v>
          </cell>
        </row>
        <row r="856">
          <cell r="A856" t="str">
            <v>АВВГнг 2х 35</v>
          </cell>
          <cell r="FQ856">
            <v>38.94</v>
          </cell>
        </row>
        <row r="857">
          <cell r="A857" t="str">
            <v>АВВГнг 2х 50</v>
          </cell>
          <cell r="FQ857">
            <v>51.57</v>
          </cell>
        </row>
        <row r="858">
          <cell r="A858" t="str">
            <v>АВВГнг 2х 70</v>
          </cell>
          <cell r="FQ858">
            <v>69.59</v>
          </cell>
        </row>
        <row r="859">
          <cell r="A859" t="str">
            <v>АВВГнг 2х 95</v>
          </cell>
          <cell r="FQ859">
            <v>89.62</v>
          </cell>
        </row>
        <row r="860">
          <cell r="A860" t="str">
            <v>АВВГнг 2х120</v>
          </cell>
          <cell r="FQ860">
            <v>110.33</v>
          </cell>
        </row>
        <row r="861">
          <cell r="A861" t="str">
            <v>АВВГнг 2х150</v>
          </cell>
          <cell r="FQ861">
            <v>137.69</v>
          </cell>
        </row>
        <row r="862">
          <cell r="A862" t="str">
            <v>АВВГнг 2х185</v>
          </cell>
          <cell r="FQ862">
            <v>170.07</v>
          </cell>
        </row>
        <row r="863">
          <cell r="A863" t="str">
            <v>АВВГнг 2х240</v>
          </cell>
          <cell r="FQ863">
            <v>210.06</v>
          </cell>
        </row>
        <row r="864">
          <cell r="A864" t="str">
            <v>АВВГнг-п 3х  2,5</v>
          </cell>
          <cell r="FQ864">
            <v>6.15</v>
          </cell>
        </row>
        <row r="865">
          <cell r="A865" t="str">
            <v>АВВГнг-п 3х  4</v>
          </cell>
          <cell r="FQ865">
            <v>8.3800000000000008</v>
          </cell>
        </row>
        <row r="866">
          <cell r="A866" t="str">
            <v>АВВГнг-п 3х  6</v>
          </cell>
          <cell r="FQ866">
            <v>10.61</v>
          </cell>
        </row>
        <row r="867">
          <cell r="A867" t="str">
            <v>АВВГнг 3х  2,5</v>
          </cell>
          <cell r="FQ867">
            <v>6.56</v>
          </cell>
        </row>
        <row r="868">
          <cell r="A868" t="str">
            <v>АВВГнг 3х  4</v>
          </cell>
          <cell r="FQ868">
            <v>8.2799999999999994</v>
          </cell>
        </row>
        <row r="869">
          <cell r="A869" t="str">
            <v>АВВГнг 3х  6</v>
          </cell>
          <cell r="FQ869">
            <v>11.01</v>
          </cell>
        </row>
        <row r="870">
          <cell r="A870" t="str">
            <v>АВВГнг 3х 10</v>
          </cell>
          <cell r="FQ870">
            <v>16.91</v>
          </cell>
        </row>
        <row r="871">
          <cell r="A871" t="str">
            <v>АВВГнг 3х 16</v>
          </cell>
          <cell r="FQ871">
            <v>24.6</v>
          </cell>
        </row>
        <row r="872">
          <cell r="A872" t="str">
            <v>АВВГнг 3х 25</v>
          </cell>
          <cell r="FQ872">
            <v>35.979999999999997</v>
          </cell>
        </row>
        <row r="873">
          <cell r="A873" t="str">
            <v>АВВГнг 3х 35</v>
          </cell>
          <cell r="FQ873">
            <v>45.85</v>
          </cell>
        </row>
        <row r="874">
          <cell r="A874" t="str">
            <v>АВВГнг 3х 50</v>
          </cell>
          <cell r="FQ874">
            <v>55.57</v>
          </cell>
        </row>
        <row r="875">
          <cell r="A875" t="str">
            <v>АВВГнг 3х 70</v>
          </cell>
          <cell r="FQ875">
            <v>88.42</v>
          </cell>
        </row>
        <row r="876">
          <cell r="A876" t="str">
            <v>АВВГнг 3х 95</v>
          </cell>
          <cell r="FQ876">
            <v>127.03</v>
          </cell>
        </row>
        <row r="877">
          <cell r="A877" t="str">
            <v>АВВГнг 3х120</v>
          </cell>
          <cell r="FQ877">
            <v>141.08000000000001</v>
          </cell>
        </row>
        <row r="878">
          <cell r="A878" t="str">
            <v>АВВГнг 3х150</v>
          </cell>
          <cell r="FQ878">
            <v>196.09</v>
          </cell>
        </row>
        <row r="879">
          <cell r="A879" t="str">
            <v>АВВГнг 3х185</v>
          </cell>
          <cell r="FQ879">
            <v>238.23</v>
          </cell>
        </row>
        <row r="880">
          <cell r="A880" t="str">
            <v>АВВГнг 3х240</v>
          </cell>
          <cell r="FQ880">
            <v>300.39</v>
          </cell>
        </row>
        <row r="881">
          <cell r="A881" t="str">
            <v>АВВГнг 3х  4+1х2,5</v>
          </cell>
          <cell r="FQ881">
            <v>11.66</v>
          </cell>
        </row>
        <row r="882">
          <cell r="A882" t="str">
            <v>АВВГнг 3х  6+1х4</v>
          </cell>
          <cell r="FQ882">
            <v>14.19</v>
          </cell>
        </row>
        <row r="883">
          <cell r="A883" t="str">
            <v>АВВГнг 3х 10+1х6</v>
          </cell>
          <cell r="FQ883">
            <v>22.49</v>
          </cell>
        </row>
        <row r="884">
          <cell r="A884" t="str">
            <v>АВВГнг 3х 16+1х10</v>
          </cell>
          <cell r="FQ884">
            <v>31.18</v>
          </cell>
        </row>
        <row r="885">
          <cell r="A885" t="str">
            <v>АВВГнг 3х 25+1х16</v>
          </cell>
          <cell r="FQ885">
            <v>44.25</v>
          </cell>
        </row>
        <row r="886">
          <cell r="A886" t="str">
            <v>АВВГнг 3х 35+1х16</v>
          </cell>
          <cell r="FQ886">
            <v>57.84</v>
          </cell>
        </row>
        <row r="887">
          <cell r="A887" t="str">
            <v>АВВГнг 3х 50+1х25</v>
          </cell>
          <cell r="FQ887">
            <v>77.459999999999994</v>
          </cell>
        </row>
        <row r="888">
          <cell r="A888" t="str">
            <v>АВВГнг 3х 70+1х25</v>
          </cell>
          <cell r="FQ888">
            <v>98.57</v>
          </cell>
        </row>
        <row r="889">
          <cell r="A889" t="str">
            <v>АВВГнг 3х 70+1х35</v>
          </cell>
          <cell r="FQ889">
            <v>103.85</v>
          </cell>
        </row>
        <row r="890">
          <cell r="A890" t="str">
            <v>АВВГнг 3х 95+1х35</v>
          </cell>
          <cell r="FQ890">
            <v>130.96</v>
          </cell>
        </row>
        <row r="891">
          <cell r="A891" t="str">
            <v>АВВГнг 3х 95+1х50</v>
          </cell>
          <cell r="FQ891">
            <v>148.44</v>
          </cell>
        </row>
        <row r="892">
          <cell r="A892" t="str">
            <v>АВВГнг 3х120+1х35</v>
          </cell>
          <cell r="FQ892">
            <v>156.63999999999999</v>
          </cell>
        </row>
        <row r="893">
          <cell r="A893" t="str">
            <v>АВВГнг 3х120+1х70</v>
          </cell>
          <cell r="FQ893">
            <v>163.97</v>
          </cell>
        </row>
        <row r="894">
          <cell r="A894" t="str">
            <v>АВВГнг 3х150+1х70</v>
          </cell>
          <cell r="FQ894">
            <v>222.82</v>
          </cell>
        </row>
        <row r="895">
          <cell r="A895" t="str">
            <v>АВВГнг 3х185+1х95</v>
          </cell>
          <cell r="FQ895">
            <v>262.98</v>
          </cell>
        </row>
        <row r="896">
          <cell r="A896" t="str">
            <v>АВВГнг 3х240+1х120</v>
          </cell>
          <cell r="FQ896">
            <v>342.4</v>
          </cell>
        </row>
        <row r="897">
          <cell r="A897" t="str">
            <v>АВВГнг 4х  2,5</v>
          </cell>
          <cell r="FQ897">
            <v>8.51</v>
          </cell>
        </row>
        <row r="898">
          <cell r="A898" t="str">
            <v>АВВГнг 4х  4</v>
          </cell>
          <cell r="FQ898">
            <v>11.89</v>
          </cell>
        </row>
        <row r="899">
          <cell r="A899" t="str">
            <v>АВВГнг 4х  6</v>
          </cell>
          <cell r="FQ899">
            <v>13.56</v>
          </cell>
        </row>
        <row r="900">
          <cell r="A900" t="str">
            <v>АВВГнг 4х 10</v>
          </cell>
          <cell r="FQ900">
            <v>19.920000000000002</v>
          </cell>
        </row>
        <row r="901">
          <cell r="A901" t="str">
            <v>АВВГнг 4х 16</v>
          </cell>
          <cell r="FQ901">
            <v>27.75</v>
          </cell>
        </row>
        <row r="902">
          <cell r="A902" t="str">
            <v>АВВГнг 4х 25</v>
          </cell>
          <cell r="FQ902">
            <v>39.700000000000003</v>
          </cell>
        </row>
        <row r="903">
          <cell r="A903" t="str">
            <v>АВВГнг 4х 35</v>
          </cell>
          <cell r="FQ903">
            <v>54.23</v>
          </cell>
        </row>
        <row r="904">
          <cell r="A904" t="str">
            <v>АВВГнг 4х 50</v>
          </cell>
          <cell r="FQ904">
            <v>76.900000000000006</v>
          </cell>
        </row>
        <row r="905">
          <cell r="A905" t="str">
            <v>АВВГнг 4х 70</v>
          </cell>
          <cell r="FQ905">
            <v>116.02</v>
          </cell>
        </row>
        <row r="906">
          <cell r="A906" t="str">
            <v>АВВГнг 4х 95</v>
          </cell>
          <cell r="FQ906">
            <v>157.88</v>
          </cell>
        </row>
        <row r="907">
          <cell r="A907" t="str">
            <v>АВВГнг 4х120</v>
          </cell>
          <cell r="FQ907">
            <v>189.08</v>
          </cell>
        </row>
        <row r="908">
          <cell r="A908" t="str">
            <v>АВВГнг 4х150</v>
          </cell>
          <cell r="FQ908">
            <v>226.98</v>
          </cell>
        </row>
        <row r="909">
          <cell r="A909" t="str">
            <v>АВВГнг 4х185</v>
          </cell>
          <cell r="FQ909">
            <v>273.41000000000003</v>
          </cell>
        </row>
        <row r="910">
          <cell r="A910" t="str">
            <v>АВВГнг 4х240</v>
          </cell>
          <cell r="FQ910">
            <v>349.08</v>
          </cell>
        </row>
        <row r="911">
          <cell r="A911" t="str">
            <v>АВВГнг 5х  2,5</v>
          </cell>
          <cell r="FQ911">
            <v>10.27</v>
          </cell>
        </row>
        <row r="912">
          <cell r="A912" t="str">
            <v>АВВГнг 5х  4</v>
          </cell>
          <cell r="FQ912">
            <v>13.7</v>
          </cell>
        </row>
        <row r="913">
          <cell r="A913" t="str">
            <v>АВВГнг 5х  6</v>
          </cell>
          <cell r="FQ913">
            <v>18.22</v>
          </cell>
        </row>
        <row r="914">
          <cell r="A914" t="str">
            <v>АВВГнг 5х 10</v>
          </cell>
          <cell r="FQ914">
            <v>27.57</v>
          </cell>
        </row>
        <row r="915">
          <cell r="A915" t="str">
            <v>АВВГнг 5х 16</v>
          </cell>
          <cell r="FQ915">
            <v>37.92</v>
          </cell>
        </row>
        <row r="916">
          <cell r="A916" t="str">
            <v>АВВГнг 5х 25</v>
          </cell>
          <cell r="FQ916">
            <v>53.67</v>
          </cell>
        </row>
        <row r="917">
          <cell r="A917" t="str">
            <v>АВВГнг 5х 35</v>
          </cell>
          <cell r="FQ917">
            <v>71.3</v>
          </cell>
        </row>
        <row r="918">
          <cell r="A918" t="str">
            <v>АВВГнг 5х 50</v>
          </cell>
          <cell r="FQ918">
            <v>91.73</v>
          </cell>
        </row>
        <row r="919">
          <cell r="A919" t="str">
            <v>АВВГнг 5х 70</v>
          </cell>
          <cell r="FQ919">
            <v>157.96</v>
          </cell>
        </row>
        <row r="920">
          <cell r="A920" t="str">
            <v>АВВГнг 5х 95</v>
          </cell>
          <cell r="FQ920">
            <v>208.56</v>
          </cell>
        </row>
        <row r="921">
          <cell r="A921" t="str">
            <v>АВВГнг 5х120</v>
          </cell>
          <cell r="FQ921">
            <v>276.92</v>
          </cell>
        </row>
        <row r="922">
          <cell r="A922" t="str">
            <v>АВВГнг 5х150</v>
          </cell>
          <cell r="FQ922">
            <v>356.98</v>
          </cell>
        </row>
        <row r="923">
          <cell r="A923" t="str">
            <v>АВВГнг 5х185</v>
          </cell>
          <cell r="FQ923">
            <v>346.18</v>
          </cell>
        </row>
        <row r="924">
          <cell r="A924" t="str">
            <v>АВВГнг-LS 1х  2,5</v>
          </cell>
          <cell r="FQ924">
            <v>3.94</v>
          </cell>
        </row>
        <row r="925">
          <cell r="A925" t="str">
            <v>АВВГнг-LS 1х  4</v>
          </cell>
          <cell r="FQ925">
            <v>4.99</v>
          </cell>
        </row>
        <row r="926">
          <cell r="A926" t="str">
            <v>АВВГнг-LS 1х  6</v>
          </cell>
          <cell r="FQ926">
            <v>6.11</v>
          </cell>
        </row>
        <row r="927">
          <cell r="A927" t="str">
            <v>АВВГнг-LS 1х 10</v>
          </cell>
          <cell r="FQ927">
            <v>8.4499999999999993</v>
          </cell>
        </row>
        <row r="928">
          <cell r="A928" t="str">
            <v>АВВГнг-LS 1х 16</v>
          </cell>
          <cell r="FQ928">
            <v>13.61</v>
          </cell>
        </row>
        <row r="929">
          <cell r="A929" t="str">
            <v>АВВГнг-LS 1х 25</v>
          </cell>
          <cell r="FQ929">
            <v>18.77</v>
          </cell>
        </row>
        <row r="930">
          <cell r="A930" t="str">
            <v>АВВГнг-LS 1х 35</v>
          </cell>
          <cell r="FQ930">
            <v>22.96</v>
          </cell>
        </row>
        <row r="931">
          <cell r="A931" t="str">
            <v>АВВГнг-LS 1х 50</v>
          </cell>
          <cell r="FQ931">
            <v>29.24</v>
          </cell>
        </row>
        <row r="932">
          <cell r="A932" t="str">
            <v>АВВГнг-LS 1х 70</v>
          </cell>
          <cell r="FQ932">
            <v>37.67</v>
          </cell>
        </row>
        <row r="933">
          <cell r="A933" t="str">
            <v>АВВГнг-LS 1х 95</v>
          </cell>
          <cell r="FQ933">
            <v>48.44</v>
          </cell>
        </row>
        <row r="934">
          <cell r="A934" t="str">
            <v>АВВГнг-LS 1х120</v>
          </cell>
          <cell r="FQ934">
            <v>59.95</v>
          </cell>
        </row>
        <row r="935">
          <cell r="A935" t="str">
            <v>АВВГнг-LS 1х150</v>
          </cell>
          <cell r="FQ935">
            <v>74.760000000000005</v>
          </cell>
        </row>
        <row r="936">
          <cell r="A936" t="str">
            <v>АВВГнг-LS 1х185</v>
          </cell>
          <cell r="FQ936">
            <v>92.71</v>
          </cell>
        </row>
        <row r="937">
          <cell r="A937" t="str">
            <v>АВВГнг-LS 1х240</v>
          </cell>
          <cell r="FQ937">
            <v>114.89</v>
          </cell>
        </row>
        <row r="938">
          <cell r="A938" t="str">
            <v>АВВГнг-LS-п 2х  2,5</v>
          </cell>
          <cell r="FQ938">
            <v>11.89</v>
          </cell>
        </row>
        <row r="939">
          <cell r="A939" t="str">
            <v>АВВГнг-LS-п 2х  4</v>
          </cell>
          <cell r="FQ939">
            <v>17.96</v>
          </cell>
        </row>
        <row r="940">
          <cell r="A940" t="str">
            <v>АВВГнг-LS-п 2х  6</v>
          </cell>
          <cell r="FQ940">
            <v>19.28</v>
          </cell>
        </row>
        <row r="941">
          <cell r="A941" t="str">
            <v>АВВГнг-LS-п 2х 10</v>
          </cell>
          <cell r="FQ941">
            <v>28.89</v>
          </cell>
        </row>
        <row r="942">
          <cell r="A942" t="str">
            <v>АВВГнг-LS 2х  2,5</v>
          </cell>
          <cell r="FQ942">
            <v>11.32</v>
          </cell>
        </row>
        <row r="943">
          <cell r="A943" t="str">
            <v>АВВГнг-LS 2х  4</v>
          </cell>
          <cell r="FQ943">
            <v>17.16</v>
          </cell>
        </row>
        <row r="944">
          <cell r="A944" t="str">
            <v>АВВГнг-LS 2х  6</v>
          </cell>
          <cell r="FQ944">
            <v>20.99</v>
          </cell>
        </row>
        <row r="945">
          <cell r="A945" t="str">
            <v>АВВГнг-LS 2х 10</v>
          </cell>
          <cell r="FQ945">
            <v>27.14</v>
          </cell>
        </row>
        <row r="946">
          <cell r="A946" t="str">
            <v>АВВГнг-LS 2х 16</v>
          </cell>
          <cell r="FQ946">
            <v>36.82</v>
          </cell>
        </row>
        <row r="947">
          <cell r="A947" t="str">
            <v>АВВГнг-LS 2х 25</v>
          </cell>
          <cell r="FQ947">
            <v>53.84</v>
          </cell>
        </row>
        <row r="948">
          <cell r="A948" t="str">
            <v>АВВГнг-LS 2х 35</v>
          </cell>
          <cell r="FQ948">
            <v>65.92</v>
          </cell>
        </row>
        <row r="949">
          <cell r="A949" t="str">
            <v>АВВГнг-LS 2х 50</v>
          </cell>
          <cell r="FQ949">
            <v>86.98</v>
          </cell>
        </row>
        <row r="950">
          <cell r="A950" t="str">
            <v>АВВГнг-LS 2х 70</v>
          </cell>
          <cell r="FQ950">
            <v>134.18</v>
          </cell>
        </row>
        <row r="951">
          <cell r="A951" t="str">
            <v>АВВГнг-LS 2х 95</v>
          </cell>
          <cell r="FQ951">
            <v>162.35</v>
          </cell>
        </row>
        <row r="952">
          <cell r="A952" t="str">
            <v>АВВГнг-LS 2х 120</v>
          </cell>
          <cell r="FQ952">
            <v>185.53</v>
          </cell>
        </row>
        <row r="953">
          <cell r="A953" t="str">
            <v>АВВГнг-LS 2х150</v>
          </cell>
          <cell r="FQ953">
            <v>225.57</v>
          </cell>
        </row>
        <row r="954">
          <cell r="A954" t="str">
            <v>АВВГнг-LS 2х 185</v>
          </cell>
          <cell r="FQ954">
            <v>279.33999999999997</v>
          </cell>
        </row>
        <row r="955">
          <cell r="A955" t="str">
            <v>АВВГнг-LS-п 3х  2,5</v>
          </cell>
          <cell r="FQ955">
            <v>15.03</v>
          </cell>
        </row>
        <row r="956">
          <cell r="A956" t="str">
            <v>АВВГнг-LS-п 3х  4</v>
          </cell>
          <cell r="FQ956">
            <v>19.86</v>
          </cell>
        </row>
        <row r="957">
          <cell r="A957" t="str">
            <v>АВВГнг-LS-п 3х  6</v>
          </cell>
          <cell r="FQ957">
            <v>24.14</v>
          </cell>
        </row>
        <row r="958">
          <cell r="A958" t="str">
            <v>АВВГнг-LS 3х  2,5</v>
          </cell>
          <cell r="FQ958">
            <v>13.72</v>
          </cell>
        </row>
        <row r="959">
          <cell r="A959" t="str">
            <v>АВВГнг-LS 3х  4</v>
          </cell>
          <cell r="FQ959">
            <v>17.989999999999998</v>
          </cell>
        </row>
        <row r="960">
          <cell r="A960" t="str">
            <v>АВВГнг-LS 3х  6</v>
          </cell>
          <cell r="FQ960">
            <v>22.24</v>
          </cell>
        </row>
        <row r="961">
          <cell r="A961" t="str">
            <v>АВВГнг-LS 3х 10</v>
          </cell>
          <cell r="FQ961">
            <v>31.51</v>
          </cell>
        </row>
        <row r="962">
          <cell r="A962" t="str">
            <v>АВВГнг-LS 3х 16</v>
          </cell>
          <cell r="FQ962">
            <v>44.27</v>
          </cell>
        </row>
        <row r="963">
          <cell r="A963" t="str">
            <v>АВВГнг-LS 3х 25</v>
          </cell>
          <cell r="FQ963">
            <v>63.77</v>
          </cell>
        </row>
        <row r="964">
          <cell r="A964" t="str">
            <v>АВВГнг-LS 3х 35</v>
          </cell>
          <cell r="FQ964">
            <v>81.180000000000007</v>
          </cell>
        </row>
        <row r="965">
          <cell r="A965" t="str">
            <v>АВВГнг-LS 3х 50</v>
          </cell>
          <cell r="FQ965">
            <v>104.54</v>
          </cell>
        </row>
        <row r="966">
          <cell r="A966" t="str">
            <v>АВВГнг-LS 3х 70</v>
          </cell>
          <cell r="FQ966">
            <v>121.63</v>
          </cell>
        </row>
        <row r="967">
          <cell r="A967" t="str">
            <v>АВВГнг-LS 3х 120</v>
          </cell>
          <cell r="FQ967">
            <v>188.62</v>
          </cell>
        </row>
        <row r="968">
          <cell r="A968" t="str">
            <v>АВВГнг-LS 3х 150</v>
          </cell>
          <cell r="FQ968">
            <v>257.58</v>
          </cell>
        </row>
        <row r="969">
          <cell r="A969" t="str">
            <v>АВВГнг-LS 3х 185</v>
          </cell>
          <cell r="FQ969">
            <v>294.27999999999997</v>
          </cell>
        </row>
        <row r="970">
          <cell r="A970" t="str">
            <v>АВВГнг-LS 3х 240</v>
          </cell>
          <cell r="FQ970">
            <v>378.7</v>
          </cell>
        </row>
        <row r="971">
          <cell r="A971" t="str">
            <v>АВВГнг-LS 3х  4+1х2,5</v>
          </cell>
          <cell r="FQ971">
            <v>22.21</v>
          </cell>
        </row>
        <row r="972">
          <cell r="A972" t="str">
            <v>АВВГнг-LS 3х  6+1х4</v>
          </cell>
          <cell r="FQ972">
            <v>26.78</v>
          </cell>
        </row>
        <row r="973">
          <cell r="A973" t="str">
            <v>АВВГнг-LS 3х 10+1х6</v>
          </cell>
          <cell r="FQ973">
            <v>41.81</v>
          </cell>
        </row>
        <row r="974">
          <cell r="A974" t="str">
            <v>АВВГнг-LS 3х 16+1х10</v>
          </cell>
          <cell r="FQ974">
            <v>54.21</v>
          </cell>
        </row>
        <row r="975">
          <cell r="A975" t="str">
            <v>АВВГнг-LS 3х 25+1х16</v>
          </cell>
          <cell r="FQ975">
            <v>85.19</v>
          </cell>
        </row>
        <row r="976">
          <cell r="A976" t="str">
            <v>АВВГнг-LS 3х 35+1х16</v>
          </cell>
          <cell r="FQ976">
            <v>82.74</v>
          </cell>
        </row>
        <row r="977">
          <cell r="A977" t="str">
            <v>АВВГнг-LS 3х 50+1х25</v>
          </cell>
          <cell r="FQ977">
            <v>149.9</v>
          </cell>
        </row>
        <row r="978">
          <cell r="A978" t="str">
            <v>АВВГнг-LS 3х 70+1х25</v>
          </cell>
          <cell r="FQ978">
            <v>142.21</v>
          </cell>
        </row>
        <row r="979">
          <cell r="A979" t="str">
            <v>АВВГнг-LS 3х 70+1х35</v>
          </cell>
          <cell r="FQ979">
            <v>147.25</v>
          </cell>
        </row>
        <row r="980">
          <cell r="A980" t="str">
            <v>АВВГнг-LS 3х 95+1х35</v>
          </cell>
          <cell r="FQ980">
            <v>201.09</v>
          </cell>
        </row>
        <row r="981">
          <cell r="A981" t="str">
            <v>АВВГнг-LS 3х 95+1х50</v>
          </cell>
          <cell r="FQ981">
            <v>178.03</v>
          </cell>
        </row>
        <row r="982">
          <cell r="A982" t="str">
            <v>АВВГнг-LS 3х120+1х35</v>
          </cell>
          <cell r="FQ982">
            <v>235.12</v>
          </cell>
        </row>
        <row r="983">
          <cell r="A983" t="str">
            <v>АВВГнг-LS 3х120+1х70</v>
          </cell>
          <cell r="FQ983">
            <v>234</v>
          </cell>
        </row>
        <row r="984">
          <cell r="A984" t="str">
            <v>АВВГнг-LS 3х150+1х70</v>
          </cell>
          <cell r="FQ984">
            <v>285.43</v>
          </cell>
        </row>
        <row r="985">
          <cell r="A985" t="str">
            <v>АВВГнг-LS 3х185+1х95</v>
          </cell>
          <cell r="FQ985">
            <v>349.46</v>
          </cell>
        </row>
        <row r="986">
          <cell r="A986" t="str">
            <v>АВВГнг-LS 3х240+1х120</v>
          </cell>
          <cell r="FQ986">
            <v>438.52</v>
          </cell>
        </row>
        <row r="987">
          <cell r="A987" t="str">
            <v>АВВГнг-LS 4х  2,5</v>
          </cell>
          <cell r="FQ987">
            <v>16.55</v>
          </cell>
        </row>
        <row r="988">
          <cell r="A988" t="str">
            <v>АВВГнг-LS 4х  4</v>
          </cell>
          <cell r="FQ988">
            <v>22.35</v>
          </cell>
        </row>
        <row r="989">
          <cell r="A989" t="str">
            <v>АВВГнг-LS 4х  6</v>
          </cell>
          <cell r="FQ989">
            <v>27.54</v>
          </cell>
        </row>
        <row r="990">
          <cell r="A990" t="str">
            <v>АВВГнг-LS 4х 10</v>
          </cell>
          <cell r="FQ990">
            <v>37.68</v>
          </cell>
        </row>
        <row r="991">
          <cell r="A991" t="str">
            <v>АВВГнг-LS 4х 16</v>
          </cell>
          <cell r="FQ991">
            <v>54.91</v>
          </cell>
        </row>
        <row r="992">
          <cell r="A992" t="str">
            <v>АВВГнг-LS 4х 25</v>
          </cell>
          <cell r="FQ992">
            <v>79.180000000000007</v>
          </cell>
        </row>
        <row r="993">
          <cell r="A993" t="str">
            <v>АВВГнг-LS 4х 35</v>
          </cell>
          <cell r="FQ993">
            <v>97.75</v>
          </cell>
        </row>
        <row r="994">
          <cell r="A994" t="str">
            <v>АВВГнг-LS 4х 50</v>
          </cell>
          <cell r="FQ994">
            <v>162.19</v>
          </cell>
        </row>
        <row r="995">
          <cell r="A995" t="str">
            <v>АВВГнг-LS 4х 70</v>
          </cell>
          <cell r="FQ995">
            <v>155.84</v>
          </cell>
        </row>
        <row r="996">
          <cell r="A996" t="str">
            <v>АВВГнг-LS 4х 95</v>
          </cell>
          <cell r="FQ996">
            <v>202.65</v>
          </cell>
        </row>
        <row r="997">
          <cell r="A997" t="str">
            <v>АВВГнг-LS 4х120</v>
          </cell>
          <cell r="FQ997">
            <v>234.54</v>
          </cell>
        </row>
        <row r="998">
          <cell r="A998" t="str">
            <v>АВВГнг-LS 4х150</v>
          </cell>
          <cell r="FQ998">
            <v>282.23</v>
          </cell>
        </row>
        <row r="999">
          <cell r="A999" t="str">
            <v>АВВГнг-LS 4х185</v>
          </cell>
          <cell r="FQ999">
            <v>348.58</v>
          </cell>
        </row>
        <row r="1000">
          <cell r="A1000" t="str">
            <v>АВВГнг-LS 4х240</v>
          </cell>
          <cell r="FQ1000">
            <v>439.16</v>
          </cell>
        </row>
        <row r="1001">
          <cell r="A1001" t="str">
            <v>АВВГнг-LS 5х  2,5</v>
          </cell>
          <cell r="FQ1001">
            <v>19.02</v>
          </cell>
        </row>
        <row r="1002">
          <cell r="A1002" t="str">
            <v>АВВГнг-LS 5х  4</v>
          </cell>
          <cell r="FQ1002">
            <v>25.87</v>
          </cell>
        </row>
        <row r="1003">
          <cell r="A1003" t="str">
            <v>АВВГнг-LS 5х  6</v>
          </cell>
          <cell r="FQ1003">
            <v>31</v>
          </cell>
        </row>
        <row r="1004">
          <cell r="A1004" t="str">
            <v>АВВГнг-LS 5х 10</v>
          </cell>
          <cell r="FQ1004">
            <v>49.02</v>
          </cell>
        </row>
        <row r="1005">
          <cell r="A1005" t="str">
            <v>АВВГнг-LS 5х 16</v>
          </cell>
          <cell r="FQ1005">
            <v>68.23</v>
          </cell>
        </row>
        <row r="1006">
          <cell r="A1006" t="str">
            <v>АВВГнг-LS 5х 25</v>
          </cell>
          <cell r="FQ1006">
            <v>95.68</v>
          </cell>
        </row>
        <row r="1007">
          <cell r="A1007" t="str">
            <v>АВВГнг-LS 5х 35</v>
          </cell>
          <cell r="FQ1007">
            <v>119.02</v>
          </cell>
        </row>
        <row r="1008">
          <cell r="A1008" t="str">
            <v>АВВГнг-LS 5х 50</v>
          </cell>
          <cell r="FQ1008">
            <v>152.29</v>
          </cell>
        </row>
        <row r="1009">
          <cell r="A1009" t="str">
            <v>АВВГнг-LS 5х 70</v>
          </cell>
          <cell r="FQ1009">
            <v>245.37</v>
          </cell>
        </row>
        <row r="1010">
          <cell r="A1010" t="str">
            <v>АВВГнг-LS 5х 95</v>
          </cell>
          <cell r="FQ1010">
            <v>342.46</v>
          </cell>
        </row>
        <row r="1011">
          <cell r="A1011" t="str">
            <v>АВВГнг-LS 5х120</v>
          </cell>
          <cell r="FQ1011">
            <v>504.23</v>
          </cell>
        </row>
        <row r="1012">
          <cell r="A1012" t="str">
            <v>АВВГнг-LS 5х150</v>
          </cell>
          <cell r="FQ1012">
            <v>457.89</v>
          </cell>
        </row>
        <row r="1013">
          <cell r="A1013" t="str">
            <v>АВВГнг-LS 5х185</v>
          </cell>
          <cell r="FQ1013">
            <v>727.88</v>
          </cell>
        </row>
        <row r="1014">
          <cell r="A1014" t="str">
            <v>АВВГнг-LS 5х240</v>
          </cell>
          <cell r="FQ1014">
            <v>936.47</v>
          </cell>
        </row>
        <row r="1015">
          <cell r="A1015" t="str">
            <v xml:space="preserve"> Кабель алюминиевый силовой с заполнением</v>
          </cell>
          <cell r="FQ1015">
            <v>0</v>
          </cell>
        </row>
        <row r="1016">
          <cell r="A1016" t="str">
            <v>АВВГз 2х  2,5</v>
          </cell>
          <cell r="FQ1016">
            <v>5.28</v>
          </cell>
        </row>
        <row r="1017">
          <cell r="A1017" t="str">
            <v>АВВГз 2х  4</v>
          </cell>
          <cell r="FQ1017">
            <v>7.99</v>
          </cell>
        </row>
        <row r="1018">
          <cell r="A1018" t="str">
            <v>АВВГз 2х  6</v>
          </cell>
          <cell r="FQ1018">
            <v>10.8</v>
          </cell>
        </row>
        <row r="1019">
          <cell r="A1019" t="str">
            <v>АВВГз 2х 10</v>
          </cell>
          <cell r="FQ1019">
            <v>15.5</v>
          </cell>
        </row>
        <row r="1020">
          <cell r="A1020" t="str">
            <v>АВВГз 2х 16</v>
          </cell>
          <cell r="FQ1020">
            <v>21.14</v>
          </cell>
        </row>
        <row r="1021">
          <cell r="A1021" t="str">
            <v>АВВГз 2х 25</v>
          </cell>
          <cell r="FQ1021">
            <v>35.479999999999997</v>
          </cell>
        </row>
        <row r="1022">
          <cell r="A1022" t="str">
            <v>АВВГз 2х 35</v>
          </cell>
          <cell r="FQ1022">
            <v>44.78</v>
          </cell>
        </row>
        <row r="1023">
          <cell r="A1023" t="str">
            <v>АВВГз 2х 50</v>
          </cell>
          <cell r="FQ1023">
            <v>63.86</v>
          </cell>
        </row>
        <row r="1024">
          <cell r="A1024" t="str">
            <v>АВВГз 2х 70</v>
          </cell>
          <cell r="FQ1024">
            <v>91.44</v>
          </cell>
        </row>
        <row r="1025">
          <cell r="A1025" t="str">
            <v>АВВГз 3х  2,5</v>
          </cell>
          <cell r="FQ1025">
            <v>6.92</v>
          </cell>
        </row>
        <row r="1026">
          <cell r="A1026" t="str">
            <v>АВВГз 3х  4</v>
          </cell>
          <cell r="FQ1026">
            <v>9.58</v>
          </cell>
        </row>
        <row r="1027">
          <cell r="A1027" t="str">
            <v>АВВГз 3х  6</v>
          </cell>
          <cell r="FQ1027">
            <v>12.54</v>
          </cell>
        </row>
        <row r="1028">
          <cell r="A1028" t="str">
            <v>АВВГз 3х 10</v>
          </cell>
          <cell r="FQ1028">
            <v>18.920000000000002</v>
          </cell>
        </row>
        <row r="1029">
          <cell r="A1029" t="str">
            <v>АВВГз 3х 16</v>
          </cell>
          <cell r="FQ1029">
            <v>26.46</v>
          </cell>
        </row>
        <row r="1030">
          <cell r="A1030" t="str">
            <v>АВВГз 3х 25</v>
          </cell>
          <cell r="FQ1030">
            <v>44.03</v>
          </cell>
        </row>
        <row r="1031">
          <cell r="A1031" t="str">
            <v>АВВГз 3х 35</v>
          </cell>
          <cell r="FQ1031">
            <v>52.9</v>
          </cell>
        </row>
        <row r="1032">
          <cell r="A1032" t="str">
            <v>АВВГз 3х 50</v>
          </cell>
          <cell r="FQ1032">
            <v>75.22</v>
          </cell>
        </row>
        <row r="1033">
          <cell r="A1033" t="str">
            <v>АВВГз 3х  4+1х2,5</v>
          </cell>
          <cell r="FQ1033">
            <v>11.2</v>
          </cell>
        </row>
        <row r="1034">
          <cell r="A1034" t="str">
            <v>АВВГз 3х  6+1х4</v>
          </cell>
          <cell r="FQ1034">
            <v>15.14</v>
          </cell>
        </row>
        <row r="1035">
          <cell r="A1035" t="str">
            <v>АВВГз 3х 10+1х6</v>
          </cell>
          <cell r="FQ1035">
            <v>21.68</v>
          </cell>
        </row>
        <row r="1036">
          <cell r="A1036" t="str">
            <v>АВВГз 3х 16+1х10</v>
          </cell>
          <cell r="FQ1036">
            <v>32.369999999999997</v>
          </cell>
        </row>
        <row r="1037">
          <cell r="A1037" t="str">
            <v>АВВГз 3х 25+1х16</v>
          </cell>
          <cell r="FQ1037">
            <v>47.81</v>
          </cell>
        </row>
        <row r="1038">
          <cell r="A1038" t="str">
            <v>АВВГз 3х 35+1х16</v>
          </cell>
          <cell r="FQ1038">
            <v>62.29</v>
          </cell>
        </row>
        <row r="1039">
          <cell r="A1039" t="str">
            <v>АВВГз 3х 50+1х25</v>
          </cell>
          <cell r="FQ1039">
            <v>91.35</v>
          </cell>
        </row>
        <row r="1040">
          <cell r="A1040" t="str">
            <v>АВВГз 3х 70+1х25</v>
          </cell>
          <cell r="FQ1040">
            <v>109.68</v>
          </cell>
        </row>
        <row r="1041">
          <cell r="A1041" t="str">
            <v>АВВГз 3х 95+1х35</v>
          </cell>
          <cell r="FQ1041">
            <v>146.49</v>
          </cell>
        </row>
        <row r="1042">
          <cell r="A1042" t="str">
            <v>АВВГз 3х 95+1х50</v>
          </cell>
          <cell r="FQ1042">
            <v>148.51</v>
          </cell>
        </row>
        <row r="1043">
          <cell r="A1043" t="str">
            <v>АВВГз 3х 120+1х35</v>
          </cell>
          <cell r="FQ1043">
            <v>176.83</v>
          </cell>
        </row>
        <row r="1044">
          <cell r="A1044" t="str">
            <v>АВВГз 4х  2,5</v>
          </cell>
          <cell r="FQ1044">
            <v>8.26</v>
          </cell>
        </row>
        <row r="1045">
          <cell r="A1045" t="str">
            <v>АВВГз 4х  4</v>
          </cell>
          <cell r="FQ1045">
            <v>11.97</v>
          </cell>
        </row>
        <row r="1046">
          <cell r="A1046" t="str">
            <v>АВВГз 4х  6</v>
          </cell>
          <cell r="FQ1046">
            <v>15.55</v>
          </cell>
        </row>
        <row r="1047">
          <cell r="A1047" t="str">
            <v>АВВГз 4х 10</v>
          </cell>
          <cell r="FQ1047">
            <v>23.49</v>
          </cell>
        </row>
        <row r="1048">
          <cell r="A1048" t="str">
            <v>АВВГз 4х 16</v>
          </cell>
          <cell r="FQ1048">
            <v>33.69</v>
          </cell>
        </row>
        <row r="1049">
          <cell r="A1049" t="str">
            <v>АВВГз 4х 25</v>
          </cell>
          <cell r="FQ1049">
            <v>51.54</v>
          </cell>
        </row>
        <row r="1050">
          <cell r="A1050" t="str">
            <v>АВВГз 4х 35</v>
          </cell>
          <cell r="FQ1050">
            <v>71.010000000000005</v>
          </cell>
        </row>
        <row r="1051">
          <cell r="A1051" t="str">
            <v>АВВГз 4х 50</v>
          </cell>
          <cell r="FQ1051">
            <v>93.04</v>
          </cell>
        </row>
        <row r="1052">
          <cell r="A1052" t="str">
            <v>АВВГз 4х 70</v>
          </cell>
          <cell r="FQ1052">
            <v>122.5</v>
          </cell>
        </row>
        <row r="1053">
          <cell r="A1053" t="str">
            <v>АВВГз 4х 95</v>
          </cell>
          <cell r="FQ1053">
            <v>161.86000000000001</v>
          </cell>
        </row>
        <row r="1054">
          <cell r="A1054" t="str">
            <v>АВВГз 4х120</v>
          </cell>
          <cell r="FQ1054">
            <v>207.49</v>
          </cell>
        </row>
        <row r="1055">
          <cell r="A1055" t="str">
            <v>АВВГз 4х150</v>
          </cell>
          <cell r="FQ1055">
            <v>238.53</v>
          </cell>
        </row>
        <row r="1056">
          <cell r="A1056" t="str">
            <v>АВВГз 4х185</v>
          </cell>
          <cell r="FQ1056">
            <v>297.7</v>
          </cell>
        </row>
        <row r="1057">
          <cell r="A1057" t="str">
            <v>АВВГз 4х240</v>
          </cell>
          <cell r="FQ1057">
            <v>382.54</v>
          </cell>
        </row>
        <row r="1058">
          <cell r="A1058" t="str">
            <v>АВВГз 5х  2,5</v>
          </cell>
          <cell r="FQ1058">
            <v>9.57</v>
          </cell>
        </row>
        <row r="1059">
          <cell r="A1059" t="str">
            <v>АВВГз 5х  4</v>
          </cell>
          <cell r="FQ1059">
            <v>13.54</v>
          </cell>
        </row>
        <row r="1060">
          <cell r="A1060" t="str">
            <v>АВВГз 5х  6</v>
          </cell>
          <cell r="FQ1060">
            <v>17.72</v>
          </cell>
        </row>
        <row r="1061">
          <cell r="A1061" t="str">
            <v>АВВГз 5х 10</v>
          </cell>
          <cell r="FQ1061">
            <v>29.03</v>
          </cell>
        </row>
        <row r="1062">
          <cell r="A1062" t="str">
            <v>АВВГз 5х 16</v>
          </cell>
          <cell r="FQ1062">
            <v>41.21</v>
          </cell>
        </row>
        <row r="1063">
          <cell r="A1063" t="str">
            <v>АВВГз 5х 25</v>
          </cell>
          <cell r="FQ1063">
            <v>61.97</v>
          </cell>
        </row>
        <row r="1064">
          <cell r="A1064" t="str">
            <v>АВВГз 5х 35</v>
          </cell>
          <cell r="FQ1064">
            <v>79</v>
          </cell>
        </row>
        <row r="1065">
          <cell r="A1065" t="str">
            <v>АВВГз 5х 50</v>
          </cell>
          <cell r="FQ1065">
            <v>111.62</v>
          </cell>
        </row>
        <row r="1066">
          <cell r="A1066" t="str">
            <v>АВВГз 5х 70</v>
          </cell>
          <cell r="FQ1066">
            <v>154.58000000000001</v>
          </cell>
        </row>
        <row r="1067">
          <cell r="A1067" t="str">
            <v>АВВГз 5х 95</v>
          </cell>
          <cell r="FQ1067">
            <v>207.83</v>
          </cell>
        </row>
        <row r="1068">
          <cell r="A1068" t="str">
            <v>АВВГз 5х 120</v>
          </cell>
          <cell r="FQ1068">
            <v>248.62</v>
          </cell>
        </row>
        <row r="1069">
          <cell r="A1069" t="str">
            <v>АВВГз 5х 150</v>
          </cell>
          <cell r="FQ1069">
            <v>297.82</v>
          </cell>
        </row>
        <row r="1070">
          <cell r="A1070" t="str">
            <v>АВВГз 5х 185</v>
          </cell>
          <cell r="FQ1070">
            <v>360.59</v>
          </cell>
        </row>
        <row r="1071">
          <cell r="A1071" t="str">
            <v>АВВГз 5х 240</v>
          </cell>
          <cell r="FQ1071">
            <v>450.16</v>
          </cell>
        </row>
        <row r="1072">
          <cell r="A1072" t="str">
            <v>Кабель алюминиевый бронированный</v>
          </cell>
          <cell r="FQ1072">
            <v>0</v>
          </cell>
        </row>
        <row r="1073">
          <cell r="A1073" t="str">
            <v>АВБбШв 3х 4</v>
          </cell>
          <cell r="FQ1073">
            <v>21.21</v>
          </cell>
        </row>
        <row r="1074">
          <cell r="A1074" t="str">
            <v>АВБбШв 3х 6</v>
          </cell>
          <cell r="FQ1074">
            <v>23.98</v>
          </cell>
        </row>
        <row r="1075">
          <cell r="A1075" t="str">
            <v>АВБбШв 3х 10</v>
          </cell>
          <cell r="FQ1075">
            <v>31.19</v>
          </cell>
        </row>
        <row r="1076">
          <cell r="A1076" t="str">
            <v>АВБбШв 3х 16</v>
          </cell>
          <cell r="FQ1076">
            <v>38.54</v>
          </cell>
        </row>
        <row r="1077">
          <cell r="A1077" t="str">
            <v>АВБбШв 3х 25</v>
          </cell>
          <cell r="FQ1077">
            <v>51.94</v>
          </cell>
        </row>
        <row r="1078">
          <cell r="A1078" t="str">
            <v>АВБбШв 3х 35</v>
          </cell>
          <cell r="FQ1078">
            <v>68.08</v>
          </cell>
        </row>
        <row r="1079">
          <cell r="A1079" t="str">
            <v>АВБбШв 3х 50</v>
          </cell>
          <cell r="FQ1079">
            <v>85.01</v>
          </cell>
        </row>
        <row r="1080">
          <cell r="A1080" t="str">
            <v>АВБбШв 3х 70</v>
          </cell>
          <cell r="FQ1080">
            <v>105.68</v>
          </cell>
        </row>
        <row r="1081">
          <cell r="A1081" t="str">
            <v>АВБбШв 3х 95</v>
          </cell>
          <cell r="FQ1081">
            <v>129.47</v>
          </cell>
        </row>
        <row r="1082">
          <cell r="A1082" t="str">
            <v>АВБбШв 3х120</v>
          </cell>
          <cell r="FQ1082">
            <v>155.9</v>
          </cell>
        </row>
        <row r="1083">
          <cell r="A1083" t="str">
            <v>АВБбШв 3х150</v>
          </cell>
          <cell r="FQ1083">
            <v>188.12</v>
          </cell>
        </row>
        <row r="1084">
          <cell r="A1084" t="str">
            <v>АВБбШв 3х240</v>
          </cell>
          <cell r="FQ1084">
            <v>289.77</v>
          </cell>
        </row>
        <row r="1085">
          <cell r="A1085" t="str">
            <v>АВБбШв 3х 4+1х2,5</v>
          </cell>
          <cell r="FQ1085">
            <v>23.49</v>
          </cell>
        </row>
        <row r="1086">
          <cell r="A1086" t="str">
            <v>АВБбШв 3х 6+1х4</v>
          </cell>
          <cell r="FQ1086">
            <v>26.96</v>
          </cell>
        </row>
        <row r="1087">
          <cell r="A1087" t="str">
            <v>АВБбШв 3х10+1х6</v>
          </cell>
          <cell r="FQ1087">
            <v>38.56</v>
          </cell>
        </row>
        <row r="1088">
          <cell r="A1088" t="str">
            <v>АВБбШв 3х16+1х10</v>
          </cell>
          <cell r="FQ1088">
            <v>44.24</v>
          </cell>
        </row>
        <row r="1089">
          <cell r="A1089" t="str">
            <v>АВБбШв 3х25+1х16</v>
          </cell>
          <cell r="FQ1089">
            <v>60.71</v>
          </cell>
        </row>
        <row r="1090">
          <cell r="A1090" t="str">
            <v>АВБбШв 3х35+1х16</v>
          </cell>
          <cell r="FQ1090">
            <v>84.65</v>
          </cell>
        </row>
        <row r="1091">
          <cell r="A1091" t="str">
            <v>АВБбШв 3х50+1х25</v>
          </cell>
          <cell r="FQ1091">
            <v>86.73</v>
          </cell>
        </row>
        <row r="1092">
          <cell r="A1092" t="str">
            <v>АВБбШв 3х70+1х35</v>
          </cell>
          <cell r="FQ1092">
            <v>115.7</v>
          </cell>
        </row>
        <row r="1093">
          <cell r="A1093" t="str">
            <v>АВБбШв 3х95+1х50</v>
          </cell>
          <cell r="FQ1093">
            <v>147.03</v>
          </cell>
        </row>
        <row r="1094">
          <cell r="A1094" t="str">
            <v>АВБбШв 3х120+1х70</v>
          </cell>
          <cell r="FQ1094">
            <v>189.48</v>
          </cell>
        </row>
        <row r="1095">
          <cell r="A1095" t="str">
            <v>АВБбШв 3х150+1х70</v>
          </cell>
          <cell r="FQ1095">
            <v>215.33</v>
          </cell>
        </row>
        <row r="1096">
          <cell r="A1096" t="str">
            <v>АВБбШв 3х185+1х95</v>
          </cell>
          <cell r="FQ1096">
            <v>277.55</v>
          </cell>
        </row>
        <row r="1097">
          <cell r="A1097" t="str">
            <v>АВБбШв 3х240+1х120</v>
          </cell>
          <cell r="FQ1097">
            <v>348.5</v>
          </cell>
        </row>
        <row r="1098">
          <cell r="A1098" t="str">
            <v>АВБбШв 4х 2,5</v>
          </cell>
          <cell r="FQ1098">
            <v>21.27</v>
          </cell>
        </row>
        <row r="1099">
          <cell r="A1099" t="str">
            <v>АВБбШв 4х 4</v>
          </cell>
          <cell r="FQ1099">
            <v>23.81</v>
          </cell>
        </row>
        <row r="1100">
          <cell r="A1100" t="str">
            <v>АВБбШв 4х 6</v>
          </cell>
          <cell r="FQ1100">
            <v>26.71</v>
          </cell>
        </row>
        <row r="1101">
          <cell r="A1101" t="str">
            <v>АВБбШв 4х 10</v>
          </cell>
          <cell r="FQ1101">
            <v>35.25</v>
          </cell>
        </row>
        <row r="1102">
          <cell r="A1102" t="str">
            <v>АВБбШв 4х 16</v>
          </cell>
          <cell r="FQ1102">
            <v>45.23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еречетка"/>
      <sheetName val="Списки"/>
      <sheetName val="Объемы на смету"/>
      <sheetName val="Перечетка (2)"/>
    </sheetNames>
    <sheetDataSet>
      <sheetData sheetId="0" refreshError="1"/>
      <sheetData sheetId="1">
        <row r="2">
          <cell r="B2" t="str">
            <v>Акация белая</v>
          </cell>
          <cell r="I2" t="str">
            <v>Пересадить</v>
          </cell>
          <cell r="K2" t="str">
            <v>охр. зона ком.</v>
          </cell>
        </row>
        <row r="3">
          <cell r="B3" t="str">
            <v>акация желтая куст</v>
          </cell>
          <cell r="I3" t="str">
            <v>Сохранить</v>
          </cell>
          <cell r="K3" t="str">
            <v>аварийное</v>
          </cell>
        </row>
        <row r="4">
          <cell r="B4" t="str">
            <v>барбарис куст</v>
          </cell>
          <cell r="I4" t="str">
            <v>Вырубить</v>
          </cell>
          <cell r="K4" t="str">
            <v>сухостой</v>
          </cell>
        </row>
        <row r="5">
          <cell r="B5" t="str">
            <v>Бархат амурский</v>
          </cell>
          <cell r="K5" t="str">
            <v>неудовлетв.</v>
          </cell>
        </row>
        <row r="6">
          <cell r="B6" t="str">
            <v>Береза</v>
          </cell>
          <cell r="K6" t="str">
            <v>поросль</v>
          </cell>
        </row>
        <row r="7">
          <cell r="B7" t="str">
            <v>бересклет куст</v>
          </cell>
          <cell r="K7" t="str">
            <v>самосев</v>
          </cell>
        </row>
        <row r="8">
          <cell r="B8" t="str">
            <v>бирючина куст</v>
          </cell>
          <cell r="K8" t="str">
            <v>5-ти м зона</v>
          </cell>
        </row>
        <row r="9">
          <cell r="B9" t="str">
            <v>Боярышник</v>
          </cell>
          <cell r="K9" t="str">
            <v>учтено ранее*</v>
          </cell>
        </row>
        <row r="10">
          <cell r="B10" t="str">
            <v>боярышник куст</v>
          </cell>
          <cell r="K10" t="str">
            <v>обрезка ветвей</v>
          </cell>
        </row>
        <row r="11">
          <cell r="B11" t="str">
            <v>бузина куст</v>
          </cell>
          <cell r="K11" t="str">
            <v>кронировать</v>
          </cell>
        </row>
        <row r="12">
          <cell r="B12" t="str">
            <v>Вишня</v>
          </cell>
          <cell r="K12" t="str">
            <v>не входит в пятно</v>
          </cell>
        </row>
        <row r="13">
          <cell r="B13" t="str">
            <v>вишня куст</v>
          </cell>
          <cell r="K13" t="str">
            <v>удовлетв.</v>
          </cell>
        </row>
        <row r="14">
          <cell r="B14" t="str">
            <v>Вяз</v>
          </cell>
          <cell r="K14" t="str">
            <v>усыхающее</v>
          </cell>
        </row>
        <row r="15">
          <cell r="B15" t="str">
            <v>Газон</v>
          </cell>
          <cell r="K15" t="str">
            <v>хорошее</v>
          </cell>
        </row>
        <row r="16">
          <cell r="B16" t="str">
            <v>Груша</v>
          </cell>
          <cell r="K16" t="str">
            <v>саженцы</v>
          </cell>
        </row>
        <row r="17">
          <cell r="B17" t="str">
            <v>дек.-лиственный кустарник</v>
          </cell>
          <cell r="K17" t="str">
            <v>0,5х0,5х0,4</v>
          </cell>
        </row>
        <row r="18">
          <cell r="B18" t="str">
            <v>дерен куст</v>
          </cell>
          <cell r="K18" t="str">
            <v>0,8х0,8х0,6</v>
          </cell>
        </row>
        <row r="19">
          <cell r="B19" t="str">
            <v>Дуб</v>
          </cell>
          <cell r="K19" t="str">
            <v>1,0х1,0х0,6</v>
          </cell>
        </row>
        <row r="20">
          <cell r="B20" t="str">
            <v>Ель</v>
          </cell>
          <cell r="K20" t="str">
            <v>1,3х1,3х0,6</v>
          </cell>
        </row>
        <row r="21">
          <cell r="B21" t="str">
            <v>жимолость куст</v>
          </cell>
          <cell r="K21" t="str">
            <v>1,5х1,5х0,65</v>
          </cell>
        </row>
        <row r="22">
          <cell r="B22" t="str">
            <v>Ива</v>
          </cell>
          <cell r="K22" t="str">
            <v>1,7х1,7х0,65</v>
          </cell>
        </row>
        <row r="23">
          <cell r="B23" t="str">
            <v>ива (поросль)</v>
          </cell>
          <cell r="K23" t="str">
            <v>2,0х2,0х0,8</v>
          </cell>
        </row>
        <row r="24">
          <cell r="B24" t="str">
            <v>Ива белая</v>
          </cell>
          <cell r="K24" t="str">
            <v>2,4х2,4х0,95</v>
          </cell>
        </row>
        <row r="25">
          <cell r="B25" t="str">
            <v>ирга куст</v>
          </cell>
          <cell r="K25" t="str">
            <v>Ком земли</v>
          </cell>
        </row>
        <row r="26">
          <cell r="B26" t="str">
            <v>калина куст</v>
          </cell>
        </row>
        <row r="27">
          <cell r="B27" t="str">
            <v>Каштан</v>
          </cell>
        </row>
        <row r="28">
          <cell r="B28" t="str">
            <v>кизильник куст</v>
          </cell>
        </row>
        <row r="29">
          <cell r="B29" t="str">
            <v>Клен</v>
          </cell>
        </row>
        <row r="30">
          <cell r="B30" t="str">
            <v>клен куст</v>
          </cell>
        </row>
        <row r="31">
          <cell r="B31" t="str">
            <v>Клен ясенелистный</v>
          </cell>
        </row>
        <row r="32">
          <cell r="B32" t="str">
            <v>клен ясенелистный (поросль)</v>
          </cell>
        </row>
        <row r="33">
          <cell r="B33" t="str">
            <v>крушина куст</v>
          </cell>
        </row>
        <row r="34">
          <cell r="B34" t="str">
            <v>кустарник разный</v>
          </cell>
        </row>
        <row r="35">
          <cell r="B35" t="str">
            <v>лещина куст</v>
          </cell>
        </row>
        <row r="36">
          <cell r="B36" t="str">
            <v>Лжетсуга</v>
          </cell>
        </row>
        <row r="37">
          <cell r="B37" t="str">
            <v>лиана куст</v>
          </cell>
        </row>
        <row r="38">
          <cell r="B38" t="str">
            <v>Липа</v>
          </cell>
        </row>
        <row r="39">
          <cell r="B39" t="str">
            <v>Лиственница</v>
          </cell>
        </row>
        <row r="40">
          <cell r="B40" t="str">
            <v>можжевельник куст</v>
          </cell>
        </row>
        <row r="41">
          <cell r="B41" t="str">
            <v>Ольха</v>
          </cell>
        </row>
        <row r="42">
          <cell r="B42" t="str">
            <v>Орех</v>
          </cell>
        </row>
        <row r="43">
          <cell r="B43" t="str">
            <v>Осина</v>
          </cell>
        </row>
        <row r="44">
          <cell r="B44" t="str">
            <v>Остолоп</v>
          </cell>
        </row>
        <row r="45">
          <cell r="B45" t="str">
            <v>Пень</v>
          </cell>
        </row>
        <row r="46">
          <cell r="B46" t="str">
            <v>Пихта</v>
          </cell>
        </row>
        <row r="47">
          <cell r="B47" t="str">
            <v>пл.-ягодный кустарник</v>
          </cell>
        </row>
        <row r="48">
          <cell r="B48" t="str">
            <v>Плодовое</v>
          </cell>
        </row>
        <row r="49">
          <cell r="B49" t="str">
            <v>поросль</v>
          </cell>
        </row>
        <row r="50">
          <cell r="B50" t="str">
            <v>пузыреплодник куст</v>
          </cell>
        </row>
        <row r="51">
          <cell r="B51" t="str">
            <v>ракитник куст</v>
          </cell>
        </row>
        <row r="52">
          <cell r="B52" t="str">
            <v>роза куст</v>
          </cell>
        </row>
        <row r="53">
          <cell r="B53" t="str">
            <v>Рябина</v>
          </cell>
        </row>
        <row r="54">
          <cell r="B54" t="str">
            <v>Саженцы</v>
          </cell>
        </row>
        <row r="55">
          <cell r="B55" t="str">
            <v>Самосев до 8 см.</v>
          </cell>
        </row>
        <row r="56">
          <cell r="B56" t="str">
            <v>сирень куст</v>
          </cell>
        </row>
        <row r="57">
          <cell r="B57" t="str">
            <v>Слива</v>
          </cell>
        </row>
        <row r="58">
          <cell r="B58" t="str">
            <v>слива куст</v>
          </cell>
        </row>
        <row r="59">
          <cell r="B59" t="str">
            <v>смородина куст</v>
          </cell>
        </row>
        <row r="60">
          <cell r="B60" t="str">
            <v>снежноягодник куст</v>
          </cell>
        </row>
        <row r="61">
          <cell r="B61" t="str">
            <v>Сосна</v>
          </cell>
        </row>
        <row r="62">
          <cell r="B62" t="str">
            <v>спирея куст</v>
          </cell>
        </row>
        <row r="63">
          <cell r="B63" t="str">
            <v>Сухостой</v>
          </cell>
        </row>
        <row r="64">
          <cell r="B64" t="str">
            <v>Тополь</v>
          </cell>
        </row>
        <row r="65">
          <cell r="B65" t="str">
            <v>тополь (поросль)</v>
          </cell>
        </row>
        <row r="66">
          <cell r="B66" t="str">
            <v>Тополь белый</v>
          </cell>
        </row>
        <row r="67">
          <cell r="B67" t="str">
            <v>Тополь пирамидальный</v>
          </cell>
        </row>
        <row r="68">
          <cell r="B68" t="str">
            <v>Травяной покров</v>
          </cell>
        </row>
        <row r="69">
          <cell r="B69" t="str">
            <v>Туя</v>
          </cell>
        </row>
        <row r="70">
          <cell r="B70" t="str">
            <v>туя куст</v>
          </cell>
        </row>
        <row r="71">
          <cell r="B71" t="str">
            <v>хвойный кустарник</v>
          </cell>
        </row>
        <row r="72">
          <cell r="B72" t="str">
            <v>Черемуха</v>
          </cell>
        </row>
        <row r="73">
          <cell r="B73" t="str">
            <v>черемуха куст</v>
          </cell>
        </row>
        <row r="74">
          <cell r="B74" t="str">
            <v>чубушник куст</v>
          </cell>
        </row>
        <row r="75">
          <cell r="B75" t="str">
            <v>Экзот</v>
          </cell>
        </row>
        <row r="76">
          <cell r="B76" t="str">
            <v>Яблоня</v>
          </cell>
        </row>
        <row r="77">
          <cell r="B77" t="str">
            <v>Ясень</v>
          </cell>
        </row>
        <row r="78">
          <cell r="B78" t="str">
            <v>*******************      ко/куст.</v>
          </cell>
        </row>
        <row r="79">
          <cell r="B79" t="str">
            <v>*******************    ко/трава</v>
          </cell>
        </row>
        <row r="80">
          <cell r="B80" t="str">
            <v>*******************     ко/дер.</v>
          </cell>
        </row>
      </sheetData>
      <sheetData sheetId="2" refreshError="1"/>
      <sheetData sheetId="3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Эл-new"/>
      <sheetName val="Эл-доп"/>
      <sheetName val="Закачка эл-авт"/>
      <sheetName val="Эл-лампы"/>
      <sheetName val="Спец_Неон"/>
      <sheetName val="Спец_Деко"/>
      <sheetName val="Пр8"/>
      <sheetName val="Пр9"/>
      <sheetName val="Пр10"/>
      <sheetName val="Пр11"/>
      <sheetName val="Пр12"/>
      <sheetName val="Пр13"/>
      <sheetName val="Пр14"/>
      <sheetName val="Пр15"/>
      <sheetName val="Спецпредложение Щиты"/>
      <sheetName val="Щиты"/>
      <sheetName val="Спецпредложение Кабель-каналы"/>
      <sheetName val="Спецпредложение Наконечники"/>
      <sheetName val="Наконечники"/>
      <sheetName val="Спецпредложение Лампы"/>
      <sheetName val="Лампы"/>
      <sheetName val="El-site"/>
      <sheetName val="Электрика"/>
      <sheetName val="Пр16"/>
    </sheetNames>
    <sheetDataSet>
      <sheetData sheetId="0"/>
      <sheetData sheetId="1">
        <row r="4">
          <cell r="U4">
            <v>29.7395</v>
          </cell>
          <cell r="Z4">
            <v>29.7395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1">
          <cell r="B1" t="str">
            <v>Наименование</v>
          </cell>
          <cell r="Y1" t="str">
            <v>*</v>
          </cell>
          <cell r="AY1" t="str">
            <v>Мелкий Опт.</v>
          </cell>
          <cell r="AZ1" t="str">
            <v>Опт.</v>
          </cell>
        </row>
        <row r="2">
          <cell r="B2" t="str">
            <v>Марка, руб</v>
          </cell>
          <cell r="AZ2" t="str">
            <v>Опт.</v>
          </cell>
        </row>
        <row r="3">
          <cell r="B3" t="str">
            <v>Марка, руб</v>
          </cell>
        </row>
        <row r="4">
          <cell r="B4" t="str">
            <v xml:space="preserve"> СЧЕТЧИКИ электрические</v>
          </cell>
        </row>
        <row r="5">
          <cell r="B5" t="str">
            <v>Однофазные</v>
          </cell>
        </row>
        <row r="6">
          <cell r="A6" t="str">
            <v>Счетчик</v>
          </cell>
          <cell r="B6" t="str">
            <v>СО-505 (10-40А)</v>
          </cell>
          <cell r="AY6">
            <v>575.58000000000004</v>
          </cell>
          <cell r="AZ6">
            <v>500.52000000000004</v>
          </cell>
        </row>
        <row r="7">
          <cell r="A7" t="str">
            <v>Счетчик</v>
          </cell>
          <cell r="B7" t="str">
            <v>СО-ЭЭ6706 (10-40А)</v>
          </cell>
          <cell r="AY7">
            <v>584.4</v>
          </cell>
          <cell r="AZ7">
            <v>508.20000000000005</v>
          </cell>
        </row>
        <row r="8">
          <cell r="B8" t="str">
            <v>Трехфазные</v>
          </cell>
        </row>
        <row r="9">
          <cell r="A9" t="str">
            <v>Счетчик</v>
          </cell>
          <cell r="B9" t="str">
            <v>СА4у-И672М 3* 5А</v>
          </cell>
          <cell r="AY9">
            <v>1606.56</v>
          </cell>
          <cell r="AZ9">
            <v>1396.98</v>
          </cell>
        </row>
        <row r="10">
          <cell r="B10" t="str">
            <v>Трансф-р тока Т-0,66(20-400А)</v>
          </cell>
          <cell r="AY10">
            <v>174.9</v>
          </cell>
          <cell r="AZ10">
            <v>152.10000000000002</v>
          </cell>
        </row>
        <row r="11">
          <cell r="A11" t="str">
            <v>Счетчик</v>
          </cell>
          <cell r="B11" t="str">
            <v>СА4-И678 3*10-40А</v>
          </cell>
          <cell r="AY11">
            <v>1824.1200000000001</v>
          </cell>
          <cell r="AZ11">
            <v>1586.22</v>
          </cell>
        </row>
        <row r="12">
          <cell r="A12" t="str">
            <v>Счетчик</v>
          </cell>
          <cell r="B12" t="str">
            <v>СА4-И678 3*20-50А</v>
          </cell>
          <cell r="AY12">
            <v>2104.98</v>
          </cell>
          <cell r="AZ12">
            <v>1830.42</v>
          </cell>
        </row>
        <row r="13">
          <cell r="A13" t="str">
            <v>Счетчик</v>
          </cell>
          <cell r="B13" t="str">
            <v>СА4-И678 3*30-75А</v>
          </cell>
          <cell r="AY13">
            <v>2170.7400000000002</v>
          </cell>
          <cell r="AZ13">
            <v>1887.6000000000001</v>
          </cell>
        </row>
        <row r="14">
          <cell r="A14" t="str">
            <v>Счетчик</v>
          </cell>
          <cell r="B14" t="str">
            <v>СА4-И678 3*50-100А</v>
          </cell>
          <cell r="AY14">
            <v>2254.2599999999998</v>
          </cell>
          <cell r="AZ14">
            <v>1960.2</v>
          </cell>
        </row>
        <row r="15">
          <cell r="B15" t="str">
            <v xml:space="preserve"> СВЕТИЛЬНИКИ люминесцентные</v>
          </cell>
          <cell r="AY15">
            <v>0</v>
          </cell>
          <cell r="AZ15">
            <v>0</v>
          </cell>
        </row>
        <row r="16">
          <cell r="A16" t="str">
            <v>Светильник люмин.</v>
          </cell>
          <cell r="B16" t="str">
            <v xml:space="preserve">ЛПО 1х20 </v>
          </cell>
          <cell r="AY16">
            <v>153.54000000000002</v>
          </cell>
          <cell r="AZ16">
            <v>133.5</v>
          </cell>
        </row>
        <row r="17">
          <cell r="A17" t="str">
            <v>Светильник люмин.</v>
          </cell>
          <cell r="B17" t="str">
            <v xml:space="preserve">ЛПО 1х40 </v>
          </cell>
          <cell r="AY17">
            <v>184.8</v>
          </cell>
          <cell r="AZ17">
            <v>160.68</v>
          </cell>
        </row>
        <row r="18">
          <cell r="A18" t="str">
            <v>Светильник люмин.</v>
          </cell>
          <cell r="B18" t="str">
            <v>ЛПО 2х20</v>
          </cell>
          <cell r="AY18">
            <v>167.7</v>
          </cell>
          <cell r="AZ18">
            <v>145.86000000000001</v>
          </cell>
        </row>
        <row r="19">
          <cell r="A19" t="str">
            <v>Светильник люмин.</v>
          </cell>
          <cell r="B19" t="str">
            <v xml:space="preserve">ЛПО 2х40 </v>
          </cell>
          <cell r="AY19">
            <v>252.12</v>
          </cell>
          <cell r="AZ19">
            <v>219.24</v>
          </cell>
        </row>
        <row r="20">
          <cell r="A20" t="str">
            <v>Светильник люмин.</v>
          </cell>
          <cell r="B20" t="str">
            <v>ЛСП 2х40</v>
          </cell>
          <cell r="AY20">
            <v>560.04</v>
          </cell>
          <cell r="AZ20">
            <v>486.96</v>
          </cell>
        </row>
        <row r="21">
          <cell r="A21" t="str">
            <v>Светильник</v>
          </cell>
          <cell r="B21" t="str">
            <v>ПВЛМ 2х40,б/плаф.</v>
          </cell>
          <cell r="AY21">
            <v>776.16</v>
          </cell>
          <cell r="AZ21">
            <v>705.6</v>
          </cell>
        </row>
        <row r="22">
          <cell r="B22" t="str">
            <v xml:space="preserve"> накладные растровые (зеркальные)</v>
          </cell>
        </row>
        <row r="23">
          <cell r="A23" t="str">
            <v>Светильник</v>
          </cell>
          <cell r="B23" t="str">
            <v>ЛПО 82-2х36-001</v>
          </cell>
          <cell r="AY23">
            <v>927.36</v>
          </cell>
          <cell r="AZ23">
            <v>806.4</v>
          </cell>
        </row>
        <row r="24">
          <cell r="A24" t="str">
            <v>Светильник</v>
          </cell>
          <cell r="B24" t="str">
            <v>ЛПО 82-4х18-001</v>
          </cell>
          <cell r="AY24">
            <v>927.36</v>
          </cell>
          <cell r="AZ24">
            <v>806.4</v>
          </cell>
        </row>
        <row r="32">
          <cell r="B32" t="str">
            <v xml:space="preserve"> "таблетка"</v>
          </cell>
        </row>
        <row r="33">
          <cell r="A33" t="str">
            <v>Светильник</v>
          </cell>
          <cell r="B33" t="str">
            <v>НПО 22-2х60Вт</v>
          </cell>
        </row>
        <row r="34">
          <cell r="A34" t="str">
            <v>Светильник</v>
          </cell>
          <cell r="B34" t="str">
            <v>НПО 22-100Вт</v>
          </cell>
        </row>
        <row r="35">
          <cell r="B35" t="str">
            <v xml:space="preserve"> "желудь"</v>
          </cell>
        </row>
        <row r="36">
          <cell r="A36" t="str">
            <v>Светильник</v>
          </cell>
          <cell r="B36" t="str">
            <v>НСП 02-100-001,  б/решет.</v>
          </cell>
        </row>
        <row r="37">
          <cell r="A37" t="str">
            <v>Светильник</v>
          </cell>
          <cell r="B37" t="str">
            <v>НСП 02-100-003,  с решет.</v>
          </cell>
        </row>
        <row r="38">
          <cell r="A38" t="str">
            <v>Светильник</v>
          </cell>
          <cell r="B38" t="str">
            <v>НСП 02-200-001,  б/решет.</v>
          </cell>
        </row>
        <row r="39">
          <cell r="A39" t="str">
            <v>Светильник</v>
          </cell>
          <cell r="B39" t="str">
            <v>НСП 02-200-003,   с решет.</v>
          </cell>
        </row>
        <row r="40">
          <cell r="B40" t="str">
            <v>полугерметичный</v>
          </cell>
        </row>
        <row r="41">
          <cell r="A41" t="str">
            <v>Светильник</v>
          </cell>
          <cell r="B41" t="str">
            <v>ПСХ-60Вт,  п/г</v>
          </cell>
        </row>
        <row r="42">
          <cell r="A42" t="str">
            <v>Светильник</v>
          </cell>
          <cell r="B42" t="str">
            <v>НПП 03-100Вт, п/г</v>
          </cell>
        </row>
        <row r="43">
          <cell r="B43" t="str">
            <v xml:space="preserve"> СВЕТИЛЬНИКИ для ламп ДРЛ (Новосел.)</v>
          </cell>
        </row>
        <row r="44">
          <cell r="A44" t="str">
            <v>Светильник</v>
          </cell>
          <cell r="B44" t="str">
            <v>РКУ 06-125Вт (б/ст.)</v>
          </cell>
        </row>
        <row r="45">
          <cell r="A45" t="str">
            <v>Светильник</v>
          </cell>
          <cell r="B45" t="str">
            <v>РКУ 06-125Вт (со ст.)</v>
          </cell>
        </row>
        <row r="46">
          <cell r="A46" t="str">
            <v>Светильник</v>
          </cell>
          <cell r="B46" t="str">
            <v>РКУ 06-250Вт (б/ст.)</v>
          </cell>
        </row>
        <row r="47">
          <cell r="A47" t="str">
            <v>Светильник</v>
          </cell>
          <cell r="B47" t="str">
            <v>РКУ 24-250Вт (со ст.)</v>
          </cell>
        </row>
        <row r="48">
          <cell r="B48" t="str">
            <v xml:space="preserve"> СВЕТИЛЬНИКИ для АЗС</v>
          </cell>
        </row>
        <row r="49">
          <cell r="B49" t="str">
            <v xml:space="preserve"> для ламп ДРЛ</v>
          </cell>
        </row>
        <row r="50">
          <cell r="A50" t="str">
            <v>Светильник</v>
          </cell>
          <cell r="B50" t="str">
            <v>РВП 04-125-002</v>
          </cell>
        </row>
        <row r="51">
          <cell r="A51" t="str">
            <v>Светильник</v>
          </cell>
          <cell r="B51" t="str">
            <v>РВП 04-250-002</v>
          </cell>
        </row>
        <row r="52">
          <cell r="A52" t="str">
            <v>Светильник</v>
          </cell>
          <cell r="B52" t="str">
            <v>РВП 04-400-002</v>
          </cell>
        </row>
        <row r="53">
          <cell r="B53" t="str">
            <v xml:space="preserve"> ЛАМПЫ</v>
          </cell>
        </row>
        <row r="54">
          <cell r="A54" t="str">
            <v>Лампа</v>
          </cell>
          <cell r="B54" t="str">
            <v>ЛД(ЛБ)-20</v>
          </cell>
        </row>
        <row r="55">
          <cell r="A55" t="str">
            <v>Лампа</v>
          </cell>
          <cell r="B55" t="str">
            <v>ЛД(ЛБ)-40</v>
          </cell>
        </row>
        <row r="56">
          <cell r="A56" t="str">
            <v>Лампа</v>
          </cell>
          <cell r="B56" t="str">
            <v>ЛД(ЛБ)-80</v>
          </cell>
        </row>
        <row r="57">
          <cell r="B57" t="str">
            <v>Стартер 220 В, 127 В</v>
          </cell>
        </row>
        <row r="58">
          <cell r="A58" t="str">
            <v>Лампа</v>
          </cell>
          <cell r="B58" t="str">
            <v>ДРЛ-125</v>
          </cell>
        </row>
        <row r="59">
          <cell r="A59" t="str">
            <v>Лампа</v>
          </cell>
          <cell r="B59" t="str">
            <v>ДРЛ-250</v>
          </cell>
        </row>
        <row r="60">
          <cell r="A60" t="str">
            <v>Лампа</v>
          </cell>
          <cell r="B60" t="str">
            <v>ДРЛ-400</v>
          </cell>
        </row>
        <row r="61">
          <cell r="A61" t="str">
            <v>Лампа</v>
          </cell>
          <cell r="B61" t="str">
            <v>ЛОН-40, 60, 75, 100</v>
          </cell>
        </row>
        <row r="62">
          <cell r="A62" t="str">
            <v>Лампа</v>
          </cell>
          <cell r="B62" t="str">
            <v>ЛОН-150</v>
          </cell>
        </row>
        <row r="63">
          <cell r="A63" t="str">
            <v>Лампа</v>
          </cell>
          <cell r="B63" t="str">
            <v>ЛОН-200</v>
          </cell>
        </row>
        <row r="64">
          <cell r="A64" t="str">
            <v>Лампа</v>
          </cell>
          <cell r="B64" t="str">
            <v>ЛОН-300</v>
          </cell>
        </row>
        <row r="65">
          <cell r="A65" t="str">
            <v>Лампа</v>
          </cell>
          <cell r="B65" t="str">
            <v>ЛОН-500</v>
          </cell>
        </row>
        <row r="66">
          <cell r="B66" t="str">
            <v xml:space="preserve"> ПАТРОНЫ  Е27</v>
          </cell>
        </row>
        <row r="67">
          <cell r="A67" t="str">
            <v>Патрон эл. Е27</v>
          </cell>
          <cell r="B67" t="str">
            <v>подвесной</v>
          </cell>
        </row>
        <row r="68">
          <cell r="A68" t="str">
            <v>Патрон эл. Е27</v>
          </cell>
          <cell r="B68" t="str">
            <v>потолочный, настенный</v>
          </cell>
        </row>
        <row r="69">
          <cell r="B69" t="str">
            <v xml:space="preserve"> АКСЕССУАРЫ К КАБЕЛЬНЫМ КАНАЛАМ</v>
          </cell>
        </row>
        <row r="70">
          <cell r="B70" t="str">
            <v>внутренний угол</v>
          </cell>
        </row>
        <row r="71">
          <cell r="A71" t="str">
            <v>Внутренний угол</v>
          </cell>
          <cell r="B71" t="str">
            <v>15х10</v>
          </cell>
          <cell r="AY71">
            <v>6.4799999999999995</v>
          </cell>
          <cell r="AZ71">
            <v>5.3999999999999995</v>
          </cell>
        </row>
        <row r="72">
          <cell r="A72" t="str">
            <v>Внутренний угол</v>
          </cell>
          <cell r="B72" t="str">
            <v>16х16</v>
          </cell>
          <cell r="AY72">
            <v>6.4799999999999995</v>
          </cell>
          <cell r="AZ72">
            <v>5.3999999999999995</v>
          </cell>
        </row>
        <row r="73">
          <cell r="A73" t="str">
            <v>Внутренний угол</v>
          </cell>
          <cell r="B73" t="str">
            <v>25х16</v>
          </cell>
          <cell r="AY73">
            <v>14.459999999999999</v>
          </cell>
          <cell r="AZ73">
            <v>12.06</v>
          </cell>
        </row>
        <row r="74">
          <cell r="A74" t="str">
            <v>Внутренний угол</v>
          </cell>
          <cell r="B74" t="str">
            <v>25х25</v>
          </cell>
          <cell r="AY74">
            <v>14.459999999999999</v>
          </cell>
          <cell r="AZ74">
            <v>12.06</v>
          </cell>
        </row>
        <row r="75">
          <cell r="A75" t="str">
            <v>Внутренний угол</v>
          </cell>
          <cell r="B75" t="str">
            <v>40х16</v>
          </cell>
          <cell r="AY75">
            <v>22.98</v>
          </cell>
          <cell r="AZ75">
            <v>19.14</v>
          </cell>
        </row>
        <row r="76">
          <cell r="A76" t="str">
            <v>Внутренний угол</v>
          </cell>
          <cell r="B76" t="str">
            <v>40х25</v>
          </cell>
          <cell r="AY76">
            <v>22.98</v>
          </cell>
          <cell r="AZ76">
            <v>19.14</v>
          </cell>
        </row>
        <row r="77">
          <cell r="A77" t="str">
            <v>Внутренний угол</v>
          </cell>
          <cell r="B77" t="str">
            <v>40х40</v>
          </cell>
          <cell r="AY77">
            <v>22.98</v>
          </cell>
          <cell r="AZ77">
            <v>19.14</v>
          </cell>
        </row>
        <row r="78">
          <cell r="A78" t="str">
            <v>Внутренний угол</v>
          </cell>
          <cell r="B78" t="str">
            <v>60х40</v>
          </cell>
          <cell r="AY78">
            <v>54.42</v>
          </cell>
          <cell r="AZ78">
            <v>45.36</v>
          </cell>
        </row>
        <row r="79">
          <cell r="A79" t="str">
            <v>Внутренний угол</v>
          </cell>
          <cell r="B79" t="str">
            <v>60х60</v>
          </cell>
          <cell r="AY79">
            <v>54.42</v>
          </cell>
          <cell r="AZ79">
            <v>45.36</v>
          </cell>
        </row>
        <row r="80">
          <cell r="A80" t="str">
            <v>Внутренний угол</v>
          </cell>
          <cell r="B80" t="str">
            <v>100х40</v>
          </cell>
          <cell r="AY80">
            <v>73.38000000000001</v>
          </cell>
          <cell r="AZ80">
            <v>61.140000000000008</v>
          </cell>
        </row>
        <row r="81">
          <cell r="A81" t="str">
            <v>Внутренний угол</v>
          </cell>
          <cell r="B81" t="str">
            <v>100х60</v>
          </cell>
          <cell r="AY81">
            <v>73.38000000000001</v>
          </cell>
          <cell r="AZ81">
            <v>61.140000000000008</v>
          </cell>
        </row>
        <row r="82">
          <cell r="B82" t="str">
            <v>наружный угол</v>
          </cell>
          <cell r="AY82">
            <v>0</v>
          </cell>
          <cell r="AZ82">
            <v>0</v>
          </cell>
        </row>
        <row r="83">
          <cell r="A83" t="str">
            <v>Наружный угол</v>
          </cell>
          <cell r="B83" t="str">
            <v>15х10</v>
          </cell>
          <cell r="AY83">
            <v>6.4799999999999995</v>
          </cell>
          <cell r="AZ83">
            <v>5.3999999999999995</v>
          </cell>
        </row>
        <row r="84">
          <cell r="A84" t="str">
            <v>Наружный угол</v>
          </cell>
          <cell r="B84" t="str">
            <v>16х16</v>
          </cell>
          <cell r="AY84">
            <v>6.4799999999999995</v>
          </cell>
          <cell r="AZ84">
            <v>5.3999999999999995</v>
          </cell>
        </row>
        <row r="85">
          <cell r="A85" t="str">
            <v>Наружный угол</v>
          </cell>
          <cell r="B85" t="str">
            <v>25х16</v>
          </cell>
          <cell r="AY85">
            <v>14.459999999999999</v>
          </cell>
          <cell r="AZ85">
            <v>12.06</v>
          </cell>
        </row>
        <row r="86">
          <cell r="A86" t="str">
            <v>Наружный угол</v>
          </cell>
          <cell r="B86" t="str">
            <v>25х25</v>
          </cell>
          <cell r="AY86">
            <v>14.459999999999999</v>
          </cell>
          <cell r="AZ86">
            <v>12.06</v>
          </cell>
        </row>
        <row r="87">
          <cell r="A87" t="str">
            <v>Наружный угол</v>
          </cell>
          <cell r="B87" t="str">
            <v>40х16</v>
          </cell>
          <cell r="AY87">
            <v>22.98</v>
          </cell>
          <cell r="AZ87">
            <v>19.14</v>
          </cell>
        </row>
        <row r="88">
          <cell r="A88" t="str">
            <v>Наружный угол</v>
          </cell>
          <cell r="B88" t="str">
            <v>40х25</v>
          </cell>
          <cell r="AY88">
            <v>22.98</v>
          </cell>
          <cell r="AZ88">
            <v>19.14</v>
          </cell>
        </row>
        <row r="89">
          <cell r="A89" t="str">
            <v>Наружный угол</v>
          </cell>
          <cell r="B89" t="str">
            <v>40х40</v>
          </cell>
          <cell r="AY89">
            <v>22.98</v>
          </cell>
          <cell r="AZ89">
            <v>19.14</v>
          </cell>
        </row>
        <row r="90">
          <cell r="A90" t="str">
            <v>Наружный угол</v>
          </cell>
          <cell r="B90" t="str">
            <v>60х40</v>
          </cell>
          <cell r="AY90">
            <v>54.42</v>
          </cell>
          <cell r="AZ90">
            <v>45.36</v>
          </cell>
        </row>
        <row r="91">
          <cell r="A91" t="str">
            <v>Наружный угол</v>
          </cell>
          <cell r="B91" t="str">
            <v>60х60</v>
          </cell>
          <cell r="AY91">
            <v>54.42</v>
          </cell>
          <cell r="AZ91">
            <v>45.36</v>
          </cell>
        </row>
        <row r="92">
          <cell r="A92" t="str">
            <v>Наружный угол</v>
          </cell>
          <cell r="B92" t="str">
            <v>100х40</v>
          </cell>
          <cell r="AY92">
            <v>73.38000000000001</v>
          </cell>
          <cell r="AZ92">
            <v>61.140000000000008</v>
          </cell>
        </row>
        <row r="93">
          <cell r="A93" t="str">
            <v>Наружный угол</v>
          </cell>
          <cell r="B93" t="str">
            <v>100х60</v>
          </cell>
          <cell r="AY93">
            <v>73.38000000000001</v>
          </cell>
          <cell r="AZ93">
            <v>61.140000000000008</v>
          </cell>
        </row>
        <row r="94">
          <cell r="B94" t="str">
            <v>поворот 90 гр</v>
          </cell>
          <cell r="AY94">
            <v>0</v>
          </cell>
          <cell r="AZ94">
            <v>0</v>
          </cell>
        </row>
        <row r="95">
          <cell r="A95" t="str">
            <v>Поворот 90 гр.</v>
          </cell>
          <cell r="B95" t="str">
            <v>15х10</v>
          </cell>
          <cell r="AY95">
            <v>6.4799999999999995</v>
          </cell>
          <cell r="AZ95">
            <v>5.3999999999999995</v>
          </cell>
        </row>
        <row r="96">
          <cell r="A96" t="str">
            <v>Поворот 90 гр.</v>
          </cell>
          <cell r="B96" t="str">
            <v>16х16</v>
          </cell>
          <cell r="AY96">
            <v>6.4799999999999995</v>
          </cell>
          <cell r="AZ96">
            <v>5.3999999999999995</v>
          </cell>
        </row>
        <row r="97">
          <cell r="A97" t="str">
            <v>Поворот 90 гр.</v>
          </cell>
          <cell r="B97" t="str">
            <v>25х16</v>
          </cell>
          <cell r="AY97">
            <v>14.459999999999999</v>
          </cell>
          <cell r="AZ97">
            <v>12.06</v>
          </cell>
        </row>
        <row r="98">
          <cell r="A98" t="str">
            <v>Поворот 90 гр.</v>
          </cell>
          <cell r="B98" t="str">
            <v>25х25</v>
          </cell>
          <cell r="AY98">
            <v>14.459999999999999</v>
          </cell>
          <cell r="AZ98">
            <v>12.06</v>
          </cell>
        </row>
        <row r="99">
          <cell r="A99" t="str">
            <v>Поворот 90 гр.</v>
          </cell>
          <cell r="B99" t="str">
            <v>40х16</v>
          </cell>
          <cell r="AY99">
            <v>22.98</v>
          </cell>
          <cell r="AZ99">
            <v>19.14</v>
          </cell>
        </row>
        <row r="100">
          <cell r="A100" t="str">
            <v>Поворот 90 гр.</v>
          </cell>
          <cell r="B100" t="str">
            <v>40х25</v>
          </cell>
          <cell r="AY100">
            <v>22.98</v>
          </cell>
          <cell r="AZ100">
            <v>19.14</v>
          </cell>
        </row>
        <row r="101">
          <cell r="A101" t="str">
            <v>Поворот 90 гр.</v>
          </cell>
          <cell r="B101" t="str">
            <v>40х40</v>
          </cell>
          <cell r="AY101">
            <v>22.98</v>
          </cell>
          <cell r="AZ101">
            <v>19.14</v>
          </cell>
        </row>
        <row r="102">
          <cell r="A102" t="str">
            <v>Поворот 90 гр.</v>
          </cell>
          <cell r="B102" t="str">
            <v>60х40</v>
          </cell>
          <cell r="AY102">
            <v>54.42</v>
          </cell>
          <cell r="AZ102">
            <v>45.36</v>
          </cell>
        </row>
        <row r="103">
          <cell r="A103" t="str">
            <v>Поворот 90 гр.</v>
          </cell>
          <cell r="B103" t="str">
            <v>60х60</v>
          </cell>
          <cell r="AY103">
            <v>54.42</v>
          </cell>
          <cell r="AZ103">
            <v>45.36</v>
          </cell>
        </row>
        <row r="104">
          <cell r="A104" t="str">
            <v>Поворот 90 гр.</v>
          </cell>
          <cell r="B104" t="str">
            <v>100х40</v>
          </cell>
          <cell r="AY104">
            <v>73.38000000000001</v>
          </cell>
          <cell r="AZ104">
            <v>61.140000000000008</v>
          </cell>
        </row>
        <row r="105">
          <cell r="A105" t="str">
            <v>Поворот 90 гр.</v>
          </cell>
          <cell r="B105" t="str">
            <v>100х60</v>
          </cell>
          <cell r="AY105">
            <v>73.38000000000001</v>
          </cell>
          <cell r="AZ105">
            <v>61.140000000000008</v>
          </cell>
        </row>
        <row r="106">
          <cell r="B106" t="str">
            <v>Т-образный угол</v>
          </cell>
          <cell r="AY106">
            <v>0</v>
          </cell>
          <cell r="AZ106">
            <v>0</v>
          </cell>
        </row>
        <row r="107">
          <cell r="A107" t="str">
            <v>Т-образный угол</v>
          </cell>
          <cell r="B107" t="str">
            <v>15х10</v>
          </cell>
          <cell r="AY107">
            <v>6.4799999999999995</v>
          </cell>
          <cell r="AZ107">
            <v>5.3999999999999995</v>
          </cell>
        </row>
        <row r="108">
          <cell r="A108" t="str">
            <v>Т-образный угол</v>
          </cell>
          <cell r="B108" t="str">
            <v>16х16</v>
          </cell>
          <cell r="AY108">
            <v>6.4799999999999995</v>
          </cell>
          <cell r="AZ108">
            <v>5.3999999999999995</v>
          </cell>
        </row>
        <row r="109">
          <cell r="A109" t="str">
            <v>Т-образный угол</v>
          </cell>
          <cell r="B109" t="str">
            <v>25х16</v>
          </cell>
          <cell r="AY109">
            <v>14.459999999999999</v>
          </cell>
          <cell r="AZ109">
            <v>12.06</v>
          </cell>
        </row>
        <row r="110">
          <cell r="A110" t="str">
            <v>Т-образный угол</v>
          </cell>
          <cell r="B110" t="str">
            <v>25х25</v>
          </cell>
          <cell r="AY110">
            <v>14.459999999999999</v>
          </cell>
          <cell r="AZ110">
            <v>12.06</v>
          </cell>
        </row>
        <row r="111">
          <cell r="A111" t="str">
            <v>Т-образный угол</v>
          </cell>
          <cell r="B111" t="str">
            <v>40х16</v>
          </cell>
          <cell r="AY111">
            <v>22.98</v>
          </cell>
          <cell r="AZ111">
            <v>19.14</v>
          </cell>
        </row>
        <row r="112">
          <cell r="A112" t="str">
            <v>Т-образный угол</v>
          </cell>
          <cell r="B112" t="str">
            <v>40х25</v>
          </cell>
          <cell r="AY112">
            <v>22.98</v>
          </cell>
          <cell r="AZ112">
            <v>19.14</v>
          </cell>
        </row>
        <row r="113">
          <cell r="A113" t="str">
            <v>Т-образный угол</v>
          </cell>
          <cell r="B113" t="str">
            <v>40х40</v>
          </cell>
          <cell r="AY113">
            <v>22.98</v>
          </cell>
          <cell r="AZ113">
            <v>19.14</v>
          </cell>
        </row>
        <row r="114">
          <cell r="A114" t="str">
            <v>Т-образный угол</v>
          </cell>
          <cell r="B114" t="str">
            <v>60х40</v>
          </cell>
          <cell r="AY114">
            <v>54.42</v>
          </cell>
          <cell r="AZ114">
            <v>45.36</v>
          </cell>
        </row>
        <row r="115">
          <cell r="A115" t="str">
            <v>Т-образный угол</v>
          </cell>
          <cell r="B115" t="str">
            <v>60х60</v>
          </cell>
          <cell r="AY115">
            <v>54.42</v>
          </cell>
          <cell r="AZ115">
            <v>45.36</v>
          </cell>
        </row>
        <row r="116">
          <cell r="A116" t="str">
            <v>Т-образный угол</v>
          </cell>
          <cell r="B116" t="str">
            <v>100х40</v>
          </cell>
          <cell r="AY116">
            <v>73.38000000000001</v>
          </cell>
          <cell r="AZ116">
            <v>61.140000000000008</v>
          </cell>
        </row>
        <row r="117">
          <cell r="A117" t="str">
            <v>Т-образный угол</v>
          </cell>
          <cell r="B117" t="str">
            <v>100х60</v>
          </cell>
          <cell r="AY117">
            <v>73.38000000000001</v>
          </cell>
          <cell r="AZ117">
            <v>61.140000000000008</v>
          </cell>
        </row>
        <row r="118">
          <cell r="B118" t="str">
            <v>заглушка</v>
          </cell>
          <cell r="AY118">
            <v>0</v>
          </cell>
          <cell r="AZ118">
            <v>0</v>
          </cell>
        </row>
        <row r="119">
          <cell r="A119" t="str">
            <v>Заглушка</v>
          </cell>
          <cell r="B119" t="str">
            <v>15х10</v>
          </cell>
          <cell r="AY119">
            <v>6.4799999999999995</v>
          </cell>
          <cell r="AZ119">
            <v>5.3999999999999995</v>
          </cell>
        </row>
        <row r="120">
          <cell r="A120" t="str">
            <v>Заглушка</v>
          </cell>
          <cell r="B120" t="str">
            <v>16х16</v>
          </cell>
          <cell r="AY120">
            <v>6.4799999999999995</v>
          </cell>
          <cell r="AZ120">
            <v>5.3999999999999995</v>
          </cell>
        </row>
        <row r="121">
          <cell r="A121" t="str">
            <v>Заглушка</v>
          </cell>
          <cell r="B121" t="str">
            <v>25х16</v>
          </cell>
          <cell r="AY121">
            <v>14.459999999999999</v>
          </cell>
          <cell r="AZ121">
            <v>12.06</v>
          </cell>
        </row>
        <row r="122">
          <cell r="A122" t="str">
            <v>Заглушка</v>
          </cell>
          <cell r="B122" t="str">
            <v>25х25</v>
          </cell>
          <cell r="AY122">
            <v>14.459999999999999</v>
          </cell>
          <cell r="AZ122">
            <v>12.06</v>
          </cell>
        </row>
        <row r="123">
          <cell r="A123" t="str">
            <v>Заглушка</v>
          </cell>
          <cell r="B123" t="str">
            <v>40х16</v>
          </cell>
          <cell r="AY123">
            <v>22.98</v>
          </cell>
          <cell r="AZ123">
            <v>19.14</v>
          </cell>
        </row>
        <row r="124">
          <cell r="A124" t="str">
            <v>Заглушка</v>
          </cell>
          <cell r="B124" t="str">
            <v>40х25</v>
          </cell>
          <cell r="AY124">
            <v>22.98</v>
          </cell>
          <cell r="AZ124">
            <v>19.14</v>
          </cell>
        </row>
        <row r="125">
          <cell r="A125" t="str">
            <v>Заглушка</v>
          </cell>
          <cell r="B125" t="str">
            <v>40х40</v>
          </cell>
          <cell r="AY125">
            <v>22.98</v>
          </cell>
          <cell r="AZ125">
            <v>19.14</v>
          </cell>
        </row>
        <row r="126">
          <cell r="A126" t="str">
            <v>Заглушка</v>
          </cell>
          <cell r="B126" t="str">
            <v>60х40</v>
          </cell>
          <cell r="AY126">
            <v>54.42</v>
          </cell>
          <cell r="AZ126">
            <v>45.36</v>
          </cell>
        </row>
        <row r="127">
          <cell r="A127" t="str">
            <v>Заглушка</v>
          </cell>
          <cell r="B127" t="str">
            <v>60х60</v>
          </cell>
          <cell r="AY127">
            <v>54.42</v>
          </cell>
          <cell r="AZ127">
            <v>45.36</v>
          </cell>
        </row>
        <row r="128">
          <cell r="A128" t="str">
            <v>Заглушка</v>
          </cell>
          <cell r="B128" t="str">
            <v>100х40</v>
          </cell>
          <cell r="AY128">
            <v>73.38000000000001</v>
          </cell>
          <cell r="AZ128">
            <v>61.140000000000008</v>
          </cell>
        </row>
        <row r="129">
          <cell r="A129" t="str">
            <v>Заглушка</v>
          </cell>
          <cell r="B129" t="str">
            <v>100х60</v>
          </cell>
          <cell r="AY129">
            <v>73.38000000000001</v>
          </cell>
          <cell r="AZ129">
            <v>61.140000000000008</v>
          </cell>
        </row>
      </sheetData>
      <sheetData sheetId="23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абель"/>
      <sheetName val="ИзмененияЦен"/>
      <sheetName val="Динамика за месяц товара"/>
      <sheetName val="Италия"/>
      <sheetName val="Черный ПВС"/>
      <sheetName val="Арматура для СИП"/>
      <sheetName val="Полиэтилен и бумага"/>
      <sheetName val="Приход_полиэт_бумага"/>
      <sheetName val="железная дорога"/>
      <sheetName val="Приход"/>
      <sheetName val="Кабель вне сверки"/>
      <sheetName val="Архив"/>
      <sheetName val="Торгсервис"/>
      <sheetName val="Спец. Рапира"/>
      <sheetName val="Рапира"/>
      <sheetName val="Тула-NEW"/>
      <sheetName val="Титул"/>
      <sheetName val="Содержание"/>
      <sheetName val="Разномеры"/>
      <sheetName val="Пр1"/>
      <sheetName val="Пр2"/>
      <sheetName val="Пр3"/>
      <sheetName val="Пр4"/>
      <sheetName val="Пр5"/>
      <sheetName val="Пр6"/>
      <sheetName val="Пр7"/>
      <sheetName val="Пр8"/>
      <sheetName val="Пр9"/>
      <sheetName val="Пр10"/>
      <sheetName val="Пр11"/>
      <sheetName val="Пр12"/>
      <sheetName val="Пр13"/>
      <sheetName val="Пр14"/>
      <sheetName val="Кабель, провод"/>
      <sheetName val="cab_spec"/>
      <sheetName val="Пр7(2)"/>
      <sheetName val="Оборачиваемость"/>
      <sheetName val="Техэлектро"/>
      <sheetName val="СпецТехэлектро"/>
      <sheetName val="Закачка Техэлектро"/>
      <sheetName val="Пр11 (3)"/>
      <sheetName val="Пр11 (2)"/>
      <sheetName val="Отв. лица"/>
      <sheetName val="АСМ и РЭК"/>
      <sheetName val="АСМ и Смоленск"/>
      <sheetName val="Пр12_1"/>
      <sheetName val="Пр13_1"/>
      <sheetName val="Новые позиции_NUMнг-LS"/>
      <sheetName val="Спец. ПВС и ПУГНП"/>
      <sheetName val="NYM_RusMarket"/>
      <sheetName val="Распродажа на маркет русскейбл"/>
      <sheetName val="Спец. ЗВИ"/>
      <sheetName val="Распродажа расчет"/>
      <sheetName val="Отчет о совместимости"/>
    </sheetNames>
    <sheetDataSet>
      <sheetData sheetId="0">
        <row r="1">
          <cell r="A1" t="str">
            <v>Наименование</v>
          </cell>
          <cell r="GF1" t="str">
            <v>Мелкий Опт.</v>
          </cell>
          <cell r="GG1" t="str">
            <v>Опт.</v>
          </cell>
        </row>
        <row r="2">
          <cell r="A2" t="str">
            <v>@</v>
          </cell>
          <cell r="GF2" t="str">
            <v>@</v>
          </cell>
          <cell r="GG2" t="str">
            <v>@</v>
          </cell>
        </row>
        <row r="3">
          <cell r="A3" t="str">
            <v>&amp;</v>
          </cell>
        </row>
        <row r="4">
          <cell r="A4" t="str">
            <v>.</v>
          </cell>
          <cell r="GG4">
            <v>39580.747658912034</v>
          </cell>
        </row>
        <row r="5">
          <cell r="A5" t="str">
            <v>.</v>
          </cell>
        </row>
        <row r="6">
          <cell r="A6" t="str">
            <v>.</v>
          </cell>
        </row>
        <row r="7">
          <cell r="A7" t="str">
            <v>.</v>
          </cell>
        </row>
        <row r="8">
          <cell r="A8" t="str">
            <v>.</v>
          </cell>
        </row>
        <row r="9">
          <cell r="A9" t="str">
            <v>.</v>
          </cell>
        </row>
        <row r="10">
          <cell r="A10" t="str">
            <v xml:space="preserve"> Провод медный (ПУНП, ПВ-1, ППВ)</v>
          </cell>
        </row>
        <row r="11">
          <cell r="A11" t="str">
            <v>ПУНП 2х1,5</v>
          </cell>
          <cell r="GF11">
            <v>9.86</v>
          </cell>
          <cell r="GG11">
            <v>8.57</v>
          </cell>
        </row>
        <row r="12">
          <cell r="A12" t="str">
            <v>ПУНП 2х2,5</v>
          </cell>
          <cell r="GF12">
            <v>15.74</v>
          </cell>
          <cell r="GG12">
            <v>13.69</v>
          </cell>
        </row>
        <row r="13">
          <cell r="A13" t="str">
            <v>ПУНП 2х4</v>
          </cell>
          <cell r="GF13">
            <v>23.7</v>
          </cell>
          <cell r="GG13">
            <v>20.61</v>
          </cell>
        </row>
        <row r="14">
          <cell r="A14" t="str">
            <v>ПУНП 3х1,5</v>
          </cell>
          <cell r="GF14">
            <v>14.47</v>
          </cell>
          <cell r="GG14">
            <v>12.58</v>
          </cell>
        </row>
        <row r="15">
          <cell r="A15" t="str">
            <v>ПУНП 3х2,5</v>
          </cell>
          <cell r="GF15">
            <v>23.3</v>
          </cell>
          <cell r="GG15">
            <v>20.260000000000002</v>
          </cell>
        </row>
        <row r="16">
          <cell r="A16" t="str">
            <v>ПУНП 3х4</v>
          </cell>
          <cell r="GF16">
            <v>35.36</v>
          </cell>
          <cell r="GG16">
            <v>30.75</v>
          </cell>
        </row>
        <row r="17">
          <cell r="A17" t="str">
            <v>ПВ-1  0,5</v>
          </cell>
          <cell r="GF17">
            <v>1.83</v>
          </cell>
          <cell r="GG17">
            <v>1.66</v>
          </cell>
        </row>
        <row r="18">
          <cell r="A18" t="str">
            <v>ПВ-1  0,75</v>
          </cell>
          <cell r="GF18">
            <v>2.58</v>
          </cell>
          <cell r="GG18">
            <v>2.35</v>
          </cell>
        </row>
        <row r="19">
          <cell r="A19" t="str">
            <v>ПВ-1  1</v>
          </cell>
          <cell r="GF19">
            <v>3.22</v>
          </cell>
          <cell r="GG19">
            <v>2.93</v>
          </cell>
        </row>
        <row r="20">
          <cell r="A20" t="str">
            <v>ПВ-1  1,5</v>
          </cell>
          <cell r="GF20">
            <v>4.7300000000000004</v>
          </cell>
          <cell r="GG20">
            <v>4.1100000000000003</v>
          </cell>
        </row>
        <row r="21">
          <cell r="A21" t="str">
            <v>ПВ-1  2,5</v>
          </cell>
          <cell r="GF21">
            <v>7.66</v>
          </cell>
          <cell r="GG21">
            <v>6.75</v>
          </cell>
        </row>
        <row r="22">
          <cell r="A22" t="str">
            <v>ПВ-1  4</v>
          </cell>
          <cell r="GF22">
            <v>12.47</v>
          </cell>
          <cell r="GG22">
            <v>10.98</v>
          </cell>
        </row>
        <row r="23">
          <cell r="A23" t="str">
            <v>ПВ-1  6</v>
          </cell>
          <cell r="GF23">
            <v>18.13</v>
          </cell>
          <cell r="GG23">
            <v>16.190000000000001</v>
          </cell>
        </row>
        <row r="24">
          <cell r="A24" t="str">
            <v>ПВ-1 10</v>
          </cell>
          <cell r="GF24">
            <v>30.22</v>
          </cell>
          <cell r="GG24">
            <v>26.28</v>
          </cell>
        </row>
        <row r="25">
          <cell r="A25" t="str">
            <v>ПВ-1 16</v>
          </cell>
          <cell r="GF25">
            <v>48.35</v>
          </cell>
          <cell r="GG25">
            <v>42.04</v>
          </cell>
        </row>
        <row r="26">
          <cell r="A26" t="str">
            <v>ПВ-1 25</v>
          </cell>
          <cell r="GF26">
            <v>76.34</v>
          </cell>
          <cell r="GG26">
            <v>69.400000000000006</v>
          </cell>
        </row>
        <row r="27">
          <cell r="A27" t="str">
            <v>ПВ-1 35</v>
          </cell>
          <cell r="GF27">
            <v>105.25</v>
          </cell>
          <cell r="GG27">
            <v>95.69</v>
          </cell>
        </row>
        <row r="28">
          <cell r="A28" t="str">
            <v>ПВ-1 50</v>
          </cell>
          <cell r="GF28">
            <v>151.79</v>
          </cell>
          <cell r="GG28">
            <v>137.99</v>
          </cell>
        </row>
        <row r="29">
          <cell r="A29" t="str">
            <v>ПВ-1 70</v>
          </cell>
          <cell r="GF29">
            <v>218.1</v>
          </cell>
          <cell r="GG29">
            <v>198.27</v>
          </cell>
        </row>
        <row r="30">
          <cell r="A30" t="str">
            <v>ПВ-1 95</v>
          </cell>
          <cell r="GF30">
            <v>299.14999999999998</v>
          </cell>
          <cell r="GG30">
            <v>271.95999999999998</v>
          </cell>
        </row>
        <row r="31">
          <cell r="A31" t="str">
            <v>ПВ-1 120</v>
          </cell>
          <cell r="GF31">
            <v>383.8</v>
          </cell>
          <cell r="GG31">
            <v>348.91</v>
          </cell>
        </row>
        <row r="32">
          <cell r="A32" t="str">
            <v>ППВ 2х1,5</v>
          </cell>
          <cell r="GF32">
            <v>9.84</v>
          </cell>
          <cell r="GG32">
            <v>8.5500000000000007</v>
          </cell>
        </row>
        <row r="33">
          <cell r="A33" t="str">
            <v>ППВ 2х2,5</v>
          </cell>
          <cell r="GF33">
            <v>14.9</v>
          </cell>
          <cell r="GG33">
            <v>12.95</v>
          </cell>
        </row>
        <row r="34">
          <cell r="A34" t="str">
            <v>ППВ 2х4</v>
          </cell>
          <cell r="GF34">
            <v>23.98</v>
          </cell>
          <cell r="GG34">
            <v>21.03</v>
          </cell>
        </row>
        <row r="35">
          <cell r="A35" t="str">
            <v>ППВ 3х1,5</v>
          </cell>
          <cell r="GF35">
            <v>14.61</v>
          </cell>
          <cell r="GG35">
            <v>12.7</v>
          </cell>
        </row>
        <row r="36">
          <cell r="A36" t="str">
            <v>ППВ 3х2,5</v>
          </cell>
          <cell r="GF36">
            <v>23.25</v>
          </cell>
          <cell r="GG36">
            <v>20.22</v>
          </cell>
        </row>
        <row r="37">
          <cell r="A37" t="str">
            <v>ППВ 3х4</v>
          </cell>
          <cell r="GF37">
            <v>34.68</v>
          </cell>
          <cell r="GG37">
            <v>31.53</v>
          </cell>
        </row>
        <row r="38">
          <cell r="A38" t="str">
            <v xml:space="preserve"> Провод медный гибкий (ШВП-2, ШВВП, ПУГНП, ПВС, ПВ-3)</v>
          </cell>
          <cell r="GF38">
            <v>0</v>
          </cell>
        </row>
        <row r="39">
          <cell r="A39" t="str">
            <v>ШВП-2 2х0,2</v>
          </cell>
          <cell r="GF39">
            <v>2.6</v>
          </cell>
          <cell r="GG39">
            <v>2.2599999999999998</v>
          </cell>
        </row>
        <row r="40">
          <cell r="A40" t="str">
            <v>ШВП-2 2х0,35</v>
          </cell>
          <cell r="GF40">
            <v>3.8</v>
          </cell>
          <cell r="GG40">
            <v>3.3</v>
          </cell>
        </row>
        <row r="41">
          <cell r="A41" t="str">
            <v>ШВП-2 2х0,5</v>
          </cell>
          <cell r="GF41">
            <v>5.09</v>
          </cell>
          <cell r="GG41">
            <v>4.43</v>
          </cell>
        </row>
        <row r="42">
          <cell r="A42" t="str">
            <v>ШВП-2 2х0,75</v>
          </cell>
          <cell r="GF42">
            <v>6.98</v>
          </cell>
          <cell r="GG42">
            <v>6.07</v>
          </cell>
        </row>
        <row r="43">
          <cell r="A43" t="str">
            <v>ШВВП 2х0,35</v>
          </cell>
          <cell r="GF43">
            <v>3.74</v>
          </cell>
          <cell r="GG43">
            <v>3.25</v>
          </cell>
        </row>
        <row r="44">
          <cell r="A44" t="str">
            <v>ШВВП 2х0,5</v>
          </cell>
          <cell r="GF44">
            <v>4.8499999999999996</v>
          </cell>
          <cell r="GG44">
            <v>4.22</v>
          </cell>
        </row>
        <row r="45">
          <cell r="A45" t="str">
            <v>ШВВП 2х0,75</v>
          </cell>
          <cell r="GF45">
            <v>6.46</v>
          </cell>
          <cell r="GG45">
            <v>5.62</v>
          </cell>
        </row>
        <row r="46">
          <cell r="A46" t="str">
            <v>ШВВП 3х0,5</v>
          </cell>
          <cell r="GF46">
            <v>7.26</v>
          </cell>
          <cell r="GG46">
            <v>6.32</v>
          </cell>
        </row>
        <row r="47">
          <cell r="A47" t="str">
            <v>ШВВП 3х0,75</v>
          </cell>
          <cell r="GF47">
            <v>9.6199999999999992</v>
          </cell>
          <cell r="GG47">
            <v>8.3699999999999992</v>
          </cell>
        </row>
        <row r="48">
          <cell r="A48" t="str">
            <v>ПУГНП 2х1,5</v>
          </cell>
          <cell r="GF48">
            <v>9.8699999999999992</v>
          </cell>
          <cell r="GG48">
            <v>8.58</v>
          </cell>
        </row>
        <row r="49">
          <cell r="A49" t="str">
            <v>ПУГНП 2х2,5</v>
          </cell>
          <cell r="GF49">
            <v>16.21</v>
          </cell>
          <cell r="GG49">
            <v>14.1</v>
          </cell>
        </row>
        <row r="50">
          <cell r="A50" t="str">
            <v>ПУГНП 2х4</v>
          </cell>
          <cell r="GF50">
            <v>25.2</v>
          </cell>
          <cell r="GG50">
            <v>21.91</v>
          </cell>
        </row>
        <row r="51">
          <cell r="A51" t="str">
            <v>ПУГНП 3х1,5</v>
          </cell>
          <cell r="GF51">
            <v>14.67</v>
          </cell>
          <cell r="GG51">
            <v>12.76</v>
          </cell>
        </row>
        <row r="52">
          <cell r="A52" t="str">
            <v>ПУГНП 3х2,5</v>
          </cell>
          <cell r="GF52">
            <v>24.16</v>
          </cell>
          <cell r="GG52">
            <v>21.01</v>
          </cell>
        </row>
        <row r="53">
          <cell r="A53" t="str">
            <v>ПУГНП 3х4</v>
          </cell>
          <cell r="GF53">
            <v>37.71</v>
          </cell>
          <cell r="GG53">
            <v>32.79</v>
          </cell>
        </row>
        <row r="54">
          <cell r="A54" t="str">
            <v>ПВС 2х0,75</v>
          </cell>
          <cell r="GF54">
            <v>7.94</v>
          </cell>
          <cell r="GG54">
            <v>6.9</v>
          </cell>
        </row>
        <row r="55">
          <cell r="A55" t="str">
            <v>ПВС 2х1</v>
          </cell>
          <cell r="GF55">
            <v>10.02</v>
          </cell>
          <cell r="GG55">
            <v>8.7100000000000009</v>
          </cell>
        </row>
        <row r="56">
          <cell r="A56" t="str">
            <v>ПВС 2х1,5</v>
          </cell>
          <cell r="GF56">
            <v>13.11</v>
          </cell>
          <cell r="GG56">
            <v>11.4</v>
          </cell>
        </row>
        <row r="57">
          <cell r="A57" t="str">
            <v>ПВС 2х2,5</v>
          </cell>
          <cell r="GF57">
            <v>20.86</v>
          </cell>
          <cell r="GG57">
            <v>18.14</v>
          </cell>
        </row>
        <row r="58">
          <cell r="A58" t="str">
            <v>ПВС 2х4</v>
          </cell>
          <cell r="GF58">
            <v>31.85</v>
          </cell>
          <cell r="GG58">
            <v>27.69</v>
          </cell>
        </row>
        <row r="59">
          <cell r="A59" t="str">
            <v>ПВС 2х6</v>
          </cell>
          <cell r="GF59">
            <v>46.09</v>
          </cell>
          <cell r="GG59">
            <v>40.08</v>
          </cell>
        </row>
        <row r="60">
          <cell r="A60" t="str">
            <v>ПВС 2х10</v>
          </cell>
          <cell r="GF60">
            <v>73.19</v>
          </cell>
          <cell r="GG60">
            <v>63.64</v>
          </cell>
        </row>
        <row r="61">
          <cell r="A61" t="str">
            <v>ПВС 2х16</v>
          </cell>
          <cell r="GF61">
            <v>124.07</v>
          </cell>
          <cell r="GG61">
            <v>107.89</v>
          </cell>
        </row>
        <row r="62">
          <cell r="A62" t="str">
            <v>ПВС 3х0,75</v>
          </cell>
          <cell r="GF62">
            <v>10.78</v>
          </cell>
          <cell r="GG62">
            <v>9.3800000000000008</v>
          </cell>
        </row>
        <row r="63">
          <cell r="A63" t="str">
            <v>ПВС 3х1</v>
          </cell>
          <cell r="GF63">
            <v>13.43</v>
          </cell>
          <cell r="GG63">
            <v>11.68</v>
          </cell>
        </row>
        <row r="64">
          <cell r="A64" t="str">
            <v>ПВС 3х1,5</v>
          </cell>
          <cell r="GF64">
            <v>18.059999999999999</v>
          </cell>
          <cell r="GG64">
            <v>15.7</v>
          </cell>
        </row>
        <row r="65">
          <cell r="A65" t="str">
            <v>ПВС 3х2,5</v>
          </cell>
          <cell r="GF65">
            <v>28.92</v>
          </cell>
          <cell r="GG65">
            <v>25.15</v>
          </cell>
        </row>
        <row r="66">
          <cell r="A66" t="str">
            <v>ПВС 3х4</v>
          </cell>
          <cell r="GF66">
            <v>45.19</v>
          </cell>
          <cell r="GG66">
            <v>39.299999999999997</v>
          </cell>
        </row>
        <row r="67">
          <cell r="A67" t="str">
            <v>ПВС 3х6</v>
          </cell>
          <cell r="GF67">
            <v>66.02</v>
          </cell>
          <cell r="GG67">
            <v>57.41</v>
          </cell>
        </row>
        <row r="68">
          <cell r="A68" t="str">
            <v>ПВС 3х10</v>
          </cell>
          <cell r="GF68">
            <v>107.35</v>
          </cell>
          <cell r="GG68">
            <v>93.35</v>
          </cell>
        </row>
        <row r="69">
          <cell r="A69" t="str">
            <v>ПВС 3х16</v>
          </cell>
          <cell r="GF69">
            <v>184.01</v>
          </cell>
          <cell r="GG69">
            <v>160</v>
          </cell>
        </row>
        <row r="70">
          <cell r="A70" t="str">
            <v>ПВС 4х0,75</v>
          </cell>
          <cell r="GF70">
            <v>13.6</v>
          </cell>
          <cell r="GG70">
            <v>11.82</v>
          </cell>
        </row>
        <row r="71">
          <cell r="A71" t="str">
            <v>ПВС 4х1</v>
          </cell>
          <cell r="GF71">
            <v>17.79</v>
          </cell>
          <cell r="GG71">
            <v>15.47</v>
          </cell>
        </row>
        <row r="72">
          <cell r="A72" t="str">
            <v>ПВС 4х1,5</v>
          </cell>
          <cell r="GF72">
            <v>24.41</v>
          </cell>
          <cell r="GG72">
            <v>21.22</v>
          </cell>
        </row>
        <row r="73">
          <cell r="A73" t="str">
            <v>ПВС 4х2,5</v>
          </cell>
          <cell r="GF73">
            <v>38.15</v>
          </cell>
          <cell r="GG73">
            <v>33.18</v>
          </cell>
        </row>
        <row r="74">
          <cell r="A74" t="str">
            <v>ПВС 4х4</v>
          </cell>
          <cell r="GF74">
            <v>60.07</v>
          </cell>
          <cell r="GG74">
            <v>52.23</v>
          </cell>
        </row>
        <row r="75">
          <cell r="A75" t="str">
            <v>ПВС 4х6</v>
          </cell>
          <cell r="GF75">
            <v>87.2</v>
          </cell>
          <cell r="GG75">
            <v>75.83</v>
          </cell>
        </row>
        <row r="76">
          <cell r="A76" t="str">
            <v>ПВС 4х10</v>
          </cell>
          <cell r="GF76">
            <v>141.34</v>
          </cell>
          <cell r="GG76">
            <v>122.91</v>
          </cell>
        </row>
        <row r="77">
          <cell r="A77" t="str">
            <v>ПВС 4х16</v>
          </cell>
          <cell r="GF77">
            <v>243.56</v>
          </cell>
          <cell r="GG77">
            <v>211.79</v>
          </cell>
        </row>
        <row r="78">
          <cell r="A78" t="str">
            <v>ПВС 5х0,75</v>
          </cell>
          <cell r="GF78">
            <v>17.350000000000001</v>
          </cell>
          <cell r="GG78">
            <v>15.08</v>
          </cell>
        </row>
        <row r="79">
          <cell r="A79" t="str">
            <v>ПВС 5х1</v>
          </cell>
          <cell r="GF79">
            <v>21.76</v>
          </cell>
          <cell r="GG79">
            <v>18.920000000000002</v>
          </cell>
        </row>
        <row r="80">
          <cell r="A80" t="str">
            <v>ПВС 5х1,5</v>
          </cell>
          <cell r="GF80">
            <v>30.45</v>
          </cell>
          <cell r="GG80">
            <v>26.48</v>
          </cell>
        </row>
        <row r="81">
          <cell r="A81" t="str">
            <v>ПВС 5х2,5</v>
          </cell>
          <cell r="GF81">
            <v>47.77</v>
          </cell>
          <cell r="GG81">
            <v>41.54</v>
          </cell>
        </row>
        <row r="82">
          <cell r="A82" t="str">
            <v>ПВС 5х4</v>
          </cell>
          <cell r="GF82">
            <v>75.62</v>
          </cell>
          <cell r="GG82">
            <v>65.760000000000005</v>
          </cell>
        </row>
        <row r="83">
          <cell r="A83" t="str">
            <v>ПВС 5х6</v>
          </cell>
          <cell r="GF83">
            <v>109.18</v>
          </cell>
          <cell r="GG83">
            <v>94.94</v>
          </cell>
        </row>
        <row r="84">
          <cell r="A84" t="str">
            <v>ПВС 5х10</v>
          </cell>
          <cell r="GF84">
            <v>177.12</v>
          </cell>
          <cell r="GG84">
            <v>154.02000000000001</v>
          </cell>
        </row>
        <row r="85">
          <cell r="A85" t="str">
            <v>ПВС 5х16</v>
          </cell>
          <cell r="GF85">
            <v>309.11</v>
          </cell>
          <cell r="GG85">
            <v>268.79000000000002</v>
          </cell>
        </row>
        <row r="86">
          <cell r="A86" t="str">
            <v>ПВ-3  0,5</v>
          </cell>
          <cell r="GF86">
            <v>2</v>
          </cell>
          <cell r="GG86">
            <v>1.82</v>
          </cell>
        </row>
        <row r="87">
          <cell r="A87" t="str">
            <v>ПВ-3  0,75</v>
          </cell>
          <cell r="GF87">
            <v>2.7</v>
          </cell>
          <cell r="GG87">
            <v>2.4500000000000002</v>
          </cell>
        </row>
        <row r="88">
          <cell r="A88" t="str">
            <v>ПВ-3  1</v>
          </cell>
          <cell r="GF88">
            <v>3.26</v>
          </cell>
          <cell r="GG88">
            <v>2.96</v>
          </cell>
        </row>
        <row r="89">
          <cell r="A89" t="str">
            <v>ПВ-3  1,5</v>
          </cell>
          <cell r="GF89">
            <v>4.5999999999999996</v>
          </cell>
          <cell r="GG89">
            <v>4.18</v>
          </cell>
        </row>
        <row r="90">
          <cell r="A90" t="str">
            <v>ПВ-3  2,5</v>
          </cell>
          <cell r="GF90">
            <v>7.69</v>
          </cell>
          <cell r="GG90">
            <v>6.99</v>
          </cell>
        </row>
        <row r="91">
          <cell r="A91" t="str">
            <v>ПВ-3  4</v>
          </cell>
          <cell r="GF91">
            <v>12.99</v>
          </cell>
          <cell r="GG91">
            <v>11.3</v>
          </cell>
        </row>
        <row r="92">
          <cell r="A92" t="str">
            <v>ПВ-3  6</v>
          </cell>
          <cell r="GF92">
            <v>19.45</v>
          </cell>
          <cell r="GG92">
            <v>16.91</v>
          </cell>
        </row>
        <row r="93">
          <cell r="A93" t="str">
            <v>ПВ-3 10</v>
          </cell>
          <cell r="GF93">
            <v>30.58</v>
          </cell>
          <cell r="GG93">
            <v>26.59</v>
          </cell>
        </row>
        <row r="94">
          <cell r="A94" t="str">
            <v>ПВ-3 16</v>
          </cell>
          <cell r="GF94">
            <v>50.13</v>
          </cell>
          <cell r="GG94">
            <v>45.57</v>
          </cell>
        </row>
        <row r="95">
          <cell r="A95" t="str">
            <v>ПВ-3 25</v>
          </cell>
          <cell r="GF95">
            <v>77.12</v>
          </cell>
          <cell r="GG95">
            <v>67.239999999999995</v>
          </cell>
        </row>
        <row r="96">
          <cell r="A96" t="str">
            <v>ПВ-3 35</v>
          </cell>
          <cell r="GF96">
            <v>109.54</v>
          </cell>
          <cell r="GG96">
            <v>95.42</v>
          </cell>
        </row>
        <row r="97">
          <cell r="A97" t="str">
            <v>ПВ-3 50</v>
          </cell>
          <cell r="GF97">
            <v>153.55000000000001</v>
          </cell>
          <cell r="GG97">
            <v>133.75</v>
          </cell>
        </row>
        <row r="98">
          <cell r="A98" t="str">
            <v>ПВ-3 70</v>
          </cell>
          <cell r="GF98">
            <v>214.5</v>
          </cell>
          <cell r="GG98">
            <v>187.01</v>
          </cell>
        </row>
        <row r="99">
          <cell r="A99" t="str">
            <v>ПВ-3 95</v>
          </cell>
          <cell r="GF99">
            <v>296.47000000000003</v>
          </cell>
          <cell r="GG99">
            <v>258.25</v>
          </cell>
        </row>
        <row r="100">
          <cell r="A100" t="str">
            <v>ПВ-3 120</v>
          </cell>
          <cell r="GF100">
            <v>364.88</v>
          </cell>
          <cell r="GG100">
            <v>331.71</v>
          </cell>
        </row>
        <row r="101">
          <cell r="A101" t="str">
            <v>ПВ-3 150</v>
          </cell>
          <cell r="GF101">
            <v>521.46</v>
          </cell>
          <cell r="GG101">
            <v>474.05</v>
          </cell>
        </row>
        <row r="102">
          <cell r="A102" t="str">
            <v>ПВ-3 185</v>
          </cell>
          <cell r="GF102">
            <v>658.77</v>
          </cell>
          <cell r="GG102">
            <v>598.88</v>
          </cell>
        </row>
        <row r="103">
          <cell r="A103" t="str">
            <v>ПВ-3 240</v>
          </cell>
          <cell r="GF103">
            <v>876.82</v>
          </cell>
          <cell r="GG103">
            <v>797.11</v>
          </cell>
        </row>
        <row r="104">
          <cell r="A104" t="str">
            <v xml:space="preserve"> Провод алюминиевый (АПВ, АППВ, АПУНП)</v>
          </cell>
          <cell r="GF104">
            <v>0</v>
          </cell>
        </row>
        <row r="105">
          <cell r="A105" t="str">
            <v>АПВ 2,5</v>
          </cell>
          <cell r="GF105">
            <v>1.5</v>
          </cell>
          <cell r="GG105">
            <v>1.34</v>
          </cell>
        </row>
        <row r="106">
          <cell r="A106" t="str">
            <v>АПВ 4</v>
          </cell>
          <cell r="GF106">
            <v>2.13</v>
          </cell>
          <cell r="GG106">
            <v>1.92</v>
          </cell>
        </row>
        <row r="107">
          <cell r="A107" t="str">
            <v>АПВ 6</v>
          </cell>
          <cell r="GF107">
            <v>2.9</v>
          </cell>
          <cell r="GG107">
            <v>2.59</v>
          </cell>
        </row>
        <row r="108">
          <cell r="A108" t="str">
            <v>АПВ 10</v>
          </cell>
          <cell r="GF108">
            <v>4.78</v>
          </cell>
          <cell r="GG108">
            <v>4.2699999999999996</v>
          </cell>
        </row>
        <row r="109">
          <cell r="A109" t="str">
            <v>АПВ 16</v>
          </cell>
          <cell r="GF109">
            <v>7.28</v>
          </cell>
          <cell r="GG109">
            <v>6.38</v>
          </cell>
        </row>
        <row r="110">
          <cell r="A110" t="str">
            <v>АПВ 25</v>
          </cell>
          <cell r="GF110">
            <v>11.54</v>
          </cell>
          <cell r="GG110">
            <v>10.49</v>
          </cell>
        </row>
        <row r="111">
          <cell r="A111" t="str">
            <v>АПВ 35</v>
          </cell>
          <cell r="GF111">
            <v>17.59</v>
          </cell>
          <cell r="GG111">
            <v>15.3</v>
          </cell>
        </row>
        <row r="112">
          <cell r="A112" t="str">
            <v>АПВ 50</v>
          </cell>
          <cell r="GF112">
            <v>22.75</v>
          </cell>
          <cell r="GG112">
            <v>20.5</v>
          </cell>
        </row>
        <row r="113">
          <cell r="A113" t="str">
            <v>АПВ 70</v>
          </cell>
          <cell r="GF113">
            <v>33.6</v>
          </cell>
          <cell r="GG113">
            <v>29.65</v>
          </cell>
        </row>
        <row r="114">
          <cell r="A114" t="str">
            <v>АПВ 95</v>
          </cell>
          <cell r="GF114">
            <v>43.13</v>
          </cell>
          <cell r="GG114">
            <v>38.96</v>
          </cell>
        </row>
        <row r="115">
          <cell r="A115" t="str">
            <v>АПВ 120</v>
          </cell>
          <cell r="GF115">
            <v>61.66</v>
          </cell>
          <cell r="GG115">
            <v>55.75</v>
          </cell>
        </row>
        <row r="116">
          <cell r="A116" t="str">
            <v>АППВ 2х2,5</v>
          </cell>
          <cell r="GF116">
            <v>3.05</v>
          </cell>
          <cell r="GG116">
            <v>2.65</v>
          </cell>
        </row>
        <row r="117">
          <cell r="A117" t="str">
            <v>АППВ 2х4</v>
          </cell>
          <cell r="GF117">
            <v>4.51</v>
          </cell>
          <cell r="GG117">
            <v>4.0999999999999996</v>
          </cell>
        </row>
        <row r="118">
          <cell r="A118" t="str">
            <v>АППВ 3х2,5</v>
          </cell>
          <cell r="GF118">
            <v>5.01</v>
          </cell>
          <cell r="GG118">
            <v>4.3600000000000003</v>
          </cell>
        </row>
        <row r="119">
          <cell r="A119" t="str">
            <v>АППВ 3х4</v>
          </cell>
          <cell r="GF119">
            <v>7.06</v>
          </cell>
          <cell r="GG119">
            <v>6.14</v>
          </cell>
        </row>
        <row r="120">
          <cell r="A120" t="str">
            <v>АПУНП 2х2,5</v>
          </cell>
          <cell r="GF120">
            <v>3.65</v>
          </cell>
          <cell r="GG120">
            <v>3.26</v>
          </cell>
        </row>
        <row r="121">
          <cell r="A121" t="str">
            <v>АПУНП 2х4</v>
          </cell>
          <cell r="GF121">
            <v>5.23</v>
          </cell>
          <cell r="GG121">
            <v>4.75</v>
          </cell>
        </row>
        <row r="122">
          <cell r="A122" t="str">
            <v>АПУНП 3х2,5</v>
          </cell>
          <cell r="GF122">
            <v>5.41</v>
          </cell>
          <cell r="GG122">
            <v>4.83</v>
          </cell>
        </row>
        <row r="123">
          <cell r="A123" t="str">
            <v>АПУНП 3х4</v>
          </cell>
          <cell r="GF123">
            <v>7.78</v>
          </cell>
          <cell r="GG123">
            <v>7.08</v>
          </cell>
        </row>
        <row r="423">
          <cell r="A423" t="str">
            <v>NYM 3х4</v>
          </cell>
          <cell r="GF423">
            <v>41.08</v>
          </cell>
          <cell r="GG423">
            <v>37.340000000000003</v>
          </cell>
        </row>
        <row r="424">
          <cell r="A424" t="str">
            <v>NYM 3х6</v>
          </cell>
          <cell r="GF424">
            <v>59.94</v>
          </cell>
          <cell r="GG424">
            <v>54.49</v>
          </cell>
        </row>
        <row r="425">
          <cell r="A425" t="str">
            <v>NYM 3х10</v>
          </cell>
          <cell r="GF425">
            <v>108.13</v>
          </cell>
          <cell r="GG425">
            <v>98.3</v>
          </cell>
        </row>
        <row r="426">
          <cell r="A426" t="str">
            <v>NYM 3х16</v>
          </cell>
          <cell r="GF426">
            <v>163.07</v>
          </cell>
          <cell r="GG426">
            <v>148.25</v>
          </cell>
        </row>
        <row r="427">
          <cell r="A427" t="str">
            <v>NYM 4х1,5</v>
          </cell>
          <cell r="GF427">
            <v>22.85</v>
          </cell>
          <cell r="GG427">
            <v>20.77</v>
          </cell>
        </row>
        <row r="428">
          <cell r="A428" t="str">
            <v>NYM 4х2,5</v>
          </cell>
          <cell r="GF428">
            <v>35.31</v>
          </cell>
          <cell r="GG428">
            <v>32.1</v>
          </cell>
        </row>
        <row r="429">
          <cell r="A429" t="str">
            <v>NYM 4х4</v>
          </cell>
          <cell r="GF429">
            <v>55.16</v>
          </cell>
          <cell r="GG429">
            <v>49.69</v>
          </cell>
        </row>
        <row r="430">
          <cell r="A430" t="str">
            <v>NYM 4х6</v>
          </cell>
          <cell r="GF430">
            <v>85.76</v>
          </cell>
          <cell r="GG430">
            <v>74.569999999999993</v>
          </cell>
        </row>
        <row r="431">
          <cell r="A431" t="str">
            <v>NYM 4х10</v>
          </cell>
          <cell r="GF431">
            <v>144.76</v>
          </cell>
          <cell r="GG431">
            <v>125.88</v>
          </cell>
        </row>
        <row r="432">
          <cell r="A432" t="str">
            <v>NYM 4х16</v>
          </cell>
          <cell r="GF432">
            <v>229.16</v>
          </cell>
          <cell r="GG432">
            <v>199.27</v>
          </cell>
        </row>
        <row r="433">
          <cell r="A433" t="str">
            <v>NYM 4х25</v>
          </cell>
          <cell r="GF433">
            <v>354.26</v>
          </cell>
          <cell r="GG433">
            <v>308.05</v>
          </cell>
        </row>
        <row r="434">
          <cell r="A434" t="str">
            <v>NYM 4х35</v>
          </cell>
          <cell r="GF434">
            <v>485.99</v>
          </cell>
          <cell r="GG434">
            <v>422.6</v>
          </cell>
        </row>
        <row r="435">
          <cell r="A435" t="str">
            <v>NYM 5х1,5</v>
          </cell>
          <cell r="GF435">
            <v>27.2</v>
          </cell>
          <cell r="GG435">
            <v>24.73</v>
          </cell>
        </row>
        <row r="436">
          <cell r="A436" t="str">
            <v>NYM 5х2,5</v>
          </cell>
          <cell r="GF436">
            <v>43.59</v>
          </cell>
          <cell r="GG436">
            <v>39.630000000000003</v>
          </cell>
        </row>
        <row r="437">
          <cell r="A437" t="str">
            <v>NYM 5х4</v>
          </cell>
          <cell r="GF437">
            <v>66.13</v>
          </cell>
          <cell r="GG437">
            <v>60.11</v>
          </cell>
        </row>
        <row r="438">
          <cell r="A438" t="str">
            <v>NYM 5х6</v>
          </cell>
          <cell r="GF438">
            <v>100.1</v>
          </cell>
          <cell r="GG438">
            <v>89.78</v>
          </cell>
        </row>
        <row r="439">
          <cell r="A439" t="str">
            <v>NYM 5х10</v>
          </cell>
          <cell r="GF439">
            <v>171.14</v>
          </cell>
          <cell r="GG439">
            <v>155.58000000000001</v>
          </cell>
        </row>
        <row r="440">
          <cell r="A440" t="str">
            <v>NYM 5х16</v>
          </cell>
          <cell r="GF440">
            <v>271.20999999999998</v>
          </cell>
          <cell r="GG440">
            <v>246.55</v>
          </cell>
        </row>
        <row r="441">
          <cell r="A441" t="str">
            <v>NYM 5х25</v>
          </cell>
          <cell r="GF441">
            <v>423.49</v>
          </cell>
          <cell r="GG441">
            <v>384.99</v>
          </cell>
        </row>
        <row r="442">
          <cell r="A442" t="str">
            <v>NYM 5х35</v>
          </cell>
          <cell r="GF442">
            <v>601.66999999999996</v>
          </cell>
          <cell r="GG442">
            <v>546.97</v>
          </cell>
        </row>
        <row r="443">
          <cell r="A443" t="str">
            <v>Пр-во "Севкабель"</v>
          </cell>
          <cell r="GF443">
            <v>0</v>
          </cell>
        </row>
        <row r="444">
          <cell r="A444" t="str">
            <v>NYM 2х1,5 (Севкабель)</v>
          </cell>
          <cell r="GF444">
            <v>14.12</v>
          </cell>
          <cell r="GG444">
            <v>12.83</v>
          </cell>
        </row>
        <row r="445">
          <cell r="A445" t="str">
            <v>NYM 2х2,5 (Севкабель)</v>
          </cell>
          <cell r="GF445">
            <v>21.42</v>
          </cell>
          <cell r="GG445">
            <v>19.47</v>
          </cell>
        </row>
        <row r="446">
          <cell r="A446" t="str">
            <v>NYM 3х1,5 (Севкабель)</v>
          </cell>
          <cell r="GF446">
            <v>19.079999999999998</v>
          </cell>
          <cell r="GG446">
            <v>17.350000000000001</v>
          </cell>
        </row>
        <row r="447">
          <cell r="A447" t="str">
            <v>NYM 3х2,5 (Севкабель)</v>
          </cell>
          <cell r="GF447">
            <v>29.24</v>
          </cell>
          <cell r="GG447">
            <v>26.58</v>
          </cell>
        </row>
        <row r="448">
          <cell r="A448" t="str">
            <v>NYM 4х1,5 (Севкабель)</v>
          </cell>
          <cell r="GF448">
            <v>24.42</v>
          </cell>
          <cell r="GG448">
            <v>22.2</v>
          </cell>
        </row>
        <row r="449">
          <cell r="A449" t="str">
            <v>NYM 4х2,5 (Севкабель)</v>
          </cell>
          <cell r="GF449">
            <v>38.229999999999997</v>
          </cell>
          <cell r="GG449">
            <v>34.76</v>
          </cell>
        </row>
        <row r="450">
          <cell r="A450" t="str">
            <v>NYM 5х1,5 (Севкабель)</v>
          </cell>
          <cell r="GF450">
            <v>29.98</v>
          </cell>
          <cell r="GG450">
            <v>27.25</v>
          </cell>
        </row>
        <row r="451">
          <cell r="A451" t="str">
            <v>NYM 5х2,5 (Севкабель)</v>
          </cell>
          <cell r="GF451">
            <v>47.12</v>
          </cell>
          <cell r="GG451">
            <v>42.83</v>
          </cell>
        </row>
        <row r="452">
          <cell r="A452" t="str">
            <v>NYMнг-LS 2х1,5</v>
          </cell>
          <cell r="GF452">
            <v>15.76</v>
          </cell>
          <cell r="GG452">
            <v>14.32</v>
          </cell>
        </row>
        <row r="453">
          <cell r="A453" t="str">
            <v>NYMнг-LS 2х2,5</v>
          </cell>
          <cell r="GF453">
            <v>22.92</v>
          </cell>
          <cell r="GG453">
            <v>20.84</v>
          </cell>
        </row>
        <row r="454">
          <cell r="A454" t="str">
            <v>NYMнг-LS 3х1,5</v>
          </cell>
          <cell r="GF454">
            <v>21.49</v>
          </cell>
          <cell r="GG454">
            <v>19.54</v>
          </cell>
        </row>
        <row r="455">
          <cell r="A455" t="str">
            <v>NYMнг-LS 3х2,5</v>
          </cell>
          <cell r="GF455">
            <v>31.65</v>
          </cell>
          <cell r="GG455">
            <v>28.77</v>
          </cell>
        </row>
        <row r="456">
          <cell r="A456" t="str">
            <v>NYMнг-LS 3х4</v>
          </cell>
          <cell r="GF456">
            <v>48.1</v>
          </cell>
          <cell r="GG456">
            <v>43.73</v>
          </cell>
        </row>
        <row r="457">
          <cell r="A457" t="str">
            <v>NYMнг-LS 3х6</v>
          </cell>
          <cell r="GF457">
            <v>69.06</v>
          </cell>
          <cell r="GG457">
            <v>62.79</v>
          </cell>
        </row>
        <row r="458">
          <cell r="A458" t="str">
            <v>NYMнг-LS 3х10</v>
          </cell>
          <cell r="GF458">
            <v>120.48</v>
          </cell>
          <cell r="GG458">
            <v>109.53</v>
          </cell>
        </row>
        <row r="459">
          <cell r="A459" t="str">
            <v>NYMнг-LS 4х1,5</v>
          </cell>
          <cell r="GF459">
            <v>28.96</v>
          </cell>
          <cell r="GG459">
            <v>26.33</v>
          </cell>
        </row>
        <row r="460">
          <cell r="A460" t="str">
            <v>NYMнг-LS 4х2,5</v>
          </cell>
          <cell r="GF460">
            <v>41.47</v>
          </cell>
          <cell r="GG460">
            <v>37.700000000000003</v>
          </cell>
        </row>
        <row r="461">
          <cell r="A461" t="str">
            <v>NYMнг-LS 4х4</v>
          </cell>
          <cell r="GF461">
            <v>61.74</v>
          </cell>
          <cell r="GG461">
            <v>56.12</v>
          </cell>
        </row>
        <row r="462">
          <cell r="A462" t="str">
            <v>NYMнг-LS 4х6</v>
          </cell>
          <cell r="GF462">
            <v>87.41</v>
          </cell>
          <cell r="GG462">
            <v>79.459999999999994</v>
          </cell>
        </row>
        <row r="463">
          <cell r="A463" t="str">
            <v>NYMнг-LS 4х10</v>
          </cell>
          <cell r="GF463">
            <v>155.4</v>
          </cell>
          <cell r="GG463">
            <v>141.27000000000001</v>
          </cell>
        </row>
        <row r="464">
          <cell r="A464" t="str">
            <v>NYMнг-LS 4х16</v>
          </cell>
          <cell r="GF464">
            <v>238.26</v>
          </cell>
          <cell r="GG464">
            <v>216.6</v>
          </cell>
        </row>
        <row r="465">
          <cell r="A465" t="str">
            <v>NYMнг-LS 4х25</v>
          </cell>
          <cell r="GF465">
            <v>369.75</v>
          </cell>
          <cell r="GG465">
            <v>336.14</v>
          </cell>
        </row>
        <row r="466">
          <cell r="A466" t="str">
            <v>NYMнг-LS 4х35</v>
          </cell>
          <cell r="GF466">
            <v>508.69</v>
          </cell>
          <cell r="GG466">
            <v>462.45</v>
          </cell>
        </row>
        <row r="467">
          <cell r="A467" t="str">
            <v>NYMнг-LS 5х1,5</v>
          </cell>
          <cell r="GF467">
            <v>34.299999999999997</v>
          </cell>
          <cell r="GG467">
            <v>31.18</v>
          </cell>
        </row>
        <row r="468">
          <cell r="A468" t="str">
            <v>NYMнг-LS 5х2,5</v>
          </cell>
          <cell r="GF468">
            <v>50.29</v>
          </cell>
          <cell r="GG468">
            <v>45.72</v>
          </cell>
        </row>
        <row r="469">
          <cell r="A469" t="str">
            <v>NYMнг-LS 5х4</v>
          </cell>
          <cell r="GF469">
            <v>74.760000000000005</v>
          </cell>
          <cell r="GG469">
            <v>67.97</v>
          </cell>
        </row>
        <row r="470">
          <cell r="A470" t="str">
            <v>NYMнг-LS 5х6</v>
          </cell>
          <cell r="GF470">
            <v>107.59</v>
          </cell>
          <cell r="GG470">
            <v>97.81</v>
          </cell>
        </row>
        <row r="471">
          <cell r="A471" t="str">
            <v>NYMнг-LS 5х10</v>
          </cell>
          <cell r="GF471">
            <v>190.71</v>
          </cell>
          <cell r="GG471">
            <v>173.37</v>
          </cell>
        </row>
        <row r="472">
          <cell r="A472" t="str">
            <v>NYMнг-LS 5х16</v>
          </cell>
          <cell r="GF472">
            <v>296.45999999999998</v>
          </cell>
          <cell r="GG472">
            <v>269.51</v>
          </cell>
        </row>
        <row r="473">
          <cell r="A473" t="str">
            <v>NYMнг-LS 5х25</v>
          </cell>
          <cell r="GF473">
            <v>456.44</v>
          </cell>
          <cell r="GG473">
            <v>414.94</v>
          </cell>
        </row>
        <row r="474">
          <cell r="A474" t="str">
            <v xml:space="preserve"> Кабель медный силовой негорючий (ВВГнг, ВВГнг-п, ВВГнг-LS)</v>
          </cell>
          <cell r="GF474">
            <v>0</v>
          </cell>
        </row>
        <row r="475">
          <cell r="A475" t="str">
            <v>ВВГнг 1х  1,5</v>
          </cell>
          <cell r="GF475">
            <v>6.24</v>
          </cell>
          <cell r="GG475">
            <v>5.67</v>
          </cell>
        </row>
        <row r="476">
          <cell r="A476" t="str">
            <v>ВВГнг 1х  2,5</v>
          </cell>
          <cell r="GF476">
            <v>9.5</v>
          </cell>
          <cell r="GG476">
            <v>8.64</v>
          </cell>
        </row>
        <row r="477">
          <cell r="A477" t="str">
            <v>ВВГнг 1х  4</v>
          </cell>
          <cell r="GF477">
            <v>14.75</v>
          </cell>
          <cell r="GG477">
            <v>13.41</v>
          </cell>
        </row>
        <row r="478">
          <cell r="A478" t="str">
            <v>ВВГнг 1х  6</v>
          </cell>
          <cell r="GF478">
            <v>21.95</v>
          </cell>
          <cell r="GG478">
            <v>19.96</v>
          </cell>
        </row>
        <row r="479">
          <cell r="A479" t="str">
            <v>ВВГнг 1х 10</v>
          </cell>
          <cell r="GF479">
            <v>35.71</v>
          </cell>
          <cell r="GG479">
            <v>32.46</v>
          </cell>
        </row>
        <row r="480">
          <cell r="A480" t="str">
            <v>ВВГнг 1х 16</v>
          </cell>
          <cell r="GF480">
            <v>56.04</v>
          </cell>
          <cell r="GG480">
            <v>50.94</v>
          </cell>
        </row>
        <row r="481">
          <cell r="A481" t="str">
            <v>ВВГнг 1х 25</v>
          </cell>
          <cell r="GF481">
            <v>84.66</v>
          </cell>
          <cell r="GG481">
            <v>76.959999999999994</v>
          </cell>
        </row>
        <row r="482">
          <cell r="A482" t="str">
            <v>ВВГнг 1х 35</v>
          </cell>
          <cell r="GF482">
            <v>116.35</v>
          </cell>
          <cell r="GG482">
            <v>105.78</v>
          </cell>
        </row>
        <row r="483">
          <cell r="A483" t="str">
            <v>ВВГнг 1х 50</v>
          </cell>
          <cell r="GF483">
            <v>152.34</v>
          </cell>
          <cell r="GG483">
            <v>138.49</v>
          </cell>
        </row>
        <row r="484">
          <cell r="A484" t="str">
            <v>ВВГнг 1х 70</v>
          </cell>
          <cell r="GF484">
            <v>234.52</v>
          </cell>
          <cell r="GG484">
            <v>213.2</v>
          </cell>
        </row>
        <row r="485">
          <cell r="A485" t="str">
            <v>ВВГнг 1х 95</v>
          </cell>
          <cell r="GF485">
            <v>320.44</v>
          </cell>
          <cell r="GG485">
            <v>291.3</v>
          </cell>
        </row>
        <row r="486">
          <cell r="A486" t="str">
            <v>ВВГнг 1х120</v>
          </cell>
          <cell r="GF486">
            <v>410.53</v>
          </cell>
          <cell r="GG486">
            <v>373.21</v>
          </cell>
        </row>
        <row r="487">
          <cell r="A487" t="str">
            <v>ВВГнг 1х150</v>
          </cell>
          <cell r="GF487">
            <v>504.16</v>
          </cell>
          <cell r="GG487">
            <v>458.32</v>
          </cell>
        </row>
        <row r="488">
          <cell r="A488" t="str">
            <v>ВВГнг 1х185</v>
          </cell>
          <cell r="GF488">
            <v>612.78</v>
          </cell>
          <cell r="GG488">
            <v>557.07000000000005</v>
          </cell>
        </row>
        <row r="489">
          <cell r="A489" t="str">
            <v>ВВГнг 1х240</v>
          </cell>
          <cell r="GF489">
            <v>803.78</v>
          </cell>
          <cell r="GG489">
            <v>730.71</v>
          </cell>
        </row>
        <row r="490">
          <cell r="A490" t="str">
            <v>ВВГнг-п 2х  1,5</v>
          </cell>
          <cell r="GF490">
            <v>10.99</v>
          </cell>
          <cell r="GG490">
            <v>9.56</v>
          </cell>
        </row>
        <row r="491">
          <cell r="A491" t="str">
            <v>ВВГнг-п 2х  2,5</v>
          </cell>
          <cell r="GF491">
            <v>17.600000000000001</v>
          </cell>
          <cell r="GG491">
            <v>15.3</v>
          </cell>
        </row>
        <row r="492">
          <cell r="A492" t="str">
            <v>ВВГнг-п 2х  4</v>
          </cell>
          <cell r="GF492">
            <v>28.17</v>
          </cell>
          <cell r="GG492">
            <v>24.49</v>
          </cell>
        </row>
        <row r="493">
          <cell r="A493" t="str">
            <v>ВВГнг-п 2х  6</v>
          </cell>
          <cell r="GF493">
            <v>40.82</v>
          </cell>
          <cell r="GG493">
            <v>35.5</v>
          </cell>
        </row>
        <row r="494">
          <cell r="A494" t="str">
            <v>ВВГнг-п 2х 10</v>
          </cell>
          <cell r="GF494">
            <v>64.28</v>
          </cell>
          <cell r="GG494">
            <v>55.9</v>
          </cell>
        </row>
        <row r="495">
          <cell r="A495" t="str">
            <v>ВВГнг-п 2х 16</v>
          </cell>
          <cell r="GF495">
            <v>101.65</v>
          </cell>
          <cell r="GG495">
            <v>88.39</v>
          </cell>
        </row>
        <row r="496">
          <cell r="A496" t="str">
            <v>ВВГнг 2х 25</v>
          </cell>
          <cell r="GF496">
            <v>199.83</v>
          </cell>
          <cell r="GG496">
            <v>173.77</v>
          </cell>
        </row>
        <row r="497">
          <cell r="A497" t="str">
            <v>ВВГнг 2х 35</v>
          </cell>
          <cell r="GF497">
            <v>260.37</v>
          </cell>
          <cell r="GG497">
            <v>226.41</v>
          </cell>
        </row>
        <row r="498">
          <cell r="A498" t="str">
            <v>ВВГнг-п 3х  1,5</v>
          </cell>
          <cell r="GF498">
            <v>16.010000000000002</v>
          </cell>
          <cell r="GG498">
            <v>13.92</v>
          </cell>
        </row>
        <row r="499">
          <cell r="A499" t="str">
            <v>ВВГнг-п 3х  2,5</v>
          </cell>
          <cell r="GF499">
            <v>25.33</v>
          </cell>
          <cell r="GG499">
            <v>22.03</v>
          </cell>
        </row>
        <row r="500">
          <cell r="A500" t="str">
            <v>ВВГнг-п 3х  4</v>
          </cell>
          <cell r="GF500">
            <v>40.9</v>
          </cell>
          <cell r="GG500">
            <v>35.56</v>
          </cell>
        </row>
        <row r="501">
          <cell r="A501" t="str">
            <v>ВВГнг-п 3х  6</v>
          </cell>
          <cell r="GF501">
            <v>60.17</v>
          </cell>
          <cell r="GG501">
            <v>52.55</v>
          </cell>
        </row>
        <row r="502">
          <cell r="A502" t="str">
            <v>ВВГнг 3х  1,5</v>
          </cell>
          <cell r="GF502">
            <v>17.329999999999998</v>
          </cell>
          <cell r="GG502">
            <v>15.13</v>
          </cell>
        </row>
        <row r="503">
          <cell r="A503" t="str">
            <v>ВВГнг 3х  2,5</v>
          </cell>
          <cell r="GF503">
            <v>26.61</v>
          </cell>
          <cell r="GG503">
            <v>23.24</v>
          </cell>
        </row>
        <row r="504">
          <cell r="A504" t="str">
            <v>ВВГнг 3х  4</v>
          </cell>
          <cell r="GF504">
            <v>42.7</v>
          </cell>
          <cell r="GG504">
            <v>37.299999999999997</v>
          </cell>
        </row>
        <row r="505">
          <cell r="A505" t="str">
            <v>ВВГнг 3х  6</v>
          </cell>
          <cell r="GF505">
            <v>60.67</v>
          </cell>
          <cell r="GG505">
            <v>52.98</v>
          </cell>
        </row>
        <row r="506">
          <cell r="A506" t="str">
            <v>ВВГнг 3х 10</v>
          </cell>
          <cell r="GF506">
            <v>96.83</v>
          </cell>
          <cell r="GG506">
            <v>84.56</v>
          </cell>
        </row>
        <row r="507">
          <cell r="A507" t="str">
            <v>ВВГнг 3х 16</v>
          </cell>
          <cell r="GF507">
            <v>153.22999999999999</v>
          </cell>
          <cell r="GG507">
            <v>133.82</v>
          </cell>
        </row>
        <row r="508">
          <cell r="A508" t="str">
            <v>ВВГнг 3х 25</v>
          </cell>
          <cell r="GF508">
            <v>268.33999999999997</v>
          </cell>
          <cell r="GG508">
            <v>234.36</v>
          </cell>
        </row>
        <row r="509">
          <cell r="A509" t="str">
            <v>ВВГнг 3х 35</v>
          </cell>
          <cell r="GF509">
            <v>365.83</v>
          </cell>
          <cell r="GG509">
            <v>319.51</v>
          </cell>
        </row>
        <row r="510">
          <cell r="A510" t="str">
            <v>ВВГнг 3х 50</v>
          </cell>
          <cell r="GF510">
            <v>496.03</v>
          </cell>
          <cell r="GG510">
            <v>433.21</v>
          </cell>
        </row>
        <row r="511">
          <cell r="A511" t="str">
            <v>ВВГнг 3х  2,5+1х1,5</v>
          </cell>
          <cell r="GF511">
            <v>39.200000000000003</v>
          </cell>
          <cell r="GG511">
            <v>34.24</v>
          </cell>
        </row>
        <row r="512">
          <cell r="A512" t="str">
            <v>ВВГнг 3х  4+1х2,5</v>
          </cell>
          <cell r="GF512">
            <v>52.29</v>
          </cell>
          <cell r="GG512">
            <v>45.67</v>
          </cell>
        </row>
        <row r="513">
          <cell r="A513" t="str">
            <v>ВВГнг 3х  6+1х4</v>
          </cell>
          <cell r="GF513">
            <v>78.010000000000005</v>
          </cell>
          <cell r="GG513">
            <v>68.13</v>
          </cell>
        </row>
        <row r="514">
          <cell r="A514" t="str">
            <v>ВВГнг 3х 10+1х6</v>
          </cell>
          <cell r="GF514">
            <v>131.47999999999999</v>
          </cell>
          <cell r="GG514">
            <v>114.83</v>
          </cell>
        </row>
        <row r="515">
          <cell r="A515" t="str">
            <v>ВВГнг 3х 16+1х10</v>
          </cell>
          <cell r="GF515">
            <v>208.89</v>
          </cell>
          <cell r="GG515">
            <v>182.44</v>
          </cell>
        </row>
        <row r="516">
          <cell r="A516" t="str">
            <v>ВВГнг 3х 25+1х16</v>
          </cell>
          <cell r="GF516">
            <v>325.24</v>
          </cell>
          <cell r="GG516">
            <v>284.05</v>
          </cell>
        </row>
        <row r="517">
          <cell r="A517" t="str">
            <v>ВВГнг 3х 35+1х16</v>
          </cell>
          <cell r="GF517">
            <v>433.6</v>
          </cell>
          <cell r="GG517">
            <v>378.69</v>
          </cell>
        </row>
        <row r="518">
          <cell r="A518" t="str">
            <v>ВВГнг 3х 50+1х25</v>
          </cell>
          <cell r="GF518">
            <v>625.15</v>
          </cell>
          <cell r="GG518">
            <v>545.98</v>
          </cell>
        </row>
        <row r="519">
          <cell r="A519" t="str">
            <v>ВВГнг 3х 70+1х35</v>
          </cell>
          <cell r="GF519">
            <v>864.61</v>
          </cell>
          <cell r="GG519">
            <v>755.12</v>
          </cell>
        </row>
        <row r="520">
          <cell r="A520" t="str">
            <v>ВВГнг 3х 95+1х50</v>
          </cell>
          <cell r="GF520">
            <v>1176.77</v>
          </cell>
          <cell r="GG520">
            <v>1027.74</v>
          </cell>
        </row>
        <row r="521">
          <cell r="A521" t="str">
            <v>ВВГнг 3х120+1х70</v>
          </cell>
          <cell r="GF521">
            <v>1520.16</v>
          </cell>
          <cell r="GG521">
            <v>1327.65</v>
          </cell>
        </row>
        <row r="522">
          <cell r="A522" t="str">
            <v>ВВГнг 3х150+1х70</v>
          </cell>
          <cell r="GF522">
            <v>1808.18</v>
          </cell>
          <cell r="GG522">
            <v>1579.2</v>
          </cell>
        </row>
        <row r="523">
          <cell r="A523" t="str">
            <v>ВВГнг 3х185+1х95</v>
          </cell>
          <cell r="GF523">
            <v>2292.42</v>
          </cell>
          <cell r="GG523">
            <v>2002.11</v>
          </cell>
        </row>
        <row r="524">
          <cell r="A524" t="str">
            <v>ВВГнг 3х240+1х120</v>
          </cell>
          <cell r="GF524">
            <v>2985.13</v>
          </cell>
          <cell r="GG524">
            <v>2607.1</v>
          </cell>
        </row>
        <row r="525">
          <cell r="A525" t="str">
            <v>ВВГнг 4х  1,5</v>
          </cell>
          <cell r="GF525">
            <v>21.42</v>
          </cell>
          <cell r="GG525">
            <v>19.04</v>
          </cell>
        </row>
        <row r="526">
          <cell r="A526" t="str">
            <v>ВВГнг 4х  2,5</v>
          </cell>
          <cell r="GF526">
            <v>34.15</v>
          </cell>
          <cell r="GG526">
            <v>29.69</v>
          </cell>
        </row>
        <row r="527">
          <cell r="A527" t="str">
            <v>ВВГнг 4х  4</v>
          </cell>
          <cell r="GF527">
            <v>55.08</v>
          </cell>
          <cell r="GG527">
            <v>47.9</v>
          </cell>
        </row>
        <row r="528">
          <cell r="A528" t="str">
            <v>ВВГнг 4х  6</v>
          </cell>
          <cell r="GF528">
            <v>80.48</v>
          </cell>
          <cell r="GG528">
            <v>69.98</v>
          </cell>
        </row>
        <row r="529">
          <cell r="A529" t="str">
            <v>ВВГнг 4х 10</v>
          </cell>
          <cell r="GF529">
            <v>129.88</v>
          </cell>
          <cell r="GG529">
            <v>112.94</v>
          </cell>
        </row>
        <row r="530">
          <cell r="A530" t="str">
            <v>ВВГнг 4х 16</v>
          </cell>
          <cell r="GF530">
            <v>209.66</v>
          </cell>
          <cell r="GG530">
            <v>182.63</v>
          </cell>
        </row>
        <row r="531">
          <cell r="A531" t="str">
            <v>ВВГнг 4х 25</v>
          </cell>
          <cell r="GF531">
            <v>326.55</v>
          </cell>
          <cell r="GG531">
            <v>284.57</v>
          </cell>
        </row>
        <row r="532">
          <cell r="A532" t="str">
            <v>ВВГнг 4х 35</v>
          </cell>
          <cell r="GF532">
            <v>448.14</v>
          </cell>
          <cell r="GG532">
            <v>390.36</v>
          </cell>
        </row>
        <row r="533">
          <cell r="A533" t="str">
            <v>ВВГнг 4х 50</v>
          </cell>
          <cell r="GF533">
            <v>658.02</v>
          </cell>
          <cell r="GG533">
            <v>572.19000000000005</v>
          </cell>
        </row>
        <row r="534">
          <cell r="A534" t="str">
            <v>ВВГнг 4х 70</v>
          </cell>
          <cell r="GF534">
            <v>955.96</v>
          </cell>
          <cell r="GG534">
            <v>831.27</v>
          </cell>
        </row>
        <row r="535">
          <cell r="A535" t="str">
            <v>ВВГнг 4х 95</v>
          </cell>
          <cell r="GF535">
            <v>1311.81</v>
          </cell>
          <cell r="GG535">
            <v>1142.69</v>
          </cell>
        </row>
        <row r="536">
          <cell r="A536" t="str">
            <v>ВВГнг 4х120</v>
          </cell>
          <cell r="GF536">
            <v>1648.63</v>
          </cell>
          <cell r="GG536">
            <v>1436.71</v>
          </cell>
        </row>
        <row r="537">
          <cell r="A537" t="str">
            <v>ВВГнг 4х150</v>
          </cell>
          <cell r="GF537">
            <v>2021.05</v>
          </cell>
          <cell r="GG537">
            <v>1760.5</v>
          </cell>
        </row>
        <row r="538">
          <cell r="A538" t="str">
            <v>ВВГнг 4х185</v>
          </cell>
          <cell r="GF538">
            <v>2528.2800000000002</v>
          </cell>
          <cell r="GG538">
            <v>2203.29</v>
          </cell>
        </row>
        <row r="539">
          <cell r="A539" t="str">
            <v>ВВГнг 4х240</v>
          </cell>
          <cell r="GF539">
            <v>3312.03</v>
          </cell>
          <cell r="GG539">
            <v>2886.3</v>
          </cell>
        </row>
        <row r="540">
          <cell r="A540" t="str">
            <v>ВВГнг 5х  1,5</v>
          </cell>
          <cell r="GF540">
            <v>26.81</v>
          </cell>
          <cell r="GG540">
            <v>23.62</v>
          </cell>
        </row>
        <row r="541">
          <cell r="A541" t="str">
            <v>ВВГнг 5х  2,5</v>
          </cell>
          <cell r="GF541">
            <v>42.91</v>
          </cell>
          <cell r="GG541">
            <v>37.31</v>
          </cell>
        </row>
        <row r="542">
          <cell r="A542" t="str">
            <v>ВВГнг 5х  4</v>
          </cell>
          <cell r="GF542">
            <v>67.959999999999994</v>
          </cell>
          <cell r="GG542">
            <v>59.09</v>
          </cell>
        </row>
        <row r="543">
          <cell r="A543" t="str">
            <v>ВВГнг 5х  6</v>
          </cell>
          <cell r="GF543">
            <v>98.32</v>
          </cell>
          <cell r="GG543">
            <v>86.47</v>
          </cell>
        </row>
        <row r="544">
          <cell r="A544" t="str">
            <v>ВВГнг 5х 10</v>
          </cell>
          <cell r="GF544">
            <v>154.03</v>
          </cell>
          <cell r="GG544">
            <v>140.03</v>
          </cell>
        </row>
        <row r="545">
          <cell r="A545" t="str">
            <v>ВВГнг 5х 16</v>
          </cell>
          <cell r="GF545">
            <v>240.77</v>
          </cell>
          <cell r="GG545">
            <v>218.88</v>
          </cell>
        </row>
        <row r="546">
          <cell r="A546" t="str">
            <v>ВВГнг 5х 25</v>
          </cell>
          <cell r="GF546">
            <v>392.55</v>
          </cell>
          <cell r="GG546">
            <v>356.86</v>
          </cell>
        </row>
        <row r="547">
          <cell r="A547" t="str">
            <v>ВВГнг 5х 35</v>
          </cell>
          <cell r="GF547">
            <v>540.54999999999995</v>
          </cell>
          <cell r="GG547">
            <v>491.41</v>
          </cell>
        </row>
        <row r="548">
          <cell r="A548" t="str">
            <v>ВВГнг 5х 50</v>
          </cell>
          <cell r="GF548">
            <v>783.66</v>
          </cell>
          <cell r="GG548">
            <v>712.42</v>
          </cell>
        </row>
        <row r="549">
          <cell r="A549" t="str">
            <v>ВВГнг 5х 70</v>
          </cell>
          <cell r="GF549">
            <v>1148.57</v>
          </cell>
          <cell r="GG549">
            <v>1044.1500000000001</v>
          </cell>
        </row>
        <row r="550">
          <cell r="A550" t="str">
            <v>ВВГнг 5х 95</v>
          </cell>
          <cell r="GF550">
            <v>1582.63</v>
          </cell>
          <cell r="GG550">
            <v>1438.75</v>
          </cell>
        </row>
        <row r="551">
          <cell r="A551" t="str">
            <v>ВВГнг 5х120</v>
          </cell>
          <cell r="GF551">
            <v>1987.06</v>
          </cell>
          <cell r="GG551">
            <v>1806.42</v>
          </cell>
        </row>
        <row r="552">
          <cell r="A552" t="str">
            <v>ВВГнг 5х150</v>
          </cell>
          <cell r="GF552">
            <v>2439.59</v>
          </cell>
          <cell r="GG552">
            <v>2217.81</v>
          </cell>
        </row>
        <row r="553">
          <cell r="A553" t="str">
            <v>ВВГнг 5х185</v>
          </cell>
          <cell r="GF553">
            <v>3069.5</v>
          </cell>
          <cell r="GG553">
            <v>2790.46</v>
          </cell>
        </row>
        <row r="554">
          <cell r="A554" t="str">
            <v>ВВГнг-LS 1х  1,5</v>
          </cell>
          <cell r="GF554">
            <v>8.31</v>
          </cell>
          <cell r="GG554">
            <v>7.55</v>
          </cell>
        </row>
        <row r="555">
          <cell r="A555" t="str">
            <v>ВВГнг-LS 1х  2,5</v>
          </cell>
          <cell r="GF555">
            <v>12.02</v>
          </cell>
          <cell r="GG555">
            <v>10.93</v>
          </cell>
        </row>
        <row r="556">
          <cell r="A556" t="str">
            <v>ВВГнг-LS 1х  4</v>
          </cell>
          <cell r="GF556">
            <v>17.670000000000002</v>
          </cell>
          <cell r="GG556">
            <v>16.059999999999999</v>
          </cell>
        </row>
        <row r="557">
          <cell r="A557" t="str">
            <v>ВВГнг-LS 1х  6</v>
          </cell>
          <cell r="GF557">
            <v>24.68</v>
          </cell>
          <cell r="GG557">
            <v>22.43</v>
          </cell>
        </row>
        <row r="558">
          <cell r="A558" t="str">
            <v>ВВГнг-LS 1х 10</v>
          </cell>
          <cell r="GF558">
            <v>39.93</v>
          </cell>
          <cell r="GG558">
            <v>36.299999999999997</v>
          </cell>
        </row>
        <row r="559">
          <cell r="A559" t="str">
            <v>ВВГнг-LS 1х 16</v>
          </cell>
          <cell r="GF559">
            <v>61.5</v>
          </cell>
          <cell r="GG559">
            <v>55.91</v>
          </cell>
        </row>
        <row r="560">
          <cell r="A560" t="str">
            <v>ВВГнг-LS 1х 25</v>
          </cell>
          <cell r="GF560">
            <v>95.7</v>
          </cell>
          <cell r="GG560">
            <v>87</v>
          </cell>
        </row>
        <row r="561">
          <cell r="A561" t="str">
            <v>ВВГнг-LS 1х 35</v>
          </cell>
          <cell r="GF561">
            <v>130.16</v>
          </cell>
          <cell r="GG561">
            <v>118.32</v>
          </cell>
        </row>
        <row r="562">
          <cell r="A562" t="str">
            <v>ВВГнг-LS 1х 50</v>
          </cell>
          <cell r="GF562">
            <v>168.48</v>
          </cell>
          <cell r="GG562">
            <v>153.16</v>
          </cell>
        </row>
        <row r="563">
          <cell r="A563" t="str">
            <v>ВВГнг-LS 1х 70</v>
          </cell>
          <cell r="GF563">
            <v>257.60000000000002</v>
          </cell>
          <cell r="GG563">
            <v>234.18</v>
          </cell>
        </row>
        <row r="564">
          <cell r="A564" t="str">
            <v>ВВГнг-LS 1х 95</v>
          </cell>
          <cell r="GF564">
            <v>343.75</v>
          </cell>
          <cell r="GG564">
            <v>312.5</v>
          </cell>
        </row>
        <row r="565">
          <cell r="A565" t="str">
            <v>ВВГнг-LS 1х120</v>
          </cell>
          <cell r="GF565">
            <v>430.34</v>
          </cell>
          <cell r="GG565">
            <v>391.22</v>
          </cell>
        </row>
        <row r="566">
          <cell r="A566" t="str">
            <v>ВВГнг-LS 1х150</v>
          </cell>
          <cell r="GF566">
            <v>534.72</v>
          </cell>
          <cell r="GG566">
            <v>486.11</v>
          </cell>
        </row>
        <row r="567">
          <cell r="A567" t="str">
            <v>ВВГнг-LS 1х185</v>
          </cell>
          <cell r="GF567">
            <v>660.57</v>
          </cell>
          <cell r="GG567">
            <v>600.52</v>
          </cell>
        </row>
        <row r="568">
          <cell r="A568" t="str">
            <v>ВВГнг-LS 1х240</v>
          </cell>
          <cell r="GF568">
            <v>846.27</v>
          </cell>
          <cell r="GG568">
            <v>769.33</v>
          </cell>
        </row>
        <row r="569">
          <cell r="A569" t="str">
            <v>ВВГнг-LS-п 2х1,5</v>
          </cell>
          <cell r="GF569">
            <v>14.85</v>
          </cell>
          <cell r="GG569">
            <v>13.5</v>
          </cell>
        </row>
        <row r="570">
          <cell r="A570" t="str">
            <v>ВВГнг-LS-п 2х2,5</v>
          </cell>
          <cell r="GF570">
            <v>21.5</v>
          </cell>
          <cell r="GG570">
            <v>19.55</v>
          </cell>
        </row>
        <row r="571">
          <cell r="A571" t="str">
            <v>ВВГнг-LS-п 2х4</v>
          </cell>
          <cell r="GF571">
            <v>34.25</v>
          </cell>
          <cell r="GG571">
            <v>31.14</v>
          </cell>
        </row>
        <row r="572">
          <cell r="A572" t="str">
            <v>ВВГнг-LS-п 2х6</v>
          </cell>
          <cell r="GF572">
            <v>48.93</v>
          </cell>
          <cell r="GG572">
            <v>44.48</v>
          </cell>
        </row>
        <row r="573">
          <cell r="A573" t="str">
            <v>ВВГнг-LS 2х  1,5</v>
          </cell>
          <cell r="GF573">
            <v>15.9</v>
          </cell>
          <cell r="GG573">
            <v>14.46</v>
          </cell>
        </row>
        <row r="574">
          <cell r="A574" t="str">
            <v>ВВГнг-LS 2х  2,5</v>
          </cell>
          <cell r="GF574">
            <v>23.14</v>
          </cell>
          <cell r="GG574">
            <v>21.04</v>
          </cell>
        </row>
        <row r="575">
          <cell r="A575" t="str">
            <v>ВВГнг-LS 2х  4</v>
          </cell>
          <cell r="GF575">
            <v>38.15</v>
          </cell>
          <cell r="GG575">
            <v>34.68</v>
          </cell>
        </row>
        <row r="576">
          <cell r="A576" t="str">
            <v>ВВГнг-LS 2х  6</v>
          </cell>
          <cell r="GF576">
            <v>53.26</v>
          </cell>
          <cell r="GG576">
            <v>48.41</v>
          </cell>
        </row>
        <row r="577">
          <cell r="A577" t="str">
            <v>ВВГнг-LS 2х 10</v>
          </cell>
          <cell r="GF577">
            <v>96.45</v>
          </cell>
          <cell r="GG577">
            <v>87.68</v>
          </cell>
        </row>
        <row r="578">
          <cell r="A578" t="str">
            <v>ВВГнг-LS 2х 16</v>
          </cell>
          <cell r="GF578">
            <v>150.31</v>
          </cell>
          <cell r="GG578">
            <v>136.65</v>
          </cell>
        </row>
        <row r="579">
          <cell r="A579" t="str">
            <v>ВВГнг-LS-п 3х1,5</v>
          </cell>
          <cell r="GF579">
            <v>21.25</v>
          </cell>
          <cell r="GG579">
            <v>19.32</v>
          </cell>
        </row>
        <row r="580">
          <cell r="A580" t="str">
            <v>ВВГнг-LS-п 3х2,5</v>
          </cell>
          <cell r="GF580">
            <v>31.73</v>
          </cell>
          <cell r="GG580">
            <v>28.85</v>
          </cell>
        </row>
        <row r="581">
          <cell r="A581" t="str">
            <v>ВВГнг-LS-п 3х4</v>
          </cell>
          <cell r="GF581">
            <v>46.45</v>
          </cell>
          <cell r="GG581">
            <v>42.22</v>
          </cell>
        </row>
        <row r="582">
          <cell r="A582" t="str">
            <v>ВВГнг-LS-п 3х6</v>
          </cell>
          <cell r="GF582">
            <v>68.02</v>
          </cell>
          <cell r="GG582">
            <v>61.84</v>
          </cell>
        </row>
        <row r="583">
          <cell r="A583" t="str">
            <v>ВВГнг-LS 3х  1,5</v>
          </cell>
          <cell r="GF583">
            <v>21.6</v>
          </cell>
          <cell r="GG583">
            <v>19.64</v>
          </cell>
        </row>
        <row r="584">
          <cell r="A584" t="str">
            <v>ВВГнг-LS 3х  2,5</v>
          </cell>
          <cell r="GF584">
            <v>31.81</v>
          </cell>
          <cell r="GG584">
            <v>28.91</v>
          </cell>
        </row>
        <row r="585">
          <cell r="A585" t="str">
            <v>ВВГнг-LS 3х  4</v>
          </cell>
          <cell r="GF585">
            <v>48.6</v>
          </cell>
          <cell r="GG585">
            <v>44.18</v>
          </cell>
        </row>
        <row r="586">
          <cell r="A586" t="str">
            <v>ВВГнг-LS 3х  6</v>
          </cell>
          <cell r="GF586">
            <v>69.77</v>
          </cell>
          <cell r="GG586">
            <v>63.43</v>
          </cell>
        </row>
        <row r="587">
          <cell r="A587" t="str">
            <v>ВВГнг-LS 3х 10</v>
          </cell>
          <cell r="GF587">
            <v>121.63</v>
          </cell>
          <cell r="GG587">
            <v>110.57</v>
          </cell>
        </row>
        <row r="588">
          <cell r="A588" t="str">
            <v>ВВГнг-LS 3х 16</v>
          </cell>
          <cell r="GF588">
            <v>190.62</v>
          </cell>
          <cell r="GG588">
            <v>173.29</v>
          </cell>
        </row>
        <row r="589">
          <cell r="A589" t="str">
            <v>ВВГнг-LS 3х 25</v>
          </cell>
          <cell r="GF589">
            <v>293.64</v>
          </cell>
          <cell r="GG589">
            <v>266.95</v>
          </cell>
        </row>
        <row r="590">
          <cell r="A590" t="str">
            <v>ВВГнг-LS 3х 35</v>
          </cell>
          <cell r="GF590">
            <v>403.3</v>
          </cell>
          <cell r="GG590">
            <v>366.64</v>
          </cell>
        </row>
        <row r="591">
          <cell r="A591" t="str">
            <v>ВВГнг-LS 3х 50</v>
          </cell>
          <cell r="GF591">
            <v>643.23</v>
          </cell>
          <cell r="GG591">
            <v>584.75</v>
          </cell>
        </row>
        <row r="592">
          <cell r="A592" t="str">
            <v>ВВГнг-LS 3х  2,5+1х1,5</v>
          </cell>
          <cell r="GF592">
            <v>45.22</v>
          </cell>
          <cell r="GG592">
            <v>41.11</v>
          </cell>
        </row>
        <row r="593">
          <cell r="A593" t="str">
            <v>ВВГнг-LS 3х  4+1х2,5</v>
          </cell>
          <cell r="GF593">
            <v>69.739999999999995</v>
          </cell>
          <cell r="GG593">
            <v>63.4</v>
          </cell>
        </row>
        <row r="594">
          <cell r="A594" t="str">
            <v>ВВГнг-LS 3х  6+1х4</v>
          </cell>
          <cell r="GF594">
            <v>101.26</v>
          </cell>
          <cell r="GG594">
            <v>92.05</v>
          </cell>
        </row>
        <row r="595">
          <cell r="A595" t="str">
            <v>ВВГнг-LS 3х 10+1х6</v>
          </cell>
          <cell r="GF595">
            <v>155.97</v>
          </cell>
          <cell r="GG595">
            <v>141.79</v>
          </cell>
        </row>
        <row r="596">
          <cell r="A596" t="str">
            <v>ВВГнг-LS 3х 16+1х10</v>
          </cell>
          <cell r="GF596">
            <v>242.71</v>
          </cell>
          <cell r="GG596">
            <v>220.65</v>
          </cell>
        </row>
        <row r="597">
          <cell r="A597" t="str">
            <v>ВВГнг-LS 3х 25+1х16</v>
          </cell>
          <cell r="GF597">
            <v>365.86</v>
          </cell>
          <cell r="GG597">
            <v>332.6</v>
          </cell>
        </row>
        <row r="598">
          <cell r="A598" t="str">
            <v>ВВГнг-LS 3х 35+1х16</v>
          </cell>
          <cell r="GF598">
            <v>456.64</v>
          </cell>
          <cell r="GG598">
            <v>415.13</v>
          </cell>
        </row>
        <row r="599">
          <cell r="A599" t="str">
            <v>ВВГнг-LS 3х 50+1х25</v>
          </cell>
          <cell r="GF599">
            <v>675.19</v>
          </cell>
          <cell r="GG599">
            <v>613.80999999999995</v>
          </cell>
        </row>
        <row r="600">
          <cell r="A600" t="str">
            <v>ВВГнг-LS 3х 70+1х35</v>
          </cell>
          <cell r="GF600">
            <v>884.38</v>
          </cell>
          <cell r="GG600">
            <v>803.98</v>
          </cell>
        </row>
        <row r="601">
          <cell r="A601" t="str">
            <v>ВВГнг-LS 3х 95+1х50</v>
          </cell>
          <cell r="GF601">
            <v>1213.8399999999999</v>
          </cell>
          <cell r="GG601">
            <v>1103.49</v>
          </cell>
        </row>
        <row r="602">
          <cell r="A602" t="str">
            <v>ВВГнг-LS 3х120+1х70</v>
          </cell>
          <cell r="GF602">
            <v>1506.75</v>
          </cell>
          <cell r="GG602">
            <v>1369.78</v>
          </cell>
        </row>
        <row r="603">
          <cell r="A603" t="str">
            <v>ВВГнг-LS 3х150+1х70</v>
          </cell>
          <cell r="GF603">
            <v>1814.25</v>
          </cell>
          <cell r="GG603">
            <v>1649.32</v>
          </cell>
        </row>
        <row r="604">
          <cell r="A604" t="str">
            <v>ВВГнг-LS 3х185+1х95</v>
          </cell>
          <cell r="GF604">
            <v>2274.25</v>
          </cell>
          <cell r="GG604">
            <v>2067.5</v>
          </cell>
        </row>
        <row r="605">
          <cell r="A605" t="str">
            <v>ВВГнг-LS 3х240+1х120</v>
          </cell>
          <cell r="GF605">
            <v>3364.36</v>
          </cell>
          <cell r="GG605">
            <v>3058.51</v>
          </cell>
        </row>
        <row r="606">
          <cell r="A606" t="str">
            <v>ВВГнг-LS 4х  1,5</v>
          </cell>
          <cell r="GF606">
            <v>29.13</v>
          </cell>
          <cell r="GG606">
            <v>26.48</v>
          </cell>
        </row>
        <row r="607">
          <cell r="A607" t="str">
            <v>ВВГнг-LS 4х  2,5</v>
          </cell>
          <cell r="GF607">
            <v>41.71</v>
          </cell>
          <cell r="GG607">
            <v>37.92</v>
          </cell>
        </row>
        <row r="608">
          <cell r="A608" t="str">
            <v>ВВГнг-LS 4х  4</v>
          </cell>
          <cell r="GF608">
            <v>62.09</v>
          </cell>
          <cell r="GG608">
            <v>56.45</v>
          </cell>
        </row>
        <row r="609">
          <cell r="A609" t="str">
            <v>ВВГнг-LS 4х  6</v>
          </cell>
          <cell r="GF609">
            <v>88.24</v>
          </cell>
          <cell r="GG609">
            <v>80.209999999999994</v>
          </cell>
        </row>
        <row r="610">
          <cell r="A610" t="str">
            <v>ВВГнг-LS 4х 10</v>
          </cell>
          <cell r="GF610">
            <v>156.16999999999999</v>
          </cell>
          <cell r="GG610">
            <v>141.97</v>
          </cell>
        </row>
        <row r="611">
          <cell r="A611" t="str">
            <v>ВВГнг-LS 4х 16</v>
          </cell>
          <cell r="GF611">
            <v>243.73</v>
          </cell>
          <cell r="GG611">
            <v>221.58</v>
          </cell>
        </row>
        <row r="612">
          <cell r="A612" t="str">
            <v>ВВГнг-LS 4х 25</v>
          </cell>
          <cell r="GF612">
            <v>378.25</v>
          </cell>
          <cell r="GG612">
            <v>343.86</v>
          </cell>
        </row>
        <row r="613">
          <cell r="A613" t="str">
            <v>ВВГнг-LS 4х 35</v>
          </cell>
          <cell r="GF613">
            <v>520.39</v>
          </cell>
          <cell r="GG613">
            <v>473.08</v>
          </cell>
        </row>
        <row r="614">
          <cell r="A614" t="str">
            <v>ВВГнг-LS 4х 50</v>
          </cell>
          <cell r="GF614">
            <v>731.62</v>
          </cell>
          <cell r="GG614">
            <v>665.11</v>
          </cell>
        </row>
        <row r="615">
          <cell r="A615" t="str">
            <v>ВВГнг-LS 4х 70</v>
          </cell>
          <cell r="GF615">
            <v>1009.31</v>
          </cell>
          <cell r="GG615">
            <v>917.56</v>
          </cell>
        </row>
        <row r="616">
          <cell r="A616" t="str">
            <v>ВВГнг-LS 4х 95</v>
          </cell>
          <cell r="GF616">
            <v>1390.51</v>
          </cell>
          <cell r="GG616">
            <v>1264.0999999999999</v>
          </cell>
        </row>
        <row r="617">
          <cell r="A617" t="str">
            <v>ВВГнг-LS 4х120</v>
          </cell>
          <cell r="GF617">
            <v>1713.31</v>
          </cell>
          <cell r="GG617">
            <v>1557.56</v>
          </cell>
        </row>
        <row r="618">
          <cell r="A618" t="str">
            <v>ВВГнг-LS 4х150</v>
          </cell>
          <cell r="GF618">
            <v>2085.37</v>
          </cell>
          <cell r="GG618">
            <v>1895.8</v>
          </cell>
        </row>
        <row r="619">
          <cell r="A619" t="str">
            <v>ВВГнг-LS 4х185</v>
          </cell>
          <cell r="GF619">
            <v>2644.05</v>
          </cell>
          <cell r="GG619">
            <v>2403.6799999999998</v>
          </cell>
        </row>
        <row r="620">
          <cell r="A620" t="str">
            <v>ВВГнг-LS 4х240</v>
          </cell>
          <cell r="GF620">
            <v>3449.34</v>
          </cell>
          <cell r="GG620">
            <v>3135.76</v>
          </cell>
        </row>
        <row r="621">
          <cell r="A621" t="str">
            <v>ВВГнг-LS 5х  1,5</v>
          </cell>
          <cell r="GF621">
            <v>34.49</v>
          </cell>
          <cell r="GG621">
            <v>31.36</v>
          </cell>
        </row>
        <row r="622">
          <cell r="A622" t="str">
            <v>ВВГнг-LS 5х  2,5</v>
          </cell>
          <cell r="GF622">
            <v>50.58</v>
          </cell>
          <cell r="GG622">
            <v>45.98</v>
          </cell>
        </row>
        <row r="623">
          <cell r="A623" t="str">
            <v>ВВГнг-LS 5х  4</v>
          </cell>
          <cell r="GF623">
            <v>75.19</v>
          </cell>
          <cell r="GG623">
            <v>68.36</v>
          </cell>
        </row>
        <row r="624">
          <cell r="A624" t="str">
            <v>ВВГнг-LS 5х  6</v>
          </cell>
          <cell r="GF624">
            <v>108.21</v>
          </cell>
          <cell r="GG624">
            <v>98.37</v>
          </cell>
        </row>
        <row r="625">
          <cell r="A625" t="str">
            <v>ВВГнг-LS 5х 10</v>
          </cell>
          <cell r="GF625">
            <v>191.55</v>
          </cell>
          <cell r="GG625">
            <v>174.14</v>
          </cell>
        </row>
        <row r="626">
          <cell r="A626" t="str">
            <v>ВВГнг-LS 5х 16</v>
          </cell>
          <cell r="GF626">
            <v>300.60000000000002</v>
          </cell>
          <cell r="GG626">
            <v>273.27999999999997</v>
          </cell>
        </row>
        <row r="627">
          <cell r="A627" t="str">
            <v>ВВГнг-LS 5х 25</v>
          </cell>
          <cell r="GF627">
            <v>462.82</v>
          </cell>
          <cell r="GG627">
            <v>420.74</v>
          </cell>
        </row>
        <row r="628">
          <cell r="A628" t="str">
            <v>ВВГнг-LS 5х 35</v>
          </cell>
          <cell r="GF628">
            <v>643.30999999999995</v>
          </cell>
          <cell r="GG628">
            <v>584.83000000000004</v>
          </cell>
        </row>
        <row r="629">
          <cell r="A629" t="str">
            <v>ВВГнг-LS 5х 50</v>
          </cell>
          <cell r="GF629">
            <v>869.37</v>
          </cell>
          <cell r="GG629">
            <v>790.33</v>
          </cell>
        </row>
        <row r="630">
          <cell r="A630" t="str">
            <v>ВВГнг-LS 5х 70</v>
          </cell>
          <cell r="GF630">
            <v>1269.45</v>
          </cell>
          <cell r="GG630">
            <v>1154.05</v>
          </cell>
        </row>
        <row r="631">
          <cell r="A631" t="str">
            <v>ВВГнг-LS 5х 95</v>
          </cell>
          <cell r="GF631">
            <v>1726.4</v>
          </cell>
          <cell r="GG631">
            <v>1569.45</v>
          </cell>
        </row>
        <row r="632">
          <cell r="A632" t="str">
            <v>ВВГнг-LS 5х120</v>
          </cell>
          <cell r="GF632">
            <v>2159.3000000000002</v>
          </cell>
          <cell r="GG632">
            <v>1963</v>
          </cell>
        </row>
        <row r="633">
          <cell r="A633" t="str">
            <v>ВВГнг-LS 5х150</v>
          </cell>
          <cell r="GF633">
            <v>2642.36</v>
          </cell>
          <cell r="GG633">
            <v>2402.15</v>
          </cell>
        </row>
        <row r="634">
          <cell r="A634" t="str">
            <v>ВВГнг-LS 5х185</v>
          </cell>
          <cell r="GF634">
            <v>3151.01</v>
          </cell>
          <cell r="GG634">
            <v>2864.55</v>
          </cell>
        </row>
        <row r="635">
          <cell r="A635" t="str">
            <v xml:space="preserve"> Кабель медный силовой с заполнением (ВВГз)</v>
          </cell>
          <cell r="GF635">
            <v>0</v>
          </cell>
        </row>
        <row r="636">
          <cell r="A636" t="str">
            <v>ВВГз 2х  1,5</v>
          </cell>
          <cell r="GF636">
            <v>15.02</v>
          </cell>
          <cell r="GG636">
            <v>13.65</v>
          </cell>
        </row>
        <row r="637">
          <cell r="A637" t="str">
            <v>ВВГз 2х  2,5</v>
          </cell>
          <cell r="GF637">
            <v>22.07</v>
          </cell>
          <cell r="GG637">
            <v>20.059999999999999</v>
          </cell>
        </row>
        <row r="638">
          <cell r="A638" t="str">
            <v>ВВГз 2х  4</v>
          </cell>
          <cell r="GF638">
            <v>34.42</v>
          </cell>
          <cell r="GG638">
            <v>31.29</v>
          </cell>
        </row>
        <row r="639">
          <cell r="A639" t="str">
            <v>ВВГз 2х  6</v>
          </cell>
          <cell r="GF639">
            <v>48.49</v>
          </cell>
          <cell r="GG639">
            <v>44.08</v>
          </cell>
        </row>
        <row r="640">
          <cell r="A640" t="str">
            <v>ВВГз 2х 10</v>
          </cell>
          <cell r="GF640">
            <v>82.45</v>
          </cell>
          <cell r="GG640">
            <v>74.959999999999994</v>
          </cell>
        </row>
        <row r="641">
          <cell r="A641" t="str">
            <v>ВВГз 3х  1,5</v>
          </cell>
          <cell r="GF641">
            <v>20.350000000000001</v>
          </cell>
          <cell r="GG641">
            <v>18.5</v>
          </cell>
        </row>
        <row r="642">
          <cell r="A642" t="str">
            <v>ВВГз 3х  2,5</v>
          </cell>
          <cell r="GF642">
            <v>31.21</v>
          </cell>
          <cell r="GG642">
            <v>28.38</v>
          </cell>
        </row>
        <row r="643">
          <cell r="A643" t="str">
            <v>ВВГз 3х  4</v>
          </cell>
          <cell r="GF643">
            <v>47.56</v>
          </cell>
          <cell r="GG643">
            <v>43.24</v>
          </cell>
        </row>
        <row r="644">
          <cell r="A644" t="str">
            <v>ВВГз 3х  6</v>
          </cell>
          <cell r="GF644">
            <v>68.319999999999993</v>
          </cell>
          <cell r="GG644">
            <v>62.11</v>
          </cell>
        </row>
        <row r="645">
          <cell r="A645" t="str">
            <v>ВВГз 3х 10</v>
          </cell>
          <cell r="GF645">
            <v>114.56</v>
          </cell>
          <cell r="GG645">
            <v>104.15</v>
          </cell>
        </row>
        <row r="646">
          <cell r="A646" t="str">
            <v>ВВГз 3х 16</v>
          </cell>
          <cell r="GF646">
            <v>171.75</v>
          </cell>
          <cell r="GG646">
            <v>156.13999999999999</v>
          </cell>
        </row>
        <row r="647">
          <cell r="A647" t="str">
            <v>ВВГз 3х  2,5+1х1,5</v>
          </cell>
          <cell r="GF647">
            <v>36.9</v>
          </cell>
          <cell r="GG647">
            <v>33.54</v>
          </cell>
        </row>
        <row r="648">
          <cell r="A648" t="str">
            <v>ВВГз 3х  4+1х2,5</v>
          </cell>
          <cell r="GF648">
            <v>56.91</v>
          </cell>
          <cell r="GG648">
            <v>51.74</v>
          </cell>
        </row>
        <row r="649">
          <cell r="A649" t="str">
            <v>ВВГз 3х  6+1х4</v>
          </cell>
          <cell r="GF649">
            <v>93.24</v>
          </cell>
          <cell r="GG649">
            <v>84.76</v>
          </cell>
        </row>
        <row r="650">
          <cell r="A650" t="str">
            <v>ВВГз 3х 10+1х6</v>
          </cell>
          <cell r="GF650">
            <v>133.94</v>
          </cell>
          <cell r="GG650">
            <v>121.76</v>
          </cell>
        </row>
        <row r="651">
          <cell r="A651" t="str">
            <v>ВВГз 3х 16+1х10</v>
          </cell>
          <cell r="GF651">
            <v>204.94</v>
          </cell>
          <cell r="GG651">
            <v>186.31</v>
          </cell>
        </row>
        <row r="652">
          <cell r="A652" t="str">
            <v>ВВГз 4х  1,5</v>
          </cell>
          <cell r="GF652">
            <v>26.07</v>
          </cell>
          <cell r="GG652">
            <v>23.7</v>
          </cell>
        </row>
        <row r="653">
          <cell r="A653" t="str">
            <v>ВВГз 4х  2,5</v>
          </cell>
          <cell r="GF653">
            <v>40.159999999999997</v>
          </cell>
          <cell r="GG653">
            <v>36.51</v>
          </cell>
        </row>
        <row r="654">
          <cell r="A654" t="str">
            <v>ВВГз 4х  4</v>
          </cell>
          <cell r="GF654">
            <v>61.57</v>
          </cell>
          <cell r="GG654">
            <v>55.98</v>
          </cell>
        </row>
        <row r="655">
          <cell r="A655" t="str">
            <v>ВВГз 4х  6</v>
          </cell>
          <cell r="GF655">
            <v>88.91</v>
          </cell>
          <cell r="GG655">
            <v>80.83</v>
          </cell>
        </row>
        <row r="656">
          <cell r="A656" t="str">
            <v>ВВГз 4х 10</v>
          </cell>
          <cell r="GF656">
            <v>147.43</v>
          </cell>
          <cell r="GG656">
            <v>134.03</v>
          </cell>
        </row>
        <row r="657">
          <cell r="A657" t="str">
            <v>ВВГз 4х 16</v>
          </cell>
          <cell r="GF657">
            <v>225.39</v>
          </cell>
          <cell r="GG657">
            <v>204.9</v>
          </cell>
        </row>
        <row r="658">
          <cell r="A658" t="str">
            <v>ВВГз 4х 25</v>
          </cell>
          <cell r="GF658">
            <v>356.84</v>
          </cell>
          <cell r="GG658">
            <v>324.39999999999998</v>
          </cell>
        </row>
        <row r="659">
          <cell r="A659" t="str">
            <v>ВВГз 4х 35</v>
          </cell>
          <cell r="GF659">
            <v>490.19</v>
          </cell>
          <cell r="GG659">
            <v>445.63</v>
          </cell>
        </row>
        <row r="660">
          <cell r="A660" t="str">
            <v>ВВГз 4х 50</v>
          </cell>
          <cell r="GF660">
            <v>713.8</v>
          </cell>
          <cell r="GG660">
            <v>648.91</v>
          </cell>
        </row>
        <row r="661">
          <cell r="A661" t="str">
            <v>ВВГз 4х 70</v>
          </cell>
          <cell r="GF661">
            <v>1075.95</v>
          </cell>
          <cell r="GG661">
            <v>978.13</v>
          </cell>
        </row>
        <row r="662">
          <cell r="A662" t="str">
            <v>ВВГз 4х 95</v>
          </cell>
          <cell r="GF662">
            <v>1389.68</v>
          </cell>
          <cell r="GG662">
            <v>1263.3499999999999</v>
          </cell>
        </row>
        <row r="663">
          <cell r="A663" t="str">
            <v>ВВГз 4х120</v>
          </cell>
          <cell r="GF663">
            <v>1750.42</v>
          </cell>
          <cell r="GG663">
            <v>1591.29</v>
          </cell>
        </row>
        <row r="664">
          <cell r="A664" t="str">
            <v>ВВГз 5х  1,5</v>
          </cell>
          <cell r="GF664">
            <v>34.39</v>
          </cell>
          <cell r="GG664">
            <v>31.27</v>
          </cell>
        </row>
        <row r="665">
          <cell r="A665" t="str">
            <v>ВВГз 5х  2,5</v>
          </cell>
          <cell r="GF665">
            <v>50.78</v>
          </cell>
          <cell r="GG665">
            <v>46.17</v>
          </cell>
        </row>
        <row r="666">
          <cell r="A666" t="str">
            <v>ВВГз 5х  4</v>
          </cell>
          <cell r="GF666">
            <v>77.78</v>
          </cell>
          <cell r="GG666">
            <v>70.7</v>
          </cell>
        </row>
        <row r="667">
          <cell r="A667" t="str">
            <v>ВВГз 5х  6</v>
          </cell>
          <cell r="GF667">
            <v>109.75</v>
          </cell>
          <cell r="GG667">
            <v>99.77</v>
          </cell>
        </row>
        <row r="668">
          <cell r="A668" t="str">
            <v>ВВГз 5х 10</v>
          </cell>
          <cell r="GF668">
            <v>185.13</v>
          </cell>
          <cell r="GG668">
            <v>168.3</v>
          </cell>
        </row>
        <row r="669">
          <cell r="A669" t="str">
            <v>ВВГз 5х 16</v>
          </cell>
          <cell r="GF669">
            <v>313.32</v>
          </cell>
          <cell r="GG669">
            <v>284.83999999999997</v>
          </cell>
        </row>
        <row r="670">
          <cell r="A670" t="str">
            <v>ВВГз 5х 25</v>
          </cell>
          <cell r="GF670">
            <v>496.78</v>
          </cell>
          <cell r="GG670">
            <v>451.62</v>
          </cell>
        </row>
        <row r="671">
          <cell r="A671" t="str">
            <v>ВВГз 5х 35</v>
          </cell>
          <cell r="GF671">
            <v>669.48</v>
          </cell>
          <cell r="GG671">
            <v>608.62</v>
          </cell>
        </row>
        <row r="672">
          <cell r="A672" t="str">
            <v xml:space="preserve"> Кабель медный бронированный (ВБбШв, ВБбШнг)</v>
          </cell>
          <cell r="GF672">
            <v>0</v>
          </cell>
        </row>
        <row r="673">
          <cell r="A673" t="str">
            <v>ВБбШв 3х 1,5</v>
          </cell>
          <cell r="GF673">
            <v>36.380000000000003</v>
          </cell>
          <cell r="GG673">
            <v>33.08</v>
          </cell>
        </row>
        <row r="674">
          <cell r="A674" t="str">
            <v>ВБбШв 3х 2,5</v>
          </cell>
          <cell r="GF674">
            <v>51.23</v>
          </cell>
          <cell r="GG674">
            <v>46.57</v>
          </cell>
        </row>
        <row r="675">
          <cell r="A675" t="str">
            <v>ВБбШв 3х 4</v>
          </cell>
          <cell r="GF675">
            <v>56.26</v>
          </cell>
          <cell r="GG675">
            <v>51.14</v>
          </cell>
        </row>
        <row r="676">
          <cell r="A676" t="str">
            <v>ВБбШв 3х 6</v>
          </cell>
          <cell r="GF676">
            <v>76.510000000000005</v>
          </cell>
          <cell r="GG676">
            <v>69.56</v>
          </cell>
        </row>
        <row r="677">
          <cell r="A677" t="str">
            <v>ВБбШв 3х 10</v>
          </cell>
          <cell r="GF677">
            <v>120.69</v>
          </cell>
          <cell r="GG677">
            <v>109.72</v>
          </cell>
        </row>
        <row r="678">
          <cell r="A678" t="str">
            <v>ВБбШв 3х 16</v>
          </cell>
          <cell r="GF678">
            <v>178.5</v>
          </cell>
          <cell r="GG678">
            <v>162.27000000000001</v>
          </cell>
        </row>
        <row r="679">
          <cell r="A679" t="str">
            <v>ВБбШв 3х 25</v>
          </cell>
          <cell r="GF679">
            <v>276.43</v>
          </cell>
          <cell r="GG679">
            <v>251.3</v>
          </cell>
        </row>
        <row r="680">
          <cell r="A680" t="str">
            <v>ВБбШв 3х 35</v>
          </cell>
          <cell r="GF680">
            <v>373.08</v>
          </cell>
          <cell r="GG680">
            <v>339.16</v>
          </cell>
        </row>
        <row r="681">
          <cell r="A681" t="str">
            <v>ВБбШв 3х 50</v>
          </cell>
          <cell r="GF681">
            <v>516.72</v>
          </cell>
          <cell r="GG681">
            <v>469.75</v>
          </cell>
        </row>
        <row r="682">
          <cell r="A682" t="str">
            <v>ВБбШв 3х 70</v>
          </cell>
          <cell r="GF682">
            <v>754.1</v>
          </cell>
          <cell r="GG682">
            <v>685.55</v>
          </cell>
        </row>
        <row r="683">
          <cell r="A683" t="str">
            <v>ВБбШв 3х 95</v>
          </cell>
          <cell r="GF683">
            <v>1002.43</v>
          </cell>
          <cell r="GG683">
            <v>911.3</v>
          </cell>
        </row>
        <row r="684">
          <cell r="A684" t="str">
            <v>ВБбШв 3х120</v>
          </cell>
          <cell r="GF684">
            <v>1241.43</v>
          </cell>
          <cell r="GG684">
            <v>1128.57</v>
          </cell>
        </row>
        <row r="685">
          <cell r="A685" t="str">
            <v>ВБбШв 3х185</v>
          </cell>
          <cell r="GF685">
            <v>1902.56</v>
          </cell>
          <cell r="GG685">
            <v>1729.6</v>
          </cell>
        </row>
        <row r="686">
          <cell r="A686" t="str">
            <v>ВБбШв 3х240</v>
          </cell>
          <cell r="GF686">
            <v>2483.85</v>
          </cell>
          <cell r="GG686">
            <v>2258.0500000000002</v>
          </cell>
        </row>
        <row r="687">
          <cell r="A687" t="str">
            <v>ВБбШв 3х 4+1х2,5</v>
          </cell>
          <cell r="GF687">
            <v>77.290000000000006</v>
          </cell>
          <cell r="GG687">
            <v>70.27</v>
          </cell>
        </row>
        <row r="688">
          <cell r="A688" t="str">
            <v>ВБбШв 3х 6+1х4</v>
          </cell>
          <cell r="GF688">
            <v>102.67</v>
          </cell>
          <cell r="GG688">
            <v>93.33</v>
          </cell>
        </row>
        <row r="689">
          <cell r="A689" t="str">
            <v>ВБбШв 3х10+1х6</v>
          </cell>
          <cell r="GF689">
            <v>153.93</v>
          </cell>
          <cell r="GG689">
            <v>139.94</v>
          </cell>
        </row>
        <row r="690">
          <cell r="A690" t="str">
            <v>ВБбШв 3х16+1х10</v>
          </cell>
          <cell r="GF690">
            <v>223.53</v>
          </cell>
          <cell r="GG690">
            <v>203.21</v>
          </cell>
        </row>
        <row r="691">
          <cell r="A691" t="str">
            <v>ВБбШв 3х25+1х16</v>
          </cell>
          <cell r="GF691">
            <v>335.71</v>
          </cell>
          <cell r="GG691">
            <v>305.19</v>
          </cell>
        </row>
        <row r="692">
          <cell r="A692" t="str">
            <v>ВБбШв 3х35+1х16</v>
          </cell>
          <cell r="GF692">
            <v>440.46</v>
          </cell>
          <cell r="GG692">
            <v>400.41</v>
          </cell>
        </row>
        <row r="693">
          <cell r="A693" t="str">
            <v>ВБбШв 3х50+1х25</v>
          </cell>
          <cell r="GF693">
            <v>601.28</v>
          </cell>
          <cell r="GG693">
            <v>546.62</v>
          </cell>
        </row>
        <row r="694">
          <cell r="A694" t="str">
            <v>ВБбШв 3х70+1х35</v>
          </cell>
          <cell r="GF694">
            <v>874.06</v>
          </cell>
          <cell r="GG694">
            <v>794.6</v>
          </cell>
        </row>
        <row r="695">
          <cell r="A695" t="str">
            <v>ВБбШв 3х95+1х50</v>
          </cell>
          <cell r="GF695">
            <v>1175.99</v>
          </cell>
          <cell r="GG695">
            <v>1069.08</v>
          </cell>
        </row>
        <row r="696">
          <cell r="A696" t="str">
            <v>ВБбШв 3х120+1х70</v>
          </cell>
          <cell r="GF696">
            <v>1486.12</v>
          </cell>
          <cell r="GG696">
            <v>1351.02</v>
          </cell>
        </row>
        <row r="697">
          <cell r="A697" t="str">
            <v>ВБбШв 3х150+1х70</v>
          </cell>
          <cell r="GF697">
            <v>1784.4</v>
          </cell>
          <cell r="GG697">
            <v>1622.18</v>
          </cell>
        </row>
        <row r="698">
          <cell r="A698" t="str">
            <v>ВБбШв 3х185+1х95</v>
          </cell>
          <cell r="GF698">
            <v>2236.08</v>
          </cell>
          <cell r="GG698">
            <v>2032.8</v>
          </cell>
        </row>
        <row r="699">
          <cell r="A699" t="str">
            <v>ВБбШв 4х 2,5</v>
          </cell>
          <cell r="GF699">
            <v>51.29</v>
          </cell>
          <cell r="GG699">
            <v>46.62</v>
          </cell>
        </row>
        <row r="700">
          <cell r="A700" t="str">
            <v>ВБбШв 4х 4</v>
          </cell>
          <cell r="GF700">
            <v>72.459999999999994</v>
          </cell>
          <cell r="GG700">
            <v>65.88</v>
          </cell>
        </row>
        <row r="701">
          <cell r="A701" t="str">
            <v>ВБбШв 4х 6</v>
          </cell>
          <cell r="GF701">
            <v>101.32</v>
          </cell>
          <cell r="GG701">
            <v>92.11</v>
          </cell>
        </row>
        <row r="702">
          <cell r="A702" t="str">
            <v>ВБбШв 4х 10</v>
          </cell>
          <cell r="GF702">
            <v>158.13</v>
          </cell>
          <cell r="GG702">
            <v>143.76</v>
          </cell>
        </row>
        <row r="703">
          <cell r="A703" t="str">
            <v>ВБбШв 4х 16</v>
          </cell>
          <cell r="GF703">
            <v>230.23</v>
          </cell>
          <cell r="GG703">
            <v>209.3</v>
          </cell>
        </row>
        <row r="704">
          <cell r="A704" t="str">
            <v>ВБбШв 4х 25</v>
          </cell>
          <cell r="GF704">
            <v>367.54</v>
          </cell>
          <cell r="GG704">
            <v>334.13</v>
          </cell>
        </row>
        <row r="705">
          <cell r="A705" t="str">
            <v>ВБбШв 4х 35</v>
          </cell>
          <cell r="GF705">
            <v>511.13</v>
          </cell>
          <cell r="GG705">
            <v>464.66</v>
          </cell>
        </row>
        <row r="706">
          <cell r="A706" t="str">
            <v>ВБбШв 4х 50</v>
          </cell>
          <cell r="GF706">
            <v>707.25</v>
          </cell>
          <cell r="GG706">
            <v>642.96</v>
          </cell>
        </row>
        <row r="707">
          <cell r="A707" t="str">
            <v>ВБбШв 4х 70</v>
          </cell>
          <cell r="GF707">
            <v>948.54</v>
          </cell>
          <cell r="GG707">
            <v>862.31</v>
          </cell>
        </row>
        <row r="708">
          <cell r="A708" t="str">
            <v>ВБбШв 4х 95</v>
          </cell>
          <cell r="GF708">
            <v>1298.4100000000001</v>
          </cell>
          <cell r="GG708">
            <v>1180.3699999999999</v>
          </cell>
        </row>
        <row r="709">
          <cell r="A709" t="str">
            <v>ВБбШв 4х120</v>
          </cell>
          <cell r="GF709">
            <v>1623.2</v>
          </cell>
          <cell r="GG709">
            <v>1475.64</v>
          </cell>
        </row>
        <row r="710">
          <cell r="A710" t="str">
            <v>ВБбШв 4х150</v>
          </cell>
          <cell r="GF710">
            <v>1986.87</v>
          </cell>
          <cell r="GG710">
            <v>1806.25</v>
          </cell>
        </row>
        <row r="711">
          <cell r="A711" t="str">
            <v>ВБбШв 4х185</v>
          </cell>
          <cell r="GF711">
            <v>2479.73</v>
          </cell>
          <cell r="GG711">
            <v>2254.3000000000002</v>
          </cell>
        </row>
        <row r="712">
          <cell r="A712" t="str">
            <v>ВБбШв 4х240</v>
          </cell>
          <cell r="GF712">
            <v>3235.16</v>
          </cell>
          <cell r="GG712">
            <v>2941.05</v>
          </cell>
        </row>
        <row r="713">
          <cell r="A713" t="str">
            <v>ВБбШв 5х2,5</v>
          </cell>
          <cell r="GF713">
            <v>61.76</v>
          </cell>
          <cell r="GG713">
            <v>56.15</v>
          </cell>
        </row>
        <row r="714">
          <cell r="A714" t="str">
            <v>ВБбШв 5х4</v>
          </cell>
          <cell r="GF714">
            <v>90.29</v>
          </cell>
          <cell r="GG714">
            <v>82.08</v>
          </cell>
        </row>
        <row r="715">
          <cell r="A715" t="str">
            <v>ВБбШв 5х6</v>
          </cell>
          <cell r="GF715">
            <v>124.04</v>
          </cell>
          <cell r="GG715">
            <v>112.76</v>
          </cell>
        </row>
        <row r="716">
          <cell r="A716" t="str">
            <v>ВБбШв 5х10</v>
          </cell>
          <cell r="GF716">
            <v>195.55</v>
          </cell>
          <cell r="GG716">
            <v>177.77</v>
          </cell>
        </row>
        <row r="717">
          <cell r="A717" t="str">
            <v>ВБбШв 5х16</v>
          </cell>
          <cell r="GF717">
            <v>301.41000000000003</v>
          </cell>
          <cell r="GG717">
            <v>274</v>
          </cell>
        </row>
        <row r="718">
          <cell r="A718" t="str">
            <v>ВБбШв 5х25</v>
          </cell>
          <cell r="GF718">
            <v>461.49</v>
          </cell>
          <cell r="GG718">
            <v>419.54</v>
          </cell>
        </row>
        <row r="719">
          <cell r="A719" t="str">
            <v>ВБбШв 5х35</v>
          </cell>
          <cell r="GF719">
            <v>637.59</v>
          </cell>
          <cell r="GG719">
            <v>579.62</v>
          </cell>
        </row>
        <row r="720">
          <cell r="A720" t="str">
            <v>ВБбШв 5х50</v>
          </cell>
          <cell r="GF720">
            <v>885.01</v>
          </cell>
          <cell r="GG720">
            <v>804.55</v>
          </cell>
        </row>
        <row r="721">
          <cell r="A721" t="str">
            <v>ВБбШв 5х70</v>
          </cell>
          <cell r="GF721">
            <v>1197.93</v>
          </cell>
          <cell r="GG721">
            <v>1089.03</v>
          </cell>
        </row>
        <row r="722">
          <cell r="A722" t="str">
            <v>ВБбШв 5х95</v>
          </cell>
          <cell r="GF722">
            <v>1638.87</v>
          </cell>
          <cell r="GG722">
            <v>1489.88</v>
          </cell>
        </row>
        <row r="723">
          <cell r="A723" t="str">
            <v>ВБбШв 5х120</v>
          </cell>
          <cell r="GF723">
            <v>2054.48</v>
          </cell>
          <cell r="GG723">
            <v>1867.71</v>
          </cell>
        </row>
        <row r="724">
          <cell r="A724" t="str">
            <v>ВБбШв 5х150</v>
          </cell>
          <cell r="GF724">
            <v>2513.58</v>
          </cell>
          <cell r="GG724">
            <v>2285.0700000000002</v>
          </cell>
        </row>
        <row r="725">
          <cell r="A725" t="str">
            <v>ВБбШв 5х185</v>
          </cell>
          <cell r="GF725">
            <v>3235.08</v>
          </cell>
          <cell r="GG725">
            <v>2940.98</v>
          </cell>
        </row>
        <row r="726">
          <cell r="A726" t="str">
            <v>ВБбШв 5х240</v>
          </cell>
          <cell r="GF726">
            <v>3903.97</v>
          </cell>
          <cell r="GG726">
            <v>3549.07</v>
          </cell>
        </row>
        <row r="727">
          <cell r="A727" t="str">
            <v>ВБбШнг 3х 2,5</v>
          </cell>
          <cell r="GF727">
            <v>52.7</v>
          </cell>
          <cell r="GG727">
            <v>47.9</v>
          </cell>
        </row>
        <row r="728">
          <cell r="A728" t="str">
            <v>ВБбШнг 3х 4</v>
          </cell>
          <cell r="GF728">
            <v>70.33</v>
          </cell>
          <cell r="GG728">
            <v>63.93</v>
          </cell>
        </row>
        <row r="729">
          <cell r="A729" t="str">
            <v>ВБбШнг 3х 6</v>
          </cell>
          <cell r="GF729">
            <v>89.88</v>
          </cell>
          <cell r="GG729">
            <v>81.709999999999994</v>
          </cell>
        </row>
        <row r="730">
          <cell r="A730" t="str">
            <v>ВБбШнг 3х 10</v>
          </cell>
          <cell r="GF730">
            <v>134.91999999999999</v>
          </cell>
          <cell r="GG730">
            <v>122.66</v>
          </cell>
        </row>
        <row r="731">
          <cell r="A731" t="str">
            <v>ВБбШнг 3х 16</v>
          </cell>
          <cell r="GF731">
            <v>195.26</v>
          </cell>
          <cell r="GG731">
            <v>177.51</v>
          </cell>
        </row>
        <row r="732">
          <cell r="A732" t="str">
            <v>ВБбШнг 3х 25</v>
          </cell>
          <cell r="GF732">
            <v>290.10000000000002</v>
          </cell>
          <cell r="GG732">
            <v>263.72000000000003</v>
          </cell>
        </row>
        <row r="733">
          <cell r="A733" t="str">
            <v>ВБбШнг 3х 35</v>
          </cell>
          <cell r="GF733">
            <v>389.27</v>
          </cell>
          <cell r="GG733">
            <v>353.88</v>
          </cell>
        </row>
        <row r="734">
          <cell r="A734" t="str">
            <v>ВБбШнг 3х 50</v>
          </cell>
          <cell r="GF734">
            <v>523.80999999999995</v>
          </cell>
          <cell r="GG734">
            <v>476.19</v>
          </cell>
        </row>
        <row r="735">
          <cell r="A735" t="str">
            <v>ВБбШнг 3х 70</v>
          </cell>
          <cell r="GF735">
            <v>761.68</v>
          </cell>
          <cell r="GG735">
            <v>692.44</v>
          </cell>
        </row>
        <row r="736">
          <cell r="A736" t="str">
            <v>ВБбШнг 3х 95</v>
          </cell>
          <cell r="GF736">
            <v>1010.11</v>
          </cell>
          <cell r="GG736">
            <v>918.28</v>
          </cell>
        </row>
        <row r="737">
          <cell r="A737" t="str">
            <v>ВБбШнг 3х120</v>
          </cell>
          <cell r="GF737">
            <v>1251.4100000000001</v>
          </cell>
          <cell r="GG737">
            <v>1137.6500000000001</v>
          </cell>
        </row>
        <row r="738">
          <cell r="A738" t="str">
            <v>ВБбШнг 3х150</v>
          </cell>
          <cell r="GF738">
            <v>1545.96</v>
          </cell>
          <cell r="GG738">
            <v>1405.42</v>
          </cell>
        </row>
        <row r="739">
          <cell r="A739" t="str">
            <v>ВБбШнг 3х185</v>
          </cell>
          <cell r="GF739">
            <v>1913.46</v>
          </cell>
          <cell r="GG739">
            <v>1739.51</v>
          </cell>
        </row>
        <row r="740">
          <cell r="A740" t="str">
            <v>ВБбШнг 3х240</v>
          </cell>
          <cell r="GF740">
            <v>2496.2600000000002</v>
          </cell>
          <cell r="GG740">
            <v>2269.3200000000002</v>
          </cell>
        </row>
        <row r="741">
          <cell r="A741" t="str">
            <v>ВБбШнг 3х 4+1х2,5</v>
          </cell>
          <cell r="GF741">
            <v>94.45</v>
          </cell>
          <cell r="GG741">
            <v>85.86</v>
          </cell>
        </row>
        <row r="742">
          <cell r="A742" t="str">
            <v>ВБбШнг 3х 6+1х4</v>
          </cell>
          <cell r="GF742">
            <v>120.88</v>
          </cell>
          <cell r="GG742">
            <v>109.89</v>
          </cell>
        </row>
        <row r="743">
          <cell r="A743" t="str">
            <v>ВБбШнг 3х10+1х6</v>
          </cell>
          <cell r="GF743">
            <v>160.13999999999999</v>
          </cell>
          <cell r="GG743">
            <v>145.59</v>
          </cell>
        </row>
        <row r="744">
          <cell r="A744" t="str">
            <v>ВБбШнг 3х16+1х10</v>
          </cell>
          <cell r="GF744">
            <v>229.05</v>
          </cell>
          <cell r="GG744">
            <v>208.23</v>
          </cell>
        </row>
        <row r="745">
          <cell r="A745" t="str">
            <v>ВБбШнг 3х25+1х16</v>
          </cell>
          <cell r="GF745">
            <v>343.97</v>
          </cell>
          <cell r="GG745">
            <v>312.7</v>
          </cell>
        </row>
        <row r="746">
          <cell r="A746" t="str">
            <v>ВБбШнг 3х35+1х16</v>
          </cell>
          <cell r="GF746">
            <v>445.16</v>
          </cell>
          <cell r="GG746">
            <v>404.69</v>
          </cell>
        </row>
        <row r="747">
          <cell r="A747" t="str">
            <v>ВБбШнг 3х50+1х25</v>
          </cell>
          <cell r="GF747">
            <v>608.19000000000005</v>
          </cell>
          <cell r="GG747">
            <v>552.9</v>
          </cell>
        </row>
        <row r="748">
          <cell r="A748" t="str">
            <v>ВБбШнг 3х70+1х35</v>
          </cell>
          <cell r="GF748">
            <v>881.71</v>
          </cell>
          <cell r="GG748">
            <v>801.55</v>
          </cell>
        </row>
        <row r="749">
          <cell r="A749" t="str">
            <v>ВБбШнг 3х95+1х50</v>
          </cell>
          <cell r="GF749">
            <v>1187.08</v>
          </cell>
          <cell r="GG749">
            <v>1079.1600000000001</v>
          </cell>
        </row>
        <row r="750">
          <cell r="A750" t="str">
            <v>ВБбШнг 3х120+1х70</v>
          </cell>
          <cell r="GF750">
            <v>1499.24</v>
          </cell>
          <cell r="GG750">
            <v>1362.95</v>
          </cell>
        </row>
        <row r="751">
          <cell r="A751" t="str">
            <v>ВБбШнг 3х150+1х70</v>
          </cell>
          <cell r="GF751">
            <v>1795.77</v>
          </cell>
          <cell r="GG751">
            <v>1632.52</v>
          </cell>
        </row>
        <row r="752">
          <cell r="A752" t="str">
            <v>ВБбШнг 3х185+1х95</v>
          </cell>
          <cell r="GF752">
            <v>2248.2800000000002</v>
          </cell>
          <cell r="GG752">
            <v>2043.89</v>
          </cell>
        </row>
        <row r="753">
          <cell r="A753" t="str">
            <v>ВБбШнг 4х 2,5</v>
          </cell>
          <cell r="GF753">
            <v>63.67</v>
          </cell>
          <cell r="GG753">
            <v>57.88</v>
          </cell>
        </row>
        <row r="754">
          <cell r="A754" t="str">
            <v>ВБбШнг 4х 4</v>
          </cell>
          <cell r="GF754">
            <v>84.97</v>
          </cell>
          <cell r="GG754">
            <v>77.25</v>
          </cell>
        </row>
        <row r="755">
          <cell r="A755" t="str">
            <v>ВБбШнг 4х 6</v>
          </cell>
          <cell r="GF755">
            <v>110.94</v>
          </cell>
          <cell r="GG755">
            <v>100.85</v>
          </cell>
        </row>
        <row r="756">
          <cell r="A756" t="str">
            <v>ВБбШнг 4х 10</v>
          </cell>
          <cell r="GF756">
            <v>170.72</v>
          </cell>
          <cell r="GG756">
            <v>155.19999999999999</v>
          </cell>
        </row>
        <row r="757">
          <cell r="A757" t="str">
            <v>ВБбШнг 4х 16</v>
          </cell>
          <cell r="GF757">
            <v>244.91</v>
          </cell>
          <cell r="GG757">
            <v>222.64</v>
          </cell>
        </row>
        <row r="758">
          <cell r="A758" t="str">
            <v>ВБбШнг 4х 25</v>
          </cell>
          <cell r="GF758">
            <v>370.44</v>
          </cell>
          <cell r="GG758">
            <v>336.76</v>
          </cell>
        </row>
        <row r="759">
          <cell r="A759" t="str">
            <v>ВБбШнг 4х 35</v>
          </cell>
          <cell r="GF759">
            <v>505.88</v>
          </cell>
          <cell r="GG759">
            <v>459.89</v>
          </cell>
        </row>
        <row r="760">
          <cell r="A760" t="str">
            <v>ВБбШнг 4х 50</v>
          </cell>
          <cell r="GF760">
            <v>678.93</v>
          </cell>
          <cell r="GG760">
            <v>617.20000000000005</v>
          </cell>
        </row>
        <row r="761">
          <cell r="A761" t="str">
            <v>ВБбШнг 4х 70</v>
          </cell>
          <cell r="GF761">
            <v>1001.2</v>
          </cell>
          <cell r="GG761">
            <v>910.19</v>
          </cell>
        </row>
        <row r="762">
          <cell r="A762" t="str">
            <v>ВБбШнг 4х 95</v>
          </cell>
          <cell r="GF762">
            <v>1333.14</v>
          </cell>
          <cell r="GG762">
            <v>1211.95</v>
          </cell>
        </row>
        <row r="763">
          <cell r="A763" t="str">
            <v>ВБбШнг 4х120</v>
          </cell>
          <cell r="GF763">
            <v>1652.67</v>
          </cell>
          <cell r="GG763">
            <v>1502.43</v>
          </cell>
        </row>
        <row r="764">
          <cell r="A764" t="str">
            <v>ВБбШнг 4х150</v>
          </cell>
          <cell r="GF764">
            <v>2045.38</v>
          </cell>
          <cell r="GG764">
            <v>1859.44</v>
          </cell>
        </row>
        <row r="765">
          <cell r="A765" t="str">
            <v>ВБбШнг 4х185</v>
          </cell>
          <cell r="GF765">
            <v>2531.62</v>
          </cell>
          <cell r="GG765">
            <v>2301.4699999999998</v>
          </cell>
        </row>
        <row r="766">
          <cell r="A766" t="str">
            <v>ВБбШнг 4х240</v>
          </cell>
          <cell r="GF766">
            <v>3405.71</v>
          </cell>
          <cell r="GG766">
            <v>3096.1</v>
          </cell>
        </row>
        <row r="767">
          <cell r="A767" t="str">
            <v>ВБбШнг 5х6</v>
          </cell>
          <cell r="GF767">
            <v>135.55000000000001</v>
          </cell>
          <cell r="GG767">
            <v>123.23</v>
          </cell>
        </row>
        <row r="768">
          <cell r="A768" t="str">
            <v>ВБбШнг 5х10</v>
          </cell>
          <cell r="GF768">
            <v>212.7</v>
          </cell>
          <cell r="GG768">
            <v>193.36</v>
          </cell>
        </row>
        <row r="769">
          <cell r="A769" t="str">
            <v>ВБбШнг 5х16</v>
          </cell>
          <cell r="GF769">
            <v>307.87</v>
          </cell>
          <cell r="GG769">
            <v>279.88</v>
          </cell>
        </row>
        <row r="770">
          <cell r="A770" t="str">
            <v>ВБбШнг 5х25</v>
          </cell>
          <cell r="GF770">
            <v>464.15</v>
          </cell>
          <cell r="GG770">
            <v>421.95</v>
          </cell>
        </row>
        <row r="771">
          <cell r="A771" t="str">
            <v>ВБбШнг 5х35</v>
          </cell>
          <cell r="GF771">
            <v>621.63</v>
          </cell>
          <cell r="GG771">
            <v>565.12</v>
          </cell>
        </row>
        <row r="772">
          <cell r="A772" t="str">
            <v>ВБбШнг 5х50</v>
          </cell>
          <cell r="GF772">
            <v>932.14</v>
          </cell>
          <cell r="GG772">
            <v>847.4</v>
          </cell>
        </row>
        <row r="773">
          <cell r="A773" t="str">
            <v>ВБбШнг 5х70</v>
          </cell>
          <cell r="GF773">
            <v>1262.8800000000001</v>
          </cell>
          <cell r="GG773">
            <v>1148.07</v>
          </cell>
        </row>
        <row r="774">
          <cell r="A774" t="str">
            <v>ВБбШнг 5х95</v>
          </cell>
          <cell r="GF774">
            <v>1686.84</v>
          </cell>
          <cell r="GG774">
            <v>1533.49</v>
          </cell>
        </row>
        <row r="775">
          <cell r="A775" t="str">
            <v>ВБбШнг 5х120</v>
          </cell>
          <cell r="GF775">
            <v>2094.63</v>
          </cell>
          <cell r="GG775">
            <v>1904.21</v>
          </cell>
        </row>
        <row r="776">
          <cell r="A776" t="str">
            <v xml:space="preserve"> Кабель алюминиевый силовой (АВВГ, АВВГп, АВВГнг, АВВГнг-п, АВВГнг-LS)</v>
          </cell>
        </row>
        <row r="777">
          <cell r="A777" t="str">
            <v>АВВГ 1х  2,5</v>
          </cell>
          <cell r="GF777">
            <v>2.94</v>
          </cell>
          <cell r="GG777">
            <v>2.67</v>
          </cell>
        </row>
        <row r="778">
          <cell r="A778" t="str">
            <v>АВВГ 1х  4</v>
          </cell>
          <cell r="GF778">
            <v>4</v>
          </cell>
          <cell r="GG778">
            <v>3.64</v>
          </cell>
        </row>
        <row r="779">
          <cell r="A779" t="str">
            <v>АВВГ 1х  6</v>
          </cell>
          <cell r="GF779">
            <v>5.53</v>
          </cell>
          <cell r="GG779">
            <v>5.03</v>
          </cell>
        </row>
        <row r="780">
          <cell r="A780" t="str">
            <v>АВВГ 1х 10</v>
          </cell>
          <cell r="GF780">
            <v>7.74</v>
          </cell>
          <cell r="GG780">
            <v>7.03</v>
          </cell>
        </row>
        <row r="781">
          <cell r="A781" t="str">
            <v>АВВГ 1х 16</v>
          </cell>
          <cell r="GF781">
            <v>11.49</v>
          </cell>
          <cell r="GG781">
            <v>10.45</v>
          </cell>
        </row>
        <row r="782">
          <cell r="A782" t="str">
            <v>АВВГ 1х 25</v>
          </cell>
          <cell r="GF782">
            <v>16.79</v>
          </cell>
          <cell r="GG782">
            <v>15.27</v>
          </cell>
        </row>
        <row r="783">
          <cell r="A783" t="str">
            <v>АВВГ 1х 35</v>
          </cell>
          <cell r="GF783">
            <v>21.46</v>
          </cell>
          <cell r="GG783">
            <v>19.510000000000002</v>
          </cell>
        </row>
        <row r="784">
          <cell r="A784" t="str">
            <v>АВВГ 1х 50</v>
          </cell>
          <cell r="GF784">
            <v>29.48</v>
          </cell>
          <cell r="GG784">
            <v>26.8</v>
          </cell>
        </row>
        <row r="785">
          <cell r="A785" t="str">
            <v>АВВГ 1х 70</v>
          </cell>
          <cell r="GF785">
            <v>39.6</v>
          </cell>
          <cell r="GG785">
            <v>36</v>
          </cell>
        </row>
        <row r="786">
          <cell r="A786" t="str">
            <v>АВВГ 1х 95</v>
          </cell>
          <cell r="GF786">
            <v>47.88</v>
          </cell>
          <cell r="GG786">
            <v>43.53</v>
          </cell>
        </row>
        <row r="787">
          <cell r="A787" t="str">
            <v>АВВГ 1х120</v>
          </cell>
          <cell r="GF787">
            <v>63.07</v>
          </cell>
          <cell r="GG787">
            <v>57.34</v>
          </cell>
        </row>
        <row r="788">
          <cell r="A788" t="str">
            <v>АВВГ 1х150</v>
          </cell>
          <cell r="GF788">
            <v>76.66</v>
          </cell>
          <cell r="GG788">
            <v>69.69</v>
          </cell>
        </row>
        <row r="789">
          <cell r="A789" t="str">
            <v>АВВГ 1х185</v>
          </cell>
          <cell r="GF789">
            <v>111.6</v>
          </cell>
          <cell r="GG789">
            <v>101.46</v>
          </cell>
        </row>
        <row r="790">
          <cell r="A790" t="str">
            <v>АВВГ 1х240</v>
          </cell>
          <cell r="GF790">
            <v>139.47999999999999</v>
          </cell>
          <cell r="GG790">
            <v>126.8</v>
          </cell>
        </row>
        <row r="791">
          <cell r="A791" t="str">
            <v>АВВГп 2х 2,5</v>
          </cell>
          <cell r="GF791">
            <v>4.53</v>
          </cell>
          <cell r="GG791">
            <v>4.04</v>
          </cell>
        </row>
        <row r="792">
          <cell r="A792" t="str">
            <v>АВВГп 2х 4</v>
          </cell>
          <cell r="GF792">
            <v>6.3</v>
          </cell>
          <cell r="GG792">
            <v>5.53</v>
          </cell>
        </row>
        <row r="793">
          <cell r="A793" t="str">
            <v>АВВГп 2х 6</v>
          </cell>
          <cell r="GF793">
            <v>8.1999999999999993</v>
          </cell>
          <cell r="GG793">
            <v>7.45</v>
          </cell>
        </row>
        <row r="794">
          <cell r="A794" t="str">
            <v>АВВГп 2х10</v>
          </cell>
          <cell r="GF794">
            <v>12.83</v>
          </cell>
          <cell r="GG794">
            <v>11.56</v>
          </cell>
        </row>
        <row r="795">
          <cell r="A795" t="str">
            <v>АВВГп 2х 16</v>
          </cell>
          <cell r="GF795">
            <v>18.98</v>
          </cell>
          <cell r="GG795">
            <v>17.260000000000002</v>
          </cell>
        </row>
        <row r="796">
          <cell r="A796" t="str">
            <v>АВВГ 2х 25</v>
          </cell>
          <cell r="GF796">
            <v>34.22</v>
          </cell>
          <cell r="GG796">
            <v>31.11</v>
          </cell>
        </row>
        <row r="797">
          <cell r="A797" t="str">
            <v>АВВГ 2х 35</v>
          </cell>
          <cell r="GF797">
            <v>43.41</v>
          </cell>
          <cell r="GG797">
            <v>39.46</v>
          </cell>
        </row>
        <row r="798">
          <cell r="A798" t="str">
            <v>АВВГ 2х 50</v>
          </cell>
          <cell r="GF798">
            <v>65.33</v>
          </cell>
          <cell r="GG798">
            <v>59.39</v>
          </cell>
        </row>
        <row r="799">
          <cell r="A799" t="str">
            <v>АВВГ 2х 70</v>
          </cell>
          <cell r="GF799">
            <v>93.23</v>
          </cell>
          <cell r="GG799">
            <v>84.76</v>
          </cell>
        </row>
        <row r="800">
          <cell r="A800" t="str">
            <v>АВВГ 2х 95</v>
          </cell>
          <cell r="GF800">
            <v>102.55</v>
          </cell>
          <cell r="GG800">
            <v>93.23</v>
          </cell>
        </row>
        <row r="801">
          <cell r="A801" t="str">
            <v>АВВГ 2х120</v>
          </cell>
          <cell r="GF801">
            <v>136.38</v>
          </cell>
          <cell r="GG801">
            <v>123.98</v>
          </cell>
        </row>
        <row r="802">
          <cell r="A802" t="str">
            <v>АВВГ 2х150</v>
          </cell>
          <cell r="GF802">
            <v>164.99</v>
          </cell>
          <cell r="GG802">
            <v>149.99</v>
          </cell>
        </row>
        <row r="803">
          <cell r="A803" t="str">
            <v>АВВГ 2х185</v>
          </cell>
          <cell r="GF803">
            <v>234.74</v>
          </cell>
          <cell r="GG803">
            <v>213.4</v>
          </cell>
        </row>
        <row r="804">
          <cell r="A804" t="str">
            <v>АВВГ 2х240</v>
          </cell>
          <cell r="GF804">
            <v>292.95999999999998</v>
          </cell>
          <cell r="GG804">
            <v>266.33</v>
          </cell>
        </row>
        <row r="805">
          <cell r="A805" t="str">
            <v>АВВГп 3х2,5</v>
          </cell>
          <cell r="GF805">
            <v>6.65</v>
          </cell>
          <cell r="GG805">
            <v>5.79</v>
          </cell>
        </row>
        <row r="806">
          <cell r="A806" t="str">
            <v>АВВГп 3х4</v>
          </cell>
          <cell r="GF806">
            <v>9.17</v>
          </cell>
          <cell r="GG806">
            <v>7.97</v>
          </cell>
        </row>
        <row r="807">
          <cell r="A807" t="str">
            <v>АВВГп 3х6</v>
          </cell>
          <cell r="GF807">
            <v>11.91</v>
          </cell>
          <cell r="GG807">
            <v>10.83</v>
          </cell>
        </row>
        <row r="808">
          <cell r="A808" t="str">
            <v>АВВГ 3х6</v>
          </cell>
          <cell r="GF808">
            <v>12.55</v>
          </cell>
          <cell r="GG808">
            <v>11.41</v>
          </cell>
        </row>
        <row r="809">
          <cell r="A809" t="str">
            <v>АВВГ 3х10</v>
          </cell>
          <cell r="GF809">
            <v>19.010000000000002</v>
          </cell>
          <cell r="GG809">
            <v>17.29</v>
          </cell>
        </row>
        <row r="810">
          <cell r="A810" t="str">
            <v>АВВГ 3х 16</v>
          </cell>
          <cell r="GF810">
            <v>26.8</v>
          </cell>
          <cell r="GG810">
            <v>24.36</v>
          </cell>
        </row>
        <row r="811">
          <cell r="A811" t="str">
            <v>АВВГ 3х 25</v>
          </cell>
          <cell r="GF811">
            <v>47.18</v>
          </cell>
          <cell r="GG811">
            <v>42.89</v>
          </cell>
        </row>
        <row r="812">
          <cell r="A812" t="str">
            <v>АВВГ 3х 35</v>
          </cell>
          <cell r="GF812">
            <v>60.43</v>
          </cell>
          <cell r="GG812">
            <v>54.94</v>
          </cell>
        </row>
        <row r="813">
          <cell r="A813" t="str">
            <v>АВВГ 3х 50</v>
          </cell>
          <cell r="GF813">
            <v>82.58</v>
          </cell>
          <cell r="GG813">
            <v>75.069999999999993</v>
          </cell>
        </row>
        <row r="814">
          <cell r="A814" t="str">
            <v>АВВГ 3х 70</v>
          </cell>
          <cell r="GF814">
            <v>131.91999999999999</v>
          </cell>
          <cell r="GG814">
            <v>119.93</v>
          </cell>
        </row>
        <row r="815">
          <cell r="A815" t="str">
            <v>АВВГ 3х 95</v>
          </cell>
          <cell r="GF815">
            <v>177.54</v>
          </cell>
          <cell r="GG815">
            <v>161.4</v>
          </cell>
        </row>
        <row r="816">
          <cell r="A816" t="str">
            <v>АВВГ 3х120</v>
          </cell>
          <cell r="GF816">
            <v>216.23</v>
          </cell>
          <cell r="GG816">
            <v>196.58</v>
          </cell>
        </row>
        <row r="817">
          <cell r="A817" t="str">
            <v>АВВГ 3х150</v>
          </cell>
          <cell r="GF817">
            <v>222.8</v>
          </cell>
          <cell r="GG817">
            <v>202.54</v>
          </cell>
        </row>
        <row r="818">
          <cell r="A818" t="str">
            <v>АВВГ 3х185</v>
          </cell>
          <cell r="GF818">
            <v>337.3</v>
          </cell>
          <cell r="GG818">
            <v>306.63</v>
          </cell>
        </row>
        <row r="819">
          <cell r="A819" t="str">
            <v>АВВГ 3х240</v>
          </cell>
          <cell r="GF819">
            <v>426.38</v>
          </cell>
          <cell r="GG819">
            <v>387.62</v>
          </cell>
        </row>
        <row r="820">
          <cell r="A820" t="str">
            <v>АВВГ 3х  4+1х2,5</v>
          </cell>
          <cell r="GF820">
            <v>11.27</v>
          </cell>
          <cell r="GG820">
            <v>10.25</v>
          </cell>
        </row>
        <row r="821">
          <cell r="A821" t="str">
            <v>АВВГ 3х  6+1х4</v>
          </cell>
          <cell r="GF821">
            <v>14.31</v>
          </cell>
          <cell r="GG821">
            <v>13.01</v>
          </cell>
        </row>
        <row r="822">
          <cell r="A822" t="str">
            <v>АВВГ 3х 10+1х6</v>
          </cell>
          <cell r="GF822">
            <v>22.13</v>
          </cell>
          <cell r="GG822">
            <v>20.12</v>
          </cell>
        </row>
        <row r="823">
          <cell r="A823" t="str">
            <v>АВВГ 3х 16+1х6</v>
          </cell>
          <cell r="GF823">
            <v>32.880000000000003</v>
          </cell>
          <cell r="GG823">
            <v>29.89</v>
          </cell>
        </row>
        <row r="824">
          <cell r="A824" t="str">
            <v>АВВГ 3х 16+1х10</v>
          </cell>
          <cell r="GF824">
            <v>32.880000000000003</v>
          </cell>
          <cell r="GG824">
            <v>29.89</v>
          </cell>
        </row>
        <row r="825">
          <cell r="A825" t="str">
            <v>АВВГ 3х 25+1х16</v>
          </cell>
          <cell r="GF825">
            <v>49.77</v>
          </cell>
          <cell r="GG825">
            <v>45.24</v>
          </cell>
        </row>
        <row r="826">
          <cell r="A826" t="str">
            <v>АВВГ 3х 35+1х16</v>
          </cell>
          <cell r="GF826">
            <v>63.75</v>
          </cell>
          <cell r="GG826">
            <v>57.95</v>
          </cell>
        </row>
        <row r="827">
          <cell r="A827" t="str">
            <v>АВВГ 3х 50+1х25</v>
          </cell>
          <cell r="GF827">
            <v>87.39</v>
          </cell>
          <cell r="GG827">
            <v>79.45</v>
          </cell>
        </row>
        <row r="828">
          <cell r="A828" t="str">
            <v>АВВГ 3х 70+1х25</v>
          </cell>
          <cell r="GF828">
            <v>131.46</v>
          </cell>
          <cell r="GG828">
            <v>119.5</v>
          </cell>
        </row>
        <row r="829">
          <cell r="A829" t="str">
            <v>АВВГ 3х 70+1х35</v>
          </cell>
          <cell r="GF829">
            <v>132.29</v>
          </cell>
          <cell r="GG829">
            <v>120.26</v>
          </cell>
        </row>
        <row r="830">
          <cell r="A830" t="str">
            <v>АВВГ 3х 95+1х35</v>
          </cell>
          <cell r="GF830">
            <v>166.05</v>
          </cell>
          <cell r="GG830">
            <v>150.94999999999999</v>
          </cell>
        </row>
        <row r="831">
          <cell r="A831" t="str">
            <v>АВВГ 3х 95+1х50</v>
          </cell>
          <cell r="GF831">
            <v>169.55</v>
          </cell>
          <cell r="GG831">
            <v>154.13999999999999</v>
          </cell>
        </row>
        <row r="832">
          <cell r="A832" t="str">
            <v>АВВГ 3х120+1х35</v>
          </cell>
          <cell r="GF832">
            <v>204.93</v>
          </cell>
          <cell r="GG832">
            <v>186.3</v>
          </cell>
        </row>
        <row r="833">
          <cell r="A833" t="str">
            <v>АВВГ 3х120+1х70</v>
          </cell>
          <cell r="GF833">
            <v>219.33</v>
          </cell>
          <cell r="GG833">
            <v>199.39</v>
          </cell>
        </row>
        <row r="834">
          <cell r="A834" t="str">
            <v>АВВГ 3х150+1х70</v>
          </cell>
          <cell r="GF834">
            <v>264.67</v>
          </cell>
          <cell r="GG834">
            <v>240.61</v>
          </cell>
        </row>
        <row r="835">
          <cell r="A835" t="str">
            <v>АВВГ 3х185+1х95</v>
          </cell>
          <cell r="GF835">
            <v>380.77</v>
          </cell>
          <cell r="GG835">
            <v>346.15</v>
          </cell>
        </row>
        <row r="836">
          <cell r="A836" t="str">
            <v>АВВГ 3х240+1х120</v>
          </cell>
          <cell r="GF836">
            <v>480.92</v>
          </cell>
          <cell r="GG836">
            <v>437.2</v>
          </cell>
        </row>
        <row r="837">
          <cell r="A837" t="str">
            <v>АВВГ 4х  2,5</v>
          </cell>
          <cell r="GF837">
            <v>8.1999999999999993</v>
          </cell>
          <cell r="GG837">
            <v>7.45</v>
          </cell>
        </row>
        <row r="838">
          <cell r="A838" t="str">
            <v>АВВГ 4х  4</v>
          </cell>
          <cell r="GF838">
            <v>12.09</v>
          </cell>
          <cell r="GG838">
            <v>10.99</v>
          </cell>
        </row>
        <row r="839">
          <cell r="A839" t="str">
            <v>АВВГ 4х  6</v>
          </cell>
          <cell r="GF839">
            <v>15.84</v>
          </cell>
          <cell r="GG839">
            <v>14.4</v>
          </cell>
        </row>
        <row r="840">
          <cell r="A840" t="str">
            <v>АВВГ 4х 10</v>
          </cell>
          <cell r="GF840">
            <v>24.31</v>
          </cell>
          <cell r="GG840">
            <v>22.1</v>
          </cell>
        </row>
        <row r="841">
          <cell r="A841" t="str">
            <v>АВВГ 4х 16</v>
          </cell>
          <cell r="GF841">
            <v>35.5</v>
          </cell>
          <cell r="GG841">
            <v>32.270000000000003</v>
          </cell>
        </row>
        <row r="842">
          <cell r="A842" t="str">
            <v>АВВГ 4х 25</v>
          </cell>
          <cell r="GF842">
            <v>54.69</v>
          </cell>
          <cell r="GG842">
            <v>49.72</v>
          </cell>
        </row>
        <row r="843">
          <cell r="A843" t="str">
            <v>АВВГ 4х 35</v>
          </cell>
          <cell r="GF843">
            <v>70.98</v>
          </cell>
          <cell r="GG843">
            <v>64.53</v>
          </cell>
        </row>
        <row r="844">
          <cell r="A844" t="str">
            <v>АВВГ 4х 50</v>
          </cell>
          <cell r="GF844">
            <v>97.42</v>
          </cell>
          <cell r="GG844">
            <v>88.56</v>
          </cell>
        </row>
        <row r="845">
          <cell r="A845" t="str">
            <v>АВВГ 4х 70</v>
          </cell>
          <cell r="GF845">
            <v>153.68</v>
          </cell>
          <cell r="GG845">
            <v>139.71</v>
          </cell>
        </row>
        <row r="846">
          <cell r="A846" t="str">
            <v>АВВГ 4х 95</v>
          </cell>
          <cell r="GF846">
            <v>204.51</v>
          </cell>
          <cell r="GG846">
            <v>185.91</v>
          </cell>
        </row>
        <row r="847">
          <cell r="A847" t="str">
            <v>АВВГ 4х120</v>
          </cell>
          <cell r="GF847">
            <v>252.18</v>
          </cell>
          <cell r="GG847">
            <v>229.25</v>
          </cell>
        </row>
        <row r="848">
          <cell r="A848" t="str">
            <v>АВВГ 4х150</v>
          </cell>
          <cell r="GF848">
            <v>305.49</v>
          </cell>
          <cell r="GG848">
            <v>277.72000000000003</v>
          </cell>
        </row>
        <row r="849">
          <cell r="A849" t="str">
            <v>АВВГ 4х185</v>
          </cell>
          <cell r="GF849">
            <v>376.26</v>
          </cell>
          <cell r="GG849">
            <v>342.05</v>
          </cell>
        </row>
        <row r="850">
          <cell r="A850" t="str">
            <v>АВВГ 4х240</v>
          </cell>
          <cell r="GF850">
            <v>488.27</v>
          </cell>
          <cell r="GG850">
            <v>443.88</v>
          </cell>
        </row>
        <row r="851">
          <cell r="A851" t="str">
            <v>АВВГ 5х  2,5</v>
          </cell>
          <cell r="GF851">
            <v>10.41</v>
          </cell>
          <cell r="GG851">
            <v>9.4600000000000009</v>
          </cell>
        </row>
        <row r="852">
          <cell r="A852" t="str">
            <v>АВВГ 5х  4</v>
          </cell>
          <cell r="GF852">
            <v>14.69</v>
          </cell>
          <cell r="GG852">
            <v>13.35</v>
          </cell>
        </row>
        <row r="853">
          <cell r="A853" t="str">
            <v>АВВГ 5х  6</v>
          </cell>
          <cell r="GF853">
            <v>19.510000000000002</v>
          </cell>
          <cell r="GG853">
            <v>17.73</v>
          </cell>
        </row>
        <row r="854">
          <cell r="A854" t="str">
            <v>АВВГ 5х 10</v>
          </cell>
          <cell r="GF854">
            <v>29.96</v>
          </cell>
          <cell r="GG854">
            <v>27.24</v>
          </cell>
        </row>
        <row r="855">
          <cell r="A855" t="str">
            <v>АВВГ 5х 16</v>
          </cell>
          <cell r="GF855">
            <v>44.35</v>
          </cell>
          <cell r="GG855">
            <v>40.31</v>
          </cell>
        </row>
        <row r="856">
          <cell r="A856" t="str">
            <v>АВВГ 5х 25</v>
          </cell>
          <cell r="GF856">
            <v>67.27</v>
          </cell>
          <cell r="GG856">
            <v>61.15</v>
          </cell>
        </row>
        <row r="857">
          <cell r="A857" t="str">
            <v>АВВГ 5х 35</v>
          </cell>
          <cell r="GF857">
            <v>90.98</v>
          </cell>
          <cell r="GG857">
            <v>82.71</v>
          </cell>
        </row>
        <row r="858">
          <cell r="A858" t="str">
            <v>АВВГ 5х 50</v>
          </cell>
          <cell r="GF858">
            <v>124.34</v>
          </cell>
          <cell r="GG858">
            <v>113.04</v>
          </cell>
        </row>
        <row r="859">
          <cell r="A859" t="str">
            <v>АВВГ 5х 70</v>
          </cell>
          <cell r="GF859">
            <v>197.73</v>
          </cell>
          <cell r="GG859">
            <v>179.76</v>
          </cell>
        </row>
        <row r="860">
          <cell r="A860" t="str">
            <v>АВВГ 5х 95</v>
          </cell>
          <cell r="GF860">
            <v>278.06</v>
          </cell>
          <cell r="GG860">
            <v>252.78</v>
          </cell>
        </row>
        <row r="861">
          <cell r="A861" t="str">
            <v>АВВГ 5х120</v>
          </cell>
          <cell r="GF861">
            <v>341.67</v>
          </cell>
          <cell r="GG861">
            <v>310.61</v>
          </cell>
        </row>
        <row r="862">
          <cell r="A862" t="str">
            <v>АВВГ 5х150</v>
          </cell>
          <cell r="GF862">
            <v>413.8</v>
          </cell>
          <cell r="GG862">
            <v>376.18</v>
          </cell>
        </row>
        <row r="863">
          <cell r="A863" t="str">
            <v>АВВГ 5х185</v>
          </cell>
          <cell r="GF863">
            <v>464.04</v>
          </cell>
          <cell r="GG863">
            <v>421.86</v>
          </cell>
        </row>
        <row r="864">
          <cell r="A864" t="str">
            <v>АВВГнг 1х  2,5</v>
          </cell>
          <cell r="GF864">
            <v>3.99</v>
          </cell>
          <cell r="GG864">
            <v>3.63</v>
          </cell>
        </row>
        <row r="865">
          <cell r="A865" t="str">
            <v>АВВГнг 1х  4</v>
          </cell>
          <cell r="GF865">
            <v>5.28</v>
          </cell>
          <cell r="GG865">
            <v>4.8</v>
          </cell>
        </row>
        <row r="866">
          <cell r="A866" t="str">
            <v>АВВГнг 1х  6</v>
          </cell>
          <cell r="GF866">
            <v>6.23</v>
          </cell>
          <cell r="GG866">
            <v>5.66</v>
          </cell>
        </row>
        <row r="867">
          <cell r="A867" t="str">
            <v>АВВГнг 1х 10</v>
          </cell>
          <cell r="GF867">
            <v>9.41</v>
          </cell>
          <cell r="GG867">
            <v>8.56</v>
          </cell>
        </row>
        <row r="868">
          <cell r="A868" t="str">
            <v>АВВГнг 1х 16</v>
          </cell>
          <cell r="GF868">
            <v>13.63</v>
          </cell>
          <cell r="GG868">
            <v>12.39</v>
          </cell>
        </row>
        <row r="869">
          <cell r="A869" t="str">
            <v>АВВГнг 1х 25</v>
          </cell>
          <cell r="GF869">
            <v>19.350000000000001</v>
          </cell>
          <cell r="GG869">
            <v>17.59</v>
          </cell>
        </row>
        <row r="870">
          <cell r="A870" t="str">
            <v>АВВГнг 1х 35</v>
          </cell>
          <cell r="GF870">
            <v>23.81</v>
          </cell>
          <cell r="GG870">
            <v>21.64</v>
          </cell>
        </row>
        <row r="871">
          <cell r="A871" t="str">
            <v>АВВГнг 1х 50</v>
          </cell>
          <cell r="GF871">
            <v>30.79</v>
          </cell>
          <cell r="GG871">
            <v>27.99</v>
          </cell>
        </row>
        <row r="872">
          <cell r="A872" t="str">
            <v>АВВГнг 1х 70</v>
          </cell>
          <cell r="GF872">
            <v>41.23</v>
          </cell>
          <cell r="GG872">
            <v>37.479999999999997</v>
          </cell>
        </row>
        <row r="873">
          <cell r="A873" t="str">
            <v>АВВГнг 1х 95</v>
          </cell>
          <cell r="GF873">
            <v>53.22</v>
          </cell>
          <cell r="GG873">
            <v>48.38</v>
          </cell>
        </row>
        <row r="874">
          <cell r="A874" t="str">
            <v>АВВГнг 1х120</v>
          </cell>
          <cell r="GF874">
            <v>64.23</v>
          </cell>
          <cell r="GG874">
            <v>58.39</v>
          </cell>
        </row>
        <row r="875">
          <cell r="A875" t="str">
            <v>АВВГнг 1х150</v>
          </cell>
          <cell r="GF875">
            <v>77.61</v>
          </cell>
          <cell r="GG875">
            <v>70.56</v>
          </cell>
        </row>
        <row r="876">
          <cell r="A876" t="str">
            <v>АВВГнг 1х185</v>
          </cell>
          <cell r="GF876">
            <v>93.51</v>
          </cell>
          <cell r="GG876">
            <v>85.01</v>
          </cell>
        </row>
        <row r="877">
          <cell r="A877" t="str">
            <v>АВВГнг 1х240</v>
          </cell>
          <cell r="GF877">
            <v>138.11000000000001</v>
          </cell>
          <cell r="GG877">
            <v>125.56</v>
          </cell>
        </row>
        <row r="878">
          <cell r="A878" t="str">
            <v>АВВГнг-п 2х  2,5</v>
          </cell>
          <cell r="GF878">
            <v>5.73</v>
          </cell>
          <cell r="GG878">
            <v>5.21</v>
          </cell>
        </row>
        <row r="879">
          <cell r="A879" t="str">
            <v>АВВГнг-п 2х  4</v>
          </cell>
          <cell r="GF879">
            <v>7.83</v>
          </cell>
          <cell r="GG879">
            <v>7.12</v>
          </cell>
        </row>
        <row r="880">
          <cell r="A880" t="str">
            <v>АВВГнг-п 2х  6</v>
          </cell>
          <cell r="GF880">
            <v>9.98</v>
          </cell>
          <cell r="GG880">
            <v>9.07</v>
          </cell>
        </row>
        <row r="881">
          <cell r="A881" t="str">
            <v>АВВГнг-п 2х 10</v>
          </cell>
          <cell r="GF881">
            <v>15.45</v>
          </cell>
          <cell r="GG881">
            <v>14.05</v>
          </cell>
        </row>
        <row r="882">
          <cell r="A882" t="str">
            <v>АВВГнг-п 2х 16</v>
          </cell>
          <cell r="GF882">
            <v>23.09</v>
          </cell>
          <cell r="GG882">
            <v>20.99</v>
          </cell>
        </row>
        <row r="883">
          <cell r="A883" t="str">
            <v>АВВГнг 2х 25</v>
          </cell>
          <cell r="GF883">
            <v>37.25</v>
          </cell>
          <cell r="GG883">
            <v>33.86</v>
          </cell>
        </row>
        <row r="884">
          <cell r="A884" t="str">
            <v>АВВГнг 2х 35</v>
          </cell>
          <cell r="GF884">
            <v>53.9</v>
          </cell>
          <cell r="GG884">
            <v>49</v>
          </cell>
        </row>
        <row r="885">
          <cell r="A885" t="str">
            <v>АВВГнг 2х 50</v>
          </cell>
          <cell r="GF885">
            <v>70.47</v>
          </cell>
          <cell r="GG885">
            <v>64.06</v>
          </cell>
        </row>
        <row r="886">
          <cell r="A886" t="str">
            <v>АВВГнг 2х 70</v>
          </cell>
          <cell r="GF886">
            <v>99.59</v>
          </cell>
          <cell r="GG886">
            <v>90.54</v>
          </cell>
        </row>
        <row r="887">
          <cell r="A887" t="str">
            <v>АВВГнг 2х 95</v>
          </cell>
          <cell r="GF887">
            <v>130.16999999999999</v>
          </cell>
          <cell r="GG887">
            <v>118.34</v>
          </cell>
        </row>
        <row r="888">
          <cell r="A888" t="str">
            <v>АВВГнг 2х120</v>
          </cell>
          <cell r="GF888">
            <v>160.32</v>
          </cell>
          <cell r="GG888">
            <v>145.75</v>
          </cell>
        </row>
        <row r="889">
          <cell r="A889" t="str">
            <v>АВВГнг 2х150</v>
          </cell>
          <cell r="GF889">
            <v>195.47</v>
          </cell>
          <cell r="GG889">
            <v>177.7</v>
          </cell>
        </row>
        <row r="890">
          <cell r="A890" t="str">
            <v>АВВГнг 2х185</v>
          </cell>
          <cell r="GF890">
            <v>247.24</v>
          </cell>
          <cell r="GG890">
            <v>224.77</v>
          </cell>
        </row>
        <row r="891">
          <cell r="A891" t="str">
            <v>АВВГнг 2х240</v>
          </cell>
          <cell r="GF891">
            <v>306.99</v>
          </cell>
          <cell r="GG891">
            <v>279.08999999999997</v>
          </cell>
        </row>
        <row r="892">
          <cell r="A892" t="str">
            <v>АВВГнг-п 3х  2,5</v>
          </cell>
          <cell r="GF892">
            <v>8.5500000000000007</v>
          </cell>
          <cell r="GG892">
            <v>7.77</v>
          </cell>
        </row>
        <row r="893">
          <cell r="A893" t="str">
            <v>АВВГнг-п 3х  4</v>
          </cell>
          <cell r="GF893">
            <v>11.62</v>
          </cell>
          <cell r="GG893">
            <v>10.57</v>
          </cell>
        </row>
        <row r="894">
          <cell r="A894" t="str">
            <v>АВВГнг-п 3х  6</v>
          </cell>
          <cell r="GF894">
            <v>16.899999999999999</v>
          </cell>
          <cell r="GG894">
            <v>15.37</v>
          </cell>
        </row>
        <row r="895">
          <cell r="A895" t="str">
            <v>АВВГнг 3х  2,5</v>
          </cell>
          <cell r="GF895">
            <v>9.52</v>
          </cell>
          <cell r="GG895">
            <v>8.65</v>
          </cell>
        </row>
        <row r="896">
          <cell r="A896" t="str">
            <v>АВВГнг 3х  4</v>
          </cell>
          <cell r="GF896">
            <v>11.82</v>
          </cell>
          <cell r="GG896">
            <v>10.75</v>
          </cell>
        </row>
        <row r="897">
          <cell r="A897" t="str">
            <v>АВВГнг 3х  6</v>
          </cell>
          <cell r="GF897">
            <v>15.33</v>
          </cell>
          <cell r="GG897">
            <v>13.93</v>
          </cell>
        </row>
        <row r="898">
          <cell r="A898" t="str">
            <v>АВВГнг 3х 10</v>
          </cell>
          <cell r="GF898">
            <v>24.28</v>
          </cell>
          <cell r="GG898">
            <v>22.07</v>
          </cell>
        </row>
        <row r="899">
          <cell r="A899" t="str">
            <v>АВВГнг 3х 16</v>
          </cell>
          <cell r="GF899">
            <v>34.29</v>
          </cell>
          <cell r="GG899">
            <v>31.17</v>
          </cell>
        </row>
        <row r="900">
          <cell r="A900" t="str">
            <v>АВВГнг 3х 25</v>
          </cell>
          <cell r="GF900">
            <v>50.17</v>
          </cell>
          <cell r="GG900">
            <v>45.61</v>
          </cell>
        </row>
        <row r="901">
          <cell r="A901" t="str">
            <v>АВВГнг 3х 35</v>
          </cell>
          <cell r="GF901">
            <v>63.61</v>
          </cell>
          <cell r="GG901">
            <v>57.83</v>
          </cell>
        </row>
        <row r="902">
          <cell r="A902" t="str">
            <v>АВВГнг 3х 50</v>
          </cell>
          <cell r="GF902">
            <v>87.68</v>
          </cell>
          <cell r="GG902">
            <v>79.709999999999994</v>
          </cell>
        </row>
        <row r="903">
          <cell r="A903" t="str">
            <v>АВВГнг 3х 70</v>
          </cell>
          <cell r="GF903">
            <v>120.36</v>
          </cell>
          <cell r="GG903">
            <v>109.42</v>
          </cell>
        </row>
        <row r="904">
          <cell r="A904" t="str">
            <v>АВВГнг 3х 95</v>
          </cell>
          <cell r="GF904">
            <v>186.05</v>
          </cell>
          <cell r="GG904">
            <v>169.14</v>
          </cell>
        </row>
        <row r="905">
          <cell r="A905" t="str">
            <v>АВВГнг 3х120</v>
          </cell>
          <cell r="GF905">
            <v>188.98</v>
          </cell>
          <cell r="GG905">
            <v>171.8</v>
          </cell>
        </row>
        <row r="906">
          <cell r="A906" t="str">
            <v>АВВГнг 3х150</v>
          </cell>
          <cell r="GF906">
            <v>280.64</v>
          </cell>
          <cell r="GG906">
            <v>255.13</v>
          </cell>
        </row>
        <row r="907">
          <cell r="A907" t="str">
            <v>АВВГнг 3х185</v>
          </cell>
          <cell r="GF907">
            <v>350.71</v>
          </cell>
          <cell r="GG907">
            <v>318.83</v>
          </cell>
        </row>
        <row r="908">
          <cell r="A908" t="str">
            <v>АВВГнг 3х240</v>
          </cell>
          <cell r="GF908">
            <v>446.55</v>
          </cell>
          <cell r="GG908">
            <v>405.95</v>
          </cell>
        </row>
        <row r="909">
          <cell r="A909" t="str">
            <v>АВВГнг 3х  4+1х2,5</v>
          </cell>
          <cell r="GF909">
            <v>15.83</v>
          </cell>
          <cell r="GG909">
            <v>14.39</v>
          </cell>
        </row>
        <row r="910">
          <cell r="A910" t="str">
            <v>АВВГнг 3х  6+1х4</v>
          </cell>
          <cell r="GF910">
            <v>19.7</v>
          </cell>
          <cell r="GG910">
            <v>17.91</v>
          </cell>
        </row>
        <row r="911">
          <cell r="A911" t="str">
            <v>АВВГнг 3х 10+1х6</v>
          </cell>
          <cell r="GF911">
            <v>30.34</v>
          </cell>
          <cell r="GG911">
            <v>27.59</v>
          </cell>
        </row>
        <row r="912">
          <cell r="A912" t="str">
            <v>АВВГнг 3х 16+1х10</v>
          </cell>
          <cell r="GF912">
            <v>40.19</v>
          </cell>
          <cell r="GG912">
            <v>36.54</v>
          </cell>
        </row>
        <row r="913">
          <cell r="A913" t="str">
            <v>АВВГнг 3х 25+1х16</v>
          </cell>
          <cell r="GF913">
            <v>58.76</v>
          </cell>
          <cell r="GG913">
            <v>53.42</v>
          </cell>
        </row>
        <row r="914">
          <cell r="A914" t="str">
            <v>АВВГнг 3х 35+1х16</v>
          </cell>
          <cell r="GF914">
            <v>84.33</v>
          </cell>
          <cell r="GG914">
            <v>76.67</v>
          </cell>
        </row>
        <row r="915">
          <cell r="A915" t="str">
            <v>АВВГнг 3х 50+1х25</v>
          </cell>
          <cell r="GF915">
            <v>111.98</v>
          </cell>
          <cell r="GG915">
            <v>101.8</v>
          </cell>
        </row>
        <row r="916">
          <cell r="A916" t="str">
            <v>АВВГнг 3х 70+1х25</v>
          </cell>
          <cell r="GF916">
            <v>149.76</v>
          </cell>
          <cell r="GG916">
            <v>136.13999999999999</v>
          </cell>
        </row>
        <row r="917">
          <cell r="A917" t="str">
            <v>АВВГнг 3х 70+1х35</v>
          </cell>
          <cell r="GF917">
            <v>139.15</v>
          </cell>
          <cell r="GG917">
            <v>126.5</v>
          </cell>
        </row>
        <row r="918">
          <cell r="A918" t="str">
            <v>АВВГнг 3х 95+1х35</v>
          </cell>
          <cell r="GF918">
            <v>179.36</v>
          </cell>
          <cell r="GG918">
            <v>163.06</v>
          </cell>
        </row>
        <row r="919">
          <cell r="A919" t="str">
            <v>АВВГнг 3х 95+1х50</v>
          </cell>
          <cell r="GF919">
            <v>188.05</v>
          </cell>
          <cell r="GG919">
            <v>170.95</v>
          </cell>
        </row>
        <row r="920">
          <cell r="A920" t="str">
            <v>АВВГнг 3х120+1х35</v>
          </cell>
          <cell r="GF920">
            <v>230.56</v>
          </cell>
          <cell r="GG920">
            <v>209.6</v>
          </cell>
        </row>
        <row r="921">
          <cell r="A921" t="str">
            <v>АВВГнг 3х120+1х70</v>
          </cell>
          <cell r="GF921">
            <v>266.36</v>
          </cell>
          <cell r="GG921">
            <v>242.15</v>
          </cell>
        </row>
        <row r="922">
          <cell r="A922" t="str">
            <v>АВВГнг 3х150+1х70</v>
          </cell>
          <cell r="GF922">
            <v>285.25</v>
          </cell>
          <cell r="GG922">
            <v>259.32</v>
          </cell>
        </row>
        <row r="923">
          <cell r="A923" t="str">
            <v>АВВГнг 3х185+1х95</v>
          </cell>
          <cell r="GF923">
            <v>393.58</v>
          </cell>
          <cell r="GG923">
            <v>357.8</v>
          </cell>
        </row>
        <row r="924">
          <cell r="A924" t="str">
            <v>АВВГнг 3х240+1х120</v>
          </cell>
          <cell r="GF924">
            <v>473.03</v>
          </cell>
          <cell r="GG924">
            <v>430.03</v>
          </cell>
        </row>
        <row r="925">
          <cell r="A925" t="str">
            <v>АВВГнг 4х  2,5</v>
          </cell>
          <cell r="GF925">
            <v>12.65</v>
          </cell>
          <cell r="GG925">
            <v>11.5</v>
          </cell>
        </row>
        <row r="926">
          <cell r="A926" t="str">
            <v>АВВГнг 4х  4</v>
          </cell>
          <cell r="GF926">
            <v>15.8</v>
          </cell>
          <cell r="GG926">
            <v>14.37</v>
          </cell>
        </row>
        <row r="927">
          <cell r="A927" t="str">
            <v>АВВГнг 4х  6</v>
          </cell>
          <cell r="GF927">
            <v>20.100000000000001</v>
          </cell>
          <cell r="GG927">
            <v>18.28</v>
          </cell>
        </row>
        <row r="928">
          <cell r="A928" t="str">
            <v>АВВГнг 4х 10</v>
          </cell>
          <cell r="GF928">
            <v>30.53</v>
          </cell>
          <cell r="GG928">
            <v>27.76</v>
          </cell>
        </row>
        <row r="929">
          <cell r="A929" t="str">
            <v>АВВГнг 4х 16</v>
          </cell>
          <cell r="GF929">
            <v>43.17</v>
          </cell>
          <cell r="GG929">
            <v>39.24</v>
          </cell>
        </row>
        <row r="930">
          <cell r="A930" t="str">
            <v>АВВГнг 4х 25</v>
          </cell>
          <cell r="GF930">
            <v>63.98</v>
          </cell>
          <cell r="GG930">
            <v>58.17</v>
          </cell>
        </row>
        <row r="931">
          <cell r="A931" t="str">
            <v>АВВГнг 4х 35</v>
          </cell>
          <cell r="GF931">
            <v>83.3</v>
          </cell>
          <cell r="GG931">
            <v>75.73</v>
          </cell>
        </row>
        <row r="932">
          <cell r="A932" t="str">
            <v>АВВГнг 4х 50</v>
          </cell>
          <cell r="GF932">
            <v>110.67</v>
          </cell>
          <cell r="GG932">
            <v>100.61</v>
          </cell>
        </row>
        <row r="933">
          <cell r="A933" t="str">
            <v>АВВГнг 4х 70</v>
          </cell>
          <cell r="GF933">
            <v>175.82</v>
          </cell>
          <cell r="GG933">
            <v>159.83000000000001</v>
          </cell>
        </row>
        <row r="934">
          <cell r="A934" t="str">
            <v>АВВГнг 4х 95</v>
          </cell>
          <cell r="GF934">
            <v>229.93</v>
          </cell>
          <cell r="GG934">
            <v>209.03</v>
          </cell>
        </row>
        <row r="935">
          <cell r="A935" t="str">
            <v>АВВГнг 4х120</v>
          </cell>
          <cell r="GF935">
            <v>274.38</v>
          </cell>
          <cell r="GG935">
            <v>249.44</v>
          </cell>
        </row>
        <row r="936">
          <cell r="A936" t="str">
            <v>АВВГнг 4х150</v>
          </cell>
          <cell r="GF936">
            <v>332.8</v>
          </cell>
          <cell r="GG936">
            <v>302.54000000000002</v>
          </cell>
        </row>
        <row r="937">
          <cell r="A937" t="str">
            <v>АВВГнг 4х185</v>
          </cell>
          <cell r="GF937">
            <v>409.91</v>
          </cell>
          <cell r="GG937">
            <v>372.64</v>
          </cell>
        </row>
        <row r="938">
          <cell r="A938" t="str">
            <v>АВВГнг 4х240</v>
          </cell>
          <cell r="GF938">
            <v>512.85</v>
          </cell>
          <cell r="GG938">
            <v>466.23</v>
          </cell>
        </row>
        <row r="939">
          <cell r="A939" t="str">
            <v>АВВГнг 5х  2,5</v>
          </cell>
          <cell r="GF939">
            <v>13.56</v>
          </cell>
          <cell r="GG939">
            <v>12.33</v>
          </cell>
        </row>
        <row r="940">
          <cell r="A940" t="str">
            <v>АВВГнг 5х  4</v>
          </cell>
          <cell r="GF940">
            <v>18.66</v>
          </cell>
          <cell r="GG940">
            <v>16.96</v>
          </cell>
        </row>
        <row r="941">
          <cell r="A941" t="str">
            <v>АВВГнг 5х  6</v>
          </cell>
          <cell r="GF941">
            <v>24.61</v>
          </cell>
          <cell r="GG941">
            <v>22.38</v>
          </cell>
        </row>
        <row r="942">
          <cell r="A942" t="str">
            <v>АВВГнг 5х 10</v>
          </cell>
          <cell r="GF942">
            <v>39.97</v>
          </cell>
          <cell r="GG942">
            <v>36.340000000000003</v>
          </cell>
        </row>
        <row r="943">
          <cell r="A943" t="str">
            <v>АВВГнг 5х 16</v>
          </cell>
          <cell r="GF943">
            <v>60.27</v>
          </cell>
          <cell r="GG943">
            <v>54.79</v>
          </cell>
        </row>
        <row r="944">
          <cell r="A944" t="str">
            <v>АВВГнг 5х 25</v>
          </cell>
          <cell r="GF944">
            <v>90.21</v>
          </cell>
          <cell r="GG944">
            <v>82.01</v>
          </cell>
        </row>
        <row r="945">
          <cell r="A945" t="str">
            <v>АВВГнг 5х 35</v>
          </cell>
          <cell r="GF945">
            <v>114.66</v>
          </cell>
          <cell r="GG945">
            <v>104.24</v>
          </cell>
        </row>
        <row r="946">
          <cell r="A946" t="str">
            <v>АВВГнг 5х 50</v>
          </cell>
          <cell r="GF946">
            <v>129.03</v>
          </cell>
          <cell r="GG946">
            <v>117.3</v>
          </cell>
        </row>
        <row r="947">
          <cell r="A947" t="str">
            <v>АВВГнг 5х 70</v>
          </cell>
          <cell r="GF947">
            <v>229.44</v>
          </cell>
          <cell r="GG947">
            <v>208.58</v>
          </cell>
        </row>
        <row r="948">
          <cell r="A948" t="str">
            <v>АВВГнг 5х 95</v>
          </cell>
          <cell r="GF948">
            <v>289.97000000000003</v>
          </cell>
          <cell r="GG948">
            <v>263.61</v>
          </cell>
        </row>
        <row r="949">
          <cell r="A949" t="str">
            <v>АВВГнг 5х120</v>
          </cell>
          <cell r="GF949">
            <v>355.9</v>
          </cell>
          <cell r="GG949">
            <v>323.55</v>
          </cell>
        </row>
        <row r="950">
          <cell r="A950" t="str">
            <v>АВВГнг 5х150</v>
          </cell>
          <cell r="GF950">
            <v>429.47</v>
          </cell>
          <cell r="GG950">
            <v>390.43</v>
          </cell>
        </row>
        <row r="951">
          <cell r="A951" t="str">
            <v>АВВГнг 5х185</v>
          </cell>
          <cell r="GF951">
            <v>514.87</v>
          </cell>
          <cell r="GG951">
            <v>468.06</v>
          </cell>
        </row>
        <row r="952">
          <cell r="A952" t="str">
            <v>АВВГнг-LS 1х  2,5</v>
          </cell>
          <cell r="GF952">
            <v>5.77</v>
          </cell>
          <cell r="GG952">
            <v>5.24</v>
          </cell>
        </row>
        <row r="953">
          <cell r="A953" t="str">
            <v>АВВГнг-LS 1х  4</v>
          </cell>
          <cell r="GF953">
            <v>7.34</v>
          </cell>
          <cell r="GG953">
            <v>6.67</v>
          </cell>
        </row>
        <row r="954">
          <cell r="A954" t="str">
            <v>АВВГнг-LS 1х  6</v>
          </cell>
          <cell r="GF954">
            <v>8.85</v>
          </cell>
          <cell r="GG954">
            <v>8.0500000000000007</v>
          </cell>
        </row>
        <row r="955">
          <cell r="A955" t="str">
            <v>АВВГнг-LS 1х 10</v>
          </cell>
          <cell r="GF955">
            <v>12.58</v>
          </cell>
          <cell r="GG955">
            <v>11.44</v>
          </cell>
        </row>
        <row r="956">
          <cell r="A956" t="str">
            <v>АВВГнг-LS 1х 16</v>
          </cell>
          <cell r="GF956">
            <v>19.670000000000002</v>
          </cell>
          <cell r="GG956">
            <v>17.88</v>
          </cell>
        </row>
        <row r="957">
          <cell r="A957" t="str">
            <v>АВВГнг-LS 1х 25</v>
          </cell>
          <cell r="GF957">
            <v>27.14</v>
          </cell>
          <cell r="GG957">
            <v>24.68</v>
          </cell>
        </row>
        <row r="958">
          <cell r="A958" t="str">
            <v>АВВГнг-LS 1х 35</v>
          </cell>
          <cell r="GF958">
            <v>33.53</v>
          </cell>
          <cell r="GG958">
            <v>30.48</v>
          </cell>
        </row>
        <row r="959">
          <cell r="A959" t="str">
            <v>АВВГнг-LS 1х 50</v>
          </cell>
          <cell r="GF959">
            <v>43.2</v>
          </cell>
          <cell r="GG959">
            <v>39.28</v>
          </cell>
        </row>
        <row r="960">
          <cell r="A960" t="str">
            <v>АВВГнг-LS 1х 70</v>
          </cell>
          <cell r="GF960">
            <v>59.54</v>
          </cell>
          <cell r="GG960">
            <v>54.12</v>
          </cell>
        </row>
        <row r="961">
          <cell r="A961" t="str">
            <v>АВВГнг-LS 1х 95</v>
          </cell>
          <cell r="GF961">
            <v>77.540000000000006</v>
          </cell>
          <cell r="GG961">
            <v>70.489999999999995</v>
          </cell>
        </row>
        <row r="962">
          <cell r="A962" t="str">
            <v>АВВГнг-LS 1х120</v>
          </cell>
          <cell r="GF962">
            <v>95.88</v>
          </cell>
          <cell r="GG962">
            <v>87.16</v>
          </cell>
        </row>
        <row r="963">
          <cell r="A963" t="str">
            <v>АВВГнг-LS 1х150</v>
          </cell>
          <cell r="GF963">
            <v>116.28</v>
          </cell>
          <cell r="GG963">
            <v>105.7</v>
          </cell>
        </row>
        <row r="964">
          <cell r="A964" t="str">
            <v>АВВГнг-LS 1х185</v>
          </cell>
          <cell r="GF964">
            <v>148.19999999999999</v>
          </cell>
          <cell r="GG964">
            <v>134.72999999999999</v>
          </cell>
        </row>
        <row r="965">
          <cell r="A965" t="str">
            <v>АВВГнг-LS 1х240</v>
          </cell>
          <cell r="GF965">
            <v>183.5</v>
          </cell>
          <cell r="GG965">
            <v>166.82</v>
          </cell>
        </row>
        <row r="966">
          <cell r="A966" t="str">
            <v>АВВГнг-LS-п 2х  2,5</v>
          </cell>
          <cell r="GF966">
            <v>9</v>
          </cell>
          <cell r="GG966">
            <v>8.19</v>
          </cell>
        </row>
        <row r="967">
          <cell r="A967" t="str">
            <v>АВВГнг-LS-п 2х  4</v>
          </cell>
          <cell r="GF967">
            <v>12.01</v>
          </cell>
          <cell r="GG967">
            <v>10.92</v>
          </cell>
        </row>
        <row r="968">
          <cell r="A968" t="str">
            <v>АВВГнг-LS-п 2х  6</v>
          </cell>
          <cell r="GF968">
            <v>14.94</v>
          </cell>
          <cell r="GG968">
            <v>13.58</v>
          </cell>
        </row>
        <row r="969">
          <cell r="A969" t="str">
            <v>АВВГнг-LS-п 2х 10</v>
          </cell>
          <cell r="GF969">
            <v>22.17</v>
          </cell>
          <cell r="GG969">
            <v>20.16</v>
          </cell>
        </row>
        <row r="970">
          <cell r="A970" t="str">
            <v>АВВГнг-LS 2х  2,5</v>
          </cell>
          <cell r="GF970">
            <v>12.32</v>
          </cell>
          <cell r="GG970">
            <v>11.2</v>
          </cell>
        </row>
        <row r="971">
          <cell r="A971" t="str">
            <v>АВВГнг-LS 2х  4</v>
          </cell>
          <cell r="GF971">
            <v>19.09</v>
          </cell>
          <cell r="GG971">
            <v>17.350000000000001</v>
          </cell>
        </row>
        <row r="972">
          <cell r="A972" t="str">
            <v>АВВГнг-LS 2х  6</v>
          </cell>
          <cell r="GF972">
            <v>23.47</v>
          </cell>
          <cell r="GG972">
            <v>21.33</v>
          </cell>
        </row>
        <row r="973">
          <cell r="A973" t="str">
            <v>АВВГнг-LS 2х 10</v>
          </cell>
          <cell r="GF973">
            <v>34.24</v>
          </cell>
          <cell r="GG973">
            <v>31.13</v>
          </cell>
        </row>
        <row r="974">
          <cell r="A974" t="str">
            <v>АВВГнг-LS 2х 16</v>
          </cell>
          <cell r="GF974">
            <v>44.03</v>
          </cell>
          <cell r="GG974">
            <v>40.03</v>
          </cell>
        </row>
        <row r="975">
          <cell r="A975" t="str">
            <v>АВВГнг-LS 2х 25</v>
          </cell>
          <cell r="GF975">
            <v>45.98</v>
          </cell>
          <cell r="GG975">
            <v>41.8</v>
          </cell>
        </row>
        <row r="976">
          <cell r="A976" t="str">
            <v>АВВГнг-LS 2х 35</v>
          </cell>
          <cell r="GF976">
            <v>57.74</v>
          </cell>
          <cell r="GG976">
            <v>52.49</v>
          </cell>
        </row>
        <row r="977">
          <cell r="A977" t="str">
            <v>АВВГнг-LS 2х 50</v>
          </cell>
          <cell r="GF977">
            <v>132.12</v>
          </cell>
          <cell r="GG977">
            <v>120.11</v>
          </cell>
        </row>
        <row r="978">
          <cell r="A978" t="str">
            <v>АВВГнг-LS 2х 70</v>
          </cell>
          <cell r="GF978">
            <v>171.55</v>
          </cell>
          <cell r="GG978">
            <v>155.94999999999999</v>
          </cell>
        </row>
        <row r="979">
          <cell r="A979" t="str">
            <v>АВВГнг-LS 2х 95</v>
          </cell>
          <cell r="GF979">
            <v>217.67</v>
          </cell>
          <cell r="GG979">
            <v>197.88</v>
          </cell>
        </row>
        <row r="980">
          <cell r="A980" t="str">
            <v>АВВГнг-LS 2х 120</v>
          </cell>
          <cell r="GF980">
            <v>265.70999999999998</v>
          </cell>
          <cell r="GG980">
            <v>241.56</v>
          </cell>
        </row>
        <row r="981">
          <cell r="A981" t="str">
            <v>АВВГнг-LS-п 3х  2,5</v>
          </cell>
          <cell r="GF981">
            <v>17.579999999999998</v>
          </cell>
          <cell r="GG981">
            <v>15.98</v>
          </cell>
        </row>
        <row r="982">
          <cell r="A982" t="str">
            <v>АВВГнг-LS-п 3х  4</v>
          </cell>
          <cell r="GF982">
            <v>23.62</v>
          </cell>
          <cell r="GG982">
            <v>21.47</v>
          </cell>
        </row>
        <row r="983">
          <cell r="A983" t="str">
            <v>АВВГнг-LS-п 3х  6</v>
          </cell>
          <cell r="GF983">
            <v>29.33</v>
          </cell>
          <cell r="GG983">
            <v>26.66</v>
          </cell>
        </row>
        <row r="984">
          <cell r="A984" t="str">
            <v>АВВГнг-LS 3х  2,5</v>
          </cell>
          <cell r="GF984">
            <v>17.579999999999998</v>
          </cell>
          <cell r="GG984">
            <v>15.98</v>
          </cell>
        </row>
        <row r="985">
          <cell r="A985" t="str">
            <v>АВВГнг-LS 3х  4</v>
          </cell>
          <cell r="GF985">
            <v>23.62</v>
          </cell>
          <cell r="GG985">
            <v>21.47</v>
          </cell>
        </row>
        <row r="986">
          <cell r="A986" t="str">
            <v>АВВГнг-LS 3х  6</v>
          </cell>
          <cell r="GF986">
            <v>29.33</v>
          </cell>
          <cell r="GG986">
            <v>26.66</v>
          </cell>
        </row>
        <row r="987">
          <cell r="A987" t="str">
            <v>АВВГнг-LS 3х 10</v>
          </cell>
          <cell r="GF987">
            <v>47</v>
          </cell>
          <cell r="GG987">
            <v>42.73</v>
          </cell>
        </row>
        <row r="988">
          <cell r="A988" t="str">
            <v>АВВГнг-LS 3х 16</v>
          </cell>
          <cell r="GF988">
            <v>65.64</v>
          </cell>
          <cell r="GG988">
            <v>59.67</v>
          </cell>
        </row>
        <row r="989">
          <cell r="A989" t="str">
            <v>АВВГнг-LS 3х 25</v>
          </cell>
          <cell r="GF989">
            <v>95.92</v>
          </cell>
          <cell r="GG989">
            <v>87.2</v>
          </cell>
        </row>
        <row r="990">
          <cell r="A990" t="str">
            <v>АВВГнг-LS 3х 35</v>
          </cell>
          <cell r="GF990">
            <v>119.91</v>
          </cell>
          <cell r="GG990">
            <v>109.01</v>
          </cell>
        </row>
        <row r="991">
          <cell r="A991" t="str">
            <v>АВВГнг-LS 3х 50</v>
          </cell>
          <cell r="GF991">
            <v>160.4</v>
          </cell>
          <cell r="GG991">
            <v>145.82</v>
          </cell>
        </row>
        <row r="992">
          <cell r="A992" t="str">
            <v>АВВГнг-LS 3х 70</v>
          </cell>
          <cell r="GF992">
            <v>145.6</v>
          </cell>
          <cell r="GG992">
            <v>132.36000000000001</v>
          </cell>
        </row>
        <row r="993">
          <cell r="A993" t="str">
            <v>АВВГнг-LS 3х 120</v>
          </cell>
          <cell r="GF993">
            <v>234.1</v>
          </cell>
          <cell r="GG993">
            <v>212.82</v>
          </cell>
        </row>
        <row r="994">
          <cell r="A994" t="str">
            <v>АВВГнг-LS 3х 150</v>
          </cell>
          <cell r="GF994">
            <v>281.43</v>
          </cell>
          <cell r="GG994">
            <v>255.85</v>
          </cell>
        </row>
        <row r="995">
          <cell r="A995" t="str">
            <v>АВВГнг-LS 3х 185</v>
          </cell>
          <cell r="GF995">
            <v>345.1</v>
          </cell>
          <cell r="GG995">
            <v>313.73</v>
          </cell>
        </row>
        <row r="996">
          <cell r="A996" t="str">
            <v>АВВГнг-LS 3х 240</v>
          </cell>
          <cell r="GF996">
            <v>501.05</v>
          </cell>
          <cell r="GG996">
            <v>455.5</v>
          </cell>
        </row>
        <row r="997">
          <cell r="A997" t="str">
            <v>АВВГнг-LS 3х  4+1х2,5</v>
          </cell>
          <cell r="GF997">
            <v>23.8</v>
          </cell>
          <cell r="GG997">
            <v>21.63</v>
          </cell>
        </row>
        <row r="998">
          <cell r="A998" t="str">
            <v>АВВГнг-LS 3х  6+1х4</v>
          </cell>
          <cell r="GF998">
            <v>31.63</v>
          </cell>
          <cell r="GG998">
            <v>28.76</v>
          </cell>
        </row>
        <row r="999">
          <cell r="A999" t="str">
            <v>АВВГнг-LS 3х 10+1х6</v>
          </cell>
          <cell r="GF999">
            <v>45.14</v>
          </cell>
          <cell r="GG999">
            <v>41.04</v>
          </cell>
        </row>
        <row r="1000">
          <cell r="A1000" t="str">
            <v>АВВГнг-LS 3х 16+1х10</v>
          </cell>
          <cell r="GF1000">
            <v>61.62</v>
          </cell>
          <cell r="GG1000">
            <v>56.02</v>
          </cell>
        </row>
        <row r="1001">
          <cell r="A1001" t="str">
            <v>АВВГнг-LS 3х 25+1х16</v>
          </cell>
          <cell r="GF1001">
            <v>80.349999999999994</v>
          </cell>
          <cell r="GG1001">
            <v>73.05</v>
          </cell>
        </row>
        <row r="1002">
          <cell r="A1002" t="str">
            <v>АВВГнг-LS 3х 35+1х16</v>
          </cell>
          <cell r="GF1002">
            <v>95.15</v>
          </cell>
          <cell r="GG1002">
            <v>86.5</v>
          </cell>
        </row>
        <row r="1003">
          <cell r="A1003" t="str">
            <v>АВВГнг-LS 3х 50+1х25</v>
          </cell>
          <cell r="GF1003">
            <v>130.55000000000001</v>
          </cell>
          <cell r="GG1003">
            <v>118.69</v>
          </cell>
        </row>
        <row r="1004">
          <cell r="A1004" t="str">
            <v>АВВГнг-LS 3х 70+1х25</v>
          </cell>
          <cell r="GF1004">
            <v>171.72</v>
          </cell>
          <cell r="GG1004">
            <v>156.11000000000001</v>
          </cell>
        </row>
        <row r="1005">
          <cell r="A1005" t="str">
            <v>АВВГнг-LS 3х 70+1х35</v>
          </cell>
          <cell r="GF1005">
            <v>167.55</v>
          </cell>
          <cell r="GG1005">
            <v>152.32</v>
          </cell>
        </row>
        <row r="1006">
          <cell r="A1006" t="str">
            <v>АВВГнг-LS 3х 95+1х35</v>
          </cell>
          <cell r="GF1006">
            <v>214.19</v>
          </cell>
          <cell r="GG1006">
            <v>194.72</v>
          </cell>
        </row>
        <row r="1007">
          <cell r="A1007" t="str">
            <v>АВВГнг-LS 3х 95+1х50</v>
          </cell>
          <cell r="GF1007">
            <v>249.41</v>
          </cell>
          <cell r="GG1007">
            <v>226.74</v>
          </cell>
        </row>
        <row r="1008">
          <cell r="A1008" t="str">
            <v>АВВГнг-LS 3х120+1х35</v>
          </cell>
          <cell r="GF1008">
            <v>258.26</v>
          </cell>
          <cell r="GG1008">
            <v>234.78</v>
          </cell>
        </row>
        <row r="1009">
          <cell r="A1009" t="str">
            <v>АВВГнг-LS 3х120+1х70</v>
          </cell>
          <cell r="GF1009">
            <v>280.2</v>
          </cell>
          <cell r="GG1009">
            <v>254.72</v>
          </cell>
        </row>
        <row r="1010">
          <cell r="A1010" t="str">
            <v>АВВГнг-LS 3х150+1х70</v>
          </cell>
          <cell r="GF1010">
            <v>378.26</v>
          </cell>
          <cell r="GG1010">
            <v>343.87</v>
          </cell>
        </row>
        <row r="1011">
          <cell r="A1011" t="str">
            <v>АВВГнг-LS 3х185+1х95</v>
          </cell>
          <cell r="GF1011">
            <v>460.1</v>
          </cell>
          <cell r="GG1011">
            <v>418.27</v>
          </cell>
        </row>
        <row r="1012">
          <cell r="A1012" t="str">
            <v>АВВГнг-LS 3х240+1х120</v>
          </cell>
          <cell r="GF1012">
            <v>513.59</v>
          </cell>
          <cell r="GG1012">
            <v>466.9</v>
          </cell>
        </row>
        <row r="1013">
          <cell r="A1013" t="str">
            <v>АВВГнг-LS 4х  2,5</v>
          </cell>
          <cell r="GF1013">
            <v>20.440000000000001</v>
          </cell>
          <cell r="GG1013">
            <v>18.579999999999998</v>
          </cell>
        </row>
        <row r="1014">
          <cell r="A1014" t="str">
            <v>АВВГнг-LS 4х  4</v>
          </cell>
          <cell r="GF1014">
            <v>27.75</v>
          </cell>
          <cell r="GG1014">
            <v>25.22</v>
          </cell>
        </row>
        <row r="1015">
          <cell r="A1015" t="str">
            <v>АВВГнг-LS 4х  6</v>
          </cell>
          <cell r="GF1015">
            <v>34.75</v>
          </cell>
          <cell r="GG1015">
            <v>31.59</v>
          </cell>
        </row>
        <row r="1016">
          <cell r="A1016" t="str">
            <v>АВВГнг-LS 4х 10</v>
          </cell>
          <cell r="GF1016">
            <v>56.47</v>
          </cell>
          <cell r="GG1016">
            <v>51.33</v>
          </cell>
        </row>
        <row r="1017">
          <cell r="A1017" t="str">
            <v>АВВГнг-LS 4х 16</v>
          </cell>
          <cell r="GF1017">
            <v>81.99</v>
          </cell>
          <cell r="GG1017">
            <v>74.540000000000006</v>
          </cell>
        </row>
        <row r="1018">
          <cell r="A1018" t="str">
            <v>АВВГнг-LS 4х 25</v>
          </cell>
          <cell r="GF1018">
            <v>116.34</v>
          </cell>
          <cell r="GG1018">
            <v>105.76</v>
          </cell>
        </row>
        <row r="1019">
          <cell r="A1019" t="str">
            <v>АВВГнг-LS 4х 35</v>
          </cell>
          <cell r="GF1019">
            <v>148.74</v>
          </cell>
          <cell r="GG1019">
            <v>135.22</v>
          </cell>
        </row>
        <row r="1020">
          <cell r="A1020" t="str">
            <v>АВВГнг-LS 4х 50</v>
          </cell>
          <cell r="GF1020">
            <v>181.16</v>
          </cell>
          <cell r="GG1020">
            <v>164.69</v>
          </cell>
        </row>
        <row r="1021">
          <cell r="A1021" t="str">
            <v>АВВГнг-LS 4х 70</v>
          </cell>
          <cell r="GF1021">
            <v>239.7</v>
          </cell>
          <cell r="GG1021">
            <v>217.91</v>
          </cell>
        </row>
        <row r="1022">
          <cell r="A1022" t="str">
            <v>АВВГнг-LS 4х 95</v>
          </cell>
          <cell r="GF1022">
            <v>313.39</v>
          </cell>
          <cell r="GG1022">
            <v>284.89999999999998</v>
          </cell>
        </row>
        <row r="1023">
          <cell r="A1023" t="str">
            <v>АВВГнг-LS 4х120</v>
          </cell>
          <cell r="GF1023">
            <v>373.19</v>
          </cell>
          <cell r="GG1023">
            <v>339.26</v>
          </cell>
        </row>
        <row r="1024">
          <cell r="A1024" t="str">
            <v>АВВГнг-LS 4х150</v>
          </cell>
          <cell r="GF1024">
            <v>451.88</v>
          </cell>
          <cell r="GG1024">
            <v>410.8</v>
          </cell>
        </row>
        <row r="1025">
          <cell r="A1025" t="str">
            <v>АВВГнг-LS 4х185</v>
          </cell>
          <cell r="GF1025">
            <v>557.01</v>
          </cell>
          <cell r="GG1025">
            <v>506.37</v>
          </cell>
        </row>
        <row r="1026">
          <cell r="A1026" t="str">
            <v>АВВГнг-LS 4х240</v>
          </cell>
          <cell r="GF1026">
            <v>702.45</v>
          </cell>
          <cell r="GG1026">
            <v>638.59</v>
          </cell>
        </row>
        <row r="1027">
          <cell r="A1027" t="str">
            <v>АВВГнг-LS 5х  2,5</v>
          </cell>
          <cell r="GF1027">
            <v>24.09</v>
          </cell>
          <cell r="GG1027">
            <v>21.9</v>
          </cell>
        </row>
        <row r="1028">
          <cell r="A1028" t="str">
            <v>АВВГнг-LS 5х  4</v>
          </cell>
          <cell r="GF1028">
            <v>32.770000000000003</v>
          </cell>
          <cell r="GG1028">
            <v>29.79</v>
          </cell>
        </row>
        <row r="1029">
          <cell r="A1029" t="str">
            <v>АВВГнг-LS 5х  6</v>
          </cell>
          <cell r="GF1029">
            <v>41.46</v>
          </cell>
          <cell r="GG1029">
            <v>37.69</v>
          </cell>
        </row>
        <row r="1030">
          <cell r="A1030" t="str">
            <v>АВВГнг-LS 5х 10</v>
          </cell>
          <cell r="GF1030">
            <v>72.37</v>
          </cell>
          <cell r="GG1030">
            <v>65.790000000000006</v>
          </cell>
        </row>
        <row r="1031">
          <cell r="A1031" t="str">
            <v>АВВГнг-LS 5х 16</v>
          </cell>
          <cell r="GF1031">
            <v>97.8</v>
          </cell>
          <cell r="GG1031">
            <v>88.91</v>
          </cell>
        </row>
        <row r="1032">
          <cell r="A1032" t="str">
            <v>АВВГнг-LS 5х 25</v>
          </cell>
          <cell r="GF1032">
            <v>144.78</v>
          </cell>
          <cell r="GG1032">
            <v>131.61000000000001</v>
          </cell>
        </row>
        <row r="1033">
          <cell r="A1033" t="str">
            <v>АВВГнг-LS 5х 35</v>
          </cell>
          <cell r="GF1033">
            <v>181.98</v>
          </cell>
          <cell r="GG1033">
            <v>165.43</v>
          </cell>
        </row>
        <row r="1034">
          <cell r="A1034" t="str">
            <v>АВВГнг-LS 5х 50</v>
          </cell>
          <cell r="GF1034">
            <v>232.76</v>
          </cell>
          <cell r="GG1034">
            <v>211.6</v>
          </cell>
        </row>
        <row r="1035">
          <cell r="A1035" t="str">
            <v>АВВГнг-LS 5х 70</v>
          </cell>
          <cell r="GF1035">
            <v>214.31</v>
          </cell>
          <cell r="GG1035">
            <v>194.82</v>
          </cell>
        </row>
        <row r="1036">
          <cell r="A1036" t="str">
            <v>АВВГнг-LS 5х 95</v>
          </cell>
          <cell r="GF1036">
            <v>399.63</v>
          </cell>
          <cell r="GG1036">
            <v>363.3</v>
          </cell>
        </row>
        <row r="1037">
          <cell r="A1037" t="str">
            <v>АВВГнг-LS 5х120</v>
          </cell>
          <cell r="GF1037">
            <v>327.76</v>
          </cell>
          <cell r="GG1037">
            <v>297.95999999999998</v>
          </cell>
        </row>
        <row r="1038">
          <cell r="A1038" t="str">
            <v>АВВГнг-LS 5х150</v>
          </cell>
          <cell r="GF1038">
            <v>409.5</v>
          </cell>
          <cell r="GG1038">
            <v>372.27</v>
          </cell>
        </row>
        <row r="1039">
          <cell r="A1039" t="str">
            <v xml:space="preserve"> Кабель алюминиевый силовой с заполнением (АВВГз)</v>
          </cell>
          <cell r="GF1039">
            <v>0</v>
          </cell>
        </row>
        <row r="1040">
          <cell r="A1040" t="str">
            <v>АВВГз 2х  2,5</v>
          </cell>
          <cell r="GF1040">
            <v>10.63</v>
          </cell>
          <cell r="GG1040">
            <v>9.66</v>
          </cell>
        </row>
        <row r="1041">
          <cell r="A1041" t="str">
            <v>АВВГз 2х  4</v>
          </cell>
          <cell r="GF1041">
            <v>12.54</v>
          </cell>
          <cell r="GG1041">
            <v>11.4</v>
          </cell>
        </row>
        <row r="1042">
          <cell r="A1042" t="str">
            <v>АВВГз 2х 10</v>
          </cell>
          <cell r="GF1042">
            <v>26.7</v>
          </cell>
          <cell r="GG1042">
            <v>24.27</v>
          </cell>
        </row>
        <row r="1043">
          <cell r="A1043" t="str">
            <v>АВВГз 2х 16</v>
          </cell>
          <cell r="GF1043">
            <v>33.89</v>
          </cell>
          <cell r="GG1043">
            <v>30.81</v>
          </cell>
        </row>
        <row r="1044">
          <cell r="A1044" t="str">
            <v>АВВГз 2х 25</v>
          </cell>
          <cell r="GF1044">
            <v>50.48</v>
          </cell>
          <cell r="GG1044">
            <v>45.89</v>
          </cell>
        </row>
        <row r="1045">
          <cell r="A1045" t="str">
            <v>АВВГз 2х 35</v>
          </cell>
          <cell r="GF1045">
            <v>65.41</v>
          </cell>
          <cell r="GG1045">
            <v>59.46</v>
          </cell>
        </row>
        <row r="1046">
          <cell r="A1046" t="str">
            <v>АВВГз 2х 50</v>
          </cell>
          <cell r="GF1046">
            <v>84.05</v>
          </cell>
          <cell r="GG1046">
            <v>76.41</v>
          </cell>
        </row>
        <row r="1047">
          <cell r="A1047" t="str">
            <v>АВВГз 3х  2,5</v>
          </cell>
          <cell r="GF1047">
            <v>10.17</v>
          </cell>
          <cell r="GG1047">
            <v>9.25</v>
          </cell>
        </row>
        <row r="1048">
          <cell r="A1048" t="str">
            <v>АВВГз 3х  4</v>
          </cell>
          <cell r="GF1048">
            <v>14.13</v>
          </cell>
          <cell r="GG1048">
            <v>12.85</v>
          </cell>
        </row>
        <row r="1049">
          <cell r="A1049" t="str">
            <v>АВВГз 3х  6</v>
          </cell>
          <cell r="GF1049">
            <v>18.21</v>
          </cell>
          <cell r="GG1049">
            <v>16.559999999999999</v>
          </cell>
        </row>
        <row r="1050">
          <cell r="A1050" t="str">
            <v>АВВГз 3х 10</v>
          </cell>
          <cell r="GF1050">
            <v>35.83</v>
          </cell>
          <cell r="GG1050">
            <v>32.58</v>
          </cell>
        </row>
        <row r="1051">
          <cell r="A1051" t="str">
            <v>АВВГз 3х 16</v>
          </cell>
          <cell r="GF1051">
            <v>40.76</v>
          </cell>
          <cell r="GG1051">
            <v>37.049999999999997</v>
          </cell>
        </row>
        <row r="1052">
          <cell r="A1052" t="str">
            <v>АВВГз 3х 25</v>
          </cell>
          <cell r="GF1052">
            <v>61.4</v>
          </cell>
          <cell r="GG1052">
            <v>55.82</v>
          </cell>
        </row>
        <row r="1053">
          <cell r="A1053" t="str">
            <v>АВВГз 3х 35</v>
          </cell>
          <cell r="GF1053">
            <v>80.02</v>
          </cell>
          <cell r="GG1053">
            <v>72.739999999999995</v>
          </cell>
        </row>
        <row r="1054">
          <cell r="A1054" t="str">
            <v>АВВГз 3х 50</v>
          </cell>
          <cell r="GF1054">
            <v>104.11</v>
          </cell>
          <cell r="GG1054">
            <v>94.65</v>
          </cell>
        </row>
        <row r="1055">
          <cell r="A1055" t="str">
            <v>АВВГз 3х  4+1х2,5</v>
          </cell>
          <cell r="GF1055">
            <v>15.66</v>
          </cell>
          <cell r="GG1055">
            <v>14.23</v>
          </cell>
        </row>
        <row r="1056">
          <cell r="A1056" t="str">
            <v>АВВГз 3х 10+1х6</v>
          </cell>
          <cell r="GF1056">
            <v>34.51</v>
          </cell>
          <cell r="GG1056">
            <v>31.37</v>
          </cell>
        </row>
        <row r="1057">
          <cell r="A1057" t="str">
            <v>АВВГз 3х 16+1х10</v>
          </cell>
          <cell r="GF1057">
            <v>46.51</v>
          </cell>
          <cell r="GG1057">
            <v>42.28</v>
          </cell>
        </row>
        <row r="1058">
          <cell r="A1058" t="str">
            <v>АВВГз 3х 25+1х16</v>
          </cell>
          <cell r="GF1058">
            <v>70.209999999999994</v>
          </cell>
          <cell r="GG1058">
            <v>63.83</v>
          </cell>
        </row>
        <row r="1059">
          <cell r="A1059" t="str">
            <v>АВВГз 3х 35+1х16</v>
          </cell>
          <cell r="GF1059">
            <v>89.66</v>
          </cell>
          <cell r="GG1059">
            <v>81.510000000000005</v>
          </cell>
        </row>
        <row r="1060">
          <cell r="A1060" t="str">
            <v>АВВГз 3х 50+1х25</v>
          </cell>
          <cell r="GF1060">
            <v>116.46</v>
          </cell>
          <cell r="GG1060">
            <v>105.87</v>
          </cell>
        </row>
        <row r="1061">
          <cell r="A1061" t="str">
            <v>АВВГз 4х  2,5</v>
          </cell>
          <cell r="GF1061">
            <v>11.75</v>
          </cell>
          <cell r="GG1061">
            <v>10.69</v>
          </cell>
        </row>
        <row r="1062">
          <cell r="A1062" t="str">
            <v>АВВГз 4х  4</v>
          </cell>
          <cell r="GF1062">
            <v>16.5</v>
          </cell>
          <cell r="GG1062">
            <v>15</v>
          </cell>
        </row>
        <row r="1063">
          <cell r="A1063" t="str">
            <v>АВВГз 4х  6</v>
          </cell>
          <cell r="GF1063">
            <v>21.47</v>
          </cell>
          <cell r="GG1063">
            <v>19.510000000000002</v>
          </cell>
        </row>
        <row r="1064">
          <cell r="A1064" t="str">
            <v>АВВГз 4х 10</v>
          </cell>
          <cell r="GF1064">
            <v>36.950000000000003</v>
          </cell>
          <cell r="GG1064">
            <v>33.590000000000003</v>
          </cell>
        </row>
        <row r="1065">
          <cell r="A1065" t="str">
            <v>АВВГз 4х 16</v>
          </cell>
          <cell r="GF1065">
            <v>48.41</v>
          </cell>
          <cell r="GG1065">
            <v>44.01</v>
          </cell>
        </row>
        <row r="1066">
          <cell r="A1066" t="str">
            <v>АВВГз 4х 25</v>
          </cell>
          <cell r="GF1066">
            <v>71.7</v>
          </cell>
          <cell r="GG1066">
            <v>65.180000000000007</v>
          </cell>
        </row>
        <row r="1067">
          <cell r="A1067" t="str">
            <v>АВВГз 4х 35</v>
          </cell>
          <cell r="GF1067">
            <v>96.82</v>
          </cell>
          <cell r="GG1067">
            <v>88.01</v>
          </cell>
        </row>
        <row r="1068">
          <cell r="A1068" t="str">
            <v>АВВГз 4х 50</v>
          </cell>
          <cell r="GF1068">
            <v>127.15</v>
          </cell>
          <cell r="GG1068">
            <v>115.59</v>
          </cell>
        </row>
        <row r="1069">
          <cell r="A1069" t="str">
            <v>АВВГз 4х 95</v>
          </cell>
          <cell r="GF1069">
            <v>202.95</v>
          </cell>
          <cell r="GG1069">
            <v>184.5</v>
          </cell>
        </row>
        <row r="1070">
          <cell r="A1070" t="str">
            <v>АВВГз 5х  2,5</v>
          </cell>
          <cell r="GF1070">
            <v>19.91</v>
          </cell>
          <cell r="GG1070">
            <v>18.100000000000001</v>
          </cell>
        </row>
        <row r="1071">
          <cell r="A1071" t="str">
            <v>АВВГз 5х  4</v>
          </cell>
          <cell r="GF1071">
            <v>26.37</v>
          </cell>
          <cell r="GG1071">
            <v>23.97</v>
          </cell>
        </row>
        <row r="1072">
          <cell r="A1072" t="str">
            <v>Кабель алюминиевый бронированный (АВБбШв, АВБбШнг)</v>
          </cell>
          <cell r="GF1072">
            <v>0</v>
          </cell>
        </row>
        <row r="1073">
          <cell r="A1073" t="str">
            <v>АВБбШв 3х 4</v>
          </cell>
          <cell r="GF1073">
            <v>23.63</v>
          </cell>
          <cell r="GG1073">
            <v>21.48</v>
          </cell>
        </row>
        <row r="1074">
          <cell r="A1074" t="str">
            <v>АВБбШв 3х 6</v>
          </cell>
          <cell r="GF1074">
            <v>28.69</v>
          </cell>
          <cell r="GG1074">
            <v>26.09</v>
          </cell>
        </row>
        <row r="1075">
          <cell r="A1075" t="str">
            <v>АВБбШв 3х 10</v>
          </cell>
          <cell r="GF1075">
            <v>33.71</v>
          </cell>
          <cell r="GG1075">
            <v>30.65</v>
          </cell>
        </row>
        <row r="1076">
          <cell r="A1076" t="str">
            <v>АВБбШв 3х 16</v>
          </cell>
          <cell r="GF1076">
            <v>42.99</v>
          </cell>
          <cell r="GG1076">
            <v>39.08</v>
          </cell>
        </row>
        <row r="1077">
          <cell r="A1077" t="str">
            <v>АВБбШв 3х 25</v>
          </cell>
          <cell r="GF1077">
            <v>73.819999999999993</v>
          </cell>
          <cell r="GG1077">
            <v>67.11</v>
          </cell>
        </row>
        <row r="1078">
          <cell r="A1078" t="str">
            <v>АВБбШв 3х 35</v>
          </cell>
          <cell r="GF1078">
            <v>90.65</v>
          </cell>
          <cell r="GG1078">
            <v>82.41</v>
          </cell>
        </row>
        <row r="1079">
          <cell r="A1079" t="str">
            <v>АВБбШв 3х 50</v>
          </cell>
          <cell r="GF1079">
            <v>114.83</v>
          </cell>
          <cell r="GG1079">
            <v>104.39</v>
          </cell>
        </row>
        <row r="1080">
          <cell r="A1080" t="str">
            <v>АВБбШв 3х 70</v>
          </cell>
          <cell r="GF1080">
            <v>144.66</v>
          </cell>
          <cell r="GG1080">
            <v>131.51</v>
          </cell>
        </row>
        <row r="1081">
          <cell r="A1081" t="str">
            <v>АВБбШв 3х 95</v>
          </cell>
          <cell r="GF1081">
            <v>181.62</v>
          </cell>
          <cell r="GG1081">
            <v>165.11</v>
          </cell>
        </row>
        <row r="1082">
          <cell r="A1082" t="str">
            <v>АВБбШв 3х120</v>
          </cell>
          <cell r="GF1082">
            <v>219.86</v>
          </cell>
          <cell r="GG1082">
            <v>199.87</v>
          </cell>
        </row>
        <row r="1083">
          <cell r="A1083" t="str">
            <v>АВБбШв 3х150</v>
          </cell>
          <cell r="GF1083">
            <v>260.56</v>
          </cell>
          <cell r="GG1083">
            <v>236.87</v>
          </cell>
        </row>
        <row r="1084">
          <cell r="A1084" t="str">
            <v>АВБбШв 3х240</v>
          </cell>
          <cell r="GF1084">
            <v>460.51</v>
          </cell>
          <cell r="GG1084">
            <v>418.64</v>
          </cell>
        </row>
        <row r="1085">
          <cell r="A1085" t="str">
            <v>АВБбШв 3х 4+1х2,5</v>
          </cell>
          <cell r="GF1085">
            <v>40.79</v>
          </cell>
          <cell r="GG1085">
            <v>37.08</v>
          </cell>
        </row>
        <row r="1086">
          <cell r="A1086" t="str">
            <v>АВБбШв 3х 6+1х4</v>
          </cell>
          <cell r="GF1086">
            <v>46.03</v>
          </cell>
          <cell r="GG1086">
            <v>41.85</v>
          </cell>
        </row>
        <row r="1087">
          <cell r="A1087" t="str">
            <v>АВБбШв 3х10+1х6</v>
          </cell>
          <cell r="GF1087">
            <v>57.47</v>
          </cell>
          <cell r="GG1087">
            <v>52.25</v>
          </cell>
        </row>
        <row r="1088">
          <cell r="A1088" t="str">
            <v>АВБбШв 3х16+1х10</v>
          </cell>
          <cell r="GF1088">
            <v>48.87</v>
          </cell>
          <cell r="GG1088">
            <v>44.43</v>
          </cell>
        </row>
        <row r="1089">
          <cell r="A1089" t="str">
            <v>АВБбШв 3х25+1х16</v>
          </cell>
          <cell r="GF1089">
            <v>63.52</v>
          </cell>
          <cell r="GG1089">
            <v>57.75</v>
          </cell>
        </row>
        <row r="1090">
          <cell r="A1090" t="str">
            <v>АВБбШв 3х35+1х16</v>
          </cell>
          <cell r="GF1090">
            <v>102.01</v>
          </cell>
          <cell r="GG1090">
            <v>92.74</v>
          </cell>
        </row>
        <row r="1091">
          <cell r="A1091" t="str">
            <v>АВБбШв 3х50+1х25</v>
          </cell>
          <cell r="GF1091">
            <v>112.75</v>
          </cell>
          <cell r="GG1091">
            <v>102.5</v>
          </cell>
        </row>
        <row r="1092">
          <cell r="A1092" t="str">
            <v>АВБбШв 3х70+1х35</v>
          </cell>
          <cell r="GF1092">
            <v>176.29</v>
          </cell>
          <cell r="GG1092">
            <v>160.27000000000001</v>
          </cell>
        </row>
        <row r="1093">
          <cell r="A1093" t="str">
            <v>АВБбШв 3х95+1х50</v>
          </cell>
          <cell r="GF1093">
            <v>219.03</v>
          </cell>
          <cell r="GG1093">
            <v>199.12</v>
          </cell>
        </row>
        <row r="1094">
          <cell r="A1094" t="str">
            <v>АВБбШв 3х120+1х70</v>
          </cell>
          <cell r="GF1094">
            <v>262.08999999999997</v>
          </cell>
          <cell r="GG1094">
            <v>238.26</v>
          </cell>
        </row>
        <row r="1095">
          <cell r="A1095" t="str">
            <v>АВБбШв 3х150+1х70</v>
          </cell>
          <cell r="GF1095">
            <v>301.77</v>
          </cell>
          <cell r="GG1095">
            <v>274.33999999999997</v>
          </cell>
        </row>
        <row r="1096">
          <cell r="A1096" t="str">
            <v>АВБбШв 3х185+1х95</v>
          </cell>
          <cell r="GF1096">
            <v>369.59</v>
          </cell>
          <cell r="GG1096">
            <v>335.99</v>
          </cell>
        </row>
        <row r="1097">
          <cell r="A1097" t="str">
            <v>АВБбШв 3х240+1х120</v>
          </cell>
          <cell r="GF1097">
            <v>474.02</v>
          </cell>
          <cell r="GG1097">
            <v>430.93</v>
          </cell>
        </row>
        <row r="1098">
          <cell r="A1098" t="str">
            <v>АВБбШв 4х 2,5</v>
          </cell>
          <cell r="GF1098">
            <v>26.77</v>
          </cell>
          <cell r="GG1098">
            <v>24.34</v>
          </cell>
        </row>
        <row r="1099">
          <cell r="A1099" t="str">
            <v>АВБбШв 4х 4</v>
          </cell>
          <cell r="GF1099">
            <v>33.06</v>
          </cell>
          <cell r="GG1099">
            <v>30.05</v>
          </cell>
        </row>
        <row r="1100">
          <cell r="A1100" t="str">
            <v>АВБбШв 4х 6</v>
          </cell>
          <cell r="GF1100">
            <v>38.94</v>
          </cell>
          <cell r="GG1100">
            <v>35.4</v>
          </cell>
        </row>
        <row r="1101">
          <cell r="A1101" t="str">
            <v>АВБбШв 4х 10</v>
          </cell>
          <cell r="GF1101">
            <v>49.94</v>
          </cell>
          <cell r="GG1101">
            <v>45.4</v>
          </cell>
        </row>
        <row r="1102">
          <cell r="A1102" t="str">
            <v>АВБбШв 4х 16</v>
          </cell>
          <cell r="GF1102">
            <v>64.97</v>
          </cell>
          <cell r="GG1102">
            <v>59.06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Накопительная"/>
      <sheetName val="14"/>
      <sheetName val="14_Реестр"/>
      <sheetName val="13"/>
      <sheetName val="13_Реестр"/>
      <sheetName val="12"/>
      <sheetName val="12_Реестр"/>
      <sheetName val="11"/>
      <sheetName val="11_Реестр"/>
      <sheetName val="10"/>
      <sheetName val="10_Реестр"/>
      <sheetName val="9"/>
      <sheetName val="9_Реестр"/>
      <sheetName val="8"/>
      <sheetName val="8_Реестр"/>
      <sheetName val="7"/>
      <sheetName val="7_Реестр"/>
      <sheetName val="6"/>
      <sheetName val="6_Реестр"/>
      <sheetName val="5"/>
      <sheetName val="5_Реестр"/>
      <sheetName val="4"/>
      <sheetName val="4_Реестр"/>
      <sheetName val="3"/>
      <sheetName val="3_Реестр"/>
      <sheetName val="2"/>
      <sheetName val="2_Реестр"/>
      <sheetName val="1"/>
      <sheetName val="1_Реестр"/>
      <sheetName val="Справочник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>
        <row r="1">
          <cell r="A1" t="str">
            <v>Номер_сметы</v>
          </cell>
        </row>
        <row r="2">
          <cell r="A2" t="str">
            <v xml:space="preserve">288-15К/ПИР-1-10-ТМ1.ЛС69 </v>
          </cell>
        </row>
        <row r="3">
          <cell r="A3" t="str">
            <v xml:space="preserve">288-15К/ПИР-1-7002-001/17-ППР.ЛС811 </v>
          </cell>
        </row>
        <row r="4">
          <cell r="A4" t="str">
            <v xml:space="preserve">288-15К/ПИР-1-7002-001/18-ППР.ЛС1180   </v>
          </cell>
        </row>
        <row r="5">
          <cell r="A5" t="str">
            <v xml:space="preserve">288-15К/ПИР-1-7002-001/19-ППР.ЛС1179  </v>
          </cell>
        </row>
        <row r="6">
          <cell r="A6" t="str">
            <v xml:space="preserve">288-15К/ПИР-1-8-(ТМ)КМ/ППР7002-002/19.1.ЛС1105 </v>
          </cell>
        </row>
        <row r="7">
          <cell r="A7" t="str">
            <v>288-15К/ПИР-2-8-(ТМ)КМ/ППР7002-002/18.1.ЛС1106</v>
          </cell>
        </row>
        <row r="8">
          <cell r="A8" t="str">
            <v xml:space="preserve">288-15К/ПИР-2-8-(ТМ)КМ/ППР7002-002/18.2.ЛС1107 </v>
          </cell>
        </row>
        <row r="9">
          <cell r="A9" t="str">
            <v>288-15К/ПИР-1-8-(ТМ)КМ/ППР7002-002/19.2.ЛС1108</v>
          </cell>
        </row>
        <row r="10">
          <cell r="A10" t="str">
            <v>288-15К/ПИР-2-10-ТМ-СО1.ЛС264.1</v>
          </cell>
        </row>
        <row r="11">
          <cell r="A11" t="str">
            <v>288-15К/ПИР-3-10-ТМ-СО1.ЛС265.1</v>
          </cell>
        </row>
        <row r="12">
          <cell r="A12" t="str">
            <v>288-15К/ПИР-2-10-ТМ-СО1.ЛС264.2</v>
          </cell>
        </row>
        <row r="13">
          <cell r="A13" t="str">
            <v>288-15К/ПИР-3-10-ТМ-СО1.ЛС265.2</v>
          </cell>
        </row>
        <row r="14">
          <cell r="A14" t="str">
            <v>288-15К/ПИР-3-10-ТМ.ЛС264</v>
          </cell>
        </row>
        <row r="15">
          <cell r="A15" t="str">
            <v>288-15К/ПИР-3-10-ТМ.ЛС265</v>
          </cell>
        </row>
        <row r="16">
          <cell r="A16" t="str">
            <v>288-15К/ПИР-3-8-(ТМ)КМ/ППР7002-002/17.1.ЛС994</v>
          </cell>
        </row>
        <row r="17">
          <cell r="A17" t="str">
            <v>288-15К/ПИР-3-8-(ТМ)КМ/ППР7002-002/17.2.ЛС993</v>
          </cell>
        </row>
        <row r="18">
          <cell r="A18" t="str">
            <v>288-15К/ПИР-ТМ-7002-001/17 ППР</v>
          </cell>
        </row>
        <row r="19">
          <cell r="A19" t="str">
            <v>288-15К/ПИР-1-10-ТМ1.ЛС69.2</v>
          </cell>
        </row>
        <row r="20">
          <cell r="A20" t="str">
            <v>88-15К/ПИР-1-10-ТМ1.ЛС69.1</v>
          </cell>
        </row>
        <row r="21">
          <cell r="A21" t="str">
            <v>288-15К/ПИР-3-10-ТМ-СО1.ЛС265.3</v>
          </cell>
        </row>
        <row r="22">
          <cell r="A22" t="str">
            <v>288-15К/ПИР-2-10-ТМ-СО1.ЛС264.3</v>
          </cell>
        </row>
        <row r="23">
          <cell r="A23" t="str">
            <v>288-15К/ПИР-1-10-ТХ3.ЛС154</v>
          </cell>
        </row>
        <row r="24">
          <cell r="A24" t="str">
            <v>№288-15К/ПИР-3-8-(ТМ)-КМ/ППР7002-004/18.ЛС 1202</v>
          </cell>
        </row>
        <row r="25">
          <cell r="A25" t="str">
            <v>288-15К/ПИР-2-8-(ТМ)-КМ/ППР7002-005/18.ЛС 1203</v>
          </cell>
        </row>
        <row r="26">
          <cell r="A26" t="str">
            <v>288-15К/ПИР-1-8-(ТМ)-КМ/ППР7002-006/18.ЛС 1204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3.bin"/><Relationship Id="rId4" Type="http://schemas.openxmlformats.org/officeDocument/2006/relationships/comments" Target="../comments8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1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8">
    <tabColor rgb="FFFF0000"/>
    <pageSetUpPr fitToPage="1"/>
  </sheetPr>
  <dimension ref="A1:K92"/>
  <sheetViews>
    <sheetView view="pageBreakPreview" topLeftCell="A30" zoomScaleNormal="110" zoomScaleSheetLayoutView="100" workbookViewId="0">
      <selection activeCell="H44" sqref="H44"/>
    </sheetView>
  </sheetViews>
  <sheetFormatPr defaultColWidth="9.140625" defaultRowHeight="11.25" customHeight="1" x14ac:dyDescent="0.2"/>
  <cols>
    <col min="1" max="1" width="6.7109375" style="20" customWidth="1"/>
    <col min="2" max="2" width="20.140625" style="20" customWidth="1"/>
    <col min="3" max="3" width="32.7109375" style="20" customWidth="1"/>
    <col min="4" max="4" width="16" style="20" customWidth="1"/>
    <col min="5" max="5" width="13.42578125" style="20" customWidth="1"/>
    <col min="6" max="6" width="14.7109375" style="20" customWidth="1"/>
    <col min="7" max="8" width="13.42578125" style="20" customWidth="1"/>
    <col min="9" max="9" width="12.5703125" style="20" customWidth="1"/>
    <col min="10" max="10" width="14.5703125" style="30" customWidth="1"/>
    <col min="11" max="11" width="10.85546875" style="32" customWidth="1"/>
    <col min="12" max="16384" width="9.140625" style="20"/>
  </cols>
  <sheetData>
    <row r="1" spans="1:11" s="1" customFormat="1" ht="15" x14ac:dyDescent="0.25">
      <c r="H1" s="2" t="s">
        <v>13</v>
      </c>
      <c r="J1" s="26"/>
      <c r="K1" s="27"/>
    </row>
    <row r="2" spans="1:11" s="1" customFormat="1" ht="15" x14ac:dyDescent="0.25">
      <c r="A2" s="3"/>
      <c r="B2" s="3"/>
      <c r="C2" s="3"/>
      <c r="D2" s="3"/>
      <c r="E2" s="3"/>
      <c r="F2" s="3"/>
      <c r="G2" s="3"/>
      <c r="H2" s="2" t="s">
        <v>14</v>
      </c>
      <c r="J2" s="26"/>
      <c r="K2" s="27"/>
    </row>
    <row r="3" spans="1:11" s="1" customFormat="1" ht="15" x14ac:dyDescent="0.25">
      <c r="A3" s="3"/>
      <c r="B3" s="3"/>
      <c r="C3" s="3"/>
      <c r="D3" s="3"/>
      <c r="E3" s="3"/>
      <c r="F3" s="3"/>
      <c r="G3" s="3"/>
      <c r="H3" s="2"/>
      <c r="J3" s="26"/>
      <c r="K3" s="27"/>
    </row>
    <row r="4" spans="1:11" s="1" customFormat="1" ht="15" x14ac:dyDescent="0.25">
      <c r="A4" s="3"/>
      <c r="B4" s="3" t="s">
        <v>15</v>
      </c>
      <c r="C4" s="1182" t="s">
        <v>110</v>
      </c>
      <c r="D4" s="1182"/>
      <c r="E4" s="1182"/>
      <c r="F4" s="1182"/>
      <c r="G4" s="1182"/>
      <c r="H4" s="3"/>
      <c r="J4" s="26"/>
      <c r="K4" s="27"/>
    </row>
    <row r="5" spans="1:11" s="1" customFormat="1" ht="10.5" customHeight="1" x14ac:dyDescent="0.25">
      <c r="A5" s="3"/>
      <c r="B5" s="3"/>
      <c r="C5" s="1183" t="s">
        <v>16</v>
      </c>
      <c r="D5" s="1183"/>
      <c r="E5" s="1183"/>
      <c r="F5" s="1183"/>
      <c r="G5" s="1183"/>
      <c r="H5" s="3"/>
      <c r="J5" s="26"/>
      <c r="K5" s="27"/>
    </row>
    <row r="6" spans="1:11" s="1" customFormat="1" ht="21" customHeight="1" x14ac:dyDescent="0.25">
      <c r="A6" s="3"/>
      <c r="B6" s="3" t="s">
        <v>17</v>
      </c>
      <c r="C6" s="5"/>
      <c r="D6" s="5"/>
      <c r="E6" s="5"/>
      <c r="F6" s="5"/>
      <c r="G6" s="5"/>
      <c r="H6" s="3"/>
      <c r="J6" s="26"/>
      <c r="K6" s="27"/>
    </row>
    <row r="7" spans="1:11" s="1" customFormat="1" ht="17.25" customHeight="1" x14ac:dyDescent="0.25">
      <c r="A7" s="3"/>
      <c r="B7" s="3"/>
      <c r="C7" s="5"/>
      <c r="D7" s="5"/>
      <c r="E7" s="5"/>
      <c r="F7" s="5"/>
      <c r="G7" s="5"/>
      <c r="H7" s="3"/>
      <c r="J7" s="26"/>
      <c r="K7" s="27"/>
    </row>
    <row r="8" spans="1:11" s="1" customFormat="1" ht="17.25" customHeight="1" x14ac:dyDescent="0.25">
      <c r="A8" s="3"/>
      <c r="B8" s="25" t="s">
        <v>107</v>
      </c>
      <c r="C8" s="34"/>
      <c r="D8" s="5"/>
      <c r="E8" s="5"/>
      <c r="F8" s="5"/>
      <c r="G8" s="5"/>
      <c r="H8" s="3"/>
      <c r="J8" s="26"/>
      <c r="K8" s="27"/>
    </row>
    <row r="9" spans="1:11" s="1" customFormat="1" ht="17.25" hidden="1" customHeight="1" x14ac:dyDescent="0.25">
      <c r="A9" s="3"/>
      <c r="B9" s="3"/>
      <c r="C9" s="1184"/>
      <c r="D9" s="1184"/>
      <c r="E9" s="1184"/>
      <c r="F9" s="1184"/>
      <c r="G9" s="1184"/>
      <c r="H9" s="3"/>
      <c r="J9" s="26"/>
      <c r="K9" s="27"/>
    </row>
    <row r="10" spans="1:11" s="1" customFormat="1" ht="11.25" hidden="1" customHeight="1" x14ac:dyDescent="0.25">
      <c r="A10" s="6"/>
      <c r="B10" s="6"/>
      <c r="C10" s="1183" t="s">
        <v>18</v>
      </c>
      <c r="D10" s="1183"/>
      <c r="E10" s="1183"/>
      <c r="F10" s="1183"/>
      <c r="G10" s="1183"/>
      <c r="H10" s="6"/>
      <c r="J10" s="26"/>
      <c r="K10" s="27"/>
    </row>
    <row r="11" spans="1:11" s="1" customFormat="1" ht="11.25" customHeight="1" x14ac:dyDescent="0.25">
      <c r="A11" s="6"/>
      <c r="B11" s="6"/>
      <c r="C11" s="5"/>
      <c r="D11" s="5"/>
      <c r="E11" s="5"/>
      <c r="F11" s="5"/>
      <c r="G11" s="5"/>
      <c r="H11" s="6"/>
      <c r="J11" s="26"/>
      <c r="K11" s="27"/>
    </row>
    <row r="12" spans="1:11" s="1" customFormat="1" ht="18" x14ac:dyDescent="0.25">
      <c r="A12" s="6"/>
      <c r="B12" s="1185" t="s">
        <v>19</v>
      </c>
      <c r="C12" s="1186"/>
      <c r="D12" s="1186"/>
      <c r="E12" s="1186"/>
      <c r="F12" s="1186"/>
      <c r="G12" s="1186"/>
      <c r="H12" s="6"/>
      <c r="J12" s="26"/>
      <c r="K12" s="27"/>
    </row>
    <row r="13" spans="1:11" s="1" customFormat="1" ht="11.25" customHeight="1" x14ac:dyDescent="0.25">
      <c r="A13" s="6"/>
      <c r="B13" s="6"/>
      <c r="C13" s="5"/>
      <c r="D13" s="5"/>
      <c r="E13" s="5"/>
      <c r="F13" s="5"/>
      <c r="G13" s="5"/>
      <c r="H13" s="6"/>
      <c r="J13" s="26"/>
      <c r="K13" s="27"/>
    </row>
    <row r="14" spans="1:11" s="1" customFormat="1" ht="23.25" customHeight="1" x14ac:dyDescent="0.25">
      <c r="A14" s="4"/>
      <c r="B14" s="1180" t="s">
        <v>20</v>
      </c>
      <c r="C14" s="1181"/>
      <c r="D14" s="1181"/>
      <c r="E14" s="1181"/>
      <c r="F14" s="1181"/>
      <c r="G14" s="1181"/>
      <c r="H14" s="4"/>
      <c r="J14" s="26"/>
      <c r="K14" s="27"/>
    </row>
    <row r="15" spans="1:11" s="1" customFormat="1" ht="13.5" customHeight="1" x14ac:dyDescent="0.25">
      <c r="A15" s="7"/>
      <c r="B15" s="1149" t="s">
        <v>0</v>
      </c>
      <c r="C15" s="1149"/>
      <c r="D15" s="1149"/>
      <c r="E15" s="1149"/>
      <c r="F15" s="1149"/>
      <c r="G15" s="1149"/>
      <c r="H15" s="7"/>
      <c r="J15" s="26"/>
      <c r="K15" s="27"/>
    </row>
    <row r="16" spans="1:11" s="1" customFormat="1" ht="9.75" customHeight="1" x14ac:dyDescent="0.25">
      <c r="A16" s="3"/>
      <c r="B16" s="3"/>
      <c r="C16" s="3"/>
      <c r="D16" s="8"/>
      <c r="E16" s="8"/>
      <c r="F16" s="8"/>
      <c r="G16" s="9"/>
      <c r="H16" s="9"/>
      <c r="J16" s="26"/>
      <c r="K16" s="27"/>
    </row>
    <row r="17" spans="1:11" s="1" customFormat="1" ht="15" x14ac:dyDescent="0.25">
      <c r="A17" s="10"/>
      <c r="B17" s="1174" t="s">
        <v>106</v>
      </c>
      <c r="C17" s="1175"/>
      <c r="D17" s="1175"/>
      <c r="E17" s="1175"/>
      <c r="F17" s="1175"/>
      <c r="G17" s="1175"/>
      <c r="H17" s="1175"/>
      <c r="J17" s="26"/>
      <c r="K17" s="27"/>
    </row>
    <row r="18" spans="1:11" s="1" customFormat="1" ht="9.75" customHeight="1" x14ac:dyDescent="0.25">
      <c r="A18" s="3"/>
      <c r="B18" s="3"/>
      <c r="C18" s="3"/>
      <c r="D18" s="5"/>
      <c r="E18" s="5"/>
      <c r="F18" s="5"/>
      <c r="G18" s="5"/>
      <c r="H18" s="5"/>
      <c r="J18" s="26"/>
      <c r="K18" s="27"/>
    </row>
    <row r="19" spans="1:11" s="1" customFormat="1" ht="16.5" customHeight="1" x14ac:dyDescent="0.25">
      <c r="A19" s="1172" t="s">
        <v>4</v>
      </c>
      <c r="B19" s="1172" t="s">
        <v>5</v>
      </c>
      <c r="C19" s="1172" t="s">
        <v>21</v>
      </c>
      <c r="D19" s="1177" t="s">
        <v>22</v>
      </c>
      <c r="E19" s="1178"/>
      <c r="F19" s="1178"/>
      <c r="G19" s="1178"/>
      <c r="H19" s="1179"/>
      <c r="J19" s="26"/>
      <c r="K19" s="27"/>
    </row>
    <row r="20" spans="1:11" s="1" customFormat="1" ht="45.75" customHeight="1" x14ac:dyDescent="0.25">
      <c r="A20" s="1176"/>
      <c r="B20" s="1176"/>
      <c r="C20" s="1176"/>
      <c r="D20" s="1172" t="s">
        <v>23</v>
      </c>
      <c r="E20" s="1172" t="s">
        <v>1</v>
      </c>
      <c r="F20" s="1172" t="s">
        <v>2</v>
      </c>
      <c r="G20" s="1172" t="s">
        <v>3</v>
      </c>
      <c r="H20" s="1172" t="s">
        <v>6</v>
      </c>
      <c r="J20" s="26"/>
      <c r="K20" s="27"/>
    </row>
    <row r="21" spans="1:11" s="1" customFormat="1" ht="24.75" customHeight="1" x14ac:dyDescent="0.25">
      <c r="A21" s="1173"/>
      <c r="B21" s="1173"/>
      <c r="C21" s="1173"/>
      <c r="D21" s="1173"/>
      <c r="E21" s="1173"/>
      <c r="F21" s="1173"/>
      <c r="G21" s="1173"/>
      <c r="H21" s="1173"/>
      <c r="J21" s="26"/>
      <c r="K21" s="27"/>
    </row>
    <row r="22" spans="1:11" s="1" customFormat="1" ht="15" x14ac:dyDescent="0.25">
      <c r="A22" s="11">
        <v>1</v>
      </c>
      <c r="B22" s="11">
        <v>2</v>
      </c>
      <c r="C22" s="11">
        <v>3</v>
      </c>
      <c r="D22" s="11">
        <v>4</v>
      </c>
      <c r="E22" s="11">
        <v>5</v>
      </c>
      <c r="F22" s="11">
        <v>6</v>
      </c>
      <c r="G22" s="11">
        <v>7</v>
      </c>
      <c r="H22" s="11">
        <v>8</v>
      </c>
      <c r="J22" s="26"/>
      <c r="K22" s="27"/>
    </row>
    <row r="23" spans="1:11" s="1" customFormat="1" ht="15" x14ac:dyDescent="0.25">
      <c r="A23" s="1155" t="s">
        <v>24</v>
      </c>
      <c r="B23" s="1156"/>
      <c r="C23" s="1156"/>
      <c r="D23" s="1156"/>
      <c r="E23" s="1156"/>
      <c r="F23" s="1156"/>
      <c r="G23" s="1156"/>
      <c r="H23" s="1157"/>
      <c r="J23" s="26"/>
      <c r="K23" s="27"/>
    </row>
    <row r="24" spans="1:11" s="1" customFormat="1" ht="33.75" x14ac:dyDescent="0.25">
      <c r="A24" s="12">
        <v>1</v>
      </c>
      <c r="B24" s="13" t="s">
        <v>25</v>
      </c>
      <c r="C24" s="13" t="s">
        <v>26</v>
      </c>
      <c r="D24" s="14">
        <v>48841.21</v>
      </c>
      <c r="E24" s="14"/>
      <c r="F24" s="14"/>
      <c r="G24" s="14"/>
      <c r="H24" s="14">
        <v>48841.21</v>
      </c>
      <c r="J24" s="28" t="e">
        <f>#REF!/1000</f>
        <v>#REF!</v>
      </c>
      <c r="K24" s="29" t="e">
        <f t="shared" ref="K24:K55" si="0">H24-J24</f>
        <v>#REF!</v>
      </c>
    </row>
    <row r="25" spans="1:11" s="1" customFormat="1" ht="22.5" x14ac:dyDescent="0.25">
      <c r="A25" s="12">
        <v>2</v>
      </c>
      <c r="B25" s="13" t="s">
        <v>27</v>
      </c>
      <c r="C25" s="24" t="s">
        <v>9</v>
      </c>
      <c r="D25" s="14">
        <v>40054.720000000001</v>
      </c>
      <c r="E25" s="14"/>
      <c r="F25" s="14"/>
      <c r="G25" s="14"/>
      <c r="H25" s="14">
        <v>40054.720000000001</v>
      </c>
      <c r="J25" s="28" t="e">
        <f>#REF!/1000</f>
        <v>#REF!</v>
      </c>
      <c r="K25" s="29" t="e">
        <f t="shared" si="0"/>
        <v>#REF!</v>
      </c>
    </row>
    <row r="26" spans="1:11" s="1" customFormat="1" ht="22.5" x14ac:dyDescent="0.25">
      <c r="A26" s="12">
        <v>3</v>
      </c>
      <c r="B26" s="13" t="s">
        <v>28</v>
      </c>
      <c r="C26" s="24" t="s">
        <v>10</v>
      </c>
      <c r="D26" s="14">
        <v>1173.58</v>
      </c>
      <c r="E26" s="14">
        <v>4.3899999999999997</v>
      </c>
      <c r="F26" s="14"/>
      <c r="G26" s="14"/>
      <c r="H26" s="14">
        <v>1177.97</v>
      </c>
      <c r="J26" s="28" t="e">
        <f>#REF!/1000</f>
        <v>#REF!</v>
      </c>
      <c r="K26" s="29" t="e">
        <f t="shared" si="0"/>
        <v>#REF!</v>
      </c>
    </row>
    <row r="27" spans="1:11" s="1" customFormat="1" ht="15" x14ac:dyDescent="0.25">
      <c r="A27" s="15"/>
      <c r="B27" s="1158" t="s">
        <v>29</v>
      </c>
      <c r="C27" s="1159"/>
      <c r="D27" s="16">
        <v>90069.51</v>
      </c>
      <c r="E27" s="16">
        <v>4.3899999999999997</v>
      </c>
      <c r="F27" s="17"/>
      <c r="G27" s="17"/>
      <c r="H27" s="17">
        <v>90073.9</v>
      </c>
      <c r="J27" s="28" t="e">
        <f>SUM(J24:J26)</f>
        <v>#REF!</v>
      </c>
      <c r="K27" s="29" t="e">
        <f t="shared" si="0"/>
        <v>#REF!</v>
      </c>
    </row>
    <row r="28" spans="1:11" s="1" customFormat="1" ht="15" x14ac:dyDescent="0.25">
      <c r="A28" s="1155" t="s">
        <v>30</v>
      </c>
      <c r="B28" s="1156"/>
      <c r="C28" s="1156"/>
      <c r="D28" s="1156"/>
      <c r="E28" s="1156"/>
      <c r="F28" s="1156"/>
      <c r="G28" s="1156"/>
      <c r="H28" s="1157"/>
      <c r="J28" s="28"/>
      <c r="K28" s="29">
        <f t="shared" si="0"/>
        <v>0</v>
      </c>
    </row>
    <row r="29" spans="1:11" s="1" customFormat="1" ht="15" x14ac:dyDescent="0.25">
      <c r="A29" s="12">
        <v>4</v>
      </c>
      <c r="B29" s="13" t="s">
        <v>31</v>
      </c>
      <c r="C29" s="24" t="s">
        <v>11</v>
      </c>
      <c r="D29" s="14">
        <v>161452.93</v>
      </c>
      <c r="E29" s="14"/>
      <c r="F29" s="14"/>
      <c r="G29" s="14"/>
      <c r="H29" s="14">
        <v>161452.93</v>
      </c>
      <c r="J29" s="28" t="e">
        <f>#REF!/1000</f>
        <v>#REF!</v>
      </c>
      <c r="K29" s="29" t="e">
        <f t="shared" si="0"/>
        <v>#REF!</v>
      </c>
    </row>
    <row r="30" spans="1:11" s="1" customFormat="1" ht="22.5" x14ac:dyDescent="0.25">
      <c r="A30" s="12">
        <v>5</v>
      </c>
      <c r="B30" s="13" t="s">
        <v>32</v>
      </c>
      <c r="C30" s="24" t="s">
        <v>12</v>
      </c>
      <c r="D30" s="14">
        <v>4505.95</v>
      </c>
      <c r="E30" s="14"/>
      <c r="F30" s="14"/>
      <c r="G30" s="14"/>
      <c r="H30" s="14">
        <v>4505.95</v>
      </c>
      <c r="J30" s="28" t="e">
        <f>#REF!/1000</f>
        <v>#REF!</v>
      </c>
      <c r="K30" s="29" t="e">
        <f t="shared" si="0"/>
        <v>#REF!</v>
      </c>
    </row>
    <row r="31" spans="1:11" s="1" customFormat="1" ht="22.5" x14ac:dyDescent="0.25">
      <c r="A31" s="12">
        <v>6</v>
      </c>
      <c r="B31" s="13" t="s">
        <v>33</v>
      </c>
      <c r="C31" s="13" t="s">
        <v>34</v>
      </c>
      <c r="D31" s="14">
        <v>10526.92</v>
      </c>
      <c r="E31" s="14"/>
      <c r="F31" s="14"/>
      <c r="G31" s="14"/>
      <c r="H31" s="14">
        <v>10526.92</v>
      </c>
      <c r="J31" s="28" t="e">
        <f>#REF!/1000</f>
        <v>#REF!</v>
      </c>
      <c r="K31" s="29" t="e">
        <f t="shared" si="0"/>
        <v>#REF!</v>
      </c>
    </row>
    <row r="32" spans="1:11" s="1" customFormat="1" ht="22.5" x14ac:dyDescent="0.25">
      <c r="A32" s="12">
        <v>7</v>
      </c>
      <c r="B32" s="13" t="s">
        <v>35</v>
      </c>
      <c r="C32" s="13" t="s">
        <v>36</v>
      </c>
      <c r="D32" s="14">
        <v>1615.22</v>
      </c>
      <c r="E32" s="14"/>
      <c r="F32" s="14"/>
      <c r="G32" s="14"/>
      <c r="H32" s="14">
        <v>1615.22</v>
      </c>
      <c r="J32" s="28" t="e">
        <f>#REF!/1000</f>
        <v>#REF!</v>
      </c>
      <c r="K32" s="29" t="e">
        <f t="shared" si="0"/>
        <v>#REF!</v>
      </c>
    </row>
    <row r="33" spans="1:11" s="1" customFormat="1" ht="15" x14ac:dyDescent="0.25">
      <c r="A33" s="15"/>
      <c r="B33" s="1158" t="s">
        <v>37</v>
      </c>
      <c r="C33" s="1159"/>
      <c r="D33" s="16">
        <v>178101.02</v>
      </c>
      <c r="E33" s="16"/>
      <c r="F33" s="17"/>
      <c r="G33" s="17"/>
      <c r="H33" s="17">
        <v>178101.02</v>
      </c>
      <c r="J33" s="28" t="e">
        <f>SUM(J29:J32)</f>
        <v>#REF!</v>
      </c>
      <c r="K33" s="29" t="e">
        <f t="shared" si="0"/>
        <v>#REF!</v>
      </c>
    </row>
    <row r="34" spans="1:11" s="1" customFormat="1" ht="15" x14ac:dyDescent="0.25">
      <c r="A34" s="1155" t="s">
        <v>38</v>
      </c>
      <c r="B34" s="1156"/>
      <c r="C34" s="1156"/>
      <c r="D34" s="1156"/>
      <c r="E34" s="1156"/>
      <c r="F34" s="1156"/>
      <c r="G34" s="1156"/>
      <c r="H34" s="1157"/>
      <c r="J34" s="28"/>
      <c r="K34" s="29">
        <f t="shared" si="0"/>
        <v>0</v>
      </c>
    </row>
    <row r="35" spans="1:11" s="1" customFormat="1" ht="15" x14ac:dyDescent="0.25">
      <c r="A35" s="12">
        <v>8</v>
      </c>
      <c r="B35" s="13" t="s">
        <v>39</v>
      </c>
      <c r="C35" s="13" t="s">
        <v>40</v>
      </c>
      <c r="D35" s="14">
        <v>0.46</v>
      </c>
      <c r="E35" s="14">
        <v>474.57</v>
      </c>
      <c r="F35" s="14"/>
      <c r="G35" s="14"/>
      <c r="H35" s="14">
        <v>475.03</v>
      </c>
      <c r="J35" s="28" t="e">
        <f>#REF!/1000</f>
        <v>#REF!</v>
      </c>
      <c r="K35" s="29" t="e">
        <f t="shared" si="0"/>
        <v>#REF!</v>
      </c>
    </row>
    <row r="36" spans="1:11" s="1" customFormat="1" ht="15" x14ac:dyDescent="0.25">
      <c r="A36" s="12">
        <v>9</v>
      </c>
      <c r="B36" s="13" t="s">
        <v>41</v>
      </c>
      <c r="C36" s="13" t="s">
        <v>42</v>
      </c>
      <c r="D36" s="14">
        <v>595.21</v>
      </c>
      <c r="E36" s="14">
        <v>1681.46</v>
      </c>
      <c r="F36" s="14"/>
      <c r="G36" s="14"/>
      <c r="H36" s="14">
        <v>2276.67</v>
      </c>
      <c r="J36" s="28" t="e">
        <f>#REF!/1000</f>
        <v>#REF!</v>
      </c>
      <c r="K36" s="29" t="e">
        <f t="shared" si="0"/>
        <v>#REF!</v>
      </c>
    </row>
    <row r="37" spans="1:11" s="1" customFormat="1" ht="15" x14ac:dyDescent="0.25">
      <c r="A37" s="15"/>
      <c r="B37" s="1158" t="s">
        <v>43</v>
      </c>
      <c r="C37" s="1159"/>
      <c r="D37" s="16">
        <v>595.66999999999996</v>
      </c>
      <c r="E37" s="16">
        <v>2156.0300000000002</v>
      </c>
      <c r="F37" s="17"/>
      <c r="G37" s="17"/>
      <c r="H37" s="17">
        <v>2751.7</v>
      </c>
      <c r="J37" s="28" t="e">
        <f>SUM(J35:J36)</f>
        <v>#REF!</v>
      </c>
      <c r="K37" s="29" t="e">
        <f t="shared" si="0"/>
        <v>#REF!</v>
      </c>
    </row>
    <row r="38" spans="1:11" s="1" customFormat="1" ht="15" x14ac:dyDescent="0.25">
      <c r="A38" s="1155" t="s">
        <v>44</v>
      </c>
      <c r="B38" s="1156"/>
      <c r="C38" s="1156"/>
      <c r="D38" s="1156"/>
      <c r="E38" s="1156"/>
      <c r="F38" s="1156"/>
      <c r="G38" s="1156"/>
      <c r="H38" s="1157"/>
      <c r="J38" s="28"/>
      <c r="K38" s="29">
        <f t="shared" si="0"/>
        <v>0</v>
      </c>
    </row>
    <row r="39" spans="1:11" s="1" customFormat="1" ht="15" x14ac:dyDescent="0.25">
      <c r="A39" s="1169" t="s">
        <v>45</v>
      </c>
      <c r="B39" s="1170"/>
      <c r="C39" s="1170"/>
      <c r="D39" s="1170"/>
      <c r="E39" s="1170"/>
      <c r="F39" s="1170"/>
      <c r="G39" s="1170"/>
      <c r="H39" s="1171"/>
      <c r="J39" s="28"/>
      <c r="K39" s="29">
        <f t="shared" si="0"/>
        <v>0</v>
      </c>
    </row>
    <row r="40" spans="1:11" s="1" customFormat="1" ht="22.5" x14ac:dyDescent="0.25">
      <c r="A40" s="12">
        <v>10</v>
      </c>
      <c r="B40" s="13" t="s">
        <v>46</v>
      </c>
      <c r="C40" s="13" t="s">
        <v>47</v>
      </c>
      <c r="D40" s="14">
        <v>760.02</v>
      </c>
      <c r="E40" s="14"/>
      <c r="F40" s="14"/>
      <c r="G40" s="14"/>
      <c r="H40" s="14">
        <v>760.02</v>
      </c>
      <c r="J40" s="28" t="e">
        <f>#REF!/1000</f>
        <v>#REF!</v>
      </c>
      <c r="K40" s="29" t="e">
        <f t="shared" si="0"/>
        <v>#REF!</v>
      </c>
    </row>
    <row r="41" spans="1:11" s="1" customFormat="1" ht="22.5" x14ac:dyDescent="0.25">
      <c r="A41" s="12">
        <v>11</v>
      </c>
      <c r="B41" s="13" t="s">
        <v>48</v>
      </c>
      <c r="C41" s="24" t="s">
        <v>49</v>
      </c>
      <c r="D41" s="14">
        <v>10454.17</v>
      </c>
      <c r="E41" s="14"/>
      <c r="F41" s="14"/>
      <c r="G41" s="14"/>
      <c r="H41" s="14">
        <v>10454.17</v>
      </c>
      <c r="J41" s="28" t="e">
        <f>#REF!/1000</f>
        <v>#REF!</v>
      </c>
      <c r="K41" s="29" t="e">
        <f t="shared" si="0"/>
        <v>#REF!</v>
      </c>
    </row>
    <row r="42" spans="1:11" s="1" customFormat="1" ht="15" x14ac:dyDescent="0.25">
      <c r="A42" s="1169" t="s">
        <v>50</v>
      </c>
      <c r="B42" s="1170"/>
      <c r="C42" s="1170"/>
      <c r="D42" s="1170"/>
      <c r="E42" s="1170"/>
      <c r="F42" s="1170"/>
      <c r="G42" s="1170"/>
      <c r="H42" s="1171"/>
      <c r="J42" s="28"/>
      <c r="K42" s="29">
        <f t="shared" si="0"/>
        <v>0</v>
      </c>
    </row>
    <row r="43" spans="1:11" s="1" customFormat="1" ht="22.5" x14ac:dyDescent="0.25">
      <c r="A43" s="12">
        <v>12</v>
      </c>
      <c r="B43" s="13" t="s">
        <v>51</v>
      </c>
      <c r="C43" s="13" t="s">
        <v>52</v>
      </c>
      <c r="D43" s="14">
        <v>9143.31</v>
      </c>
      <c r="E43" s="14"/>
      <c r="F43" s="14"/>
      <c r="G43" s="14"/>
      <c r="H43" s="14">
        <v>9143.31</v>
      </c>
      <c r="J43" s="28" t="e">
        <f>#REF!/1000</f>
        <v>#REF!</v>
      </c>
      <c r="K43" s="29" t="e">
        <f t="shared" si="0"/>
        <v>#REF!</v>
      </c>
    </row>
    <row r="44" spans="1:11" s="1" customFormat="1" ht="22.5" x14ac:dyDescent="0.25">
      <c r="A44" s="12">
        <v>13</v>
      </c>
      <c r="B44" s="13" t="s">
        <v>53</v>
      </c>
      <c r="C44" s="13" t="s">
        <v>54</v>
      </c>
      <c r="D44" s="14">
        <v>21996.73</v>
      </c>
      <c r="E44" s="14"/>
      <c r="F44" s="14"/>
      <c r="G44" s="14"/>
      <c r="H44" s="14">
        <v>21996.73</v>
      </c>
      <c r="J44" s="28" t="e">
        <f>#REF!/1000</f>
        <v>#REF!</v>
      </c>
      <c r="K44" s="29" t="e">
        <f t="shared" si="0"/>
        <v>#REF!</v>
      </c>
    </row>
    <row r="45" spans="1:11" s="1" customFormat="1" ht="22.5" x14ac:dyDescent="0.25">
      <c r="A45" s="12">
        <v>14</v>
      </c>
      <c r="B45" s="13" t="s">
        <v>55</v>
      </c>
      <c r="C45" s="13" t="s">
        <v>56</v>
      </c>
      <c r="D45" s="14">
        <v>1758.76</v>
      </c>
      <c r="E45" s="14"/>
      <c r="F45" s="14"/>
      <c r="G45" s="14"/>
      <c r="H45" s="14">
        <v>1758.76</v>
      </c>
      <c r="J45" s="28" t="e">
        <f>#REF!/1000</f>
        <v>#REF!</v>
      </c>
      <c r="K45" s="29" t="e">
        <f t="shared" si="0"/>
        <v>#REF!</v>
      </c>
    </row>
    <row r="46" spans="1:11" s="1" customFormat="1" ht="15" x14ac:dyDescent="0.25">
      <c r="A46" s="1169" t="s">
        <v>57</v>
      </c>
      <c r="B46" s="1170"/>
      <c r="C46" s="1170"/>
      <c r="D46" s="1170"/>
      <c r="E46" s="1170"/>
      <c r="F46" s="1170"/>
      <c r="G46" s="1170"/>
      <c r="H46" s="1171"/>
      <c r="J46" s="28"/>
      <c r="K46" s="29">
        <f t="shared" si="0"/>
        <v>0</v>
      </c>
    </row>
    <row r="47" spans="1:11" s="1" customFormat="1" ht="22.5" x14ac:dyDescent="0.25">
      <c r="A47" s="12">
        <v>15</v>
      </c>
      <c r="B47" s="13" t="s">
        <v>58</v>
      </c>
      <c r="C47" s="24" t="s">
        <v>108</v>
      </c>
      <c r="D47" s="14">
        <v>4038.24</v>
      </c>
      <c r="E47" s="14">
        <v>6.6</v>
      </c>
      <c r="F47" s="14"/>
      <c r="G47" s="14"/>
      <c r="H47" s="14">
        <v>4044.84</v>
      </c>
      <c r="J47" s="28" t="e">
        <f>#REF!/1000</f>
        <v>#REF!</v>
      </c>
      <c r="K47" s="29" t="e">
        <f t="shared" si="0"/>
        <v>#REF!</v>
      </c>
    </row>
    <row r="48" spans="1:11" s="1" customFormat="1" ht="22.5" x14ac:dyDescent="0.25">
      <c r="A48" s="12">
        <v>16</v>
      </c>
      <c r="B48" s="13" t="s">
        <v>59</v>
      </c>
      <c r="C48" s="13" t="s">
        <v>60</v>
      </c>
      <c r="D48" s="14">
        <v>4800.6099999999997</v>
      </c>
      <c r="E48" s="14">
        <v>58.97</v>
      </c>
      <c r="F48" s="14"/>
      <c r="G48" s="14"/>
      <c r="H48" s="14">
        <v>4859.58</v>
      </c>
      <c r="J48" s="28" t="e">
        <f>#REF!/1000</f>
        <v>#REF!</v>
      </c>
      <c r="K48" s="29" t="e">
        <f t="shared" si="0"/>
        <v>#REF!</v>
      </c>
    </row>
    <row r="49" spans="1:11" s="1" customFormat="1" ht="22.5" x14ac:dyDescent="0.25">
      <c r="A49" s="12">
        <v>17</v>
      </c>
      <c r="B49" s="13" t="s">
        <v>61</v>
      </c>
      <c r="C49" s="13" t="s">
        <v>62</v>
      </c>
      <c r="D49" s="14">
        <v>1804.17</v>
      </c>
      <c r="E49" s="14">
        <v>86.03</v>
      </c>
      <c r="F49" s="14"/>
      <c r="G49" s="14"/>
      <c r="H49" s="14">
        <v>1890.2</v>
      </c>
      <c r="J49" s="28" t="e">
        <f>#REF!/1000</f>
        <v>#REF!</v>
      </c>
      <c r="K49" s="29" t="e">
        <f t="shared" si="0"/>
        <v>#REF!</v>
      </c>
    </row>
    <row r="50" spans="1:11" s="1" customFormat="1" ht="22.5" x14ac:dyDescent="0.25">
      <c r="A50" s="12">
        <v>18</v>
      </c>
      <c r="B50" s="13" t="s">
        <v>63</v>
      </c>
      <c r="C50" s="13" t="s">
        <v>64</v>
      </c>
      <c r="D50" s="14">
        <v>3937.99</v>
      </c>
      <c r="E50" s="14">
        <v>65.459999999999994</v>
      </c>
      <c r="F50" s="14"/>
      <c r="G50" s="14"/>
      <c r="H50" s="14">
        <v>4003.45</v>
      </c>
      <c r="J50" s="28" t="e">
        <f>#REF!/1000</f>
        <v>#REF!</v>
      </c>
      <c r="K50" s="29" t="e">
        <f t="shared" si="0"/>
        <v>#REF!</v>
      </c>
    </row>
    <row r="51" spans="1:11" s="1" customFormat="1" ht="15" x14ac:dyDescent="0.25">
      <c r="A51" s="1169" t="s">
        <v>65</v>
      </c>
      <c r="B51" s="1170"/>
      <c r="C51" s="1170"/>
      <c r="D51" s="1170"/>
      <c r="E51" s="1170"/>
      <c r="F51" s="1170"/>
      <c r="G51" s="1170"/>
      <c r="H51" s="1171"/>
      <c r="J51" s="28"/>
      <c r="K51" s="29">
        <f t="shared" si="0"/>
        <v>0</v>
      </c>
    </row>
    <row r="52" spans="1:11" s="1" customFormat="1" ht="22.5" x14ac:dyDescent="0.25">
      <c r="A52" s="12">
        <v>19</v>
      </c>
      <c r="B52" s="13" t="s">
        <v>66</v>
      </c>
      <c r="C52" s="13" t="s">
        <v>67</v>
      </c>
      <c r="D52" s="14">
        <v>8264.99</v>
      </c>
      <c r="E52" s="14">
        <v>26.93</v>
      </c>
      <c r="F52" s="14"/>
      <c r="G52" s="14"/>
      <c r="H52" s="14">
        <v>8291.92</v>
      </c>
      <c r="J52" s="28" t="e">
        <f>#REF!/1000</f>
        <v>#REF!</v>
      </c>
      <c r="K52" s="29" t="e">
        <f t="shared" si="0"/>
        <v>#REF!</v>
      </c>
    </row>
    <row r="53" spans="1:11" s="1" customFormat="1" ht="15" x14ac:dyDescent="0.25">
      <c r="A53" s="15"/>
      <c r="B53" s="1158" t="s">
        <v>68</v>
      </c>
      <c r="C53" s="1159"/>
      <c r="D53" s="16">
        <v>66958.990000000005</v>
      </c>
      <c r="E53" s="16">
        <v>243.99</v>
      </c>
      <c r="F53" s="17"/>
      <c r="G53" s="17"/>
      <c r="H53" s="17">
        <v>67202.98</v>
      </c>
      <c r="J53" s="28" t="e">
        <f>SUM(J40:J52)</f>
        <v>#REF!</v>
      </c>
      <c r="K53" s="29" t="e">
        <f t="shared" si="0"/>
        <v>#REF!</v>
      </c>
    </row>
    <row r="54" spans="1:11" s="1" customFormat="1" ht="15" x14ac:dyDescent="0.25">
      <c r="A54" s="1155" t="s">
        <v>69</v>
      </c>
      <c r="B54" s="1156"/>
      <c r="C54" s="1156"/>
      <c r="D54" s="1156"/>
      <c r="E54" s="1156"/>
      <c r="F54" s="1156"/>
      <c r="G54" s="1156"/>
      <c r="H54" s="1157"/>
      <c r="J54" s="28"/>
      <c r="K54" s="29">
        <f t="shared" si="0"/>
        <v>0</v>
      </c>
    </row>
    <row r="55" spans="1:11" s="1" customFormat="1" ht="15" x14ac:dyDescent="0.25">
      <c r="A55" s="12">
        <v>20</v>
      </c>
      <c r="B55" s="13" t="s">
        <v>70</v>
      </c>
      <c r="C55" s="13" t="s">
        <v>8</v>
      </c>
      <c r="D55" s="14">
        <v>5005.8999999999996</v>
      </c>
      <c r="E55" s="14"/>
      <c r="F55" s="14"/>
      <c r="G55" s="14"/>
      <c r="H55" s="14">
        <v>5005.8999999999996</v>
      </c>
      <c r="J55" s="28" t="e">
        <f>#REF!/1000</f>
        <v>#REF!</v>
      </c>
      <c r="K55" s="29" t="e">
        <f t="shared" si="0"/>
        <v>#REF!</v>
      </c>
    </row>
    <row r="56" spans="1:11" s="1" customFormat="1" ht="15" x14ac:dyDescent="0.25">
      <c r="A56" s="12">
        <v>21</v>
      </c>
      <c r="B56" s="13" t="s">
        <v>71</v>
      </c>
      <c r="C56" s="24" t="s">
        <v>109</v>
      </c>
      <c r="D56" s="14">
        <v>48898.42</v>
      </c>
      <c r="E56" s="14"/>
      <c r="F56" s="14"/>
      <c r="G56" s="14"/>
      <c r="H56" s="14">
        <v>48898.42</v>
      </c>
      <c r="J56" s="28" t="e">
        <f>#REF!/1000</f>
        <v>#REF!</v>
      </c>
      <c r="K56" s="29" t="e">
        <f t="shared" ref="K56:K78" si="1">H56-J56</f>
        <v>#REF!</v>
      </c>
    </row>
    <row r="57" spans="1:11" s="1" customFormat="1" ht="15" x14ac:dyDescent="0.25">
      <c r="A57" s="15"/>
      <c r="B57" s="1158" t="s">
        <v>72</v>
      </c>
      <c r="C57" s="1159"/>
      <c r="D57" s="16">
        <v>53904.32</v>
      </c>
      <c r="E57" s="16"/>
      <c r="F57" s="17"/>
      <c r="G57" s="17"/>
      <c r="H57" s="17">
        <v>53904.32</v>
      </c>
      <c r="J57" s="28" t="e">
        <f>SUM(J55:J56)</f>
        <v>#REF!</v>
      </c>
      <c r="K57" s="29" t="e">
        <f t="shared" si="1"/>
        <v>#REF!</v>
      </c>
    </row>
    <row r="58" spans="1:11" s="1" customFormat="1" ht="15" x14ac:dyDescent="0.25">
      <c r="A58" s="15"/>
      <c r="B58" s="1153" t="s">
        <v>73</v>
      </c>
      <c r="C58" s="1154"/>
      <c r="D58" s="16">
        <v>389629.51</v>
      </c>
      <c r="E58" s="16">
        <v>2404.41</v>
      </c>
      <c r="F58" s="17"/>
      <c r="G58" s="17"/>
      <c r="H58" s="17">
        <v>392033.92</v>
      </c>
      <c r="J58" s="28"/>
      <c r="K58" s="29">
        <f t="shared" si="1"/>
        <v>392033.92</v>
      </c>
    </row>
    <row r="59" spans="1:11" s="1" customFormat="1" ht="15" x14ac:dyDescent="0.25">
      <c r="A59" s="1155" t="s">
        <v>74</v>
      </c>
      <c r="B59" s="1156"/>
      <c r="C59" s="1156"/>
      <c r="D59" s="1156"/>
      <c r="E59" s="1156"/>
      <c r="F59" s="1156"/>
      <c r="G59" s="1156"/>
      <c r="H59" s="1157"/>
      <c r="J59" s="28"/>
      <c r="K59" s="29">
        <f t="shared" si="1"/>
        <v>0</v>
      </c>
    </row>
    <row r="60" spans="1:11" s="1" customFormat="1" ht="33.75" x14ac:dyDescent="0.25">
      <c r="A60" s="12">
        <v>22</v>
      </c>
      <c r="B60" s="13" t="s">
        <v>75</v>
      </c>
      <c r="C60" s="13" t="s">
        <v>76</v>
      </c>
      <c r="D60" s="14">
        <v>31949.62</v>
      </c>
      <c r="E60" s="14">
        <v>197.16</v>
      </c>
      <c r="F60" s="14"/>
      <c r="G60" s="14"/>
      <c r="H60" s="14">
        <v>32146.78</v>
      </c>
      <c r="J60" s="28"/>
      <c r="K60" s="29">
        <f t="shared" si="1"/>
        <v>32146.78</v>
      </c>
    </row>
    <row r="61" spans="1:11" s="1" customFormat="1" ht="15" x14ac:dyDescent="0.25">
      <c r="A61" s="15"/>
      <c r="B61" s="1158" t="s">
        <v>77</v>
      </c>
      <c r="C61" s="1159"/>
      <c r="D61" s="16">
        <v>31949.62</v>
      </c>
      <c r="E61" s="16">
        <v>197.16</v>
      </c>
      <c r="F61" s="17"/>
      <c r="G61" s="17"/>
      <c r="H61" s="17">
        <v>32146.78</v>
      </c>
      <c r="J61" s="28"/>
      <c r="K61" s="29">
        <f t="shared" si="1"/>
        <v>32146.78</v>
      </c>
    </row>
    <row r="62" spans="1:11" s="1" customFormat="1" ht="15" x14ac:dyDescent="0.25">
      <c r="A62" s="15"/>
      <c r="B62" s="1153" t="s">
        <v>78</v>
      </c>
      <c r="C62" s="1154"/>
      <c r="D62" s="16">
        <v>421579.13</v>
      </c>
      <c r="E62" s="16">
        <v>2601.5700000000002</v>
      </c>
      <c r="F62" s="17"/>
      <c r="G62" s="17"/>
      <c r="H62" s="17">
        <v>424180.7</v>
      </c>
      <c r="J62" s="28"/>
      <c r="K62" s="29">
        <f t="shared" si="1"/>
        <v>424180.7</v>
      </c>
    </row>
    <row r="63" spans="1:11" s="1" customFormat="1" ht="15" x14ac:dyDescent="0.25">
      <c r="A63" s="1155" t="s">
        <v>79</v>
      </c>
      <c r="B63" s="1156"/>
      <c r="C63" s="1156"/>
      <c r="D63" s="1156"/>
      <c r="E63" s="1156"/>
      <c r="F63" s="1156"/>
      <c r="G63" s="1156"/>
      <c r="H63" s="1157"/>
      <c r="J63" s="28"/>
      <c r="K63" s="29">
        <f t="shared" si="1"/>
        <v>0</v>
      </c>
    </row>
    <row r="64" spans="1:11" s="1" customFormat="1" ht="22.5" x14ac:dyDescent="0.25">
      <c r="A64" s="12">
        <v>23</v>
      </c>
      <c r="B64" s="13" t="s">
        <v>80</v>
      </c>
      <c r="C64" s="13" t="s">
        <v>81</v>
      </c>
      <c r="D64" s="14">
        <v>10117.9</v>
      </c>
      <c r="E64" s="14">
        <v>62.44</v>
      </c>
      <c r="F64" s="14"/>
      <c r="G64" s="14"/>
      <c r="H64" s="14">
        <v>10180.34</v>
      </c>
      <c r="J64" s="28"/>
      <c r="K64" s="29">
        <f t="shared" si="1"/>
        <v>10180.34</v>
      </c>
    </row>
    <row r="65" spans="1:11" s="1" customFormat="1" ht="15" x14ac:dyDescent="0.25">
      <c r="A65" s="15"/>
      <c r="B65" s="1158" t="s">
        <v>82</v>
      </c>
      <c r="C65" s="1159"/>
      <c r="D65" s="16">
        <v>10117.9</v>
      </c>
      <c r="E65" s="16">
        <v>62.44</v>
      </c>
      <c r="F65" s="17"/>
      <c r="G65" s="17"/>
      <c r="H65" s="17">
        <v>10180.34</v>
      </c>
      <c r="J65" s="28"/>
      <c r="K65" s="29">
        <f t="shared" si="1"/>
        <v>10180.34</v>
      </c>
    </row>
    <row r="66" spans="1:11" s="1" customFormat="1" ht="15" x14ac:dyDescent="0.25">
      <c r="A66" s="15"/>
      <c r="B66" s="1153" t="s">
        <v>83</v>
      </c>
      <c r="C66" s="1154"/>
      <c r="D66" s="16">
        <v>431697.03</v>
      </c>
      <c r="E66" s="16">
        <v>2664.01</v>
      </c>
      <c r="F66" s="17"/>
      <c r="G66" s="17"/>
      <c r="H66" s="17">
        <v>434361.04</v>
      </c>
      <c r="J66" s="28"/>
      <c r="K66" s="29">
        <f t="shared" si="1"/>
        <v>434361.04</v>
      </c>
    </row>
    <row r="67" spans="1:11" s="1" customFormat="1" ht="48.75" customHeight="1" x14ac:dyDescent="0.25">
      <c r="A67" s="1166" t="s">
        <v>84</v>
      </c>
      <c r="B67" s="1167"/>
      <c r="C67" s="1167"/>
      <c r="D67" s="1167"/>
      <c r="E67" s="1167"/>
      <c r="F67" s="1167"/>
      <c r="G67" s="1167"/>
      <c r="H67" s="1168"/>
      <c r="J67" s="28"/>
      <c r="K67" s="29">
        <f t="shared" si="1"/>
        <v>0</v>
      </c>
    </row>
    <row r="68" spans="1:11" s="1" customFormat="1" ht="15" x14ac:dyDescent="0.25">
      <c r="A68" s="15"/>
      <c r="B68" s="1153" t="s">
        <v>85</v>
      </c>
      <c r="C68" s="1154"/>
      <c r="D68" s="16">
        <v>431697.03</v>
      </c>
      <c r="E68" s="16">
        <v>2664.01</v>
      </c>
      <c r="F68" s="17"/>
      <c r="G68" s="17"/>
      <c r="H68" s="17">
        <v>434361.04</v>
      </c>
      <c r="J68" s="28"/>
      <c r="K68" s="29">
        <f t="shared" si="1"/>
        <v>434361.04</v>
      </c>
    </row>
    <row r="69" spans="1:11" s="1" customFormat="1" ht="15" x14ac:dyDescent="0.25">
      <c r="A69" s="1155" t="s">
        <v>86</v>
      </c>
      <c r="B69" s="1156"/>
      <c r="C69" s="1156"/>
      <c r="D69" s="1156"/>
      <c r="E69" s="1156"/>
      <c r="F69" s="1156"/>
      <c r="G69" s="1156"/>
      <c r="H69" s="1157"/>
      <c r="J69" s="28"/>
      <c r="K69" s="29">
        <f t="shared" si="1"/>
        <v>0</v>
      </c>
    </row>
    <row r="70" spans="1:11" s="1" customFormat="1" ht="15" x14ac:dyDescent="0.25">
      <c r="A70" s="15"/>
      <c r="B70" s="1158" t="s">
        <v>87</v>
      </c>
      <c r="C70" s="1159"/>
      <c r="D70" s="16"/>
      <c r="E70" s="16"/>
      <c r="F70" s="17"/>
      <c r="G70" s="17"/>
      <c r="H70" s="17"/>
      <c r="J70" s="28"/>
      <c r="K70" s="29">
        <f t="shared" si="1"/>
        <v>0</v>
      </c>
    </row>
    <row r="71" spans="1:11" s="1" customFormat="1" ht="15" x14ac:dyDescent="0.25">
      <c r="A71" s="15"/>
      <c r="B71" s="1153" t="s">
        <v>88</v>
      </c>
      <c r="C71" s="1154"/>
      <c r="D71" s="16">
        <v>431697.03</v>
      </c>
      <c r="E71" s="16">
        <v>2664.01</v>
      </c>
      <c r="F71" s="17"/>
      <c r="G71" s="17"/>
      <c r="H71" s="17">
        <v>434361.04</v>
      </c>
      <c r="J71" s="28"/>
      <c r="K71" s="29">
        <f t="shared" si="1"/>
        <v>434361.04</v>
      </c>
    </row>
    <row r="72" spans="1:11" s="1" customFormat="1" ht="15" x14ac:dyDescent="0.25">
      <c r="A72" s="1155" t="s">
        <v>89</v>
      </c>
      <c r="B72" s="1156"/>
      <c r="C72" s="1156"/>
      <c r="D72" s="1156"/>
      <c r="E72" s="1156"/>
      <c r="F72" s="1156"/>
      <c r="G72" s="1156"/>
      <c r="H72" s="1157"/>
      <c r="J72" s="28"/>
      <c r="K72" s="29">
        <f t="shared" si="1"/>
        <v>0</v>
      </c>
    </row>
    <row r="73" spans="1:11" s="1" customFormat="1" ht="15" x14ac:dyDescent="0.25">
      <c r="A73" s="15"/>
      <c r="B73" s="1158" t="s">
        <v>90</v>
      </c>
      <c r="C73" s="1159"/>
      <c r="D73" s="16"/>
      <c r="E73" s="16"/>
      <c r="F73" s="17"/>
      <c r="G73" s="17"/>
      <c r="H73" s="17"/>
      <c r="J73" s="28"/>
      <c r="K73" s="29">
        <f t="shared" si="1"/>
        <v>0</v>
      </c>
    </row>
    <row r="74" spans="1:11" s="1" customFormat="1" ht="15" x14ac:dyDescent="0.25">
      <c r="A74" s="15"/>
      <c r="B74" s="1160" t="s">
        <v>91</v>
      </c>
      <c r="C74" s="1161"/>
      <c r="D74" s="14">
        <v>431697.03</v>
      </c>
      <c r="E74" s="14">
        <v>2664.01</v>
      </c>
      <c r="F74" s="18"/>
      <c r="G74" s="18"/>
      <c r="H74" s="18">
        <v>434361.04</v>
      </c>
      <c r="J74" s="28"/>
      <c r="K74" s="29">
        <f t="shared" si="1"/>
        <v>434361.04</v>
      </c>
    </row>
    <row r="75" spans="1:11" s="1" customFormat="1" ht="15" x14ac:dyDescent="0.25">
      <c r="A75" s="15"/>
      <c r="B75" s="13"/>
      <c r="C75" s="19"/>
      <c r="D75" s="14"/>
      <c r="E75" s="14"/>
      <c r="F75" s="14"/>
      <c r="G75" s="14"/>
      <c r="H75" s="14"/>
      <c r="J75" s="28"/>
      <c r="K75" s="29">
        <f t="shared" si="1"/>
        <v>0</v>
      </c>
    </row>
    <row r="76" spans="1:11" s="1" customFormat="1" ht="15" x14ac:dyDescent="0.25">
      <c r="A76" s="15"/>
      <c r="B76" s="1162" t="s">
        <v>92</v>
      </c>
      <c r="C76" s="1163"/>
      <c r="D76" s="16">
        <v>431697.03</v>
      </c>
      <c r="E76" s="16">
        <v>2664.01</v>
      </c>
      <c r="F76" s="16"/>
      <c r="G76" s="16"/>
      <c r="H76" s="16">
        <v>434361.04</v>
      </c>
      <c r="I76" s="33"/>
      <c r="J76" s="28"/>
      <c r="K76" s="29">
        <f t="shared" si="1"/>
        <v>434361.04</v>
      </c>
    </row>
    <row r="77" spans="1:11" s="1" customFormat="1" ht="15" x14ac:dyDescent="0.25">
      <c r="A77" s="1164" t="s">
        <v>93</v>
      </c>
      <c r="B77" s="1156"/>
      <c r="C77" s="1156"/>
      <c r="D77" s="1156"/>
      <c r="E77" s="1156"/>
      <c r="F77" s="1156"/>
      <c r="G77" s="1156"/>
      <c r="H77" s="1157"/>
      <c r="J77" s="28"/>
      <c r="K77" s="29">
        <f t="shared" si="1"/>
        <v>0</v>
      </c>
    </row>
    <row r="78" spans="1:11" s="1" customFormat="1" ht="15" x14ac:dyDescent="0.25">
      <c r="A78" s="15"/>
      <c r="B78" s="1165" t="s">
        <v>94</v>
      </c>
      <c r="C78" s="1159"/>
      <c r="D78" s="16">
        <v>453869.17</v>
      </c>
      <c r="E78" s="16">
        <v>2800.83</v>
      </c>
      <c r="F78" s="17"/>
      <c r="G78" s="17"/>
      <c r="H78" s="17">
        <v>456670</v>
      </c>
      <c r="J78" s="28"/>
      <c r="K78" s="29">
        <f t="shared" si="1"/>
        <v>456670</v>
      </c>
    </row>
    <row r="79" spans="1:11" s="1" customFormat="1" ht="15" x14ac:dyDescent="0.25">
      <c r="A79" s="1155" t="s">
        <v>95</v>
      </c>
      <c r="B79" s="1156"/>
      <c r="C79" s="1156"/>
      <c r="D79" s="1156"/>
      <c r="E79" s="1156"/>
      <c r="F79" s="1156"/>
      <c r="G79" s="1156"/>
      <c r="H79" s="1157"/>
      <c r="J79" s="26"/>
      <c r="K79" s="27"/>
    </row>
    <row r="80" spans="1:11" s="1" customFormat="1" ht="15" x14ac:dyDescent="0.25">
      <c r="A80" s="12">
        <v>26</v>
      </c>
      <c r="B80" s="13" t="s">
        <v>96</v>
      </c>
      <c r="C80" s="13" t="s">
        <v>97</v>
      </c>
      <c r="D80" s="14">
        <f>D78*0.2</f>
        <v>90773.83</v>
      </c>
      <c r="E80" s="14">
        <f>E78*0.2</f>
        <v>560.16999999999996</v>
      </c>
      <c r="F80" s="14"/>
      <c r="G80" s="14"/>
      <c r="H80" s="14">
        <f>H78*0.2</f>
        <v>91334</v>
      </c>
      <c r="J80" s="30"/>
      <c r="K80" s="27"/>
    </row>
    <row r="81" spans="1:11" s="1" customFormat="1" ht="21.75" customHeight="1" x14ac:dyDescent="0.25">
      <c r="A81" s="15"/>
      <c r="B81" s="1158" t="s">
        <v>98</v>
      </c>
      <c r="C81" s="1159"/>
      <c r="D81" s="16">
        <f>D80</f>
        <v>90773.83</v>
      </c>
      <c r="E81" s="16">
        <f>E80</f>
        <v>560.16999999999996</v>
      </c>
      <c r="F81" s="17"/>
      <c r="G81" s="17"/>
      <c r="H81" s="17">
        <f>H80</f>
        <v>91334</v>
      </c>
      <c r="J81" s="21" t="s">
        <v>99</v>
      </c>
      <c r="K81" s="27"/>
    </row>
    <row r="82" spans="1:11" s="1" customFormat="1" ht="15" x14ac:dyDescent="0.25">
      <c r="A82" s="15"/>
      <c r="B82" s="1153" t="s">
        <v>100</v>
      </c>
      <c r="C82" s="1154"/>
      <c r="D82" s="16">
        <f>D78+D81</f>
        <v>544643</v>
      </c>
      <c r="E82" s="16">
        <f>E78+E81</f>
        <v>3361</v>
      </c>
      <c r="F82" s="17"/>
      <c r="G82" s="17"/>
      <c r="H82" s="17">
        <f>H78+H81</f>
        <v>548004</v>
      </c>
      <c r="J82" s="31">
        <v>548004000</v>
      </c>
      <c r="K82" s="27"/>
    </row>
    <row r="85" spans="1:11" s="1" customFormat="1" ht="15" x14ac:dyDescent="0.25">
      <c r="A85" s="22" t="s">
        <v>101</v>
      </c>
      <c r="B85" s="3"/>
      <c r="D85" s="23"/>
      <c r="E85" s="1151" t="s">
        <v>102</v>
      </c>
      <c r="F85" s="1151"/>
      <c r="G85" s="1151"/>
      <c r="H85" s="1151"/>
      <c r="J85" s="26"/>
      <c r="K85" s="27"/>
    </row>
    <row r="86" spans="1:11" s="1" customFormat="1" ht="15" customHeight="1" x14ac:dyDescent="0.25">
      <c r="A86" s="3"/>
      <c r="B86" s="3"/>
      <c r="C86" s="1149" t="s">
        <v>103</v>
      </c>
      <c r="D86" s="1149"/>
      <c r="E86" s="1149"/>
      <c r="F86" s="1149"/>
      <c r="G86" s="1149"/>
      <c r="H86" s="1149"/>
      <c r="J86" s="26"/>
      <c r="K86" s="27"/>
    </row>
    <row r="87" spans="1:11" s="1" customFormat="1" ht="15" x14ac:dyDescent="0.25">
      <c r="A87" s="22" t="s">
        <v>104</v>
      </c>
      <c r="B87" s="3"/>
      <c r="D87" s="23"/>
      <c r="E87" s="1151" t="s">
        <v>102</v>
      </c>
      <c r="F87" s="1151"/>
      <c r="G87" s="1151"/>
      <c r="H87" s="1151"/>
      <c r="J87" s="26"/>
      <c r="K87" s="27"/>
    </row>
    <row r="88" spans="1:11" s="1" customFormat="1" ht="15" customHeight="1" x14ac:dyDescent="0.25">
      <c r="A88" s="3"/>
      <c r="B88" s="3"/>
      <c r="C88" s="1149" t="s">
        <v>103</v>
      </c>
      <c r="D88" s="1149"/>
      <c r="E88" s="1149"/>
      <c r="F88" s="1149"/>
      <c r="G88" s="1149"/>
      <c r="H88" s="1149"/>
      <c r="J88" s="26"/>
      <c r="K88" s="27"/>
    </row>
    <row r="89" spans="1:11" s="1" customFormat="1" ht="15" x14ac:dyDescent="0.25">
      <c r="A89" s="1152" t="s">
        <v>105</v>
      </c>
      <c r="B89" s="1152"/>
      <c r="C89" s="1152"/>
      <c r="D89" s="1152"/>
      <c r="E89" s="1151" t="s">
        <v>102</v>
      </c>
      <c r="F89" s="1151"/>
      <c r="G89" s="1151"/>
      <c r="H89" s="1151"/>
      <c r="J89" s="26"/>
      <c r="K89" s="27"/>
    </row>
    <row r="90" spans="1:11" s="1" customFormat="1" ht="15" customHeight="1" x14ac:dyDescent="0.25">
      <c r="A90" s="3"/>
      <c r="B90" s="3"/>
      <c r="C90" s="1149" t="s">
        <v>103</v>
      </c>
      <c r="D90" s="1149"/>
      <c r="E90" s="1149"/>
      <c r="F90" s="1149"/>
      <c r="G90" s="1149"/>
      <c r="H90" s="1149"/>
      <c r="J90" s="26"/>
      <c r="K90" s="27"/>
    </row>
    <row r="91" spans="1:11" s="1" customFormat="1" ht="15" x14ac:dyDescent="0.25">
      <c r="A91" s="22" t="s">
        <v>15</v>
      </c>
      <c r="B91" s="3"/>
      <c r="C91" s="1150"/>
      <c r="D91" s="1150"/>
      <c r="E91" s="1151" t="s">
        <v>102</v>
      </c>
      <c r="F91" s="1151"/>
      <c r="G91" s="1151"/>
      <c r="H91" s="1151"/>
      <c r="J91" s="26"/>
      <c r="K91" s="27"/>
    </row>
    <row r="92" spans="1:11" s="1" customFormat="1" ht="15" x14ac:dyDescent="0.25">
      <c r="A92" s="3"/>
      <c r="B92" s="3"/>
      <c r="C92" s="1149" t="s">
        <v>7</v>
      </c>
      <c r="D92" s="1149"/>
      <c r="E92" s="1149"/>
      <c r="F92" s="1149"/>
      <c r="G92" s="1149"/>
      <c r="H92" s="1149"/>
      <c r="J92" s="26"/>
      <c r="K92" s="27"/>
    </row>
  </sheetData>
  <mergeCells count="62">
    <mergeCell ref="B14:G14"/>
    <mergeCell ref="C4:G4"/>
    <mergeCell ref="C5:G5"/>
    <mergeCell ref="C9:G9"/>
    <mergeCell ref="C10:G10"/>
    <mergeCell ref="B12:G12"/>
    <mergeCell ref="B15:G15"/>
    <mergeCell ref="B17:H17"/>
    <mergeCell ref="A19:A21"/>
    <mergeCell ref="B19:B21"/>
    <mergeCell ref="C19:C21"/>
    <mergeCell ref="D19:H19"/>
    <mergeCell ref="D20:D21"/>
    <mergeCell ref="E20:E21"/>
    <mergeCell ref="F20:F21"/>
    <mergeCell ref="G20:G21"/>
    <mergeCell ref="A51:H51"/>
    <mergeCell ref="H20:H21"/>
    <mergeCell ref="A23:H23"/>
    <mergeCell ref="B27:C27"/>
    <mergeCell ref="A28:H28"/>
    <mergeCell ref="B33:C33"/>
    <mergeCell ref="A34:H34"/>
    <mergeCell ref="B37:C37"/>
    <mergeCell ref="A38:H38"/>
    <mergeCell ref="A39:H39"/>
    <mergeCell ref="A42:H42"/>
    <mergeCell ref="A46:H46"/>
    <mergeCell ref="B68:C68"/>
    <mergeCell ref="B53:C53"/>
    <mergeCell ref="A54:H54"/>
    <mergeCell ref="B57:C57"/>
    <mergeCell ref="B58:C58"/>
    <mergeCell ref="A59:H59"/>
    <mergeCell ref="B61:C61"/>
    <mergeCell ref="B62:C62"/>
    <mergeCell ref="A63:H63"/>
    <mergeCell ref="B65:C65"/>
    <mergeCell ref="B66:C66"/>
    <mergeCell ref="A67:H67"/>
    <mergeCell ref="B82:C82"/>
    <mergeCell ref="A69:H69"/>
    <mergeCell ref="B70:C70"/>
    <mergeCell ref="B71:C71"/>
    <mergeCell ref="A72:H72"/>
    <mergeCell ref="B73:C73"/>
    <mergeCell ref="B74:C74"/>
    <mergeCell ref="B76:C76"/>
    <mergeCell ref="A77:H77"/>
    <mergeCell ref="B78:C78"/>
    <mergeCell ref="A79:H79"/>
    <mergeCell ref="B81:C81"/>
    <mergeCell ref="C90:H90"/>
    <mergeCell ref="C91:D91"/>
    <mergeCell ref="E91:H91"/>
    <mergeCell ref="C92:H92"/>
    <mergeCell ref="E85:H85"/>
    <mergeCell ref="C86:H86"/>
    <mergeCell ref="E87:H87"/>
    <mergeCell ref="C88:H88"/>
    <mergeCell ref="A89:D89"/>
    <mergeCell ref="E89:H89"/>
  </mergeCells>
  <printOptions horizontalCentered="1"/>
  <pageMargins left="0.69999998807907104" right="0.69999998807907104" top="0.75" bottom="0.75" header="0.30000001192092901" footer="0.30000001192092901"/>
  <pageSetup paperSize="9" scale="67" fitToHeight="0" orientation="portrait" r:id="rId1"/>
  <headerFooter>
    <oddFooter>&amp;RСтраница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D808B2-7D95-4D1B-AD7B-C4C4D4E70C85}">
  <dimension ref="A1:M22"/>
  <sheetViews>
    <sheetView view="pageBreakPreview" topLeftCell="A7" zoomScale="115" zoomScaleNormal="100" zoomScaleSheetLayoutView="115" workbookViewId="0">
      <selection activeCell="C23" sqref="C23"/>
    </sheetView>
  </sheetViews>
  <sheetFormatPr defaultRowHeight="15" x14ac:dyDescent="0.25"/>
  <cols>
    <col min="1" max="1" width="17" customWidth="1"/>
    <col min="2" max="2" width="11.85546875" customWidth="1"/>
    <col min="3" max="3" width="51" customWidth="1"/>
    <col min="4" max="4" width="19" customWidth="1"/>
    <col min="5" max="10" width="20.7109375" customWidth="1"/>
    <col min="12" max="12" width="9.28515625" bestFit="1" customWidth="1"/>
    <col min="13" max="13" width="16.85546875" bestFit="1" customWidth="1"/>
  </cols>
  <sheetData>
    <row r="1" spans="1:13" x14ac:dyDescent="0.25">
      <c r="A1" s="336"/>
      <c r="B1" s="336"/>
      <c r="C1" s="336"/>
      <c r="D1" s="336"/>
      <c r="E1" s="336"/>
      <c r="F1" s="336"/>
      <c r="G1" s="336"/>
      <c r="H1" s="336"/>
      <c r="I1" s="337"/>
      <c r="J1" s="336"/>
    </row>
    <row r="2" spans="1:13" ht="60" x14ac:dyDescent="0.25">
      <c r="A2" s="338" t="s">
        <v>111</v>
      </c>
      <c r="B2" s="338" t="s">
        <v>112</v>
      </c>
      <c r="C2" s="338" t="s">
        <v>113</v>
      </c>
      <c r="D2" s="338" t="s">
        <v>114</v>
      </c>
      <c r="E2" s="338" t="s">
        <v>115</v>
      </c>
      <c r="F2" s="338" t="s">
        <v>116</v>
      </c>
      <c r="G2" s="338" t="s">
        <v>117</v>
      </c>
      <c r="H2" s="339" t="s">
        <v>226</v>
      </c>
      <c r="I2" s="338" t="s">
        <v>118</v>
      </c>
      <c r="J2" s="339" t="s">
        <v>119</v>
      </c>
    </row>
    <row r="3" spans="1:13" s="346" customFormat="1" ht="28.5" customHeight="1" x14ac:dyDescent="0.25">
      <c r="A3" s="340">
        <v>1</v>
      </c>
      <c r="B3" s="341" t="s">
        <v>25</v>
      </c>
      <c r="C3" s="342" t="s">
        <v>26</v>
      </c>
      <c r="D3" s="356">
        <v>47118689.25</v>
      </c>
      <c r="E3" s="343">
        <v>3863732.52</v>
      </c>
      <c r="F3" s="343">
        <v>1223578.1200000001</v>
      </c>
      <c r="G3" s="343">
        <v>52205999.890000001</v>
      </c>
      <c r="H3" s="343">
        <v>54889388.289999999</v>
      </c>
      <c r="I3" s="344">
        <v>1.2</v>
      </c>
      <c r="J3" s="345">
        <f>ROUND(H3*I3,2)</f>
        <v>65867265.950000003</v>
      </c>
    </row>
    <row r="4" spans="1:13" ht="27" customHeight="1" x14ac:dyDescent="0.25">
      <c r="A4" s="340">
        <v>2</v>
      </c>
      <c r="B4" s="341" t="s">
        <v>27</v>
      </c>
      <c r="C4" s="342" t="s">
        <v>9</v>
      </c>
      <c r="D4" s="356">
        <v>39281459.539999999</v>
      </c>
      <c r="E4" s="343">
        <v>3221079.68</v>
      </c>
      <c r="F4" s="343">
        <v>1020060.94</v>
      </c>
      <c r="G4" s="343">
        <v>43522600.159999996</v>
      </c>
      <c r="H4" s="343">
        <v>45759661.810000002</v>
      </c>
      <c r="I4" s="344">
        <v>1.2</v>
      </c>
      <c r="J4" s="345">
        <f t="shared" ref="J4:J16" si="0">ROUND(H4*I4,2)</f>
        <v>54911594.170000002</v>
      </c>
    </row>
    <row r="5" spans="1:13" s="346" customFormat="1" ht="24" customHeight="1" x14ac:dyDescent="0.25">
      <c r="A5" s="340">
        <v>3</v>
      </c>
      <c r="B5" s="347" t="s">
        <v>31</v>
      </c>
      <c r="C5" s="342" t="s">
        <v>11</v>
      </c>
      <c r="D5" s="356">
        <v>142510715.22</v>
      </c>
      <c r="E5" s="343">
        <v>11685878.65</v>
      </c>
      <c r="F5" s="343">
        <v>3700718.26</v>
      </c>
      <c r="G5" s="343">
        <v>157897312.13</v>
      </c>
      <c r="H5" s="343">
        <v>166013233.97999999</v>
      </c>
      <c r="I5" s="344">
        <v>1.2</v>
      </c>
      <c r="J5" s="345">
        <f t="shared" si="0"/>
        <v>199215880.78</v>
      </c>
    </row>
    <row r="6" spans="1:13" s="349" customFormat="1" ht="24" customHeight="1" x14ac:dyDescent="0.25">
      <c r="A6" s="340">
        <v>4</v>
      </c>
      <c r="B6" s="341" t="s">
        <v>70</v>
      </c>
      <c r="C6" s="342" t="s">
        <v>8</v>
      </c>
      <c r="D6" s="357">
        <v>1644504.42</v>
      </c>
      <c r="E6" s="348">
        <v>134849.35999999999</v>
      </c>
      <c r="F6" s="348">
        <v>42704.49</v>
      </c>
      <c r="G6" s="348">
        <v>1822058.27</v>
      </c>
      <c r="H6" s="348">
        <v>1915712.07</v>
      </c>
      <c r="I6" s="344">
        <v>1.2</v>
      </c>
      <c r="J6" s="345">
        <f t="shared" si="0"/>
        <v>2298854.48</v>
      </c>
      <c r="K6" s="349" t="s">
        <v>227</v>
      </c>
    </row>
    <row r="7" spans="1:13" s="349" customFormat="1" ht="24" customHeight="1" x14ac:dyDescent="0.25">
      <c r="A7" s="340">
        <v>5</v>
      </c>
      <c r="B7" s="341" t="s">
        <v>228</v>
      </c>
      <c r="C7" s="342" t="s">
        <v>34</v>
      </c>
      <c r="D7" s="357">
        <v>7708019.79</v>
      </c>
      <c r="E7" s="348">
        <v>632057.62</v>
      </c>
      <c r="F7" s="348">
        <v>200161.86</v>
      </c>
      <c r="G7" s="348">
        <v>8540239.2699999996</v>
      </c>
      <c r="H7" s="348">
        <v>8979207.5700000003</v>
      </c>
      <c r="I7" s="344">
        <v>1.2</v>
      </c>
      <c r="J7" s="345">
        <f t="shared" si="0"/>
        <v>10775049.08</v>
      </c>
      <c r="K7" s="349" t="s">
        <v>229</v>
      </c>
    </row>
    <row r="8" spans="1:13" s="349" customFormat="1" ht="24" customHeight="1" x14ac:dyDescent="0.25">
      <c r="A8" s="340">
        <v>6</v>
      </c>
      <c r="B8" s="341" t="s">
        <v>230</v>
      </c>
      <c r="C8" s="342" t="s">
        <v>231</v>
      </c>
      <c r="D8" s="357">
        <v>1177977.71</v>
      </c>
      <c r="E8" s="348">
        <v>96594.17</v>
      </c>
      <c r="F8" s="348">
        <v>30589.73</v>
      </c>
      <c r="G8" s="348">
        <v>1305161.6100000001</v>
      </c>
      <c r="H8" s="348">
        <v>1372246.92</v>
      </c>
      <c r="I8" s="344">
        <v>1.2</v>
      </c>
      <c r="J8" s="345">
        <f t="shared" si="0"/>
        <v>1646696.3</v>
      </c>
      <c r="K8" s="349" t="s">
        <v>232</v>
      </c>
      <c r="L8" s="350">
        <f>'[11]01-01-03 '!O264</f>
        <v>0</v>
      </c>
      <c r="M8" s="351">
        <f t="shared" ref="M8:M16" si="1">H8-L8</f>
        <v>1372246.92</v>
      </c>
    </row>
    <row r="9" spans="1:13" s="349" customFormat="1" ht="28.5" customHeight="1" x14ac:dyDescent="0.25">
      <c r="A9" s="340">
        <v>7</v>
      </c>
      <c r="B9" s="341" t="s">
        <v>35</v>
      </c>
      <c r="C9" s="342" t="s">
        <v>36</v>
      </c>
      <c r="D9" s="357">
        <v>1164136.06</v>
      </c>
      <c r="E9" s="348">
        <v>95459.16</v>
      </c>
      <c r="F9" s="348">
        <v>30230.29</v>
      </c>
      <c r="G9" s="348">
        <v>1289825.51</v>
      </c>
      <c r="H9" s="348">
        <v>1356122.54</v>
      </c>
      <c r="I9" s="344">
        <v>1.2</v>
      </c>
      <c r="J9" s="345">
        <f t="shared" si="0"/>
        <v>1627347.05</v>
      </c>
      <c r="K9" s="349" t="s">
        <v>233</v>
      </c>
      <c r="L9" s="350">
        <f>'[11]02-03-02 АС2'!O287</f>
        <v>0</v>
      </c>
      <c r="M9" s="351">
        <f t="shared" si="1"/>
        <v>1356122.54</v>
      </c>
    </row>
    <row r="10" spans="1:13" s="349" customFormat="1" ht="24" customHeight="1" x14ac:dyDescent="0.25">
      <c r="A10" s="340">
        <v>8</v>
      </c>
      <c r="B10" s="341" t="s">
        <v>53</v>
      </c>
      <c r="C10" s="342" t="s">
        <v>54</v>
      </c>
      <c r="D10" s="357">
        <v>866585.5</v>
      </c>
      <c r="E10" s="348">
        <v>71060.009999999995</v>
      </c>
      <c r="F10" s="348">
        <v>22503.49</v>
      </c>
      <c r="G10" s="348">
        <v>960149</v>
      </c>
      <c r="H10" s="348">
        <v>1009500.66</v>
      </c>
      <c r="I10" s="344">
        <v>1.2</v>
      </c>
      <c r="J10" s="345">
        <f t="shared" si="0"/>
        <v>1211400.79</v>
      </c>
      <c r="K10" s="349" t="s">
        <v>234</v>
      </c>
      <c r="L10" s="350">
        <f>'[11]06-02-02  НВК5 корр '!O239</f>
        <v>0</v>
      </c>
      <c r="M10" s="351">
        <f t="shared" si="1"/>
        <v>1009500.66</v>
      </c>
    </row>
    <row r="11" spans="1:13" s="349" customFormat="1" ht="24" customHeight="1" x14ac:dyDescent="0.25">
      <c r="A11" s="340">
        <v>9</v>
      </c>
      <c r="B11" s="341" t="s">
        <v>71</v>
      </c>
      <c r="C11" s="342" t="s">
        <v>235</v>
      </c>
      <c r="D11" s="357">
        <v>10963448.359999999</v>
      </c>
      <c r="E11" s="348">
        <v>899002.77</v>
      </c>
      <c r="F11" s="348">
        <v>284698.83</v>
      </c>
      <c r="G11" s="348">
        <v>12147149.960000001</v>
      </c>
      <c r="H11" s="348">
        <v>12771513.470000001</v>
      </c>
      <c r="I11" s="344">
        <v>1.2</v>
      </c>
      <c r="J11" s="345">
        <f t="shared" si="0"/>
        <v>15325816.16</v>
      </c>
      <c r="K11" s="349" t="s">
        <v>236</v>
      </c>
      <c r="L11" s="350">
        <f>'[11]07-01-02 ГП2'!O193</f>
        <v>0</v>
      </c>
      <c r="M11" s="351">
        <f t="shared" si="1"/>
        <v>12771513.470000001</v>
      </c>
    </row>
    <row r="12" spans="1:13" s="349" customFormat="1" ht="24" customHeight="1" x14ac:dyDescent="0.25">
      <c r="A12" s="340">
        <v>10</v>
      </c>
      <c r="B12" s="341" t="s">
        <v>32</v>
      </c>
      <c r="C12" s="342" t="s">
        <v>12</v>
      </c>
      <c r="D12" s="357">
        <v>3752233.29</v>
      </c>
      <c r="E12" s="348">
        <v>307683.13</v>
      </c>
      <c r="F12" s="348">
        <v>97437.99</v>
      </c>
      <c r="G12" s="348">
        <v>4157354.41</v>
      </c>
      <c r="H12" s="348">
        <v>4371042.43</v>
      </c>
      <c r="I12" s="344">
        <v>1.2</v>
      </c>
      <c r="J12" s="345">
        <f t="shared" si="0"/>
        <v>5245250.92</v>
      </c>
      <c r="K12" s="349" t="s">
        <v>237</v>
      </c>
      <c r="L12" s="350">
        <f>'[12]02-02-01 АС3'!O1223</f>
        <v>0</v>
      </c>
      <c r="M12" s="351">
        <f t="shared" si="1"/>
        <v>4371042.43</v>
      </c>
    </row>
    <row r="13" spans="1:13" s="349" customFormat="1" ht="24" customHeight="1" x14ac:dyDescent="0.25">
      <c r="A13" s="340">
        <v>11</v>
      </c>
      <c r="B13" s="341" t="s">
        <v>55</v>
      </c>
      <c r="C13" s="342" t="s">
        <v>56</v>
      </c>
      <c r="D13" s="357">
        <v>361611.41</v>
      </c>
      <c r="E13" s="348">
        <v>29652.14</v>
      </c>
      <c r="F13" s="348">
        <v>9390.33</v>
      </c>
      <c r="G13" s="348">
        <v>400653.88</v>
      </c>
      <c r="H13" s="348">
        <v>421247.49</v>
      </c>
      <c r="I13" s="344">
        <v>1.2</v>
      </c>
      <c r="J13" s="345">
        <f t="shared" si="0"/>
        <v>505496.99</v>
      </c>
      <c r="K13" s="349" t="s">
        <v>238</v>
      </c>
      <c r="L13" s="350">
        <f>'[13]06-02-03 НВК1'!O312</f>
        <v>0</v>
      </c>
      <c r="M13" s="351">
        <f t="shared" si="1"/>
        <v>421247.49</v>
      </c>
    </row>
    <row r="14" spans="1:13" s="349" customFormat="1" ht="27" customHeight="1" x14ac:dyDescent="0.25">
      <c r="A14" s="340">
        <v>12</v>
      </c>
      <c r="B14" s="341" t="s">
        <v>51</v>
      </c>
      <c r="C14" s="342" t="s">
        <v>52</v>
      </c>
      <c r="D14" s="357">
        <v>241726.59</v>
      </c>
      <c r="E14" s="348">
        <v>19821.580000000002</v>
      </c>
      <c r="F14" s="348">
        <v>6277.16</v>
      </c>
      <c r="G14" s="348">
        <v>267825.33</v>
      </c>
      <c r="H14" s="348">
        <v>281591.55</v>
      </c>
      <c r="I14" s="344">
        <v>1.2</v>
      </c>
      <c r="J14" s="345">
        <f t="shared" si="0"/>
        <v>337909.86</v>
      </c>
      <c r="K14" s="349" t="s">
        <v>239</v>
      </c>
      <c r="L14" s="350">
        <f>'[13]06-02-01 НВК4'!O328</f>
        <v>0</v>
      </c>
      <c r="M14" s="351">
        <f t="shared" si="1"/>
        <v>281591.55</v>
      </c>
    </row>
    <row r="15" spans="1:13" s="349" customFormat="1" ht="24" customHeight="1" x14ac:dyDescent="0.25">
      <c r="A15" s="340">
        <v>13</v>
      </c>
      <c r="B15" s="341" t="s">
        <v>58</v>
      </c>
      <c r="C15" s="342" t="s">
        <v>108</v>
      </c>
      <c r="D15" s="357">
        <v>2571608.66</v>
      </c>
      <c r="E15" s="348">
        <v>210871.91</v>
      </c>
      <c r="F15" s="348">
        <v>66779.53</v>
      </c>
      <c r="G15" s="348">
        <v>2849260.1</v>
      </c>
      <c r="H15" s="348">
        <v>2995712.07</v>
      </c>
      <c r="I15" s="344">
        <v>1.2</v>
      </c>
      <c r="J15" s="345">
        <f t="shared" si="0"/>
        <v>3594854.48</v>
      </c>
      <c r="K15" s="349" t="s">
        <v>240</v>
      </c>
      <c r="L15" s="350">
        <f>'[13]06-03-01 ТС1 '!O902</f>
        <v>0</v>
      </c>
      <c r="M15" s="351">
        <f t="shared" si="1"/>
        <v>2995712.07</v>
      </c>
    </row>
    <row r="16" spans="1:13" s="349" customFormat="1" ht="27" customHeight="1" x14ac:dyDescent="0.25">
      <c r="A16" s="340">
        <v>14</v>
      </c>
      <c r="B16" s="341" t="s">
        <v>59</v>
      </c>
      <c r="C16" s="342" t="s">
        <v>60</v>
      </c>
      <c r="D16" s="357">
        <v>402278.26</v>
      </c>
      <c r="E16" s="348">
        <v>32986.82</v>
      </c>
      <c r="F16" s="348">
        <v>10446.36</v>
      </c>
      <c r="G16" s="348">
        <v>445711.44</v>
      </c>
      <c r="H16" s="348">
        <v>468621.01</v>
      </c>
      <c r="I16" s="344">
        <v>1.2</v>
      </c>
      <c r="J16" s="345">
        <f t="shared" si="0"/>
        <v>562345.21</v>
      </c>
      <c r="K16" s="349" t="s">
        <v>241</v>
      </c>
      <c r="L16" s="350">
        <f>'[13]06-03-02 АС4 корр'!O265</f>
        <v>0</v>
      </c>
      <c r="M16" s="351">
        <f t="shared" si="1"/>
        <v>468621.01</v>
      </c>
    </row>
    <row r="17" spans="1:12" s="349" customFormat="1" ht="0.75" customHeight="1" x14ac:dyDescent="0.25">
      <c r="A17" s="340"/>
      <c r="B17" s="341"/>
      <c r="C17" s="342"/>
      <c r="D17" s="348"/>
      <c r="E17" s="348"/>
      <c r="F17" s="348"/>
      <c r="G17" s="348"/>
      <c r="H17" s="348"/>
      <c r="I17" s="344"/>
      <c r="J17" s="345"/>
    </row>
    <row r="18" spans="1:12" s="349" customFormat="1" ht="24" customHeight="1" x14ac:dyDescent="0.25">
      <c r="A18" s="352"/>
      <c r="B18" s="353" t="s">
        <v>120</v>
      </c>
      <c r="C18" s="352"/>
      <c r="D18" s="354">
        <f t="shared" ref="D18:J18" si="2">SUM(D3:D17)</f>
        <v>259764994.06</v>
      </c>
      <c r="E18" s="354">
        <f t="shared" si="2"/>
        <v>21300729.52</v>
      </c>
      <c r="F18" s="354">
        <f t="shared" si="2"/>
        <v>6745577.3799999999</v>
      </c>
      <c r="G18" s="354">
        <f t="shared" si="2"/>
        <v>287811300.95999998</v>
      </c>
      <c r="H18" s="354">
        <f t="shared" si="2"/>
        <v>302604801.86000001</v>
      </c>
      <c r="I18" s="354">
        <f t="shared" si="2"/>
        <v>16.8</v>
      </c>
      <c r="J18" s="354">
        <f t="shared" si="2"/>
        <v>363125762.22000003</v>
      </c>
      <c r="L18" s="350">
        <f>SUM(L13:L15)</f>
        <v>0</v>
      </c>
    </row>
    <row r="21" spans="1:12" x14ac:dyDescent="0.25">
      <c r="J21" s="355">
        <f>'[14]реестр корр '!P26</f>
        <v>363125762.23000002</v>
      </c>
    </row>
    <row r="22" spans="1:12" x14ac:dyDescent="0.25">
      <c r="J22" s="355">
        <f>J18-J21</f>
        <v>-0.01</v>
      </c>
    </row>
  </sheetData>
  <autoFilter ref="A2:M16" xr:uid="{8022D469-BD3C-4A21-B422-98A9C76FEDE7}"/>
  <pageMargins left="0.7" right="0.7" top="0.75" bottom="0.75" header="0.3" footer="0.3"/>
  <pageSetup paperSize="9" scale="57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ECB8F1-2880-4C21-9C1B-DCF523B30073}">
  <sheetPr>
    <tabColor rgb="FFFFFF00"/>
    <pageSetUpPr fitToPage="1"/>
  </sheetPr>
  <dimension ref="A1:W55"/>
  <sheetViews>
    <sheetView topLeftCell="C1" zoomScale="85" zoomScaleNormal="85" zoomScaleSheetLayoutView="80" workbookViewId="0">
      <pane ySplit="3" topLeftCell="A4" activePane="bottomLeft" state="frozen"/>
      <selection pane="bottomLeft" activeCell="W12" sqref="W12"/>
    </sheetView>
  </sheetViews>
  <sheetFormatPr defaultColWidth="9.140625" defaultRowHeight="15.75" outlineLevelCol="1" x14ac:dyDescent="0.25"/>
  <cols>
    <col min="1" max="1" width="7.42578125" style="36" customWidth="1"/>
    <col min="2" max="2" width="35.7109375" style="36" customWidth="1"/>
    <col min="3" max="3" width="39.7109375" style="36" customWidth="1"/>
    <col min="4" max="4" width="20.5703125" style="36" customWidth="1" outlineLevel="1"/>
    <col min="5" max="5" width="18.85546875" style="36" customWidth="1" outlineLevel="1"/>
    <col min="6" max="6" width="17.5703125" style="36" customWidth="1" outlineLevel="1"/>
    <col min="7" max="7" width="20.7109375" style="36" customWidth="1" outlineLevel="1"/>
    <col min="8" max="8" width="19.5703125" style="36" customWidth="1" outlineLevel="1"/>
    <col min="9" max="9" width="8.5703125" style="36" customWidth="1" outlineLevel="1"/>
    <col min="10" max="10" width="21" style="36" customWidth="1"/>
    <col min="11" max="11" width="20.42578125" style="39" hidden="1" customWidth="1" outlineLevel="1"/>
    <col min="12" max="12" width="16.85546875" style="39" hidden="1" customWidth="1" outlineLevel="1"/>
    <col min="13" max="13" width="18.140625" style="35" hidden="1" customWidth="1" outlineLevel="1"/>
    <col min="14" max="14" width="16.85546875" style="39" hidden="1" customWidth="1" outlineLevel="1"/>
    <col min="15" max="15" width="18.140625" style="35" hidden="1" customWidth="1" outlineLevel="1"/>
    <col min="16" max="16" width="18.42578125" style="36" hidden="1" customWidth="1" collapsed="1"/>
    <col min="17" max="17" width="17.140625" style="36" hidden="1" customWidth="1"/>
    <col min="18" max="18" width="19" style="36" customWidth="1"/>
    <col min="19" max="19" width="28.5703125" style="36" customWidth="1"/>
    <col min="20" max="20" width="24.7109375" style="36" bestFit="1" customWidth="1"/>
    <col min="21" max="21" width="33.42578125" style="36" customWidth="1"/>
    <col min="22" max="22" width="24.42578125" style="36" customWidth="1"/>
    <col min="23" max="23" width="12.7109375" style="36" bestFit="1" customWidth="1"/>
    <col min="24" max="16384" width="9.140625" style="36"/>
  </cols>
  <sheetData>
    <row r="1" spans="1:23" ht="8.25" customHeight="1" x14ac:dyDescent="0.25">
      <c r="A1" s="1189"/>
      <c r="B1" s="1189"/>
      <c r="C1" s="1189"/>
      <c r="D1" s="1189"/>
      <c r="E1" s="1189"/>
      <c r="F1" s="1189"/>
      <c r="G1" s="1189"/>
      <c r="H1" s="1189"/>
      <c r="I1" s="1189"/>
      <c r="J1" s="1189"/>
      <c r="K1" s="238"/>
      <c r="L1" s="238"/>
      <c r="N1" s="238"/>
    </row>
    <row r="2" spans="1:23" ht="5.25" customHeight="1" thickBot="1" x14ac:dyDescent="0.3">
      <c r="A2" s="37"/>
      <c r="B2" s="37"/>
      <c r="C2" s="37"/>
      <c r="D2" s="37"/>
      <c r="E2" s="37"/>
      <c r="F2" s="37"/>
      <c r="G2" s="37"/>
      <c r="H2" s="37"/>
      <c r="I2" s="38"/>
      <c r="J2" s="37"/>
    </row>
    <row r="3" spans="1:23" ht="77.25" customHeight="1" x14ac:dyDescent="0.25">
      <c r="A3" s="239" t="s">
        <v>111</v>
      </c>
      <c r="B3" s="241" t="s">
        <v>112</v>
      </c>
      <c r="C3" s="241" t="s">
        <v>113</v>
      </c>
      <c r="D3" s="241" t="s">
        <v>114</v>
      </c>
      <c r="E3" s="241" t="s">
        <v>115</v>
      </c>
      <c r="F3" s="241" t="s">
        <v>116</v>
      </c>
      <c r="G3" s="241" t="s">
        <v>117</v>
      </c>
      <c r="H3" s="243" t="s">
        <v>125</v>
      </c>
      <c r="I3" s="241" t="s">
        <v>118</v>
      </c>
      <c r="J3" s="243" t="s">
        <v>209</v>
      </c>
      <c r="K3" s="74" t="s">
        <v>126</v>
      </c>
      <c r="L3" s="74" t="s">
        <v>127</v>
      </c>
      <c r="M3" s="75" t="s">
        <v>128</v>
      </c>
      <c r="N3" s="76" t="s">
        <v>134</v>
      </c>
      <c r="O3" s="77" t="s">
        <v>135</v>
      </c>
      <c r="P3" s="78" t="s">
        <v>136</v>
      </c>
      <c r="Q3" s="78" t="s">
        <v>121</v>
      </c>
      <c r="R3" s="80" t="s">
        <v>199</v>
      </c>
      <c r="S3" s="80" t="s">
        <v>198</v>
      </c>
      <c r="T3" s="80" t="s">
        <v>200</v>
      </c>
      <c r="U3" s="80" t="s">
        <v>196</v>
      </c>
      <c r="V3" s="267" t="s">
        <v>216</v>
      </c>
    </row>
    <row r="4" spans="1:23" ht="15" customHeight="1" x14ac:dyDescent="0.25">
      <c r="A4" s="240">
        <v>1</v>
      </c>
      <c r="B4" s="242">
        <v>2</v>
      </c>
      <c r="C4" s="242">
        <v>3</v>
      </c>
      <c r="D4" s="242"/>
      <c r="E4" s="242"/>
      <c r="F4" s="242"/>
      <c r="G4" s="242"/>
      <c r="H4" s="244"/>
      <c r="I4" s="242"/>
      <c r="J4" s="244">
        <v>4</v>
      </c>
      <c r="K4" s="264"/>
      <c r="L4" s="264"/>
      <c r="M4" s="264"/>
      <c r="N4" s="264"/>
      <c r="O4" s="264"/>
      <c r="P4" s="265"/>
      <c r="Q4" s="265"/>
      <c r="R4" s="266" t="s">
        <v>211</v>
      </c>
      <c r="S4" s="266" t="s">
        <v>212</v>
      </c>
      <c r="T4" s="266" t="s">
        <v>213</v>
      </c>
      <c r="U4" s="266" t="s">
        <v>214</v>
      </c>
      <c r="V4" s="266" t="s">
        <v>215</v>
      </c>
    </row>
    <row r="5" spans="1:23" ht="44.25" customHeight="1" x14ac:dyDescent="0.25">
      <c r="A5" s="217">
        <v>1</v>
      </c>
      <c r="B5" s="245" t="s">
        <v>177</v>
      </c>
      <c r="C5" s="219" t="s">
        <v>197</v>
      </c>
      <c r="D5" s="220">
        <v>1615223.87</v>
      </c>
      <c r="E5" s="220">
        <v>132448.35999999999</v>
      </c>
      <c r="F5" s="220">
        <v>41944.13</v>
      </c>
      <c r="G5" s="220">
        <v>1789616.36</v>
      </c>
      <c r="H5" s="220">
        <v>1881531.81</v>
      </c>
      <c r="I5" s="221">
        <v>1.2</v>
      </c>
      <c r="J5" s="222">
        <v>2257838.17</v>
      </c>
      <c r="K5" s="246"/>
      <c r="L5" s="246"/>
      <c r="M5" s="246">
        <v>1627347.05</v>
      </c>
      <c r="N5" s="246"/>
      <c r="O5" s="246"/>
      <c r="P5" s="246">
        <v>1627347.05</v>
      </c>
      <c r="Q5" s="246">
        <v>630491.12</v>
      </c>
      <c r="R5" s="248">
        <v>2005347.47</v>
      </c>
      <c r="S5" s="247">
        <v>2024146.22</v>
      </c>
      <c r="T5" s="247">
        <f>S5-R5</f>
        <v>18798.75</v>
      </c>
      <c r="U5" s="248">
        <f>1447989.61*1.082*1.024*1.0514*1.2</f>
        <v>2024146.22</v>
      </c>
      <c r="V5" s="247">
        <f>U5-S5</f>
        <v>0</v>
      </c>
    </row>
    <row r="6" spans="1:23" ht="35.1" customHeight="1" x14ac:dyDescent="0.25">
      <c r="A6" s="217">
        <v>2</v>
      </c>
      <c r="B6" s="245" t="s">
        <v>179</v>
      </c>
      <c r="C6" s="219" t="s">
        <v>47</v>
      </c>
      <c r="D6" s="220">
        <v>760016.55</v>
      </c>
      <c r="E6" s="220">
        <v>62321.36</v>
      </c>
      <c r="F6" s="220">
        <v>19736.11</v>
      </c>
      <c r="G6" s="220">
        <v>842074.02</v>
      </c>
      <c r="H6" s="220">
        <v>885323.3</v>
      </c>
      <c r="I6" s="221">
        <v>1.2</v>
      </c>
      <c r="J6" s="222">
        <v>1062387.96</v>
      </c>
      <c r="K6" s="246"/>
      <c r="L6" s="246"/>
      <c r="M6" s="246"/>
      <c r="N6" s="246"/>
      <c r="O6" s="246"/>
      <c r="P6" s="246">
        <v>0</v>
      </c>
      <c r="Q6" s="246">
        <v>1062387.96</v>
      </c>
      <c r="R6" s="248">
        <v>2202001.75</v>
      </c>
      <c r="S6" s="247">
        <f>1047143.73*1.082*1.024*1.0514*1.2</f>
        <v>1463803.34</v>
      </c>
      <c r="T6" s="247">
        <f t="shared" ref="T6:T13" si="0">S6-R6</f>
        <v>-738198.41</v>
      </c>
      <c r="U6" s="248">
        <f>1493244.91*1.082*1.024*1.0514*1.2</f>
        <v>2087408.65</v>
      </c>
      <c r="V6" s="247">
        <f t="shared" ref="V6:V13" si="1">U6-S6</f>
        <v>623605.31000000006</v>
      </c>
    </row>
    <row r="7" spans="1:23" ht="35.1" customHeight="1" x14ac:dyDescent="0.25">
      <c r="A7" s="217">
        <v>3</v>
      </c>
      <c r="B7" s="245" t="s">
        <v>180</v>
      </c>
      <c r="C7" s="219" t="s">
        <v>49</v>
      </c>
      <c r="D7" s="220">
        <v>10454161.890000001</v>
      </c>
      <c r="E7" s="220">
        <v>857241.27</v>
      </c>
      <c r="F7" s="220">
        <v>271473.68</v>
      </c>
      <c r="G7" s="220">
        <v>11582876.84</v>
      </c>
      <c r="H7" s="220">
        <v>12177778.26</v>
      </c>
      <c r="I7" s="221">
        <v>1.2</v>
      </c>
      <c r="J7" s="222">
        <v>14613333.91</v>
      </c>
      <c r="K7" s="246"/>
      <c r="L7" s="246"/>
      <c r="M7" s="246"/>
      <c r="N7" s="246"/>
      <c r="O7" s="246"/>
      <c r="P7" s="246">
        <v>0</v>
      </c>
      <c r="Q7" s="246">
        <v>14613333.91</v>
      </c>
      <c r="R7" s="248">
        <v>22272187.57</v>
      </c>
      <c r="S7" s="247">
        <v>18763363.32</v>
      </c>
      <c r="T7" s="247">
        <f t="shared" si="0"/>
        <v>-3508824.25</v>
      </c>
      <c r="U7" s="248">
        <f>15497123.98*1.082*1.024*1.0514*1.2</f>
        <v>21663446.140000001</v>
      </c>
      <c r="V7" s="247">
        <f t="shared" si="1"/>
        <v>2900082.82</v>
      </c>
      <c r="W7" s="36" t="s">
        <v>220</v>
      </c>
    </row>
    <row r="8" spans="1:23" ht="35.1" customHeight="1" x14ac:dyDescent="0.25">
      <c r="A8" s="217">
        <v>4</v>
      </c>
      <c r="B8" s="245" t="s">
        <v>181</v>
      </c>
      <c r="C8" s="219" t="s">
        <v>52</v>
      </c>
      <c r="D8" s="220">
        <v>9143309.8300000001</v>
      </c>
      <c r="E8" s="220">
        <v>749751.41</v>
      </c>
      <c r="F8" s="220">
        <v>237433.47</v>
      </c>
      <c r="G8" s="220">
        <v>10130494.710000001</v>
      </c>
      <c r="H8" s="220">
        <v>10650801.17</v>
      </c>
      <c r="I8" s="221">
        <v>1.2</v>
      </c>
      <c r="J8" s="222">
        <v>12780961.4</v>
      </c>
      <c r="K8" s="246"/>
      <c r="L8" s="246"/>
      <c r="M8" s="246"/>
      <c r="N8" s="246"/>
      <c r="O8" s="246">
        <v>337909.86</v>
      </c>
      <c r="P8" s="246">
        <v>337909.86</v>
      </c>
      <c r="Q8" s="246">
        <v>12443051.539999999</v>
      </c>
      <c r="R8" s="248">
        <v>2529998.64</v>
      </c>
      <c r="S8" s="247">
        <v>2410984</v>
      </c>
      <c r="T8" s="247">
        <f t="shared" si="0"/>
        <v>-119014.64</v>
      </c>
      <c r="U8" s="248">
        <f>2109787.77*1.082*1.024*1.0514*1.2</f>
        <v>2949274.57</v>
      </c>
      <c r="V8" s="247">
        <f t="shared" si="1"/>
        <v>538290.56999999995</v>
      </c>
    </row>
    <row r="9" spans="1:23" ht="35.1" customHeight="1" x14ac:dyDescent="0.25">
      <c r="A9" s="217">
        <v>5</v>
      </c>
      <c r="B9" s="245" t="s">
        <v>182</v>
      </c>
      <c r="C9" s="219" t="s">
        <v>54</v>
      </c>
      <c r="D9" s="220">
        <v>21996729.18</v>
      </c>
      <c r="E9" s="220">
        <v>1803731.79</v>
      </c>
      <c r="F9" s="220">
        <v>571211.06000000006</v>
      </c>
      <c r="G9" s="220">
        <v>24371672.030000001</v>
      </c>
      <c r="H9" s="220">
        <v>25623411.34</v>
      </c>
      <c r="I9" s="221">
        <v>1.2</v>
      </c>
      <c r="J9" s="222">
        <v>30748093.609999999</v>
      </c>
      <c r="K9" s="246"/>
      <c r="L9" s="246"/>
      <c r="M9" s="246">
        <v>1211400.79</v>
      </c>
      <c r="N9" s="246"/>
      <c r="O9" s="246"/>
      <c r="P9" s="246">
        <v>1211400.79</v>
      </c>
      <c r="Q9" s="246">
        <v>29536692.82</v>
      </c>
      <c r="R9" s="248">
        <v>4175761.11</v>
      </c>
      <c r="S9" s="247">
        <v>3953024.28</v>
      </c>
      <c r="T9" s="247">
        <f t="shared" si="0"/>
        <v>-222736.83</v>
      </c>
      <c r="U9" s="248">
        <f>3406108.49*1.082*1.024*1.0514*1.2</f>
        <v>4761402.6900000004</v>
      </c>
      <c r="V9" s="247">
        <f t="shared" si="1"/>
        <v>808378.41</v>
      </c>
    </row>
    <row r="10" spans="1:23" ht="35.1" customHeight="1" x14ac:dyDescent="0.25">
      <c r="A10" s="217">
        <v>6</v>
      </c>
      <c r="B10" s="245" t="s">
        <v>195</v>
      </c>
      <c r="C10" s="219" t="s">
        <v>40</v>
      </c>
      <c r="D10" s="220">
        <v>475031.03999999998</v>
      </c>
      <c r="E10" s="220">
        <v>38952.550000000003</v>
      </c>
      <c r="F10" s="220">
        <v>12335.61</v>
      </c>
      <c r="G10" s="220">
        <v>526319.19999999995</v>
      </c>
      <c r="H10" s="220">
        <v>553351.18000000005</v>
      </c>
      <c r="I10" s="221">
        <v>1.2</v>
      </c>
      <c r="J10" s="222">
        <v>664021.42000000004</v>
      </c>
      <c r="K10" s="246"/>
      <c r="L10" s="246"/>
      <c r="M10" s="246"/>
      <c r="N10" s="246"/>
      <c r="O10" s="246"/>
      <c r="P10" s="246">
        <v>0</v>
      </c>
      <c r="Q10" s="246">
        <v>664021.42000000004</v>
      </c>
      <c r="R10" s="248">
        <v>745201.99</v>
      </c>
      <c r="S10" s="247">
        <f>235378.05*1.082*1.024*1.0514*1.2+49139.18*1.2*1.0514</f>
        <v>391033.15</v>
      </c>
      <c r="T10" s="247">
        <f t="shared" si="0"/>
        <v>-354168.84</v>
      </c>
      <c r="U10" s="248">
        <f>235378.05*1.082*1.024*1.0514*1.2+49139.18*1.0514*1.2</f>
        <v>391033.15</v>
      </c>
      <c r="V10" s="247">
        <f t="shared" si="1"/>
        <v>0</v>
      </c>
      <c r="W10" s="36" t="s">
        <v>220</v>
      </c>
    </row>
    <row r="11" spans="1:23" ht="35.1" customHeight="1" x14ac:dyDescent="0.25">
      <c r="A11" s="217">
        <v>7</v>
      </c>
      <c r="B11" s="245" t="s">
        <v>178</v>
      </c>
      <c r="C11" s="219" t="s">
        <v>42</v>
      </c>
      <c r="D11" s="220">
        <v>2276671.21</v>
      </c>
      <c r="E11" s="220">
        <v>186687.04</v>
      </c>
      <c r="F11" s="220">
        <v>59120.6</v>
      </c>
      <c r="G11" s="220">
        <v>2522478.85</v>
      </c>
      <c r="H11" s="220">
        <v>2652034.42</v>
      </c>
      <c r="I11" s="221">
        <v>1.2</v>
      </c>
      <c r="J11" s="222">
        <v>3182441.3</v>
      </c>
      <c r="K11" s="246"/>
      <c r="L11" s="246"/>
      <c r="M11" s="246"/>
      <c r="N11" s="246"/>
      <c r="O11" s="246"/>
      <c r="P11" s="246">
        <v>0</v>
      </c>
      <c r="Q11" s="246">
        <v>3182441.3</v>
      </c>
      <c r="R11" s="248">
        <v>9045929.4199999999</v>
      </c>
      <c r="S11" s="247">
        <v>4665867.41</v>
      </c>
      <c r="T11" s="247">
        <f t="shared" si="0"/>
        <v>-4380062.01</v>
      </c>
      <c r="U11" s="248">
        <f>3447892.99*1.082*1.024*1.0514*1.2+130942.19*1.0514*1.2</f>
        <v>4985020.43</v>
      </c>
      <c r="V11" s="247">
        <f t="shared" si="1"/>
        <v>319153.02</v>
      </c>
    </row>
    <row r="12" spans="1:23" ht="35.1" customHeight="1" x14ac:dyDescent="0.25">
      <c r="A12" s="217">
        <v>8</v>
      </c>
      <c r="B12" s="245" t="s">
        <v>183</v>
      </c>
      <c r="C12" s="219" t="s">
        <v>62</v>
      </c>
      <c r="D12" s="220">
        <v>1890203.39</v>
      </c>
      <c r="E12" s="220">
        <v>154996.68</v>
      </c>
      <c r="F12" s="220">
        <v>49084.800000000003</v>
      </c>
      <c r="G12" s="220">
        <v>2094284.87</v>
      </c>
      <c r="H12" s="220">
        <v>2201848.2200000002</v>
      </c>
      <c r="I12" s="221">
        <v>1.2</v>
      </c>
      <c r="J12" s="222">
        <v>2642217.86</v>
      </c>
      <c r="K12" s="246"/>
      <c r="L12" s="246"/>
      <c r="M12" s="246"/>
      <c r="N12" s="246"/>
      <c r="O12" s="246"/>
      <c r="P12" s="246">
        <v>0</v>
      </c>
      <c r="Q12" s="246">
        <v>2642217.86</v>
      </c>
      <c r="R12" s="248">
        <v>2701306.82</v>
      </c>
      <c r="S12" s="247">
        <v>2342678.71</v>
      </c>
      <c r="T12" s="247">
        <f t="shared" si="0"/>
        <v>-358628.11</v>
      </c>
      <c r="U12" s="248">
        <f>1740079.47*1.082*1.024*1.0514*1.2</f>
        <v>2432458.9500000002</v>
      </c>
      <c r="V12" s="247">
        <f t="shared" si="1"/>
        <v>89780.24</v>
      </c>
    </row>
    <row r="13" spans="1:23" ht="35.1" customHeight="1" thickBot="1" x14ac:dyDescent="0.3">
      <c r="A13" s="217">
        <v>9</v>
      </c>
      <c r="B13" s="245" t="s">
        <v>184</v>
      </c>
      <c r="C13" s="219" t="s">
        <v>64</v>
      </c>
      <c r="D13" s="220">
        <v>4003449.34</v>
      </c>
      <c r="E13" s="220">
        <v>328282.84999999998</v>
      </c>
      <c r="F13" s="220">
        <v>103961.57</v>
      </c>
      <c r="G13" s="220">
        <v>4435693.76</v>
      </c>
      <c r="H13" s="220">
        <v>4663512.8499999996</v>
      </c>
      <c r="I13" s="221">
        <v>1.2</v>
      </c>
      <c r="J13" s="222">
        <v>5596215.4199999999</v>
      </c>
      <c r="K13" s="246"/>
      <c r="L13" s="246"/>
      <c r="M13" s="246"/>
      <c r="N13" s="246"/>
      <c r="O13" s="246"/>
      <c r="P13" s="246">
        <v>0</v>
      </c>
      <c r="Q13" s="246">
        <v>5596215.4199999999</v>
      </c>
      <c r="R13" s="248">
        <v>4206088.5999999996</v>
      </c>
      <c r="S13" s="247">
        <v>3942311.7</v>
      </c>
      <c r="T13" s="247">
        <f t="shared" si="0"/>
        <v>-263776.90000000002</v>
      </c>
      <c r="U13" s="248">
        <f>3081105.3*1.082*1.024*1.0514*1.2</f>
        <v>4307080.38</v>
      </c>
      <c r="V13" s="247">
        <f t="shared" si="1"/>
        <v>364768.68</v>
      </c>
    </row>
    <row r="14" spans="1:23" ht="31.5" customHeight="1" thickTop="1" thickBot="1" x14ac:dyDescent="0.3">
      <c r="A14" s="249"/>
      <c r="B14" s="250" t="s">
        <v>120</v>
      </c>
      <c r="C14" s="251"/>
      <c r="D14" s="252">
        <v>392033916.06</v>
      </c>
      <c r="E14" s="251"/>
      <c r="F14" s="253"/>
      <c r="G14" s="252">
        <v>434361033.93000001</v>
      </c>
      <c r="H14" s="252">
        <v>456670000.00999999</v>
      </c>
      <c r="I14" s="252"/>
      <c r="J14" s="252">
        <f>SUM(J5:J13)</f>
        <v>73547511.049999997</v>
      </c>
      <c r="K14" s="252">
        <f t="shared" ref="K14:R14" si="2">SUM(K5:K13)</f>
        <v>0</v>
      </c>
      <c r="L14" s="252">
        <f t="shared" si="2"/>
        <v>0</v>
      </c>
      <c r="M14" s="252">
        <f t="shared" si="2"/>
        <v>2838747.84</v>
      </c>
      <c r="N14" s="252">
        <f t="shared" si="2"/>
        <v>0</v>
      </c>
      <c r="O14" s="252">
        <f t="shared" si="2"/>
        <v>337909.86</v>
      </c>
      <c r="P14" s="252">
        <f t="shared" si="2"/>
        <v>3176657.7</v>
      </c>
      <c r="Q14" s="252">
        <f t="shared" si="2"/>
        <v>70370853.349999994</v>
      </c>
      <c r="R14" s="260">
        <f t="shared" si="2"/>
        <v>49883823.369999997</v>
      </c>
      <c r="S14" s="254">
        <f>SUM(S5:S13)</f>
        <v>39957212.130000003</v>
      </c>
      <c r="T14" s="254">
        <f>SUM(T5:T13)</f>
        <v>-9926611.2400000002</v>
      </c>
      <c r="U14" s="261">
        <f>SUM(U5:U13)</f>
        <v>45601271.18</v>
      </c>
      <c r="V14" s="254">
        <f>SUM(V5:V13)</f>
        <v>5644059.0499999998</v>
      </c>
    </row>
    <row r="15" spans="1:23" ht="16.5" thickTop="1" x14ac:dyDescent="0.25"/>
    <row r="17" spans="1:22" s="263" customFormat="1" x14ac:dyDescent="0.25">
      <c r="A17" s="262" t="s">
        <v>205</v>
      </c>
      <c r="B17" s="262" t="s">
        <v>208</v>
      </c>
      <c r="C17" s="1216" t="s">
        <v>5</v>
      </c>
      <c r="D17" s="1216"/>
      <c r="E17" s="1216"/>
      <c r="F17" s="1216"/>
      <c r="G17" s="1216"/>
      <c r="H17" s="1216"/>
      <c r="I17" s="1216"/>
      <c r="J17" s="1216"/>
      <c r="K17" s="1216"/>
      <c r="L17" s="1216"/>
      <c r="M17" s="1216"/>
      <c r="N17" s="1216"/>
      <c r="O17" s="1216"/>
      <c r="P17" s="1216"/>
      <c r="Q17" s="1216"/>
      <c r="R17" s="1216"/>
      <c r="S17" s="1216"/>
      <c r="T17" s="1216"/>
      <c r="U17" s="1216"/>
      <c r="V17" s="1216"/>
    </row>
    <row r="18" spans="1:22" ht="94.5" x14ac:dyDescent="0.25">
      <c r="A18" s="242">
        <v>1</v>
      </c>
      <c r="B18" s="258" t="s">
        <v>202</v>
      </c>
      <c r="C18" s="1215" t="s">
        <v>203</v>
      </c>
      <c r="D18" s="1215"/>
      <c r="E18" s="1215"/>
      <c r="F18" s="1215"/>
      <c r="G18" s="1215"/>
      <c r="H18" s="1215"/>
      <c r="I18" s="1215"/>
      <c r="J18" s="1215"/>
      <c r="K18" s="1215"/>
      <c r="L18" s="1215"/>
      <c r="M18" s="1215"/>
      <c r="N18" s="1215"/>
      <c r="O18" s="1215"/>
      <c r="P18" s="1215"/>
      <c r="Q18" s="1215"/>
      <c r="R18" s="1215"/>
      <c r="S18" s="1215"/>
      <c r="T18" s="1215"/>
      <c r="U18" s="1215"/>
      <c r="V18" s="1215"/>
    </row>
    <row r="19" spans="1:22" ht="110.25" x14ac:dyDescent="0.25">
      <c r="A19" s="242">
        <v>2</v>
      </c>
      <c r="B19" s="258" t="s">
        <v>201</v>
      </c>
      <c r="C19" s="1215" t="s">
        <v>210</v>
      </c>
      <c r="D19" s="1215"/>
      <c r="E19" s="1215"/>
      <c r="F19" s="1215"/>
      <c r="G19" s="1215"/>
      <c r="H19" s="1215"/>
      <c r="I19" s="1215"/>
      <c r="J19" s="1215"/>
      <c r="K19" s="1215"/>
      <c r="L19" s="1215"/>
      <c r="M19" s="1215"/>
      <c r="N19" s="1215"/>
      <c r="O19" s="1215"/>
      <c r="P19" s="1215"/>
      <c r="Q19" s="1215"/>
      <c r="R19" s="1215"/>
      <c r="S19" s="1215"/>
      <c r="T19" s="1215"/>
      <c r="U19" s="1215"/>
      <c r="V19" s="1215"/>
    </row>
    <row r="20" spans="1:22" ht="106.5" customHeight="1" x14ac:dyDescent="0.25">
      <c r="A20" s="242">
        <v>3</v>
      </c>
      <c r="B20" s="259" t="s">
        <v>206</v>
      </c>
      <c r="C20" s="1215" t="s">
        <v>207</v>
      </c>
      <c r="D20" s="1215"/>
      <c r="E20" s="1215"/>
      <c r="F20" s="1215"/>
      <c r="G20" s="1215"/>
      <c r="H20" s="1215"/>
      <c r="I20" s="1215"/>
      <c r="J20" s="1215"/>
      <c r="K20" s="1215"/>
      <c r="L20" s="1215"/>
      <c r="M20" s="1215"/>
      <c r="N20" s="1215"/>
      <c r="O20" s="1215"/>
      <c r="P20" s="1215"/>
      <c r="Q20" s="1215"/>
      <c r="R20" s="1215"/>
      <c r="S20" s="1215"/>
      <c r="T20" s="1215"/>
      <c r="U20" s="1215"/>
      <c r="V20" s="1215"/>
    </row>
    <row r="21" spans="1:22" x14ac:dyDescent="0.25">
      <c r="B21" s="255"/>
      <c r="C21" s="255"/>
      <c r="D21" s="255"/>
      <c r="E21" s="255"/>
      <c r="F21" s="255"/>
      <c r="G21" s="255"/>
      <c r="H21" s="255"/>
      <c r="I21" s="255"/>
      <c r="J21" s="255"/>
      <c r="K21" s="256"/>
      <c r="L21" s="256"/>
      <c r="M21" s="257"/>
      <c r="N21" s="256"/>
      <c r="O21" s="257"/>
      <c r="P21" s="255"/>
      <c r="Q21" s="255"/>
      <c r="R21" s="255"/>
      <c r="S21" s="255"/>
    </row>
    <row r="22" spans="1:22" x14ac:dyDescent="0.25">
      <c r="B22" s="255"/>
      <c r="C22" s="255"/>
      <c r="D22" s="255"/>
      <c r="E22" s="255"/>
      <c r="F22" s="255"/>
      <c r="G22" s="255"/>
      <c r="H22" s="255"/>
      <c r="I22" s="255"/>
      <c r="J22" s="255"/>
      <c r="K22" s="256"/>
      <c r="L22" s="256"/>
      <c r="M22" s="257"/>
      <c r="N22" s="256"/>
      <c r="O22" s="257"/>
      <c r="P22" s="255"/>
      <c r="Q22" s="255"/>
      <c r="R22" s="255"/>
      <c r="S22" s="255"/>
    </row>
    <row r="23" spans="1:22" x14ac:dyDescent="0.25">
      <c r="B23" s="255"/>
      <c r="C23" s="255"/>
      <c r="D23" s="255"/>
      <c r="E23" s="255"/>
      <c r="F23" s="255"/>
      <c r="G23" s="255"/>
      <c r="H23" s="255"/>
      <c r="I23" s="255"/>
      <c r="J23" s="255"/>
      <c r="K23" s="256"/>
      <c r="L23" s="256"/>
      <c r="M23" s="257"/>
      <c r="N23" s="256"/>
      <c r="O23" s="257"/>
      <c r="P23" s="255"/>
      <c r="Q23" s="255"/>
      <c r="R23" s="255"/>
      <c r="S23" s="255"/>
    </row>
    <row r="24" spans="1:22" x14ac:dyDescent="0.25">
      <c r="B24" s="255"/>
      <c r="C24" s="255"/>
      <c r="D24" s="255"/>
      <c r="E24" s="255"/>
      <c r="F24" s="255"/>
      <c r="G24" s="255"/>
      <c r="H24" s="255"/>
      <c r="I24" s="255"/>
      <c r="J24" s="255"/>
      <c r="K24" s="256"/>
      <c r="L24" s="256"/>
      <c r="M24" s="257"/>
      <c r="N24" s="256"/>
      <c r="O24" s="257"/>
      <c r="P24" s="255"/>
      <c r="Q24" s="255"/>
      <c r="R24" s="255"/>
      <c r="S24" s="255"/>
    </row>
    <row r="25" spans="1:22" x14ac:dyDescent="0.25">
      <c r="B25" s="255"/>
      <c r="C25" s="255"/>
      <c r="D25" s="255"/>
      <c r="E25" s="255"/>
      <c r="F25" s="255"/>
      <c r="G25" s="255"/>
      <c r="H25" s="255"/>
      <c r="I25" s="255"/>
      <c r="J25" s="255"/>
      <c r="K25" s="256"/>
      <c r="L25" s="256"/>
      <c r="M25" s="257"/>
      <c r="N25" s="256"/>
      <c r="O25" s="257"/>
      <c r="P25" s="255"/>
      <c r="Q25" s="255"/>
      <c r="R25" s="255"/>
      <c r="S25" s="255"/>
    </row>
    <row r="26" spans="1:22" x14ac:dyDescent="0.25">
      <c r="B26" s="255"/>
      <c r="C26" s="255"/>
      <c r="D26" s="255"/>
      <c r="E26" s="255"/>
      <c r="F26" s="255"/>
      <c r="G26" s="255"/>
      <c r="H26" s="255"/>
      <c r="I26" s="255"/>
      <c r="J26" s="255"/>
      <c r="K26" s="256"/>
      <c r="L26" s="256"/>
      <c r="M26" s="257"/>
      <c r="N26" s="256"/>
      <c r="O26" s="257"/>
      <c r="P26" s="255"/>
      <c r="Q26" s="255"/>
      <c r="R26" s="255"/>
      <c r="S26" s="255"/>
    </row>
    <row r="32" spans="1:22" s="39" customFormat="1" ht="54.95" customHeight="1" x14ac:dyDescent="0.25">
      <c r="A32" s="46"/>
      <c r="B32" s="47"/>
      <c r="C32" s="46"/>
      <c r="D32" s="48"/>
      <c r="E32" s="46"/>
      <c r="F32" s="49"/>
      <c r="G32" s="48"/>
      <c r="H32" s="48"/>
      <c r="I32" s="48"/>
      <c r="J32" s="48"/>
      <c r="K32" s="50"/>
      <c r="M32" s="35"/>
      <c r="O32" s="35"/>
      <c r="P32" s="36"/>
      <c r="Q32" s="36"/>
      <c r="R32" s="36"/>
      <c r="S32" s="36"/>
      <c r="T32" s="36"/>
      <c r="U32" s="36"/>
      <c r="V32" s="36"/>
    </row>
    <row r="33" spans="1:22" s="39" customFormat="1" x14ac:dyDescent="0.25">
      <c r="A33" s="36"/>
      <c r="B33" s="36"/>
      <c r="C33" s="36"/>
      <c r="D33" s="45">
        <f>ССР!H58</f>
        <v>392033.92</v>
      </c>
      <c r="E33" s="36"/>
      <c r="F33" s="45"/>
      <c r="G33" s="45">
        <f>ССР!H76</f>
        <v>434361.04</v>
      </c>
      <c r="H33" s="45">
        <f>ССР!H78</f>
        <v>456670</v>
      </c>
      <c r="I33" s="36"/>
      <c r="J33" s="45"/>
      <c r="K33" s="35"/>
      <c r="M33" s="35"/>
      <c r="O33" s="35"/>
      <c r="P33" s="36"/>
      <c r="Q33" s="36"/>
      <c r="R33" s="36"/>
      <c r="S33" s="36"/>
      <c r="T33" s="36"/>
      <c r="U33" s="36"/>
      <c r="V33" s="36"/>
    </row>
    <row r="34" spans="1:22" s="39" customFormat="1" x14ac:dyDescent="0.25">
      <c r="A34" s="36"/>
      <c r="B34" s="36"/>
      <c r="C34" s="36"/>
      <c r="D34" s="45">
        <f>D14/1000</f>
        <v>392033.92</v>
      </c>
      <c r="E34" s="36"/>
      <c r="F34" s="51"/>
      <c r="G34" s="52">
        <f>G14/1000</f>
        <v>434361.03</v>
      </c>
      <c r="H34" s="52">
        <f>H14/1000</f>
        <v>456670</v>
      </c>
      <c r="I34" s="36"/>
      <c r="J34" s="45"/>
      <c r="K34" s="50"/>
      <c r="M34" s="35"/>
      <c r="O34" s="35"/>
      <c r="P34" s="36"/>
      <c r="Q34" s="36"/>
      <c r="R34" s="36"/>
      <c r="S34" s="36"/>
      <c r="T34" s="36"/>
      <c r="U34" s="36"/>
      <c r="V34" s="36"/>
    </row>
    <row r="35" spans="1:22" s="39" customFormat="1" x14ac:dyDescent="0.25">
      <c r="A35" s="36"/>
      <c r="B35" s="36"/>
      <c r="C35" s="36"/>
      <c r="D35" s="45"/>
      <c r="E35" s="45"/>
      <c r="F35" s="51"/>
      <c r="G35" s="36"/>
      <c r="H35" s="36"/>
      <c r="I35" s="36"/>
      <c r="J35" s="36"/>
      <c r="M35" s="35"/>
      <c r="O35" s="35"/>
      <c r="P35" s="36"/>
      <c r="Q35" s="36"/>
      <c r="R35" s="36"/>
      <c r="S35" s="36"/>
      <c r="T35" s="36"/>
      <c r="U35" s="36"/>
      <c r="V35" s="36"/>
    </row>
    <row r="55" spans="1:1" x14ac:dyDescent="0.25">
      <c r="A55" s="36">
        <v>7</v>
      </c>
    </row>
  </sheetData>
  <mergeCells count="5">
    <mergeCell ref="C18:V18"/>
    <mergeCell ref="C17:V17"/>
    <mergeCell ref="C19:V19"/>
    <mergeCell ref="C20:V20"/>
    <mergeCell ref="A1:J1"/>
  </mergeCells>
  <pageMargins left="0.23622047244094491" right="0.23622047244094491" top="0.74803149606299213" bottom="0.74803149606299213" header="0.31496062992125984" footer="0.31496062992125984"/>
  <pageSetup paperSize="9" scale="55" fitToHeight="100" orientation="landscape" r:id="rId1"/>
  <rowBreaks count="2" manualBreakCount="2">
    <brk id="15" max="17" man="1"/>
    <brk id="21" max="9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C1F838-528A-4CB8-B03F-346609D5C798}">
  <sheetPr>
    <tabColor rgb="FF92D050"/>
    <pageSetUpPr fitToPage="1"/>
  </sheetPr>
  <dimension ref="A1:W55"/>
  <sheetViews>
    <sheetView zoomScale="85" zoomScaleNormal="85" zoomScaleSheetLayoutView="80" workbookViewId="0">
      <pane ySplit="3" topLeftCell="A4" activePane="bottomLeft" state="frozen"/>
      <selection pane="bottomLeft" activeCell="U9" sqref="U9"/>
    </sheetView>
  </sheetViews>
  <sheetFormatPr defaultColWidth="9.140625" defaultRowHeight="15.75" outlineLevelCol="1" x14ac:dyDescent="0.25"/>
  <cols>
    <col min="1" max="1" width="7.42578125" style="36" customWidth="1"/>
    <col min="2" max="2" width="35.7109375" style="36" customWidth="1"/>
    <col min="3" max="3" width="39.7109375" style="36" customWidth="1"/>
    <col min="4" max="4" width="20.5703125" style="36" hidden="1" customWidth="1" outlineLevel="1"/>
    <col min="5" max="5" width="18.85546875" style="36" hidden="1" customWidth="1" outlineLevel="1"/>
    <col min="6" max="6" width="17.5703125" style="36" hidden="1" customWidth="1" outlineLevel="1"/>
    <col min="7" max="7" width="20.7109375" style="36" hidden="1" customWidth="1" outlineLevel="1"/>
    <col min="8" max="8" width="19.5703125" style="36" hidden="1" customWidth="1" outlineLevel="1"/>
    <col min="9" max="9" width="8.5703125" style="36" hidden="1" customWidth="1" outlineLevel="1"/>
    <col min="10" max="10" width="21" style="36" customWidth="1" collapsed="1"/>
    <col min="11" max="11" width="20.42578125" style="39" hidden="1" customWidth="1" outlineLevel="1"/>
    <col min="12" max="12" width="16.85546875" style="39" hidden="1" customWidth="1" outlineLevel="1"/>
    <col min="13" max="13" width="18.140625" style="35" hidden="1" customWidth="1" outlineLevel="1"/>
    <col min="14" max="14" width="16.85546875" style="39" hidden="1" customWidth="1" outlineLevel="1"/>
    <col min="15" max="15" width="18.140625" style="35" hidden="1" customWidth="1" outlineLevel="1"/>
    <col min="16" max="16" width="18.42578125" style="36" hidden="1" customWidth="1" collapsed="1"/>
    <col min="17" max="17" width="17.140625" style="36" hidden="1" customWidth="1"/>
    <col min="18" max="18" width="19" style="36" customWidth="1"/>
    <col min="19" max="19" width="28.5703125" style="36" customWidth="1"/>
    <col min="20" max="20" width="24.7109375" style="36" bestFit="1" customWidth="1"/>
    <col min="21" max="21" width="45.5703125" style="36" bestFit="1" customWidth="1"/>
    <col min="22" max="22" width="24.42578125" style="36" customWidth="1"/>
    <col min="23" max="23" width="12.7109375" style="36" bestFit="1" customWidth="1"/>
    <col min="24" max="16384" width="9.140625" style="36"/>
  </cols>
  <sheetData>
    <row r="1" spans="1:23" ht="8.25" customHeight="1" x14ac:dyDescent="0.25">
      <c r="A1" s="1189"/>
      <c r="B1" s="1189"/>
      <c r="C1" s="1189"/>
      <c r="D1" s="1189"/>
      <c r="E1" s="1189"/>
      <c r="F1" s="1189"/>
      <c r="G1" s="1189"/>
      <c r="H1" s="1189"/>
      <c r="I1" s="1189"/>
      <c r="J1" s="1189"/>
      <c r="K1" s="238"/>
      <c r="L1" s="238"/>
      <c r="N1" s="238"/>
    </row>
    <row r="2" spans="1:23" ht="5.25" customHeight="1" thickBot="1" x14ac:dyDescent="0.3">
      <c r="A2" s="37"/>
      <c r="B2" s="37"/>
      <c r="C2" s="37"/>
      <c r="D2" s="37"/>
      <c r="E2" s="37"/>
      <c r="F2" s="37"/>
      <c r="G2" s="37"/>
      <c r="H2" s="37"/>
      <c r="I2" s="38"/>
      <c r="J2" s="37"/>
    </row>
    <row r="3" spans="1:23" ht="77.25" customHeight="1" x14ac:dyDescent="0.25">
      <c r="A3" s="239">
        <v>1</v>
      </c>
      <c r="B3" s="241" t="s">
        <v>112</v>
      </c>
      <c r="C3" s="241" t="s">
        <v>113</v>
      </c>
      <c r="D3" s="241" t="s">
        <v>114</v>
      </c>
      <c r="E3" s="241" t="s">
        <v>115</v>
      </c>
      <c r="F3" s="241" t="s">
        <v>116</v>
      </c>
      <c r="G3" s="241" t="s">
        <v>117</v>
      </c>
      <c r="H3" s="243" t="s">
        <v>125</v>
      </c>
      <c r="I3" s="241" t="s">
        <v>118</v>
      </c>
      <c r="J3" s="243" t="s">
        <v>209</v>
      </c>
      <c r="K3" s="74" t="s">
        <v>126</v>
      </c>
      <c r="L3" s="74" t="s">
        <v>127</v>
      </c>
      <c r="M3" s="75" t="s">
        <v>128</v>
      </c>
      <c r="N3" s="76" t="s">
        <v>134</v>
      </c>
      <c r="O3" s="77" t="s">
        <v>135</v>
      </c>
      <c r="P3" s="78" t="s">
        <v>136</v>
      </c>
      <c r="Q3" s="78" t="s">
        <v>121</v>
      </c>
      <c r="R3" s="80" t="s">
        <v>199</v>
      </c>
      <c r="S3" s="80" t="s">
        <v>198</v>
      </c>
      <c r="T3" s="80" t="s">
        <v>200</v>
      </c>
      <c r="U3" s="80" t="s">
        <v>219</v>
      </c>
      <c r="V3" s="267" t="s">
        <v>216</v>
      </c>
    </row>
    <row r="4" spans="1:23" ht="15" customHeight="1" x14ac:dyDescent="0.25">
      <c r="A4" s="240">
        <v>1</v>
      </c>
      <c r="B4" s="242">
        <v>2</v>
      </c>
      <c r="C4" s="242">
        <v>3</v>
      </c>
      <c r="D4" s="242"/>
      <c r="E4" s="242"/>
      <c r="F4" s="242"/>
      <c r="G4" s="242"/>
      <c r="H4" s="244"/>
      <c r="I4" s="242"/>
      <c r="J4" s="244">
        <v>4</v>
      </c>
      <c r="K4" s="264"/>
      <c r="L4" s="264"/>
      <c r="M4" s="264"/>
      <c r="N4" s="264"/>
      <c r="O4" s="264"/>
      <c r="P4" s="265"/>
      <c r="Q4" s="265"/>
      <c r="R4" s="266" t="s">
        <v>211</v>
      </c>
      <c r="S4" s="266" t="s">
        <v>212</v>
      </c>
      <c r="T4" s="266" t="s">
        <v>213</v>
      </c>
      <c r="U4" s="266" t="s">
        <v>214</v>
      </c>
      <c r="V4" s="266" t="s">
        <v>215</v>
      </c>
    </row>
    <row r="5" spans="1:23" ht="44.25" customHeight="1" x14ac:dyDescent="0.25">
      <c r="A5" s="217">
        <v>1</v>
      </c>
      <c r="B5" s="245" t="s">
        <v>177</v>
      </c>
      <c r="C5" s="219" t="s">
        <v>197</v>
      </c>
      <c r="D5" s="220">
        <v>1615223.87</v>
      </c>
      <c r="E5" s="220">
        <v>132448.35999999999</v>
      </c>
      <c r="F5" s="220">
        <v>41944.13</v>
      </c>
      <c r="G5" s="220">
        <v>1789616.36</v>
      </c>
      <c r="H5" s="220">
        <v>1881531.81</v>
      </c>
      <c r="I5" s="221">
        <v>1.2</v>
      </c>
      <c r="J5" s="222">
        <v>2257838.17</v>
      </c>
      <c r="K5" s="246"/>
      <c r="L5" s="246"/>
      <c r="M5" s="246">
        <v>1627347.05</v>
      </c>
      <c r="N5" s="246"/>
      <c r="O5" s="246"/>
      <c r="P5" s="246">
        <v>1627347.05</v>
      </c>
      <c r="Q5" s="246">
        <v>630491.12</v>
      </c>
      <c r="R5" s="248">
        <v>2005347.47</v>
      </c>
      <c r="S5" s="247">
        <v>2024146.22</v>
      </c>
      <c r="T5" s="247">
        <f>S5-R5</f>
        <v>18798.75</v>
      </c>
      <c r="U5" s="248">
        <f>1447989.61*1.082*1.024*1.0514*1.2</f>
        <v>2024146.22</v>
      </c>
      <c r="V5" s="247">
        <f>U5-S5</f>
        <v>0</v>
      </c>
    </row>
    <row r="6" spans="1:23" ht="35.1" customHeight="1" x14ac:dyDescent="0.25">
      <c r="A6" s="217">
        <v>2</v>
      </c>
      <c r="B6" s="245" t="s">
        <v>179</v>
      </c>
      <c r="C6" s="219" t="s">
        <v>47</v>
      </c>
      <c r="D6" s="220">
        <v>760016.55</v>
      </c>
      <c r="E6" s="220">
        <v>62321.36</v>
      </c>
      <c r="F6" s="220">
        <v>19736.11</v>
      </c>
      <c r="G6" s="220">
        <v>842074.02</v>
      </c>
      <c r="H6" s="220">
        <v>885323.3</v>
      </c>
      <c r="I6" s="221">
        <v>1.2</v>
      </c>
      <c r="J6" s="222">
        <v>1062387.96</v>
      </c>
      <c r="K6" s="246"/>
      <c r="L6" s="246"/>
      <c r="M6" s="246"/>
      <c r="N6" s="246"/>
      <c r="O6" s="246"/>
      <c r="P6" s="246">
        <v>0</v>
      </c>
      <c r="Q6" s="246">
        <v>1062387.96</v>
      </c>
      <c r="R6" s="248">
        <v>2202001.75</v>
      </c>
      <c r="S6" s="247">
        <f>1047143.73*1.082*1.024*1.0514*1.2</f>
        <v>1463803.34</v>
      </c>
      <c r="T6" s="247">
        <f t="shared" ref="T6:T13" si="0">S6-R6</f>
        <v>-738198.41</v>
      </c>
      <c r="U6" s="248">
        <f>1075607.48*1.082*1.024*1.0514*1.2</f>
        <v>1503592.84</v>
      </c>
      <c r="V6" s="247">
        <f t="shared" ref="V6:V13" si="1">U6-S6</f>
        <v>39789.5</v>
      </c>
    </row>
    <row r="7" spans="1:23" ht="35.1" customHeight="1" x14ac:dyDescent="0.25">
      <c r="A7" s="217">
        <v>3</v>
      </c>
      <c r="B7" s="245" t="s">
        <v>180</v>
      </c>
      <c r="C7" s="219" t="s">
        <v>49</v>
      </c>
      <c r="D7" s="220">
        <v>10454161.890000001</v>
      </c>
      <c r="E7" s="220">
        <v>857241.27</v>
      </c>
      <c r="F7" s="220">
        <v>271473.68</v>
      </c>
      <c r="G7" s="220">
        <v>11582876.84</v>
      </c>
      <c r="H7" s="220">
        <v>12177778.26</v>
      </c>
      <c r="I7" s="221">
        <v>1.2</v>
      </c>
      <c r="J7" s="222">
        <v>14613333.91</v>
      </c>
      <c r="K7" s="246"/>
      <c r="L7" s="246"/>
      <c r="M7" s="246"/>
      <c r="N7" s="246"/>
      <c r="O7" s="246"/>
      <c r="P7" s="246">
        <v>0</v>
      </c>
      <c r="Q7" s="246">
        <v>14613333.91</v>
      </c>
      <c r="R7" s="248">
        <v>22272187.57</v>
      </c>
      <c r="S7" s="247">
        <v>18763363.32</v>
      </c>
      <c r="T7" s="247">
        <f t="shared" si="0"/>
        <v>-3508824.25</v>
      </c>
      <c r="U7" s="248">
        <f>13924082.63*1.082*1.024*1.0514*1.2</f>
        <v>19464489.949999999</v>
      </c>
      <c r="V7" s="247">
        <f t="shared" si="1"/>
        <v>701126.63</v>
      </c>
      <c r="W7" s="36" t="s">
        <v>220</v>
      </c>
    </row>
    <row r="8" spans="1:23" ht="35.1" customHeight="1" x14ac:dyDescent="0.25">
      <c r="A8" s="217">
        <v>4</v>
      </c>
      <c r="B8" s="245" t="s">
        <v>181</v>
      </c>
      <c r="C8" s="219" t="s">
        <v>52</v>
      </c>
      <c r="D8" s="220">
        <v>9143309.8300000001</v>
      </c>
      <c r="E8" s="220">
        <v>749751.41</v>
      </c>
      <c r="F8" s="220">
        <v>237433.47</v>
      </c>
      <c r="G8" s="220">
        <v>10130494.710000001</v>
      </c>
      <c r="H8" s="220">
        <v>10650801.17</v>
      </c>
      <c r="I8" s="221">
        <v>1.2</v>
      </c>
      <c r="J8" s="222">
        <v>12780961.4</v>
      </c>
      <c r="K8" s="246"/>
      <c r="L8" s="246"/>
      <c r="M8" s="246"/>
      <c r="N8" s="246"/>
      <c r="O8" s="246">
        <v>337909.86</v>
      </c>
      <c r="P8" s="246">
        <v>337909.86</v>
      </c>
      <c r="Q8" s="246">
        <v>12443051.539999999</v>
      </c>
      <c r="R8" s="248">
        <v>2529998.64</v>
      </c>
      <c r="S8" s="247">
        <v>2410984</v>
      </c>
      <c r="T8" s="247">
        <f t="shared" si="0"/>
        <v>-119014.64</v>
      </c>
      <c r="U8" s="248">
        <f>1822332.96*1.082*1.024*1.0514*1.2</f>
        <v>2547441.19</v>
      </c>
      <c r="V8" s="247">
        <f t="shared" si="1"/>
        <v>136457.19</v>
      </c>
    </row>
    <row r="9" spans="1:23" ht="35.1" customHeight="1" x14ac:dyDescent="0.25">
      <c r="A9" s="217">
        <v>5</v>
      </c>
      <c r="B9" s="245" t="s">
        <v>182</v>
      </c>
      <c r="C9" s="219" t="s">
        <v>54</v>
      </c>
      <c r="D9" s="220">
        <v>21996729.18</v>
      </c>
      <c r="E9" s="220">
        <v>1803731.79</v>
      </c>
      <c r="F9" s="220">
        <v>571211.06000000006</v>
      </c>
      <c r="G9" s="220">
        <v>24371672.030000001</v>
      </c>
      <c r="H9" s="220">
        <v>25623411.34</v>
      </c>
      <c r="I9" s="221">
        <v>1.2</v>
      </c>
      <c r="J9" s="222">
        <v>30748093.609999999</v>
      </c>
      <c r="K9" s="246"/>
      <c r="L9" s="246"/>
      <c r="M9" s="246">
        <v>1211400.79</v>
      </c>
      <c r="N9" s="246"/>
      <c r="O9" s="246"/>
      <c r="P9" s="246">
        <v>1211400.79</v>
      </c>
      <c r="Q9" s="246">
        <v>29536692.82</v>
      </c>
      <c r="R9" s="248">
        <v>4175761.11</v>
      </c>
      <c r="S9" s="247">
        <v>3953024.28</v>
      </c>
      <c r="T9" s="247">
        <f t="shared" si="0"/>
        <v>-222736.83</v>
      </c>
      <c r="U9" s="248">
        <f>2968911.25*1.082*1.024*1.0514*1.2</f>
        <v>4150244.2</v>
      </c>
      <c r="V9" s="247">
        <f t="shared" si="1"/>
        <v>197219.92</v>
      </c>
    </row>
    <row r="10" spans="1:23" ht="35.1" customHeight="1" x14ac:dyDescent="0.25">
      <c r="A10" s="217">
        <v>6</v>
      </c>
      <c r="B10" s="245" t="s">
        <v>217</v>
      </c>
      <c r="C10" s="219" t="s">
        <v>40</v>
      </c>
      <c r="D10" s="220">
        <v>475031.03999999998</v>
      </c>
      <c r="E10" s="220">
        <v>38952.550000000003</v>
      </c>
      <c r="F10" s="220">
        <v>12335.61</v>
      </c>
      <c r="G10" s="220">
        <v>526319.19999999995</v>
      </c>
      <c r="H10" s="220">
        <v>553351.18000000005</v>
      </c>
      <c r="I10" s="221">
        <v>1.2</v>
      </c>
      <c r="J10" s="222">
        <v>664021.42000000004</v>
      </c>
      <c r="K10" s="246"/>
      <c r="L10" s="246"/>
      <c r="M10" s="246"/>
      <c r="N10" s="246"/>
      <c r="O10" s="246"/>
      <c r="P10" s="246">
        <v>0</v>
      </c>
      <c r="Q10" s="246">
        <v>664021.42000000004</v>
      </c>
      <c r="R10" s="248">
        <v>745201.99</v>
      </c>
      <c r="S10" s="247">
        <f>235378.05*1.082*1.024*1.0514*1.2+49139.18*1.2*1.0514</f>
        <v>391033.15</v>
      </c>
      <c r="T10" s="247">
        <f t="shared" si="0"/>
        <v>-354168.84</v>
      </c>
      <c r="U10" s="248">
        <f>235378.05*1.082*1.024*1.0514*1.2+49139.18*1.0514*1.2</f>
        <v>391033.15</v>
      </c>
      <c r="V10" s="247">
        <f t="shared" si="1"/>
        <v>0</v>
      </c>
      <c r="W10" s="36" t="s">
        <v>220</v>
      </c>
    </row>
    <row r="11" spans="1:23" ht="35.1" customHeight="1" x14ac:dyDescent="0.25">
      <c r="A11" s="217">
        <v>7</v>
      </c>
      <c r="B11" s="245" t="s">
        <v>218</v>
      </c>
      <c r="C11" s="219" t="s">
        <v>42</v>
      </c>
      <c r="D11" s="220">
        <v>2276671.21</v>
      </c>
      <c r="E11" s="220">
        <v>186687.04</v>
      </c>
      <c r="F11" s="220">
        <v>59120.6</v>
      </c>
      <c r="G11" s="220">
        <v>2522478.85</v>
      </c>
      <c r="H11" s="220">
        <v>2652034.42</v>
      </c>
      <c r="I11" s="221">
        <v>1.2</v>
      </c>
      <c r="J11" s="222">
        <v>3182441.3</v>
      </c>
      <c r="K11" s="246"/>
      <c r="L11" s="246"/>
      <c r="M11" s="246"/>
      <c r="N11" s="246"/>
      <c r="O11" s="246"/>
      <c r="P11" s="246">
        <v>0</v>
      </c>
      <c r="Q11" s="246">
        <v>3182441.3</v>
      </c>
      <c r="R11" s="248">
        <v>9045929.4199999999</v>
      </c>
      <c r="S11" s="247">
        <v>4665867.41</v>
      </c>
      <c r="T11" s="247">
        <f t="shared" si="0"/>
        <v>-4380062.01</v>
      </c>
      <c r="U11" s="248">
        <f>3447892.99*1.082*1.024*1.0514*1.2+130942.19*1.0514*1.2</f>
        <v>4985020.43</v>
      </c>
      <c r="V11" s="247">
        <f t="shared" si="1"/>
        <v>319153.02</v>
      </c>
    </row>
    <row r="12" spans="1:23" ht="35.1" customHeight="1" x14ac:dyDescent="0.25">
      <c r="A12" s="217">
        <v>8</v>
      </c>
      <c r="B12" s="245" t="s">
        <v>183</v>
      </c>
      <c r="C12" s="219" t="s">
        <v>62</v>
      </c>
      <c r="D12" s="220">
        <v>1890203.39</v>
      </c>
      <c r="E12" s="220">
        <v>154996.68</v>
      </c>
      <c r="F12" s="220">
        <v>49084.800000000003</v>
      </c>
      <c r="G12" s="220">
        <v>2094284.87</v>
      </c>
      <c r="H12" s="220">
        <v>2201848.2200000002</v>
      </c>
      <c r="I12" s="221">
        <v>1.2</v>
      </c>
      <c r="J12" s="222">
        <v>2642217.86</v>
      </c>
      <c r="K12" s="246"/>
      <c r="L12" s="246"/>
      <c r="M12" s="246"/>
      <c r="N12" s="246"/>
      <c r="O12" s="246"/>
      <c r="P12" s="246">
        <v>0</v>
      </c>
      <c r="Q12" s="246">
        <v>2642217.86</v>
      </c>
      <c r="R12" s="248">
        <v>2701306.82</v>
      </c>
      <c r="S12" s="247">
        <v>2342678.71</v>
      </c>
      <c r="T12" s="247">
        <f t="shared" si="0"/>
        <v>-358628.11</v>
      </c>
      <c r="U12" s="248">
        <f>1708416.13*1.082*1.024*1.0514*1.2</f>
        <v>2388196.73</v>
      </c>
      <c r="V12" s="247">
        <f t="shared" si="1"/>
        <v>45518.02</v>
      </c>
    </row>
    <row r="13" spans="1:23" ht="35.1" customHeight="1" thickBot="1" x14ac:dyDescent="0.3">
      <c r="A13" s="217">
        <v>9</v>
      </c>
      <c r="B13" s="245" t="s">
        <v>184</v>
      </c>
      <c r="C13" s="219" t="s">
        <v>64</v>
      </c>
      <c r="D13" s="220">
        <v>4003449.34</v>
      </c>
      <c r="E13" s="220">
        <v>328282.84999999998</v>
      </c>
      <c r="F13" s="220">
        <v>103961.57</v>
      </c>
      <c r="G13" s="220">
        <v>4435693.76</v>
      </c>
      <c r="H13" s="220">
        <v>4663512.8499999996</v>
      </c>
      <c r="I13" s="221">
        <v>1.2</v>
      </c>
      <c r="J13" s="222">
        <v>5596215.4199999999</v>
      </c>
      <c r="K13" s="246"/>
      <c r="L13" s="246"/>
      <c r="M13" s="246"/>
      <c r="N13" s="246"/>
      <c r="O13" s="246"/>
      <c r="P13" s="246">
        <v>0</v>
      </c>
      <c r="Q13" s="246">
        <v>5596215.4199999999</v>
      </c>
      <c r="R13" s="248">
        <v>4206088.5999999996</v>
      </c>
      <c r="S13" s="247">
        <v>3942311.7</v>
      </c>
      <c r="T13" s="247">
        <f t="shared" si="0"/>
        <v>-263776.90000000002</v>
      </c>
      <c r="U13" s="248">
        <f>2864573.69*1.082*1.024*1.0514*1.2</f>
        <v>4004390.62</v>
      </c>
      <c r="V13" s="247">
        <f t="shared" si="1"/>
        <v>62078.92</v>
      </c>
    </row>
    <row r="14" spans="1:23" ht="31.5" customHeight="1" thickTop="1" thickBot="1" x14ac:dyDescent="0.3">
      <c r="A14" s="249"/>
      <c r="B14" s="250" t="s">
        <v>120</v>
      </c>
      <c r="C14" s="251"/>
      <c r="D14" s="252">
        <v>392033916.06</v>
      </c>
      <c r="E14" s="251"/>
      <c r="F14" s="253"/>
      <c r="G14" s="252">
        <v>434361033.93000001</v>
      </c>
      <c r="H14" s="252">
        <v>456670000.00999999</v>
      </c>
      <c r="I14" s="252"/>
      <c r="J14" s="252">
        <f>SUM(J5:J13)</f>
        <v>73547511.049999997</v>
      </c>
      <c r="K14" s="252">
        <f t="shared" ref="K14:R14" si="2">SUM(K5:K13)</f>
        <v>0</v>
      </c>
      <c r="L14" s="252">
        <f t="shared" si="2"/>
        <v>0</v>
      </c>
      <c r="M14" s="252">
        <f t="shared" si="2"/>
        <v>2838747.84</v>
      </c>
      <c r="N14" s="252">
        <f t="shared" si="2"/>
        <v>0</v>
      </c>
      <c r="O14" s="252">
        <f t="shared" si="2"/>
        <v>337909.86</v>
      </c>
      <c r="P14" s="252">
        <f t="shared" si="2"/>
        <v>3176657.7</v>
      </c>
      <c r="Q14" s="252">
        <f t="shared" si="2"/>
        <v>70370853.349999994</v>
      </c>
      <c r="R14" s="260">
        <f t="shared" si="2"/>
        <v>49883823.369999997</v>
      </c>
      <c r="S14" s="254">
        <f>SUM(S5:S13)</f>
        <v>39957212.130000003</v>
      </c>
      <c r="T14" s="254">
        <f>SUM(T5:T13)</f>
        <v>-9926611.2400000002</v>
      </c>
      <c r="U14" s="261">
        <f>SUM(U5:U13)</f>
        <v>41458555.329999998</v>
      </c>
      <c r="V14" s="254">
        <f>SUM(V5:V13)</f>
        <v>1501343.2</v>
      </c>
    </row>
    <row r="15" spans="1:23" ht="16.5" thickTop="1" x14ac:dyDescent="0.25"/>
    <row r="17" spans="1:22" s="263" customFormat="1" x14ac:dyDescent="0.25">
      <c r="A17" s="262" t="s">
        <v>205</v>
      </c>
      <c r="B17" s="262" t="s">
        <v>208</v>
      </c>
      <c r="C17" s="1216" t="s">
        <v>5</v>
      </c>
      <c r="D17" s="1216"/>
      <c r="E17" s="1216"/>
      <c r="F17" s="1216"/>
      <c r="G17" s="1216"/>
      <c r="H17" s="1216"/>
      <c r="I17" s="1216"/>
      <c r="J17" s="1216"/>
      <c r="K17" s="1216"/>
      <c r="L17" s="1216"/>
      <c r="M17" s="1216"/>
      <c r="N17" s="1216"/>
      <c r="O17" s="1216"/>
      <c r="P17" s="1216"/>
      <c r="Q17" s="1216"/>
      <c r="R17" s="1216"/>
      <c r="S17" s="1216"/>
      <c r="T17" s="1216"/>
      <c r="U17" s="1216"/>
      <c r="V17" s="1216"/>
    </row>
    <row r="18" spans="1:22" ht="94.5" x14ac:dyDescent="0.25">
      <c r="A18" s="242">
        <v>1</v>
      </c>
      <c r="B18" s="258" t="s">
        <v>202</v>
      </c>
      <c r="C18" s="1215" t="s">
        <v>203</v>
      </c>
      <c r="D18" s="1215"/>
      <c r="E18" s="1215"/>
      <c r="F18" s="1215"/>
      <c r="G18" s="1215"/>
      <c r="H18" s="1215"/>
      <c r="I18" s="1215"/>
      <c r="J18" s="1215"/>
      <c r="K18" s="1215"/>
      <c r="L18" s="1215"/>
      <c r="M18" s="1215"/>
      <c r="N18" s="1215"/>
      <c r="O18" s="1215"/>
      <c r="P18" s="1215"/>
      <c r="Q18" s="1215"/>
      <c r="R18" s="1215"/>
      <c r="S18" s="1215"/>
      <c r="T18" s="1215"/>
      <c r="U18" s="1215"/>
      <c r="V18" s="1215"/>
    </row>
    <row r="19" spans="1:22" ht="111" thickTop="1" x14ac:dyDescent="0.25">
      <c r="A19" s="242">
        <v>2</v>
      </c>
      <c r="B19" s="258" t="s">
        <v>201</v>
      </c>
      <c r="C19" s="1215" t="s">
        <v>204</v>
      </c>
      <c r="D19" s="1215"/>
      <c r="E19" s="1215"/>
      <c r="F19" s="1215"/>
      <c r="G19" s="1215"/>
      <c r="H19" s="1215"/>
      <c r="I19" s="1215"/>
      <c r="J19" s="1215"/>
      <c r="K19" s="1215"/>
      <c r="L19" s="1215"/>
      <c r="M19" s="1215"/>
      <c r="N19" s="1215"/>
      <c r="O19" s="1215"/>
      <c r="P19" s="1215"/>
      <c r="Q19" s="1215"/>
      <c r="R19" s="1215"/>
      <c r="S19" s="1215"/>
      <c r="T19" s="1215"/>
      <c r="U19" s="1215"/>
      <c r="V19" s="1215"/>
    </row>
    <row r="20" spans="1:22" ht="84.75" customHeight="1" x14ac:dyDescent="0.25">
      <c r="A20" s="242">
        <v>3</v>
      </c>
      <c r="B20" s="259" t="s">
        <v>206</v>
      </c>
      <c r="C20" s="1215" t="s">
        <v>207</v>
      </c>
      <c r="D20" s="1215"/>
      <c r="E20" s="1215"/>
      <c r="F20" s="1215"/>
      <c r="G20" s="1215"/>
      <c r="H20" s="1215"/>
      <c r="I20" s="1215"/>
      <c r="J20" s="1215"/>
      <c r="K20" s="1215"/>
      <c r="L20" s="1215"/>
      <c r="M20" s="1215"/>
      <c r="N20" s="1215"/>
      <c r="O20" s="1215"/>
      <c r="P20" s="1215"/>
      <c r="Q20" s="1215"/>
      <c r="R20" s="1215"/>
      <c r="S20" s="1215"/>
      <c r="T20" s="1215"/>
      <c r="U20" s="1215"/>
      <c r="V20" s="1215"/>
    </row>
    <row r="21" spans="1:22" x14ac:dyDescent="0.25">
      <c r="B21" s="255"/>
      <c r="C21" s="255"/>
      <c r="D21" s="255"/>
      <c r="E21" s="255"/>
      <c r="F21" s="255"/>
      <c r="G21" s="255"/>
      <c r="H21" s="255"/>
      <c r="I21" s="255"/>
      <c r="J21" s="255"/>
      <c r="K21" s="256"/>
      <c r="L21" s="256"/>
      <c r="M21" s="257"/>
      <c r="N21" s="256"/>
      <c r="O21" s="257"/>
      <c r="P21" s="255"/>
      <c r="Q21" s="255"/>
      <c r="R21" s="255"/>
      <c r="S21" s="255"/>
    </row>
    <row r="22" spans="1:22" x14ac:dyDescent="0.25">
      <c r="B22" s="255"/>
      <c r="C22" s="255"/>
      <c r="D22" s="255"/>
      <c r="E22" s="255"/>
      <c r="F22" s="255"/>
      <c r="G22" s="255"/>
      <c r="H22" s="255"/>
      <c r="I22" s="255"/>
      <c r="J22" s="255"/>
      <c r="K22" s="256"/>
      <c r="L22" s="256"/>
      <c r="M22" s="257"/>
      <c r="N22" s="256"/>
      <c r="O22" s="257"/>
      <c r="P22" s="255"/>
      <c r="Q22" s="255"/>
      <c r="R22" s="255"/>
      <c r="S22" s="255"/>
    </row>
    <row r="23" spans="1:22" x14ac:dyDescent="0.25">
      <c r="B23" s="255"/>
      <c r="C23" s="255"/>
      <c r="D23" s="255"/>
      <c r="E23" s="255"/>
      <c r="F23" s="255"/>
      <c r="G23" s="255"/>
      <c r="H23" s="255"/>
      <c r="I23" s="255"/>
      <c r="J23" s="255"/>
      <c r="K23" s="256"/>
      <c r="L23" s="256"/>
      <c r="M23" s="257"/>
      <c r="N23" s="256"/>
      <c r="O23" s="257"/>
      <c r="P23" s="255"/>
      <c r="Q23" s="255"/>
      <c r="R23" s="255"/>
      <c r="S23" s="255"/>
    </row>
    <row r="24" spans="1:22" x14ac:dyDescent="0.25">
      <c r="B24" s="255"/>
      <c r="C24" s="255"/>
      <c r="D24" s="255"/>
      <c r="E24" s="255"/>
      <c r="F24" s="255"/>
      <c r="G24" s="255"/>
      <c r="H24" s="255"/>
      <c r="I24" s="255"/>
      <c r="J24" s="255"/>
      <c r="K24" s="256"/>
      <c r="L24" s="256"/>
      <c r="M24" s="257"/>
      <c r="N24" s="256"/>
      <c r="O24" s="257"/>
      <c r="P24" s="255"/>
      <c r="Q24" s="255"/>
      <c r="R24" s="255"/>
      <c r="S24" s="255"/>
    </row>
    <row r="25" spans="1:22" x14ac:dyDescent="0.25">
      <c r="B25" s="255"/>
      <c r="C25" s="255"/>
      <c r="D25" s="255"/>
      <c r="E25" s="255"/>
      <c r="F25" s="255"/>
      <c r="G25" s="255"/>
      <c r="H25" s="255"/>
      <c r="I25" s="255"/>
      <c r="J25" s="255"/>
      <c r="K25" s="256"/>
      <c r="L25" s="256"/>
      <c r="M25" s="257"/>
      <c r="N25" s="256"/>
      <c r="O25" s="257"/>
      <c r="P25" s="255"/>
      <c r="Q25" s="255"/>
      <c r="R25" s="255"/>
      <c r="S25" s="255"/>
    </row>
    <row r="26" spans="1:22" x14ac:dyDescent="0.25">
      <c r="B26" s="255"/>
      <c r="C26" s="255"/>
      <c r="D26" s="255"/>
      <c r="E26" s="255"/>
      <c r="F26" s="255"/>
      <c r="G26" s="255"/>
      <c r="H26" s="255"/>
      <c r="I26" s="255"/>
      <c r="J26" s="255"/>
      <c r="K26" s="256"/>
      <c r="L26" s="256"/>
      <c r="M26" s="257"/>
      <c r="N26" s="256"/>
      <c r="O26" s="257"/>
      <c r="P26" s="255"/>
      <c r="Q26" s="255"/>
      <c r="R26" s="255"/>
      <c r="S26" s="255"/>
    </row>
    <row r="32" spans="1:22" s="39" customFormat="1" ht="54.95" customHeight="1" x14ac:dyDescent="0.25">
      <c r="A32" s="46"/>
      <c r="B32" s="47"/>
      <c r="C32" s="46"/>
      <c r="D32" s="48"/>
      <c r="E32" s="46"/>
      <c r="F32" s="49"/>
      <c r="G32" s="48"/>
      <c r="H32" s="48"/>
      <c r="I32" s="48"/>
      <c r="J32" s="48"/>
      <c r="K32" s="50"/>
      <c r="M32" s="35"/>
      <c r="O32" s="35"/>
      <c r="P32" s="36"/>
      <c r="Q32" s="36"/>
      <c r="R32" s="36"/>
      <c r="S32" s="36"/>
      <c r="T32" s="36"/>
      <c r="U32" s="36"/>
      <c r="V32" s="36"/>
    </row>
    <row r="33" spans="1:22" s="39" customFormat="1" x14ac:dyDescent="0.25">
      <c r="A33" s="36"/>
      <c r="B33" s="36"/>
      <c r="C33" s="36"/>
      <c r="D33" s="45">
        <f>ССР!H58</f>
        <v>392033.92</v>
      </c>
      <c r="E33" s="36"/>
      <c r="F33" s="45"/>
      <c r="G33" s="45">
        <f>ССР!H76</f>
        <v>434361.04</v>
      </c>
      <c r="H33" s="45">
        <f>ССР!H78</f>
        <v>456670</v>
      </c>
      <c r="I33" s="36"/>
      <c r="J33" s="45"/>
      <c r="K33" s="35"/>
      <c r="M33" s="35"/>
      <c r="O33" s="35"/>
      <c r="P33" s="36"/>
      <c r="Q33" s="36"/>
      <c r="R33" s="36"/>
      <c r="S33" s="36"/>
      <c r="T33" s="36"/>
      <c r="U33" s="36"/>
      <c r="V33" s="36"/>
    </row>
    <row r="34" spans="1:22" s="39" customFormat="1" x14ac:dyDescent="0.25">
      <c r="A34" s="36"/>
      <c r="B34" s="36"/>
      <c r="C34" s="36"/>
      <c r="D34" s="45">
        <f>D14/1000</f>
        <v>392033.92</v>
      </c>
      <c r="E34" s="36"/>
      <c r="F34" s="51"/>
      <c r="G34" s="52">
        <f>G14/1000</f>
        <v>434361.03</v>
      </c>
      <c r="H34" s="52">
        <f>H14/1000</f>
        <v>456670</v>
      </c>
      <c r="I34" s="36"/>
      <c r="J34" s="45"/>
      <c r="K34" s="50"/>
      <c r="M34" s="35"/>
      <c r="O34" s="35"/>
      <c r="P34" s="36"/>
      <c r="Q34" s="36"/>
      <c r="R34" s="36"/>
      <c r="S34" s="36"/>
      <c r="T34" s="36"/>
      <c r="U34" s="36"/>
      <c r="V34" s="36"/>
    </row>
    <row r="35" spans="1:22" s="39" customFormat="1" x14ac:dyDescent="0.25">
      <c r="A35" s="36"/>
      <c r="B35" s="36"/>
      <c r="C35" s="36"/>
      <c r="D35" s="45"/>
      <c r="E35" s="45"/>
      <c r="F35" s="51"/>
      <c r="G35" s="36"/>
      <c r="H35" s="36"/>
      <c r="I35" s="36"/>
      <c r="J35" s="36"/>
      <c r="M35" s="35"/>
      <c r="O35" s="35"/>
      <c r="P35" s="36"/>
      <c r="Q35" s="36"/>
      <c r="R35" s="36"/>
      <c r="S35" s="36"/>
      <c r="T35" s="36"/>
      <c r="U35" s="36"/>
      <c r="V35" s="36"/>
    </row>
    <row r="55" spans="1:1" x14ac:dyDescent="0.25">
      <c r="A55" s="36">
        <v>7</v>
      </c>
    </row>
  </sheetData>
  <mergeCells count="5">
    <mergeCell ref="C17:V17"/>
    <mergeCell ref="C18:V18"/>
    <mergeCell ref="C19:V19"/>
    <mergeCell ref="C20:V20"/>
    <mergeCell ref="A1:J1"/>
  </mergeCells>
  <pageMargins left="0.23622047244094491" right="0.23622047244094491" top="0.74803149606299213" bottom="0.74803149606299213" header="0.31496062992125984" footer="0.31496062992125984"/>
  <pageSetup paperSize="9" scale="55" fitToHeight="100" orientation="landscape" r:id="rId1"/>
  <rowBreaks count="2" manualBreakCount="2">
    <brk id="15" max="17" man="1"/>
    <brk id="21" max="9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D83D54-98B0-4F83-BAE9-BA5B9D8C2337}">
  <sheetPr>
    <tabColor rgb="FFFFC000"/>
    <pageSetUpPr fitToPage="1"/>
  </sheetPr>
  <dimension ref="A1:AB93"/>
  <sheetViews>
    <sheetView zoomScale="90" zoomScaleNormal="90" zoomScaleSheetLayoutView="80" workbookViewId="0">
      <pane ySplit="3" topLeftCell="A49" activePane="bottomLeft" state="frozen"/>
      <selection pane="bottomLeft" activeCell="U14" sqref="U14"/>
    </sheetView>
  </sheetViews>
  <sheetFormatPr defaultColWidth="9.140625" defaultRowHeight="15.75" outlineLevelCol="1" x14ac:dyDescent="0.25"/>
  <cols>
    <col min="1" max="1" width="7.42578125" style="36" customWidth="1"/>
    <col min="2" max="2" width="16.140625" style="36" customWidth="1"/>
    <col min="3" max="3" width="35.85546875" style="36" customWidth="1"/>
    <col min="4" max="4" width="20.5703125" style="36" hidden="1" customWidth="1" outlineLevel="1"/>
    <col min="5" max="5" width="18.85546875" style="36" hidden="1" customWidth="1" outlineLevel="1"/>
    <col min="6" max="6" width="17.5703125" style="36" hidden="1" customWidth="1" outlineLevel="1"/>
    <col min="7" max="7" width="20.7109375" style="36" hidden="1" customWidth="1" outlineLevel="1"/>
    <col min="8" max="8" width="19.5703125" style="36" hidden="1" customWidth="1" outlineLevel="1"/>
    <col min="9" max="9" width="8.5703125" style="36" hidden="1" customWidth="1" outlineLevel="1"/>
    <col min="10" max="10" width="22.28515625" style="36" customWidth="1" collapsed="1"/>
    <col min="11" max="11" width="20.42578125" style="39" hidden="1" customWidth="1" outlineLevel="1"/>
    <col min="12" max="12" width="16.85546875" style="39" hidden="1" customWidth="1" outlineLevel="1"/>
    <col min="13" max="13" width="18.140625" style="35" hidden="1" customWidth="1" outlineLevel="1"/>
    <col min="14" max="14" width="16.85546875" style="39" hidden="1" customWidth="1" outlineLevel="1"/>
    <col min="15" max="15" width="18.140625" style="35" hidden="1" customWidth="1" outlineLevel="1"/>
    <col min="16" max="16" width="18.42578125" style="36" customWidth="1" collapsed="1"/>
    <col min="17" max="17" width="15.42578125" style="36" bestFit="1" customWidth="1"/>
    <col min="18" max="18" width="30.28515625" style="36" customWidth="1"/>
    <col min="19" max="19" width="30.42578125" style="36" customWidth="1"/>
    <col min="20" max="20" width="26.140625" style="36" customWidth="1"/>
    <col min="21" max="21" width="26.7109375" style="36" bestFit="1" customWidth="1"/>
    <col min="22" max="22" width="31.42578125" style="36" customWidth="1"/>
    <col min="23" max="23" width="3.28515625" style="176" hidden="1" customWidth="1"/>
    <col min="24" max="24" width="27.5703125" style="36" hidden="1" customWidth="1"/>
    <col min="25" max="26" width="19" style="36" hidden="1" customWidth="1"/>
    <col min="27" max="27" width="29.28515625" style="406" bestFit="1" customWidth="1"/>
    <col min="28" max="28" width="15" style="36" customWidth="1"/>
    <col min="29" max="16384" width="9.140625" style="36"/>
  </cols>
  <sheetData>
    <row r="1" spans="1:28" ht="8.25" customHeight="1" x14ac:dyDescent="0.25">
      <c r="A1" s="1189"/>
      <c r="B1" s="1189"/>
      <c r="C1" s="1189"/>
      <c r="D1" s="1189"/>
      <c r="E1" s="1189"/>
      <c r="F1" s="1189"/>
      <c r="G1" s="1189"/>
      <c r="H1" s="1189"/>
      <c r="I1" s="1189"/>
      <c r="J1" s="1189"/>
      <c r="K1" s="358"/>
      <c r="L1" s="358"/>
      <c r="N1" s="358"/>
    </row>
    <row r="2" spans="1:28" ht="5.25" customHeight="1" thickBot="1" x14ac:dyDescent="0.3">
      <c r="A2" s="37"/>
      <c r="B2" s="37"/>
      <c r="C2" s="37"/>
      <c r="D2" s="37"/>
      <c r="E2" s="37"/>
      <c r="F2" s="37"/>
      <c r="G2" s="37"/>
      <c r="H2" s="37"/>
      <c r="I2" s="38"/>
      <c r="J2" s="37"/>
    </row>
    <row r="3" spans="1:28" ht="47.25" customHeight="1" x14ac:dyDescent="0.25">
      <c r="A3" s="1190" t="s">
        <v>111</v>
      </c>
      <c r="B3" s="1192" t="s">
        <v>112</v>
      </c>
      <c r="C3" s="1192" t="s">
        <v>113</v>
      </c>
      <c r="D3" s="359" t="s">
        <v>114</v>
      </c>
      <c r="E3" s="359" t="s">
        <v>115</v>
      </c>
      <c r="F3" s="359" t="s">
        <v>116</v>
      </c>
      <c r="G3" s="1192" t="s">
        <v>117</v>
      </c>
      <c r="H3" s="1194" t="s">
        <v>125</v>
      </c>
      <c r="I3" s="1192" t="s">
        <v>118</v>
      </c>
      <c r="J3" s="1194" t="s">
        <v>244</v>
      </c>
      <c r="K3" s="74" t="s">
        <v>126</v>
      </c>
      <c r="L3" s="74" t="s">
        <v>127</v>
      </c>
      <c r="M3" s="75" t="s">
        <v>128</v>
      </c>
      <c r="N3" s="76" t="s">
        <v>134</v>
      </c>
      <c r="O3" s="77" t="s">
        <v>135</v>
      </c>
      <c r="P3" s="78" t="s">
        <v>136</v>
      </c>
      <c r="Q3" s="78" t="s">
        <v>121</v>
      </c>
      <c r="R3" s="79" t="s">
        <v>137</v>
      </c>
      <c r="S3" s="79" t="s">
        <v>138</v>
      </c>
      <c r="T3" s="80" t="s">
        <v>249</v>
      </c>
      <c r="U3" s="80" t="s">
        <v>276</v>
      </c>
      <c r="V3" s="80" t="s">
        <v>242</v>
      </c>
      <c r="X3" s="79" t="s">
        <v>193</v>
      </c>
      <c r="Y3" s="80" t="s">
        <v>157</v>
      </c>
      <c r="Z3" s="80" t="s">
        <v>137</v>
      </c>
    </row>
    <row r="4" spans="1:28" ht="14.25" customHeight="1" x14ac:dyDescent="0.25">
      <c r="A4" s="1191"/>
      <c r="B4" s="1193"/>
      <c r="C4" s="1193"/>
      <c r="D4" s="360"/>
      <c r="E4" s="360"/>
      <c r="F4" s="360"/>
      <c r="G4" s="1193"/>
      <c r="H4" s="1195"/>
      <c r="I4" s="1193"/>
      <c r="J4" s="1195"/>
      <c r="K4" s="54" t="s">
        <v>122</v>
      </c>
      <c r="L4" s="54" t="s">
        <v>123</v>
      </c>
      <c r="M4" s="54" t="s">
        <v>124</v>
      </c>
      <c r="N4" s="54" t="s">
        <v>132</v>
      </c>
      <c r="O4" s="54" t="s">
        <v>133</v>
      </c>
      <c r="P4" s="40"/>
      <c r="Q4" s="40"/>
      <c r="R4" s="65"/>
      <c r="S4" s="65"/>
      <c r="T4" s="81"/>
      <c r="U4" s="81"/>
      <c r="V4" s="81"/>
      <c r="X4" s="65"/>
      <c r="Y4" s="81"/>
      <c r="Z4" s="81"/>
    </row>
    <row r="5" spans="1:28" x14ac:dyDescent="0.25">
      <c r="A5" s="380"/>
      <c r="B5" s="381"/>
      <c r="C5" s="381"/>
      <c r="D5" s="381"/>
      <c r="E5" s="381"/>
      <c r="F5" s="381"/>
      <c r="G5" s="381"/>
      <c r="H5" s="382"/>
      <c r="I5" s="381"/>
      <c r="J5" s="382"/>
      <c r="K5" s="383"/>
      <c r="L5" s="383"/>
      <c r="M5" s="383"/>
      <c r="N5" s="383"/>
      <c r="O5" s="383"/>
      <c r="P5" s="383"/>
      <c r="Q5" s="383"/>
      <c r="R5" s="383"/>
      <c r="S5" s="383"/>
      <c r="T5" s="1196" t="s">
        <v>283</v>
      </c>
      <c r="U5" s="1197"/>
      <c r="V5" s="384"/>
      <c r="X5" s="65"/>
      <c r="Y5" s="81"/>
      <c r="Z5" s="81"/>
    </row>
    <row r="6" spans="1:28" ht="54" customHeight="1" x14ac:dyDescent="0.25">
      <c r="A6" s="273">
        <v>1</v>
      </c>
      <c r="B6" s="361" t="s">
        <v>159</v>
      </c>
      <c r="C6" s="275" t="str">
        <f>ССР!C24</f>
        <v>Выполнение работ по ликвидации объектов по трассе ж.д. путей, подготовке трассы ж.д. путей.</v>
      </c>
      <c r="D6" s="385">
        <v>48841208.740000002</v>
      </c>
      <c r="E6" s="385">
        <v>4004979.12</v>
      </c>
      <c r="F6" s="385">
        <v>1268308.51</v>
      </c>
      <c r="G6" s="385">
        <v>54114496.369999997</v>
      </c>
      <c r="H6" s="385">
        <v>56893839.630000003</v>
      </c>
      <c r="I6" s="277">
        <v>1.2</v>
      </c>
      <c r="J6" s="278">
        <f>ROUND(H6*I6,2)</f>
        <v>68272607.560000002</v>
      </c>
      <c r="K6" s="365">
        <v>65507253.219999999</v>
      </c>
      <c r="L6" s="365">
        <v>360012.73</v>
      </c>
      <c r="M6" s="365"/>
      <c r="N6" s="365"/>
      <c r="O6" s="365"/>
      <c r="P6" s="365">
        <f>K6+L6+M6+N6+O6</f>
        <v>65867265.950000003</v>
      </c>
      <c r="Q6" s="365">
        <f>J6-K6-L6-M6-N6-O6</f>
        <v>2405341.61</v>
      </c>
      <c r="R6" s="365" t="s">
        <v>139</v>
      </c>
      <c r="S6" s="362" t="s">
        <v>158</v>
      </c>
      <c r="T6" s="363">
        <f>P6</f>
        <v>65867265.950000003</v>
      </c>
      <c r="U6" s="363">
        <v>0</v>
      </c>
      <c r="V6" s="364">
        <f t="shared" ref="V6:V11" si="0">T6+U6</f>
        <v>65867265.950000003</v>
      </c>
      <c r="W6" s="177"/>
      <c r="X6" s="111"/>
      <c r="Y6" s="84"/>
      <c r="Z6" s="208"/>
    </row>
    <row r="7" spans="1:28" ht="42.75" customHeight="1" x14ac:dyDescent="0.25">
      <c r="A7" s="273">
        <v>2</v>
      </c>
      <c r="B7" s="361" t="s">
        <v>160</v>
      </c>
      <c r="C7" s="275" t="str">
        <f>ССР!C25</f>
        <v>Выполнение работ по ликвидации объекта капитального строительства</v>
      </c>
      <c r="D7" s="385">
        <v>40054718.460000001</v>
      </c>
      <c r="E7" s="385">
        <v>3284486.91</v>
      </c>
      <c r="F7" s="385">
        <v>1040140.93</v>
      </c>
      <c r="G7" s="385">
        <v>44379346.299999997</v>
      </c>
      <c r="H7" s="385">
        <v>46658688.170000002</v>
      </c>
      <c r="I7" s="277">
        <v>1.2</v>
      </c>
      <c r="J7" s="278">
        <f t="shared" ref="J7:J29" si="1">ROUND(H7*I7,2)</f>
        <v>55990425.799999997</v>
      </c>
      <c r="K7" s="365">
        <v>54911594.170000002</v>
      </c>
      <c r="L7" s="365"/>
      <c r="M7" s="365"/>
      <c r="N7" s="365"/>
      <c r="O7" s="365"/>
      <c r="P7" s="365">
        <f t="shared" ref="P7:P29" si="2">K7+L7+M7+N7+O7</f>
        <v>54911594.170000002</v>
      </c>
      <c r="Q7" s="365">
        <f t="shared" ref="Q7:Q29" si="3">J7-K7-L7-M7-N7-O7</f>
        <v>1078831.6299999999</v>
      </c>
      <c r="R7" s="365" t="s">
        <v>139</v>
      </c>
      <c r="S7" s="362" t="s">
        <v>158</v>
      </c>
      <c r="T7" s="363">
        <f t="shared" ref="T7:T29" si="4">P7</f>
        <v>54911594.170000002</v>
      </c>
      <c r="U7" s="363">
        <v>0</v>
      </c>
      <c r="V7" s="364">
        <f t="shared" si="0"/>
        <v>54911594.170000002</v>
      </c>
      <c r="X7" s="111"/>
      <c r="Y7" s="84"/>
      <c r="Z7" s="208"/>
    </row>
    <row r="8" spans="1:28" ht="35.1" customHeight="1" x14ac:dyDescent="0.25">
      <c r="A8" s="273">
        <v>3</v>
      </c>
      <c r="B8" s="361" t="s">
        <v>176</v>
      </c>
      <c r="C8" s="275" t="str">
        <f>ССР!C26</f>
        <v>Демонтаж сетей и систем  инженерного обоспечения.</v>
      </c>
      <c r="D8" s="385">
        <v>1177977.71</v>
      </c>
      <c r="E8" s="385">
        <v>96594.17</v>
      </c>
      <c r="F8" s="385">
        <v>30589.73</v>
      </c>
      <c r="G8" s="385">
        <v>1305161.6100000001</v>
      </c>
      <c r="H8" s="385">
        <v>1372195.26</v>
      </c>
      <c r="I8" s="277">
        <f>I6</f>
        <v>1.2</v>
      </c>
      <c r="J8" s="278">
        <f>ROUND(H8*I8,2)</f>
        <v>1646634.31</v>
      </c>
      <c r="K8" s="365"/>
      <c r="L8" s="365"/>
      <c r="M8" s="365">
        <v>1646696.3</v>
      </c>
      <c r="N8" s="365"/>
      <c r="O8" s="365"/>
      <c r="P8" s="365">
        <f t="shared" si="2"/>
        <v>1646696.3</v>
      </c>
      <c r="Q8" s="365">
        <v>0</v>
      </c>
      <c r="R8" s="365" t="s">
        <v>139</v>
      </c>
      <c r="S8" s="362" t="s">
        <v>158</v>
      </c>
      <c r="T8" s="363">
        <f t="shared" si="4"/>
        <v>1646696.3</v>
      </c>
      <c r="U8" s="363">
        <v>0</v>
      </c>
      <c r="V8" s="364">
        <f t="shared" si="0"/>
        <v>1646696.3</v>
      </c>
      <c r="X8" s="111"/>
      <c r="Y8" s="84"/>
      <c r="Z8" s="208"/>
    </row>
    <row r="9" spans="1:28" s="525" customFormat="1" ht="44.25" customHeight="1" x14ac:dyDescent="0.25">
      <c r="A9" s="217">
        <v>4</v>
      </c>
      <c r="B9" s="245" t="s">
        <v>177</v>
      </c>
      <c r="C9" s="219" t="str">
        <f>ССР!C32</f>
        <v>Трансбордер. Архитектурно-строительные решения. Часть 2. АС2 .</v>
      </c>
      <c r="D9" s="220">
        <v>1615223.87</v>
      </c>
      <c r="E9" s="220">
        <v>132448.35999999999</v>
      </c>
      <c r="F9" s="220">
        <v>41944.13</v>
      </c>
      <c r="G9" s="220">
        <v>1789616.36</v>
      </c>
      <c r="H9" s="220">
        <v>1881531.81</v>
      </c>
      <c r="I9" s="221">
        <f>I22</f>
        <v>1.2</v>
      </c>
      <c r="J9" s="222">
        <f t="shared" si="1"/>
        <v>2257838.17</v>
      </c>
      <c r="K9" s="246"/>
      <c r="L9" s="246"/>
      <c r="M9" s="246">
        <v>1627347.05</v>
      </c>
      <c r="N9" s="246"/>
      <c r="O9" s="246"/>
      <c r="P9" s="246">
        <f>K9+L9+M9+N9+O9</f>
        <v>1627347.05</v>
      </c>
      <c r="Q9" s="246">
        <f t="shared" si="3"/>
        <v>630491.12</v>
      </c>
      <c r="R9" s="539" t="s">
        <v>139</v>
      </c>
      <c r="S9" s="461" t="s">
        <v>274</v>
      </c>
      <c r="T9" s="247">
        <f t="shared" si="4"/>
        <v>1627347.05</v>
      </c>
      <c r="U9" s="590">
        <v>400933.67</v>
      </c>
      <c r="V9" s="248">
        <f t="shared" si="0"/>
        <v>2028280.72</v>
      </c>
      <c r="W9" s="231"/>
      <c r="X9" s="229" t="s">
        <v>139</v>
      </c>
      <c r="Y9" s="523">
        <f>1447989.61*1.082*1.024*1.0514*1.2</f>
        <v>2024146.22</v>
      </c>
      <c r="Z9" s="524" t="s">
        <v>186</v>
      </c>
      <c r="AA9" s="406" t="s">
        <v>263</v>
      </c>
      <c r="AB9" s="526">
        <f t="shared" ref="AB9:AB18" si="5">V9-J9</f>
        <v>-229557.45</v>
      </c>
    </row>
    <row r="10" spans="1:28" ht="42.75" customHeight="1" x14ac:dyDescent="0.25">
      <c r="A10" s="217">
        <v>5</v>
      </c>
      <c r="B10" s="245" t="s">
        <v>195</v>
      </c>
      <c r="C10" s="219" t="str">
        <f>ССР!C35</f>
        <v>Электроснабжение. ЭС 1.</v>
      </c>
      <c r="D10" s="220">
        <v>475031.03999999998</v>
      </c>
      <c r="E10" s="220">
        <v>38952.550000000003</v>
      </c>
      <c r="F10" s="220">
        <v>12335.61</v>
      </c>
      <c r="G10" s="220">
        <v>526319.19999999995</v>
      </c>
      <c r="H10" s="220">
        <v>553351.18000000005</v>
      </c>
      <c r="I10" s="221">
        <f>I23</f>
        <v>1.2</v>
      </c>
      <c r="J10" s="222">
        <f t="shared" si="1"/>
        <v>664021.42000000004</v>
      </c>
      <c r="K10" s="246"/>
      <c r="L10" s="246"/>
      <c r="M10" s="246"/>
      <c r="N10" s="246"/>
      <c r="O10" s="246"/>
      <c r="P10" s="246">
        <f t="shared" si="2"/>
        <v>0</v>
      </c>
      <c r="Q10" s="246">
        <f t="shared" si="3"/>
        <v>664021.42000000004</v>
      </c>
      <c r="R10" s="539" t="s">
        <v>139</v>
      </c>
      <c r="S10" s="461" t="str">
        <f>S9</f>
        <v xml:space="preserve"> ждем 1,1, затем ВОР подписываем и отправляем сметы на проверку</v>
      </c>
      <c r="T10" s="247">
        <f t="shared" si="4"/>
        <v>0</v>
      </c>
      <c r="U10" s="247">
        <f>388699.4+79299.42</f>
        <v>467998.82</v>
      </c>
      <c r="V10" s="248">
        <f t="shared" si="0"/>
        <v>467998.82</v>
      </c>
      <c r="W10" s="236"/>
      <c r="X10" s="228" t="s">
        <v>139</v>
      </c>
      <c r="Y10" s="232">
        <f>(235378.05+47139.18)*1.082*1.024*1.0514*1.2</f>
        <v>394931.14</v>
      </c>
      <c r="Z10" s="233" t="s">
        <v>186</v>
      </c>
      <c r="AA10" s="406" t="s">
        <v>263</v>
      </c>
      <c r="AB10" s="526">
        <f t="shared" si="5"/>
        <v>-196022.6</v>
      </c>
    </row>
    <row r="11" spans="1:28" ht="51" customHeight="1" x14ac:dyDescent="0.25">
      <c r="A11" s="217">
        <v>6</v>
      </c>
      <c r="B11" s="245" t="s">
        <v>178</v>
      </c>
      <c r="C11" s="219" t="str">
        <f>ССР!C36</f>
        <v>Переустройство кабельных линий.ЭС2</v>
      </c>
      <c r="D11" s="220">
        <v>2276671.21</v>
      </c>
      <c r="E11" s="220">
        <v>186687.04</v>
      </c>
      <c r="F11" s="220">
        <v>59120.6</v>
      </c>
      <c r="G11" s="220">
        <v>2522478.85</v>
      </c>
      <c r="H11" s="220">
        <v>2652034.42</v>
      </c>
      <c r="I11" s="221">
        <f>I23</f>
        <v>1.2</v>
      </c>
      <c r="J11" s="222">
        <f t="shared" si="1"/>
        <v>3182441.3</v>
      </c>
      <c r="K11" s="246"/>
      <c r="L11" s="246"/>
      <c r="M11" s="246"/>
      <c r="N11" s="246"/>
      <c r="O11" s="246"/>
      <c r="P11" s="246">
        <f t="shared" si="2"/>
        <v>0</v>
      </c>
      <c r="Q11" s="246">
        <f t="shared" si="3"/>
        <v>3182441.3</v>
      </c>
      <c r="R11" s="539" t="s">
        <v>139</v>
      </c>
      <c r="S11" s="461" t="str">
        <f>S9</f>
        <v xml:space="preserve"> ждем 1,1, затем ВОР подписываем и отправляем сметы на проверку</v>
      </c>
      <c r="T11" s="247">
        <f t="shared" si="4"/>
        <v>0</v>
      </c>
      <c r="U11" s="247">
        <f>4830233+244506.56</f>
        <v>5074739.5599999996</v>
      </c>
      <c r="V11" s="248">
        <f t="shared" si="0"/>
        <v>5074739.5599999996</v>
      </c>
      <c r="W11" s="178"/>
      <c r="X11" s="111" t="s">
        <v>139</v>
      </c>
      <c r="Y11" s="84">
        <f>(3206824.35+130942.19)*1.082*1.024*1.0514*1.2</f>
        <v>4665867.41</v>
      </c>
      <c r="Z11" s="233" t="s">
        <v>186</v>
      </c>
      <c r="AA11" s="406" t="s">
        <v>263</v>
      </c>
      <c r="AB11" s="526">
        <f t="shared" si="5"/>
        <v>1892298.26</v>
      </c>
    </row>
    <row r="12" spans="1:28" ht="39.75" customHeight="1" x14ac:dyDescent="0.25">
      <c r="A12" s="217">
        <v>7</v>
      </c>
      <c r="B12" s="245" t="s">
        <v>179</v>
      </c>
      <c r="C12" s="219" t="str">
        <f>ССР!C40</f>
        <v>Переустройство хозпитьевого водопровода.НВК2</v>
      </c>
      <c r="D12" s="220">
        <v>760016.55</v>
      </c>
      <c r="E12" s="220">
        <v>62321.36</v>
      </c>
      <c r="F12" s="220">
        <v>19736.11</v>
      </c>
      <c r="G12" s="220">
        <v>842074.02</v>
      </c>
      <c r="H12" s="220">
        <v>885323.3</v>
      </c>
      <c r="I12" s="221">
        <f>I24</f>
        <v>1.2</v>
      </c>
      <c r="J12" s="222">
        <f t="shared" si="1"/>
        <v>1062387.96</v>
      </c>
      <c r="K12" s="246"/>
      <c r="L12" s="246"/>
      <c r="M12" s="246"/>
      <c r="N12" s="246"/>
      <c r="O12" s="246"/>
      <c r="P12" s="246">
        <f t="shared" si="2"/>
        <v>0</v>
      </c>
      <c r="Q12" s="246">
        <f t="shared" si="3"/>
        <v>1062387.96</v>
      </c>
      <c r="R12" s="246" t="s">
        <v>139</v>
      </c>
      <c r="S12" s="461" t="str">
        <f>S9</f>
        <v xml:space="preserve"> ждем 1,1, затем ВОР подписываем и отправляем сметы на проверку</v>
      </c>
      <c r="T12" s="247">
        <f t="shared" si="4"/>
        <v>0</v>
      </c>
      <c r="U12" s="590">
        <v>1565587.54</v>
      </c>
      <c r="V12" s="248">
        <f t="shared" ref="V12:V18" si="6">T12+U12</f>
        <v>1565587.54</v>
      </c>
      <c r="W12" s="231"/>
      <c r="X12" s="228" t="s">
        <v>139</v>
      </c>
      <c r="Y12" s="232">
        <f>1047143.73*1.082*1.024*1.0514*1.2</f>
        <v>1463803.34</v>
      </c>
      <c r="Z12" s="233" t="s">
        <v>186</v>
      </c>
      <c r="AA12" s="406" t="s">
        <v>263</v>
      </c>
      <c r="AB12" s="526">
        <f t="shared" si="5"/>
        <v>503199.58</v>
      </c>
    </row>
    <row r="13" spans="1:28" ht="43.5" customHeight="1" x14ac:dyDescent="0.25">
      <c r="A13" s="217">
        <v>8</v>
      </c>
      <c r="B13" s="245" t="s">
        <v>180</v>
      </c>
      <c r="C13" s="219" t="str">
        <f>ССР!C41</f>
        <v>Переустройство хозпитьевого водопровода.НВК3</v>
      </c>
      <c r="D13" s="220">
        <v>10454161.890000001</v>
      </c>
      <c r="E13" s="220">
        <v>857241.27</v>
      </c>
      <c r="F13" s="220">
        <v>271473.68</v>
      </c>
      <c r="G13" s="220">
        <v>11582876.84</v>
      </c>
      <c r="H13" s="220">
        <v>12177778.26</v>
      </c>
      <c r="I13" s="221">
        <f t="shared" ref="I13:I18" si="7">I6</f>
        <v>1.2</v>
      </c>
      <c r="J13" s="222">
        <f t="shared" si="1"/>
        <v>14613333.91</v>
      </c>
      <c r="K13" s="246"/>
      <c r="L13" s="246"/>
      <c r="M13" s="246"/>
      <c r="N13" s="246"/>
      <c r="O13" s="246"/>
      <c r="P13" s="246">
        <f t="shared" si="2"/>
        <v>0</v>
      </c>
      <c r="Q13" s="246">
        <f t="shared" si="3"/>
        <v>14613333.91</v>
      </c>
      <c r="R13" s="246" t="s">
        <v>139</v>
      </c>
      <c r="S13" s="461" t="str">
        <f>S9</f>
        <v xml:space="preserve"> ждем 1,1, затем ВОР подписываем и отправляем сметы на проверку</v>
      </c>
      <c r="T13" s="247">
        <f t="shared" si="4"/>
        <v>0</v>
      </c>
      <c r="U13" s="590">
        <v>19890772.960000001</v>
      </c>
      <c r="V13" s="248">
        <f t="shared" si="6"/>
        <v>19890772.960000001</v>
      </c>
      <c r="W13" s="231"/>
      <c r="X13" s="228" t="s">
        <v>139</v>
      </c>
      <c r="Y13" s="232">
        <f>13422525.94*1.082*1.024*1.0514*1.2</f>
        <v>18763363.32</v>
      </c>
      <c r="Z13" s="233" t="s">
        <v>186</v>
      </c>
      <c r="AA13" s="406" t="s">
        <v>263</v>
      </c>
      <c r="AB13" s="526">
        <f t="shared" si="5"/>
        <v>5277439.05</v>
      </c>
    </row>
    <row r="14" spans="1:28" s="525" customFormat="1" ht="47.25" customHeight="1" x14ac:dyDescent="0.25">
      <c r="A14" s="217">
        <v>9</v>
      </c>
      <c r="B14" s="245" t="s">
        <v>181</v>
      </c>
      <c r="C14" s="219" t="str">
        <f>ССР!C43</f>
        <v>Переустройство хозяйственно-бытовой канализации.НВК4</v>
      </c>
      <c r="D14" s="220">
        <v>9143309.8300000001</v>
      </c>
      <c r="E14" s="220">
        <v>749751.41</v>
      </c>
      <c r="F14" s="220">
        <v>237433.47</v>
      </c>
      <c r="G14" s="220">
        <v>10130494.710000001</v>
      </c>
      <c r="H14" s="220">
        <v>10650801.17</v>
      </c>
      <c r="I14" s="221">
        <f t="shared" si="7"/>
        <v>1.2</v>
      </c>
      <c r="J14" s="222">
        <f t="shared" si="1"/>
        <v>12780961.4</v>
      </c>
      <c r="K14" s="246"/>
      <c r="L14" s="246"/>
      <c r="M14" s="246"/>
      <c r="N14" s="246"/>
      <c r="O14" s="246">
        <v>337909.86</v>
      </c>
      <c r="P14" s="246">
        <f t="shared" si="2"/>
        <v>337909.86</v>
      </c>
      <c r="Q14" s="246">
        <f t="shared" si="3"/>
        <v>12443051.539999999</v>
      </c>
      <c r="R14" s="246" t="s">
        <v>139</v>
      </c>
      <c r="S14" s="461" t="str">
        <f>S9</f>
        <v xml:space="preserve"> ждем 1,1, затем ВОР подписываем и отправляем сметы на проверку</v>
      </c>
      <c r="T14" s="247">
        <f t="shared" si="4"/>
        <v>337909.86</v>
      </c>
      <c r="U14" s="590">
        <v>2229020.44</v>
      </c>
      <c r="V14" s="248">
        <f t="shared" si="6"/>
        <v>2566930.2999999998</v>
      </c>
      <c r="W14" s="178"/>
      <c r="X14" s="175" t="s">
        <v>139</v>
      </c>
      <c r="Y14" s="174">
        <f>1724717.19*1.082*1.024*1.0514*1.2</f>
        <v>2410984</v>
      </c>
      <c r="Z14" s="524" t="s">
        <v>186</v>
      </c>
      <c r="AA14" s="406" t="s">
        <v>263</v>
      </c>
      <c r="AB14" s="526">
        <f t="shared" si="5"/>
        <v>-10214031.1</v>
      </c>
    </row>
    <row r="15" spans="1:28" s="525" customFormat="1" ht="44.25" customHeight="1" x14ac:dyDescent="0.25">
      <c r="A15" s="217">
        <v>10</v>
      </c>
      <c r="B15" s="245" t="s">
        <v>182</v>
      </c>
      <c r="C15" s="219" t="str">
        <f>ССР!C44</f>
        <v>Переустройство ливневой канализации.НВК5.</v>
      </c>
      <c r="D15" s="220">
        <v>21996729.18</v>
      </c>
      <c r="E15" s="220">
        <v>1803731.79</v>
      </c>
      <c r="F15" s="220">
        <v>571211.06000000006</v>
      </c>
      <c r="G15" s="220">
        <v>24371672.030000001</v>
      </c>
      <c r="H15" s="220">
        <v>25623411.34</v>
      </c>
      <c r="I15" s="221">
        <f t="shared" si="7"/>
        <v>1.2</v>
      </c>
      <c r="J15" s="222">
        <f t="shared" si="1"/>
        <v>30748093.609999999</v>
      </c>
      <c r="K15" s="246"/>
      <c r="L15" s="246"/>
      <c r="M15" s="246">
        <v>1211400.79</v>
      </c>
      <c r="N15" s="246"/>
      <c r="O15" s="246"/>
      <c r="P15" s="246">
        <f t="shared" si="2"/>
        <v>1211400.79</v>
      </c>
      <c r="Q15" s="246">
        <f t="shared" si="3"/>
        <v>29536692.82</v>
      </c>
      <c r="R15" s="539" t="s">
        <v>139</v>
      </c>
      <c r="S15" s="461" t="str">
        <f>S9</f>
        <v xml:space="preserve"> ждем 1,1, затем ВОР подписываем и отправляем сметы на проверку</v>
      </c>
      <c r="T15" s="247">
        <f t="shared" si="4"/>
        <v>1211400.79</v>
      </c>
      <c r="U15" s="247">
        <v>3328756.46</v>
      </c>
      <c r="V15" s="248">
        <f t="shared" si="6"/>
        <v>4540157.25</v>
      </c>
      <c r="W15" s="178"/>
      <c r="X15" s="175" t="s">
        <v>139</v>
      </c>
      <c r="Y15" s="174">
        <f>2827828.36*1.082*1.024*1.0514*1.2</f>
        <v>3953024.28</v>
      </c>
      <c r="Z15" s="524" t="s">
        <v>186</v>
      </c>
      <c r="AA15" s="406" t="s">
        <v>263</v>
      </c>
      <c r="AB15" s="526">
        <f t="shared" si="5"/>
        <v>-26207936.359999999</v>
      </c>
    </row>
    <row r="16" spans="1:28" ht="40.5" customHeight="1" x14ac:dyDescent="0.25">
      <c r="A16" s="217">
        <v>11</v>
      </c>
      <c r="B16" s="245" t="s">
        <v>183</v>
      </c>
      <c r="C16" s="219" t="str">
        <f>ССР!C49</f>
        <v>Теплоснабжение. Переустройство трубопровода.ТС2</v>
      </c>
      <c r="D16" s="220">
        <v>1890203.39</v>
      </c>
      <c r="E16" s="220">
        <v>154996.68</v>
      </c>
      <c r="F16" s="220">
        <v>49084.800000000003</v>
      </c>
      <c r="G16" s="220">
        <v>2094284.87</v>
      </c>
      <c r="H16" s="220">
        <v>2201848.2200000002</v>
      </c>
      <c r="I16" s="221">
        <f t="shared" si="7"/>
        <v>1.2</v>
      </c>
      <c r="J16" s="222">
        <f>ROUND(H16*I16,2)</f>
        <v>2642217.86</v>
      </c>
      <c r="K16" s="246"/>
      <c r="L16" s="246"/>
      <c r="M16" s="246"/>
      <c r="N16" s="246"/>
      <c r="O16" s="246"/>
      <c r="P16" s="246">
        <f>K16+L16+M16+N16+O16</f>
        <v>0</v>
      </c>
      <c r="Q16" s="246">
        <f>J16-K16-L16-M16-N16-O16</f>
        <v>2642217.86</v>
      </c>
      <c r="R16" s="246" t="s">
        <v>139</v>
      </c>
      <c r="S16" s="461" t="str">
        <f>S9</f>
        <v xml:space="preserve"> ждем 1,1, затем ВОР подписываем и отправляем сметы на проверку</v>
      </c>
      <c r="T16" s="247">
        <f>P16</f>
        <v>0</v>
      </c>
      <c r="U16" s="247">
        <v>2515253.7999999998</v>
      </c>
      <c r="V16" s="248">
        <f t="shared" si="6"/>
        <v>2515253.7999999998</v>
      </c>
      <c r="W16" s="178"/>
      <c r="X16" s="111" t="s">
        <v>139</v>
      </c>
      <c r="Y16" s="84">
        <f>1675854.44*1.082*1.024*1.0514*1.2</f>
        <v>2342678.71</v>
      </c>
      <c r="Z16" s="233" t="s">
        <v>186</v>
      </c>
      <c r="AA16" s="406" t="s">
        <v>263</v>
      </c>
      <c r="AB16" s="526">
        <f t="shared" si="5"/>
        <v>-126964.06</v>
      </c>
    </row>
    <row r="17" spans="1:28" ht="42" customHeight="1" x14ac:dyDescent="0.25">
      <c r="A17" s="217">
        <v>12</v>
      </c>
      <c r="B17" s="245" t="s">
        <v>184</v>
      </c>
      <c r="C17" s="219" t="str">
        <f>ССР!C50</f>
        <v>Теплоснабжение. Переустройство трубопровода.ТС3</v>
      </c>
      <c r="D17" s="220">
        <v>4003449.34</v>
      </c>
      <c r="E17" s="220">
        <v>328282.84999999998</v>
      </c>
      <c r="F17" s="220">
        <v>103961.57</v>
      </c>
      <c r="G17" s="220">
        <v>4435693.76</v>
      </c>
      <c r="H17" s="220">
        <v>4663512.8499999996</v>
      </c>
      <c r="I17" s="221">
        <f t="shared" si="7"/>
        <v>1.2</v>
      </c>
      <c r="J17" s="222">
        <f>ROUND(H17*I17,2)</f>
        <v>5596215.4199999999</v>
      </c>
      <c r="K17" s="246"/>
      <c r="L17" s="246"/>
      <c r="M17" s="246"/>
      <c r="N17" s="246"/>
      <c r="O17" s="246"/>
      <c r="P17" s="246">
        <f>K17+L17+M17+N17+O17</f>
        <v>0</v>
      </c>
      <c r="Q17" s="246">
        <f>J17-K17-L17-M17-N17-O17</f>
        <v>5596215.4199999999</v>
      </c>
      <c r="R17" s="246" t="s">
        <v>139</v>
      </c>
      <c r="S17" s="461" t="str">
        <f>S9</f>
        <v xml:space="preserve"> ждем 1,1, затем ВОР подписываем и отправляем сметы на проверку</v>
      </c>
      <c r="T17" s="247">
        <f>P17</f>
        <v>0</v>
      </c>
      <c r="U17" s="247">
        <v>4789058</v>
      </c>
      <c r="V17" s="248">
        <f t="shared" si="6"/>
        <v>4789058</v>
      </c>
      <c r="W17" s="178"/>
      <c r="X17" s="111" t="s">
        <v>139</v>
      </c>
      <c r="Y17" s="84">
        <f>2820165.03*1.082*1.024*1.0514*1.2</f>
        <v>3942311.7</v>
      </c>
      <c r="Z17" s="233" t="s">
        <v>186</v>
      </c>
      <c r="AA17" s="406" t="s">
        <v>257</v>
      </c>
      <c r="AB17" s="526">
        <f t="shared" si="5"/>
        <v>-807157.42</v>
      </c>
    </row>
    <row r="18" spans="1:28" ht="39.75" customHeight="1" x14ac:dyDescent="0.25">
      <c r="A18" s="217">
        <v>13</v>
      </c>
      <c r="B18" s="245" t="s">
        <v>66</v>
      </c>
      <c r="C18" s="219" t="str">
        <f>ССР!C52</f>
        <v>Наружные газопроводы. Вынос газопровода среднего давления.</v>
      </c>
      <c r="D18" s="220">
        <v>8291915.46</v>
      </c>
      <c r="E18" s="220">
        <v>679937.07</v>
      </c>
      <c r="F18" s="220">
        <v>215324.46</v>
      </c>
      <c r="G18" s="220">
        <v>9187176.9900000002</v>
      </c>
      <c r="H18" s="220">
        <v>9659034.2599999998</v>
      </c>
      <c r="I18" s="221">
        <f t="shared" si="7"/>
        <v>1.2</v>
      </c>
      <c r="J18" s="222">
        <f>ROUND(H18*I18,2)</f>
        <v>11590841.109999999</v>
      </c>
      <c r="K18" s="459"/>
      <c r="L18" s="459"/>
      <c r="M18" s="459"/>
      <c r="N18" s="459"/>
      <c r="O18" s="459"/>
      <c r="P18" s="246">
        <f>K18+L18+M18+N18+O18</f>
        <v>0</v>
      </c>
      <c r="Q18" s="246">
        <f>J18-K18-L18-M18-N18-O18</f>
        <v>11590841.109999999</v>
      </c>
      <c r="R18" s="540" t="s">
        <v>139</v>
      </c>
      <c r="S18" s="461" t="str">
        <f>S9</f>
        <v xml:space="preserve"> ждем 1,1, затем ВОР подписываем и отправляем сметы на проверку</v>
      </c>
      <c r="T18" s="247">
        <f>P18</f>
        <v>0</v>
      </c>
      <c r="U18" s="590">
        <v>6408229.1799999997</v>
      </c>
      <c r="V18" s="248">
        <f t="shared" si="6"/>
        <v>6408229.1799999997</v>
      </c>
      <c r="W18" s="188"/>
      <c r="X18" s="111"/>
      <c r="Y18" s="84"/>
      <c r="Z18" s="208"/>
      <c r="AA18" s="406" t="s">
        <v>263</v>
      </c>
      <c r="AB18" s="526">
        <f t="shared" si="5"/>
        <v>-5182611.93</v>
      </c>
    </row>
    <row r="19" spans="1:28" ht="4.5" customHeight="1" x14ac:dyDescent="0.25">
      <c r="A19" s="409"/>
      <c r="B19" s="410"/>
      <c r="C19" s="411"/>
      <c r="D19" s="412"/>
      <c r="E19" s="412"/>
      <c r="F19" s="412"/>
      <c r="G19" s="412"/>
      <c r="H19" s="412"/>
      <c r="I19" s="413"/>
      <c r="J19" s="414"/>
      <c r="K19" s="415"/>
      <c r="L19" s="415"/>
      <c r="M19" s="415"/>
      <c r="N19" s="415"/>
      <c r="O19" s="415"/>
      <c r="P19" s="415"/>
      <c r="Q19" s="415"/>
      <c r="R19" s="415"/>
      <c r="S19" s="190"/>
      <c r="T19" s="416"/>
      <c r="U19" s="417"/>
      <c r="V19" s="418"/>
      <c r="W19" s="178"/>
      <c r="X19" s="111"/>
      <c r="Y19" s="84"/>
      <c r="Z19" s="233"/>
    </row>
    <row r="20" spans="1:28" ht="32.25" hidden="1" customHeight="1" x14ac:dyDescent="0.25">
      <c r="A20" s="380"/>
      <c r="B20" s="381"/>
      <c r="C20" s="381"/>
      <c r="D20" s="381"/>
      <c r="E20" s="381"/>
      <c r="F20" s="381"/>
      <c r="G20" s="381"/>
      <c r="H20" s="382"/>
      <c r="I20" s="381"/>
      <c r="J20" s="382"/>
      <c r="K20" s="383"/>
      <c r="L20" s="383"/>
      <c r="M20" s="383"/>
      <c r="N20" s="383"/>
      <c r="O20" s="383"/>
      <c r="P20" s="383"/>
      <c r="Q20" s="383"/>
      <c r="R20" s="383"/>
      <c r="S20" s="383"/>
      <c r="T20" s="1196" t="s">
        <v>254</v>
      </c>
      <c r="U20" s="1197"/>
      <c r="V20" s="384"/>
      <c r="X20" s="65"/>
      <c r="Y20" s="81"/>
      <c r="Z20" s="81"/>
    </row>
    <row r="21" spans="1:28" ht="32.25" customHeight="1" x14ac:dyDescent="0.25">
      <c r="A21" s="380"/>
      <c r="B21" s="381"/>
      <c r="C21" s="381"/>
      <c r="D21" s="381"/>
      <c r="E21" s="381"/>
      <c r="F21" s="381"/>
      <c r="G21" s="381"/>
      <c r="H21" s="382"/>
      <c r="I21" s="381"/>
      <c r="J21" s="382"/>
      <c r="K21" s="383"/>
      <c r="L21" s="383"/>
      <c r="M21" s="383"/>
      <c r="N21" s="383"/>
      <c r="O21" s="383"/>
      <c r="P21" s="383"/>
      <c r="Q21" s="383"/>
      <c r="R21" s="383"/>
      <c r="S21" s="383"/>
      <c r="T21" s="1196" t="s">
        <v>272</v>
      </c>
      <c r="U21" s="1197"/>
      <c r="V21" s="384"/>
      <c r="X21" s="65"/>
      <c r="Y21" s="81"/>
      <c r="Z21" s="81"/>
    </row>
    <row r="22" spans="1:28" ht="45" customHeight="1" x14ac:dyDescent="0.25">
      <c r="A22" s="217">
        <v>14</v>
      </c>
      <c r="B22" s="372" t="s">
        <v>31</v>
      </c>
      <c r="C22" s="219" t="str">
        <f>ССР!C29</f>
        <v>Верхнее строение пути</v>
      </c>
      <c r="D22" s="220">
        <v>161452921.99000001</v>
      </c>
      <c r="E22" s="220">
        <v>13239139.6</v>
      </c>
      <c r="F22" s="220">
        <v>4192609.48</v>
      </c>
      <c r="G22" s="220">
        <v>178884671.06999999</v>
      </c>
      <c r="H22" s="220">
        <v>188072263.84999999</v>
      </c>
      <c r="I22" s="221">
        <f>I6</f>
        <v>1.2</v>
      </c>
      <c r="J22" s="222">
        <f>ROUND(H22*I22,2)</f>
        <v>225686716.62</v>
      </c>
      <c r="K22" s="373">
        <v>89998722.969999999</v>
      </c>
      <c r="L22" s="373">
        <v>66544414.909999996</v>
      </c>
      <c r="M22" s="373">
        <v>42672742.899999999</v>
      </c>
      <c r="N22" s="373"/>
      <c r="O22" s="373"/>
      <c r="P22" s="371">
        <f>K22+L22+M22+N22+O22</f>
        <v>199215880.78</v>
      </c>
      <c r="Q22" s="371">
        <f>J22-K22-L22-M22-N22-O22</f>
        <v>26470835.84</v>
      </c>
      <c r="R22" s="396" t="s">
        <v>284</v>
      </c>
      <c r="S22" s="403" t="s">
        <v>287</v>
      </c>
      <c r="T22" s="83">
        <f>P22</f>
        <v>199215880.78</v>
      </c>
      <c r="U22" s="366">
        <v>37774590</v>
      </c>
      <c r="V22" s="83">
        <f t="shared" ref="V22:V31" si="8">T22+U22</f>
        <v>236990470.78</v>
      </c>
      <c r="X22" s="111"/>
      <c r="Y22" s="84"/>
      <c r="Z22" s="208"/>
      <c r="AA22" s="419"/>
    </row>
    <row r="23" spans="1:28" s="449" customFormat="1" ht="32.25" customHeight="1" x14ac:dyDescent="0.25">
      <c r="A23" s="434">
        <v>15</v>
      </c>
      <c r="B23" s="435" t="s">
        <v>32</v>
      </c>
      <c r="C23" s="436" t="str">
        <f>ССР!C30</f>
        <v>Восстановительные работы цеха №121/18. АС 3.</v>
      </c>
      <c r="D23" s="437">
        <v>4505948.67</v>
      </c>
      <c r="E23" s="437">
        <v>369487.79</v>
      </c>
      <c r="F23" s="437">
        <v>117010.48</v>
      </c>
      <c r="G23" s="437">
        <v>4992446.9400000004</v>
      </c>
      <c r="H23" s="437">
        <v>5248861.1100000003</v>
      </c>
      <c r="I23" s="438">
        <f>I7</f>
        <v>1.2</v>
      </c>
      <c r="J23" s="439">
        <f>ROUND(H23*I23,2)</f>
        <v>6298633.3300000001</v>
      </c>
      <c r="K23" s="440"/>
      <c r="L23" s="440"/>
      <c r="M23" s="440"/>
      <c r="N23" s="440">
        <v>5245250.92</v>
      </c>
      <c r="O23" s="440"/>
      <c r="P23" s="441">
        <f>K23+L23+M23+N23+O23</f>
        <v>5245250.92</v>
      </c>
      <c r="Q23" s="441">
        <f>J23-K23-L23-M23-N23-O23</f>
        <v>1053382.4099999999</v>
      </c>
      <c r="R23" s="578" t="s">
        <v>168</v>
      </c>
      <c r="S23" s="442" t="s">
        <v>189</v>
      </c>
      <c r="T23" s="443">
        <f>P23</f>
        <v>5245250.92</v>
      </c>
      <c r="U23" s="444">
        <v>0</v>
      </c>
      <c r="V23" s="443">
        <f t="shared" si="8"/>
        <v>5245250.92</v>
      </c>
      <c r="W23" s="445" t="s">
        <v>172</v>
      </c>
      <c r="X23" s="446"/>
      <c r="Y23" s="443"/>
      <c r="Z23" s="447"/>
      <c r="AA23" s="448"/>
    </row>
    <row r="24" spans="1:28" s="585" customFormat="1" ht="31.5" x14ac:dyDescent="0.25">
      <c r="A24" s="217">
        <v>16</v>
      </c>
      <c r="B24" s="245" t="s">
        <v>33</v>
      </c>
      <c r="C24" s="219" t="str">
        <f>ССР!C31</f>
        <v>Архитектурно-строительные решения. Часть 1.АС1</v>
      </c>
      <c r="D24" s="220">
        <v>10526911.91</v>
      </c>
      <c r="E24" s="220">
        <v>863206.78</v>
      </c>
      <c r="F24" s="220">
        <v>273362.84999999998</v>
      </c>
      <c r="G24" s="220">
        <v>11663481.539999999</v>
      </c>
      <c r="H24" s="220">
        <v>12262522.85</v>
      </c>
      <c r="I24" s="221">
        <f>I8</f>
        <v>1.2</v>
      </c>
      <c r="J24" s="222">
        <f>ROUND(H24*I24,2)</f>
        <v>14715027.42</v>
      </c>
      <c r="K24" s="373"/>
      <c r="L24" s="373">
        <v>10775049.08</v>
      </c>
      <c r="M24" s="373"/>
      <c r="N24" s="373"/>
      <c r="O24" s="373"/>
      <c r="P24" s="371">
        <f>K24+L24+M24+N24+O24</f>
        <v>10775049.08</v>
      </c>
      <c r="Q24" s="371">
        <f>J24-K24-L24-M24-N24-O24</f>
        <v>3939978.34</v>
      </c>
      <c r="R24" s="395" t="str">
        <f>R26</f>
        <v>ждем ВОР</v>
      </c>
      <c r="S24" s="403" t="s">
        <v>275</v>
      </c>
      <c r="T24" s="83">
        <f>P24</f>
        <v>10775049.08</v>
      </c>
      <c r="U24" s="586">
        <f>Q24</f>
        <v>3939978.34</v>
      </c>
      <c r="V24" s="83">
        <f t="shared" si="8"/>
        <v>14715027.42</v>
      </c>
      <c r="W24" s="582"/>
      <c r="X24" s="111"/>
      <c r="Y24" s="83"/>
      <c r="Z24" s="583"/>
      <c r="AA24" s="584"/>
    </row>
    <row r="25" spans="1:28" s="449" customFormat="1" ht="31.5" x14ac:dyDescent="0.25">
      <c r="A25" s="434">
        <v>17</v>
      </c>
      <c r="B25" s="435" t="s">
        <v>55</v>
      </c>
      <c r="C25" s="436" t="str">
        <f>ССР!C45</f>
        <v>Трубопровод ливневых сточных вод от трансбордера. НВК1</v>
      </c>
      <c r="D25" s="437">
        <v>1758763.66</v>
      </c>
      <c r="E25" s="437">
        <v>144218.62</v>
      </c>
      <c r="F25" s="437">
        <v>45671.57</v>
      </c>
      <c r="G25" s="437">
        <v>1948653.85</v>
      </c>
      <c r="H25" s="437">
        <v>2048737.53</v>
      </c>
      <c r="I25" s="438">
        <f>I22</f>
        <v>1.2</v>
      </c>
      <c r="J25" s="439">
        <f t="shared" si="1"/>
        <v>2458485.04</v>
      </c>
      <c r="K25" s="452"/>
      <c r="L25" s="452"/>
      <c r="M25" s="452"/>
      <c r="N25" s="452"/>
      <c r="O25" s="452">
        <v>505496.99</v>
      </c>
      <c r="P25" s="441">
        <f t="shared" si="2"/>
        <v>505496.99</v>
      </c>
      <c r="Q25" s="441">
        <f t="shared" si="3"/>
        <v>1952988.05</v>
      </c>
      <c r="R25" s="578" t="str">
        <f>R23</f>
        <v>ВОРа на доп. не будет</v>
      </c>
      <c r="S25" s="453" t="s">
        <v>251</v>
      </c>
      <c r="T25" s="443">
        <f t="shared" si="4"/>
        <v>505496.99</v>
      </c>
      <c r="U25" s="454">
        <v>0</v>
      </c>
      <c r="V25" s="455">
        <f t="shared" si="8"/>
        <v>505496.99</v>
      </c>
      <c r="W25" s="451"/>
      <c r="X25" s="446"/>
      <c r="Y25" s="443"/>
      <c r="Z25" s="447"/>
      <c r="AA25" s="448"/>
    </row>
    <row r="26" spans="1:28" s="585" customFormat="1" ht="31.5" x14ac:dyDescent="0.25">
      <c r="A26" s="217">
        <v>18</v>
      </c>
      <c r="B26" s="245" t="s">
        <v>58</v>
      </c>
      <c r="C26" s="219" t="str">
        <f>ССР!C47</f>
        <v>Теплоснабжение. Переустройство трубопровода.ТС1</v>
      </c>
      <c r="D26" s="220">
        <v>4044845.15</v>
      </c>
      <c r="E26" s="220">
        <v>331677.3</v>
      </c>
      <c r="F26" s="220">
        <v>105036.54</v>
      </c>
      <c r="G26" s="220">
        <v>4481558.99</v>
      </c>
      <c r="H26" s="220">
        <v>4711733.74</v>
      </c>
      <c r="I26" s="221">
        <f>I13</f>
        <v>1.2</v>
      </c>
      <c r="J26" s="222">
        <f t="shared" si="1"/>
        <v>5654080.4900000002</v>
      </c>
      <c r="K26" s="579"/>
      <c r="L26" s="579"/>
      <c r="M26" s="579"/>
      <c r="N26" s="579"/>
      <c r="O26" s="579">
        <v>3594854.48</v>
      </c>
      <c r="P26" s="371">
        <f t="shared" si="2"/>
        <v>3594854.48</v>
      </c>
      <c r="Q26" s="371">
        <f t="shared" si="3"/>
        <v>2059226.01</v>
      </c>
      <c r="R26" s="579" t="s">
        <v>169</v>
      </c>
      <c r="S26" s="580" t="s">
        <v>247</v>
      </c>
      <c r="T26" s="83">
        <f t="shared" si="4"/>
        <v>3594854.48</v>
      </c>
      <c r="U26" s="581">
        <v>0</v>
      </c>
      <c r="V26" s="368">
        <f t="shared" si="8"/>
        <v>3594854.48</v>
      </c>
      <c r="W26" s="582"/>
      <c r="X26" s="111"/>
      <c r="Y26" s="83"/>
      <c r="Z26" s="583"/>
      <c r="AA26" s="584"/>
    </row>
    <row r="27" spans="1:28" s="449" customFormat="1" ht="78.75" x14ac:dyDescent="0.25">
      <c r="A27" s="434">
        <v>19</v>
      </c>
      <c r="B27" s="435" t="s">
        <v>59</v>
      </c>
      <c r="C27" s="436" t="str">
        <f>ССР!C48</f>
        <v>Архитектурно-строительные решения. Эстакада для ТС1. АС 4</v>
      </c>
      <c r="D27" s="437">
        <v>4859580.66</v>
      </c>
      <c r="E27" s="437">
        <v>398485.61</v>
      </c>
      <c r="F27" s="437">
        <v>126193.59</v>
      </c>
      <c r="G27" s="437">
        <v>5384259.8600000003</v>
      </c>
      <c r="H27" s="437">
        <v>5660797.71</v>
      </c>
      <c r="I27" s="438">
        <f>I14</f>
        <v>1.2</v>
      </c>
      <c r="J27" s="439">
        <f t="shared" si="1"/>
        <v>6792957.25</v>
      </c>
      <c r="K27" s="452"/>
      <c r="L27" s="452"/>
      <c r="M27" s="452"/>
      <c r="N27" s="452"/>
      <c r="O27" s="452">
        <v>562345.21</v>
      </c>
      <c r="P27" s="441">
        <f t="shared" si="2"/>
        <v>562345.21</v>
      </c>
      <c r="Q27" s="441">
        <f t="shared" si="3"/>
        <v>6230612.04</v>
      </c>
      <c r="R27" s="456" t="s">
        <v>286</v>
      </c>
      <c r="S27" s="453" t="s">
        <v>251</v>
      </c>
      <c r="T27" s="443">
        <f t="shared" si="4"/>
        <v>562345.21</v>
      </c>
      <c r="U27" s="454">
        <v>0</v>
      </c>
      <c r="V27" s="455">
        <f t="shared" si="8"/>
        <v>562345.21</v>
      </c>
      <c r="W27" s="451"/>
      <c r="X27" s="446"/>
      <c r="Y27" s="443"/>
      <c r="Z27" s="447"/>
      <c r="AA27" s="448"/>
    </row>
    <row r="28" spans="1:28" ht="31.5" x14ac:dyDescent="0.25">
      <c r="A28" s="217">
        <v>20</v>
      </c>
      <c r="B28" s="245" t="s">
        <v>70</v>
      </c>
      <c r="C28" s="219" t="str">
        <f>ССР!C55</f>
        <v>Генеральный план. Трансбордер. ГП1</v>
      </c>
      <c r="D28" s="220">
        <v>5005903.75</v>
      </c>
      <c r="E28" s="220">
        <v>410484.11</v>
      </c>
      <c r="F28" s="220">
        <v>129993.31</v>
      </c>
      <c r="G28" s="220">
        <v>5546381.1699999999</v>
      </c>
      <c r="H28" s="220">
        <v>5831245.6399999997</v>
      </c>
      <c r="I28" s="221">
        <f>I12</f>
        <v>1.2</v>
      </c>
      <c r="J28" s="222">
        <f t="shared" si="1"/>
        <v>6997494.7699999996</v>
      </c>
      <c r="K28" s="373"/>
      <c r="L28" s="373">
        <v>2298854.48</v>
      </c>
      <c r="M28" s="373"/>
      <c r="N28" s="373"/>
      <c r="O28" s="373"/>
      <c r="P28" s="371">
        <f t="shared" si="2"/>
        <v>2298854.48</v>
      </c>
      <c r="Q28" s="371">
        <f t="shared" si="3"/>
        <v>4698640.29</v>
      </c>
      <c r="R28" s="395" t="str">
        <f>R26</f>
        <v>ждем ВОР</v>
      </c>
      <c r="S28" s="403" t="s">
        <v>247</v>
      </c>
      <c r="T28" s="83">
        <f t="shared" si="4"/>
        <v>2298854.48</v>
      </c>
      <c r="U28" s="367">
        <f>Q28</f>
        <v>4698640.29</v>
      </c>
      <c r="V28" s="368">
        <f t="shared" si="8"/>
        <v>6997494.7699999996</v>
      </c>
      <c r="W28" s="206"/>
      <c r="X28" s="111"/>
      <c r="Y28" s="84"/>
      <c r="Z28" s="208"/>
      <c r="AA28" s="419"/>
    </row>
    <row r="29" spans="1:28" ht="24.75" thickBot="1" x14ac:dyDescent="0.3">
      <c r="A29" s="421">
        <v>21</v>
      </c>
      <c r="B29" s="374" t="s">
        <v>71</v>
      </c>
      <c r="C29" s="375" t="str">
        <f>ССР!C56</f>
        <v>Генеральный план. ГП2</v>
      </c>
      <c r="D29" s="397">
        <v>48898423.600000001</v>
      </c>
      <c r="E29" s="397">
        <v>4009670.74</v>
      </c>
      <c r="F29" s="397">
        <v>1269794.26</v>
      </c>
      <c r="G29" s="397">
        <v>54177888.600000001</v>
      </c>
      <c r="H29" s="397">
        <v>56960487.710000001</v>
      </c>
      <c r="I29" s="376">
        <f>I16</f>
        <v>1.2</v>
      </c>
      <c r="J29" s="377">
        <f t="shared" si="1"/>
        <v>68352585.25</v>
      </c>
      <c r="K29" s="378"/>
      <c r="L29" s="378"/>
      <c r="M29" s="378">
        <v>11709977.720000001</v>
      </c>
      <c r="N29" s="378"/>
      <c r="O29" s="378">
        <v>3615838.44</v>
      </c>
      <c r="P29" s="379">
        <f t="shared" si="2"/>
        <v>15325816.16</v>
      </c>
      <c r="Q29" s="379">
        <f t="shared" si="3"/>
        <v>53026769.090000004</v>
      </c>
      <c r="R29" s="422" t="str">
        <f>R26</f>
        <v>ждем ВОР</v>
      </c>
      <c r="S29" s="423" t="s">
        <v>247</v>
      </c>
      <c r="T29" s="370">
        <f t="shared" si="4"/>
        <v>15325816.16</v>
      </c>
      <c r="U29" s="424">
        <f>Q29</f>
        <v>53026769.090000004</v>
      </c>
      <c r="V29" s="369">
        <f t="shared" si="8"/>
        <v>68352585.25</v>
      </c>
      <c r="W29" s="206"/>
      <c r="X29" s="111"/>
      <c r="Y29" s="85"/>
      <c r="Z29" s="209"/>
      <c r="AA29" s="419"/>
    </row>
    <row r="30" spans="1:28" ht="35.1" customHeight="1" thickTop="1" x14ac:dyDescent="0.25">
      <c r="A30" s="387">
        <v>22</v>
      </c>
      <c r="B30" s="388">
        <v>1</v>
      </c>
      <c r="C30" s="389" t="s">
        <v>175</v>
      </c>
      <c r="D30" s="390"/>
      <c r="E30" s="390"/>
      <c r="F30" s="390"/>
      <c r="G30" s="390"/>
      <c r="H30" s="390"/>
      <c r="I30" s="391"/>
      <c r="J30" s="392"/>
      <c r="K30" s="393"/>
      <c r="L30" s="393"/>
      <c r="M30" s="393"/>
      <c r="N30" s="393"/>
      <c r="O30" s="393"/>
      <c r="P30" s="393">
        <f>T30</f>
        <v>4216719.66</v>
      </c>
      <c r="Q30" s="393"/>
      <c r="R30" s="477" t="s">
        <v>139</v>
      </c>
      <c r="S30" s="394" t="s">
        <v>255</v>
      </c>
      <c r="T30" s="420">
        <v>4216719.66</v>
      </c>
      <c r="U30" s="420">
        <v>0</v>
      </c>
      <c r="V30" s="420">
        <f t="shared" si="8"/>
        <v>4216719.66</v>
      </c>
      <c r="X30" s="119"/>
      <c r="Y30" s="179"/>
      <c r="Z30" s="179"/>
    </row>
    <row r="31" spans="1:28" ht="35.1" customHeight="1" thickBot="1" x14ac:dyDescent="0.3">
      <c r="A31" s="513">
        <v>23</v>
      </c>
      <c r="B31" s="479">
        <v>1</v>
      </c>
      <c r="C31" s="480" t="s">
        <v>174</v>
      </c>
      <c r="D31" s="481"/>
      <c r="E31" s="481"/>
      <c r="F31" s="481"/>
      <c r="G31" s="481"/>
      <c r="H31" s="481"/>
      <c r="I31" s="482"/>
      <c r="J31" s="483"/>
      <c r="K31" s="484"/>
      <c r="L31" s="484"/>
      <c r="M31" s="484"/>
      <c r="N31" s="484"/>
      <c r="O31" s="484"/>
      <c r="P31" s="484">
        <f>T31</f>
        <v>2160473.5</v>
      </c>
      <c r="Q31" s="484"/>
      <c r="R31" s="514" t="s">
        <v>139</v>
      </c>
      <c r="S31" s="515" t="s">
        <v>255</v>
      </c>
      <c r="T31" s="485">
        <v>2160473.5</v>
      </c>
      <c r="U31" s="485">
        <v>0</v>
      </c>
      <c r="V31" s="486">
        <f t="shared" si="8"/>
        <v>2160473.5</v>
      </c>
      <c r="X31" s="117"/>
      <c r="Y31" s="105"/>
      <c r="Z31" s="211"/>
    </row>
    <row r="32" spans="1:28" ht="31.5" customHeight="1" thickTop="1" thickBot="1" x14ac:dyDescent="0.3">
      <c r="A32" s="516"/>
      <c r="B32" s="517" t="s">
        <v>120</v>
      </c>
      <c r="C32" s="518"/>
      <c r="D32" s="519">
        <f>SUM(D6:D29)</f>
        <v>392033916.06</v>
      </c>
      <c r="E32" s="518"/>
      <c r="F32" s="520"/>
      <c r="G32" s="519">
        <f>SUM(G6:G29)</f>
        <v>434361033.93000001</v>
      </c>
      <c r="H32" s="519">
        <f>SUM(H6:H29)</f>
        <v>456670000.00999999</v>
      </c>
      <c r="I32" s="519"/>
      <c r="J32" s="519">
        <f>SUM(J6:J29)</f>
        <v>548004000</v>
      </c>
      <c r="K32" s="521">
        <f>SUM(K6:K29)</f>
        <v>210417570.36000001</v>
      </c>
      <c r="L32" s="521">
        <f>SUM(L6:L29)+0.01</f>
        <v>79978331.209999993</v>
      </c>
      <c r="M32" s="521">
        <f>SUM(M6:M29)</f>
        <v>58868164.759999998</v>
      </c>
      <c r="N32" s="521">
        <f>SUM(N6:N29)</f>
        <v>5245250.92</v>
      </c>
      <c r="O32" s="521">
        <f>SUM(O6:O29)</f>
        <v>8616444.9800000004</v>
      </c>
      <c r="P32" s="521">
        <f>SUM(P6:P31)+0.01</f>
        <v>369502955.38999999</v>
      </c>
      <c r="Q32" s="521">
        <f>J32-P32</f>
        <v>178501044.61000001</v>
      </c>
      <c r="R32" s="521"/>
      <c r="S32" s="521"/>
      <c r="T32" s="522">
        <f>SUM(T6:T31)</f>
        <v>369502955.38</v>
      </c>
      <c r="U32" s="522">
        <f>SUM(U6:U31)</f>
        <v>146110328.15000001</v>
      </c>
      <c r="V32" s="522">
        <f>SUM(V6:V31)</f>
        <v>515613283.52999997</v>
      </c>
      <c r="W32" s="177"/>
      <c r="X32" s="115"/>
      <c r="Y32" s="101">
        <f>SUM(Y6:Y29)</f>
        <v>39961110.119999997</v>
      </c>
      <c r="Z32" s="210">
        <f>SUM(Z6:Z29)</f>
        <v>0</v>
      </c>
    </row>
    <row r="33" spans="1:27" ht="32.25" customHeight="1" x14ac:dyDescent="0.25">
      <c r="A33" s="498"/>
      <c r="B33" s="499"/>
      <c r="C33" s="499"/>
      <c r="D33" s="499"/>
      <c r="E33" s="499"/>
      <c r="F33" s="499"/>
      <c r="G33" s="499"/>
      <c r="H33" s="500"/>
      <c r="I33" s="499"/>
      <c r="J33" s="500"/>
      <c r="K33" s="501"/>
      <c r="L33" s="501"/>
      <c r="M33" s="501"/>
      <c r="N33" s="501"/>
      <c r="O33" s="501"/>
      <c r="P33" s="501"/>
      <c r="Q33" s="501"/>
      <c r="R33" s="501"/>
      <c r="S33" s="501"/>
      <c r="T33" s="1187" t="s">
        <v>245</v>
      </c>
      <c r="U33" s="1188"/>
      <c r="V33" s="503"/>
      <c r="X33" s="65"/>
      <c r="Y33" s="81"/>
      <c r="Z33" s="81"/>
    </row>
    <row r="34" spans="1:27" ht="35.1" customHeight="1" x14ac:dyDescent="0.25">
      <c r="A34" s="217">
        <v>24</v>
      </c>
      <c r="B34" s="542">
        <v>2</v>
      </c>
      <c r="C34" s="219" t="s">
        <v>141</v>
      </c>
      <c r="D34" s="220"/>
      <c r="E34" s="220"/>
      <c r="F34" s="220"/>
      <c r="G34" s="220"/>
      <c r="H34" s="220"/>
      <c r="I34" s="221"/>
      <c r="J34" s="222"/>
      <c r="K34" s="459"/>
      <c r="L34" s="459"/>
      <c r="M34" s="459"/>
      <c r="N34" s="459"/>
      <c r="O34" s="459"/>
      <c r="P34" s="459"/>
      <c r="Q34" s="459"/>
      <c r="R34" s="460" t="s">
        <v>139</v>
      </c>
      <c r="S34" s="461" t="s">
        <v>282</v>
      </c>
      <c r="T34" s="462">
        <v>0</v>
      </c>
      <c r="U34" s="462">
        <v>705505</v>
      </c>
      <c r="V34" s="462">
        <f>T34+U34</f>
        <v>705505</v>
      </c>
      <c r="X34" s="119"/>
      <c r="Y34" s="179"/>
      <c r="Z34" s="179"/>
      <c r="AA34" s="406" t="s">
        <v>280</v>
      </c>
    </row>
    <row r="35" spans="1:27" ht="35.1" customHeight="1" x14ac:dyDescent="0.25">
      <c r="A35" s="458">
        <v>25</v>
      </c>
      <c r="B35" s="542">
        <v>3</v>
      </c>
      <c r="C35" s="219" t="s">
        <v>142</v>
      </c>
      <c r="D35" s="220"/>
      <c r="E35" s="220"/>
      <c r="F35" s="220"/>
      <c r="G35" s="220"/>
      <c r="H35" s="220"/>
      <c r="I35" s="221"/>
      <c r="J35" s="222"/>
      <c r="K35" s="459"/>
      <c r="L35" s="459"/>
      <c r="M35" s="459"/>
      <c r="N35" s="459"/>
      <c r="O35" s="459"/>
      <c r="P35" s="459"/>
      <c r="Q35" s="459"/>
      <c r="R35" s="460" t="s">
        <v>139</v>
      </c>
      <c r="S35" s="461" t="str">
        <f>S34</f>
        <v>отправлено, 14.06</v>
      </c>
      <c r="T35" s="462">
        <v>0</v>
      </c>
      <c r="U35" s="462">
        <v>85851.36</v>
      </c>
      <c r="V35" s="462">
        <f>T35+U35</f>
        <v>85851.36</v>
      </c>
      <c r="X35" s="119"/>
      <c r="Y35" s="180"/>
      <c r="Z35" s="180"/>
    </row>
    <row r="36" spans="1:27" ht="35.1" customHeight="1" x14ac:dyDescent="0.25">
      <c r="A36" s="217">
        <v>26</v>
      </c>
      <c r="B36" s="542">
        <v>4</v>
      </c>
      <c r="C36" s="219" t="s">
        <v>143</v>
      </c>
      <c r="D36" s="220"/>
      <c r="E36" s="220"/>
      <c r="F36" s="220"/>
      <c r="G36" s="220"/>
      <c r="H36" s="220"/>
      <c r="I36" s="221"/>
      <c r="J36" s="222"/>
      <c r="K36" s="459"/>
      <c r="L36" s="459"/>
      <c r="M36" s="459"/>
      <c r="N36" s="459"/>
      <c r="O36" s="459"/>
      <c r="P36" s="459"/>
      <c r="Q36" s="459"/>
      <c r="R36" s="460" t="s">
        <v>139</v>
      </c>
      <c r="S36" s="461" t="str">
        <f>S34</f>
        <v>отправлено, 14.06</v>
      </c>
      <c r="T36" s="462">
        <v>0</v>
      </c>
      <c r="U36" s="462">
        <v>26314.48</v>
      </c>
      <c r="V36" s="462">
        <f>T36+U36</f>
        <v>26314.48</v>
      </c>
      <c r="X36" s="119"/>
      <c r="Y36" s="180"/>
      <c r="Z36" s="180"/>
    </row>
    <row r="37" spans="1:27" ht="35.1" customHeight="1" x14ac:dyDescent="0.25">
      <c r="A37" s="458">
        <v>27</v>
      </c>
      <c r="B37" s="542">
        <v>5</v>
      </c>
      <c r="C37" s="219" t="s">
        <v>146</v>
      </c>
      <c r="D37" s="220"/>
      <c r="E37" s="220"/>
      <c r="F37" s="220"/>
      <c r="G37" s="220"/>
      <c r="H37" s="220"/>
      <c r="I37" s="221"/>
      <c r="J37" s="222"/>
      <c r="K37" s="459"/>
      <c r="L37" s="459"/>
      <c r="M37" s="459"/>
      <c r="N37" s="459"/>
      <c r="O37" s="459"/>
      <c r="P37" s="459"/>
      <c r="Q37" s="459"/>
      <c r="R37" s="460" t="s">
        <v>139</v>
      </c>
      <c r="S37" s="461" t="str">
        <f>S34</f>
        <v>отправлено, 14.06</v>
      </c>
      <c r="T37" s="462">
        <v>0</v>
      </c>
      <c r="U37" s="462">
        <v>208912.6</v>
      </c>
      <c r="V37" s="462">
        <f>T37+U37</f>
        <v>208912.6</v>
      </c>
      <c r="X37" s="119"/>
      <c r="Y37" s="180"/>
      <c r="Z37" s="180"/>
    </row>
    <row r="38" spans="1:27" ht="35.1" customHeight="1" x14ac:dyDescent="0.25">
      <c r="A38" s="217">
        <v>29</v>
      </c>
      <c r="B38" s="543">
        <v>6</v>
      </c>
      <c r="C38" s="464" t="s">
        <v>140</v>
      </c>
      <c r="D38" s="465"/>
      <c r="E38" s="465"/>
      <c r="F38" s="465"/>
      <c r="G38" s="465"/>
      <c r="H38" s="465"/>
      <c r="I38" s="466"/>
      <c r="J38" s="467"/>
      <c r="K38" s="468"/>
      <c r="L38" s="468"/>
      <c r="M38" s="468"/>
      <c r="N38" s="468"/>
      <c r="O38" s="468"/>
      <c r="P38" s="468"/>
      <c r="Q38" s="468"/>
      <c r="R38" s="469" t="s">
        <v>139</v>
      </c>
      <c r="S38" s="528" t="str">
        <f>S34</f>
        <v>отправлено, 14.06</v>
      </c>
      <c r="T38" s="470">
        <v>0</v>
      </c>
      <c r="U38" s="470">
        <v>570651.94999999995</v>
      </c>
      <c r="V38" s="462">
        <f t="shared" ref="V38:V43" si="9">T38+U38</f>
        <v>570651.94999999995</v>
      </c>
      <c r="X38" s="117"/>
      <c r="Y38" s="105"/>
      <c r="Z38" s="211"/>
    </row>
    <row r="39" spans="1:27" ht="35.1" customHeight="1" x14ac:dyDescent="0.25">
      <c r="A39" s="217">
        <v>28</v>
      </c>
      <c r="B39" s="542">
        <v>7</v>
      </c>
      <c r="C39" s="42" t="s">
        <v>148</v>
      </c>
      <c r="D39" s="43"/>
      <c r="E39" s="43"/>
      <c r="F39" s="43"/>
      <c r="G39" s="43"/>
      <c r="H39" s="43"/>
      <c r="I39" s="44"/>
      <c r="J39" s="55"/>
      <c r="K39" s="56"/>
      <c r="L39" s="56"/>
      <c r="M39" s="56"/>
      <c r="N39" s="56"/>
      <c r="O39" s="56"/>
      <c r="P39" s="459"/>
      <c r="Q39" s="459"/>
      <c r="R39" s="529" t="s">
        <v>139</v>
      </c>
      <c r="S39" s="461" t="str">
        <f>S34</f>
        <v>отправлено, 14.06</v>
      </c>
      <c r="T39" s="530">
        <v>0</v>
      </c>
      <c r="U39" s="530">
        <v>231084.76</v>
      </c>
      <c r="V39" s="462">
        <f t="shared" si="9"/>
        <v>231084.76</v>
      </c>
      <c r="X39" s="119"/>
      <c r="Y39" s="107"/>
      <c r="Z39" s="213"/>
    </row>
    <row r="40" spans="1:27" ht="35.1" customHeight="1" thickBot="1" x14ac:dyDescent="0.3">
      <c r="A40" s="421">
        <v>31</v>
      </c>
      <c r="B40" s="544">
        <v>8</v>
      </c>
      <c r="C40" s="375" t="s">
        <v>250</v>
      </c>
      <c r="D40" s="471"/>
      <c r="E40" s="471"/>
      <c r="F40" s="471"/>
      <c r="G40" s="471"/>
      <c r="H40" s="471"/>
      <c r="I40" s="472"/>
      <c r="J40" s="473"/>
      <c r="K40" s="474"/>
      <c r="L40" s="474"/>
      <c r="M40" s="474"/>
      <c r="N40" s="474"/>
      <c r="O40" s="474"/>
      <c r="P40" s="531"/>
      <c r="Q40" s="531"/>
      <c r="R40" s="532" t="s">
        <v>139</v>
      </c>
      <c r="S40" s="527" t="str">
        <f>S34</f>
        <v>отправлено, 14.06</v>
      </c>
      <c r="T40" s="533">
        <v>0</v>
      </c>
      <c r="U40" s="533">
        <v>107940.55</v>
      </c>
      <c r="V40" s="534">
        <f t="shared" si="9"/>
        <v>107940.55</v>
      </c>
      <c r="X40" s="119"/>
      <c r="Y40" s="107"/>
      <c r="Z40" s="213"/>
    </row>
    <row r="41" spans="1:27" ht="35.1" customHeight="1" thickTop="1" x14ac:dyDescent="0.25">
      <c r="A41" s="545">
        <v>32</v>
      </c>
      <c r="B41" s="568">
        <v>9</v>
      </c>
      <c r="C41" s="569" t="s">
        <v>145</v>
      </c>
      <c r="D41" s="570"/>
      <c r="E41" s="570"/>
      <c r="F41" s="570"/>
      <c r="G41" s="570"/>
      <c r="H41" s="570"/>
      <c r="I41" s="571"/>
      <c r="J41" s="572"/>
      <c r="K41" s="573"/>
      <c r="L41" s="573"/>
      <c r="M41" s="573"/>
      <c r="N41" s="573"/>
      <c r="O41" s="573"/>
      <c r="P41" s="574"/>
      <c r="Q41" s="574"/>
      <c r="R41" s="575" t="s">
        <v>139</v>
      </c>
      <c r="S41" s="576" t="s">
        <v>285</v>
      </c>
      <c r="T41" s="577">
        <v>0</v>
      </c>
      <c r="U41" s="577">
        <v>2348452.58</v>
      </c>
      <c r="V41" s="577">
        <f t="shared" si="9"/>
        <v>2348452.58</v>
      </c>
      <c r="X41" s="119"/>
      <c r="Y41" s="180"/>
      <c r="Z41" s="180"/>
    </row>
    <row r="42" spans="1:27" ht="46.5" customHeight="1" x14ac:dyDescent="0.25">
      <c r="A42" s="475">
        <v>33</v>
      </c>
      <c r="B42" s="558">
        <v>10</v>
      </c>
      <c r="C42" s="559" t="s">
        <v>144</v>
      </c>
      <c r="D42" s="560"/>
      <c r="E42" s="560"/>
      <c r="F42" s="560"/>
      <c r="G42" s="560"/>
      <c r="H42" s="560"/>
      <c r="I42" s="561"/>
      <c r="J42" s="562"/>
      <c r="K42" s="563"/>
      <c r="L42" s="563"/>
      <c r="M42" s="563"/>
      <c r="N42" s="563"/>
      <c r="O42" s="563"/>
      <c r="P42" s="293"/>
      <c r="Q42" s="293"/>
      <c r="R42" s="564" t="s">
        <v>139</v>
      </c>
      <c r="S42" s="565" t="s">
        <v>288</v>
      </c>
      <c r="T42" s="566">
        <v>0</v>
      </c>
      <c r="U42" s="566">
        <v>389490.94</v>
      </c>
      <c r="V42" s="567">
        <f t="shared" si="9"/>
        <v>389490.94</v>
      </c>
      <c r="W42" s="189"/>
      <c r="X42" s="182"/>
      <c r="Y42" s="183"/>
      <c r="Z42" s="212"/>
    </row>
    <row r="43" spans="1:27" ht="50.25" customHeight="1" thickBot="1" x14ac:dyDescent="0.3">
      <c r="A43" s="546">
        <v>30</v>
      </c>
      <c r="B43" s="547"/>
      <c r="C43" s="548" t="s">
        <v>279</v>
      </c>
      <c r="D43" s="549"/>
      <c r="E43" s="549"/>
      <c r="F43" s="549"/>
      <c r="G43" s="549"/>
      <c r="H43" s="549"/>
      <c r="I43" s="550"/>
      <c r="J43" s="551"/>
      <c r="K43" s="552"/>
      <c r="L43" s="552"/>
      <c r="M43" s="552"/>
      <c r="N43" s="552"/>
      <c r="O43" s="552"/>
      <c r="P43" s="552"/>
      <c r="Q43" s="552"/>
      <c r="R43" s="553" t="s">
        <v>255</v>
      </c>
      <c r="S43" s="554" t="s">
        <v>281</v>
      </c>
      <c r="T43" s="555">
        <v>0</v>
      </c>
      <c r="U43" s="555">
        <v>9690548.2599999998</v>
      </c>
      <c r="V43" s="556">
        <f t="shared" si="9"/>
        <v>9690548.2599999998</v>
      </c>
      <c r="X43" s="117"/>
      <c r="Y43" s="105"/>
      <c r="Z43" s="211"/>
    </row>
    <row r="44" spans="1:27" ht="35.1" customHeight="1" thickTop="1" thickBot="1" x14ac:dyDescent="0.3">
      <c r="A44" s="82">
        <v>34</v>
      </c>
      <c r="B44" s="321"/>
      <c r="C44" s="171" t="s">
        <v>149</v>
      </c>
      <c r="D44" s="322"/>
      <c r="E44" s="322"/>
      <c r="F44" s="322"/>
      <c r="G44" s="322"/>
      <c r="H44" s="322"/>
      <c r="I44" s="323"/>
      <c r="J44" s="172"/>
      <c r="K44" s="324"/>
      <c r="L44" s="324"/>
      <c r="M44" s="324"/>
      <c r="N44" s="324"/>
      <c r="O44" s="324"/>
      <c r="P44" s="173"/>
      <c r="Q44" s="173"/>
      <c r="R44" s="401" t="s">
        <v>139</v>
      </c>
      <c r="S44" s="401" t="s">
        <v>170</v>
      </c>
      <c r="T44" s="326"/>
      <c r="U44" s="326">
        <v>4746000</v>
      </c>
      <c r="V44" s="399">
        <f>T44+U44</f>
        <v>4746000</v>
      </c>
      <c r="X44" s="119"/>
      <c r="Y44" s="107"/>
      <c r="Z44" s="213"/>
    </row>
    <row r="45" spans="1:27" ht="35.1" customHeight="1" thickBot="1" x14ac:dyDescent="0.3">
      <c r="A45" s="504"/>
      <c r="B45" s="103"/>
      <c r="C45" s="505"/>
      <c r="D45" s="506"/>
      <c r="E45" s="506"/>
      <c r="F45" s="506"/>
      <c r="G45" s="506"/>
      <c r="H45" s="506"/>
      <c r="I45" s="507"/>
      <c r="J45" s="508"/>
      <c r="K45" s="509"/>
      <c r="L45" s="509"/>
      <c r="M45" s="509"/>
      <c r="N45" s="509"/>
      <c r="O45" s="509"/>
      <c r="P45" s="509"/>
      <c r="Q45" s="509"/>
      <c r="R45" s="510"/>
      <c r="S45" s="511"/>
      <c r="T45" s="512"/>
      <c r="U45" s="73">
        <f>SUM(U34:U44)</f>
        <v>19110752.48</v>
      </c>
      <c r="V45" s="73">
        <f>SUM(V34:V44)</f>
        <v>19110752.48</v>
      </c>
      <c r="X45" s="117"/>
      <c r="Y45" s="105"/>
      <c r="Z45" s="211"/>
    </row>
    <row r="46" spans="1:27" ht="33" customHeight="1" x14ac:dyDescent="0.25">
      <c r="A46" s="498"/>
      <c r="B46" s="499"/>
      <c r="C46" s="499"/>
      <c r="D46" s="499"/>
      <c r="E46" s="499"/>
      <c r="F46" s="499"/>
      <c r="G46" s="499"/>
      <c r="H46" s="500"/>
      <c r="I46" s="499"/>
      <c r="J46" s="500"/>
      <c r="K46" s="501"/>
      <c r="L46" s="501"/>
      <c r="M46" s="501"/>
      <c r="N46" s="501"/>
      <c r="O46" s="501"/>
      <c r="P46" s="501"/>
      <c r="Q46" s="501"/>
      <c r="R46" s="501"/>
      <c r="S46" s="502"/>
      <c r="T46" s="1187" t="s">
        <v>253</v>
      </c>
      <c r="U46" s="1188"/>
      <c r="V46" s="503"/>
      <c r="X46" s="65"/>
      <c r="Y46" s="81"/>
      <c r="Z46" s="81"/>
    </row>
    <row r="47" spans="1:27" ht="35.1" customHeight="1" x14ac:dyDescent="0.25">
      <c r="A47" s="82">
        <v>36</v>
      </c>
      <c r="B47" s="321"/>
      <c r="C47" s="171" t="s">
        <v>151</v>
      </c>
      <c r="D47" s="322"/>
      <c r="E47" s="322"/>
      <c r="F47" s="322"/>
      <c r="G47" s="322"/>
      <c r="H47" s="322"/>
      <c r="I47" s="323"/>
      <c r="J47" s="172"/>
      <c r="K47" s="324"/>
      <c r="L47" s="324"/>
      <c r="M47" s="324"/>
      <c r="N47" s="324"/>
      <c r="O47" s="324"/>
      <c r="P47" s="173"/>
      <c r="Q47" s="173"/>
      <c r="R47" s="404" t="s">
        <v>243</v>
      </c>
      <c r="S47" s="325"/>
      <c r="T47" s="326"/>
      <c r="U47" s="326"/>
      <c r="V47" s="399">
        <f>T47+U47</f>
        <v>0</v>
      </c>
      <c r="X47" s="119"/>
      <c r="Y47" s="107"/>
      <c r="Z47" s="213"/>
    </row>
    <row r="48" spans="1:27" ht="35.1" customHeight="1" thickBot="1" x14ac:dyDescent="0.3">
      <c r="A48" s="87">
        <v>37</v>
      </c>
      <c r="B48" s="327"/>
      <c r="C48" s="328" t="s">
        <v>152</v>
      </c>
      <c r="D48" s="329"/>
      <c r="E48" s="329"/>
      <c r="F48" s="329"/>
      <c r="G48" s="329"/>
      <c r="H48" s="329"/>
      <c r="I48" s="330"/>
      <c r="J48" s="331"/>
      <c r="K48" s="332"/>
      <c r="L48" s="332"/>
      <c r="M48" s="332"/>
      <c r="N48" s="332"/>
      <c r="O48" s="332"/>
      <c r="P48" s="333"/>
      <c r="Q48" s="333"/>
      <c r="R48" s="405" t="s">
        <v>243</v>
      </c>
      <c r="S48" s="334"/>
      <c r="T48" s="335"/>
      <c r="U48" s="335"/>
      <c r="V48" s="408">
        <f>T48+U48</f>
        <v>0</v>
      </c>
      <c r="X48" s="125"/>
      <c r="Y48" s="109"/>
      <c r="Z48" s="214"/>
    </row>
    <row r="49" spans="1:27" ht="31.5" customHeight="1" thickTop="1" thickBot="1" x14ac:dyDescent="0.3">
      <c r="A49" s="102"/>
      <c r="B49" s="66" t="s">
        <v>120</v>
      </c>
      <c r="C49" s="67"/>
      <c r="D49" s="68">
        <f t="shared" ref="D49:J49" si="10">SUM(D34:D48)</f>
        <v>0</v>
      </c>
      <c r="E49" s="68">
        <f t="shared" si="10"/>
        <v>0</v>
      </c>
      <c r="F49" s="68">
        <f t="shared" si="10"/>
        <v>0</v>
      </c>
      <c r="G49" s="68">
        <f t="shared" si="10"/>
        <v>0</v>
      </c>
      <c r="H49" s="68">
        <f t="shared" si="10"/>
        <v>0</v>
      </c>
      <c r="I49" s="68">
        <f t="shared" si="10"/>
        <v>0</v>
      </c>
      <c r="J49" s="68">
        <f t="shared" si="10"/>
        <v>0</v>
      </c>
      <c r="K49" s="69"/>
      <c r="L49" s="69"/>
      <c r="M49" s="69"/>
      <c r="N49" s="69"/>
      <c r="O49" s="69"/>
      <c r="P49" s="69"/>
      <c r="Q49" s="69"/>
      <c r="R49" s="69"/>
      <c r="S49" s="386"/>
      <c r="T49" s="86">
        <f>SUM(T34:T48)</f>
        <v>0</v>
      </c>
      <c r="U49" s="86">
        <f>SUM(U34:U48)-U45</f>
        <v>19110752.48</v>
      </c>
      <c r="V49" s="86">
        <f>SUM(V34:V48)-V45</f>
        <v>19110752.48</v>
      </c>
      <c r="W49" s="177"/>
      <c r="X49" s="69"/>
      <c r="Y49" s="86">
        <f>SUM(Y34:Y48)</f>
        <v>0</v>
      </c>
      <c r="Z49" s="215">
        <f>SUM(Z34:Z48)</f>
        <v>0</v>
      </c>
    </row>
    <row r="50" spans="1:27" ht="31.5" customHeight="1" thickBot="1" x14ac:dyDescent="0.3">
      <c r="A50" s="104"/>
      <c r="B50" s="103" t="s">
        <v>153</v>
      </c>
      <c r="C50" s="70"/>
      <c r="D50" s="71">
        <f>D32+D49</f>
        <v>392033916.06</v>
      </c>
      <c r="E50" s="70"/>
      <c r="F50" s="72"/>
      <c r="G50" s="71">
        <f>SUM(G27:G49)</f>
        <v>499469563.56</v>
      </c>
      <c r="H50" s="71">
        <f>SUM(H27:H49)</f>
        <v>525122531.06999999</v>
      </c>
      <c r="I50" s="71"/>
      <c r="J50" s="71">
        <f t="shared" ref="J50:Q50" si="11">J32+J49</f>
        <v>548004000</v>
      </c>
      <c r="K50" s="71">
        <f t="shared" si="11"/>
        <v>210417570.36000001</v>
      </c>
      <c r="L50" s="71">
        <f t="shared" si="11"/>
        <v>79978331.209999993</v>
      </c>
      <c r="M50" s="71">
        <f t="shared" si="11"/>
        <v>58868164.759999998</v>
      </c>
      <c r="N50" s="71">
        <f t="shared" si="11"/>
        <v>5245250.92</v>
      </c>
      <c r="O50" s="71">
        <f t="shared" si="11"/>
        <v>8616444.9800000004</v>
      </c>
      <c r="P50" s="71">
        <f t="shared" si="11"/>
        <v>369502955.38999999</v>
      </c>
      <c r="Q50" s="71">
        <f t="shared" si="11"/>
        <v>178501044.61000001</v>
      </c>
      <c r="R50" s="71"/>
      <c r="S50" s="402"/>
      <c r="T50" s="73">
        <f>T32+T49</f>
        <v>369502955.38</v>
      </c>
      <c r="U50" s="73">
        <f>U32+U49</f>
        <v>165221080.63</v>
      </c>
      <c r="V50" s="73">
        <f>V32+V49</f>
        <v>534724036.00999999</v>
      </c>
      <c r="W50" s="177"/>
      <c r="X50" s="71"/>
      <c r="Y50" s="73">
        <f>Y32+Y49</f>
        <v>39961110.119999997</v>
      </c>
      <c r="Z50" s="216">
        <f>Z32+Z49</f>
        <v>0</v>
      </c>
      <c r="AA50" s="406">
        <f>V50/1.0514</f>
        <v>508582876.17462403</v>
      </c>
    </row>
    <row r="51" spans="1:27" x14ac:dyDescent="0.25">
      <c r="AA51" s="557">
        <f>J50/AA50</f>
        <v>1.0774999999999999</v>
      </c>
    </row>
    <row r="52" spans="1:27" ht="45" customHeight="1" x14ac:dyDescent="0.25">
      <c r="A52" s="82">
        <v>35</v>
      </c>
      <c r="B52" s="41">
        <v>11</v>
      </c>
      <c r="C52" s="42" t="s">
        <v>277</v>
      </c>
      <c r="D52" s="43"/>
      <c r="E52" s="43"/>
      <c r="F52" s="43"/>
      <c r="G52" s="43"/>
      <c r="H52" s="43"/>
      <c r="I52" s="44"/>
      <c r="J52" s="55"/>
      <c r="K52" s="56"/>
      <c r="L52" s="56"/>
      <c r="M52" s="56"/>
      <c r="N52" s="56"/>
      <c r="O52" s="56"/>
      <c r="P52" s="53"/>
      <c r="Q52" s="53"/>
      <c r="R52" s="400" t="s">
        <v>139</v>
      </c>
      <c r="S52" s="190" t="s">
        <v>278</v>
      </c>
      <c r="T52" s="107">
        <v>0</v>
      </c>
      <c r="U52" s="107">
        <v>22184864.98</v>
      </c>
      <c r="V52" s="399">
        <f>T52+U52</f>
        <v>22184864.98</v>
      </c>
      <c r="X52" s="119"/>
      <c r="Y52" s="107"/>
      <c r="Z52" s="213"/>
    </row>
    <row r="53" spans="1:27" ht="16.5" thickBot="1" x14ac:dyDescent="0.3"/>
    <row r="54" spans="1:27" ht="31.5" customHeight="1" thickBot="1" x14ac:dyDescent="0.3">
      <c r="A54" s="104"/>
      <c r="B54" s="103" t="s">
        <v>153</v>
      </c>
      <c r="C54" s="70"/>
      <c r="D54" s="71">
        <f>D36+D53</f>
        <v>0</v>
      </c>
      <c r="E54" s="70"/>
      <c r="F54" s="72"/>
      <c r="G54" s="71">
        <f>SUM(G31:G53)</f>
        <v>933830597.49000001</v>
      </c>
      <c r="H54" s="71">
        <f>SUM(H31:H53)</f>
        <v>981792531.08000004</v>
      </c>
      <c r="I54" s="71"/>
      <c r="J54" s="71">
        <f t="shared" ref="J54:Q54" si="12">J36+J53</f>
        <v>0</v>
      </c>
      <c r="K54" s="71">
        <f t="shared" si="12"/>
        <v>0</v>
      </c>
      <c r="L54" s="71">
        <f t="shared" si="12"/>
        <v>0</v>
      </c>
      <c r="M54" s="71">
        <f t="shared" si="12"/>
        <v>0</v>
      </c>
      <c r="N54" s="71">
        <f t="shared" si="12"/>
        <v>0</v>
      </c>
      <c r="O54" s="71">
        <f t="shared" si="12"/>
        <v>0</v>
      </c>
      <c r="P54" s="71">
        <f t="shared" si="12"/>
        <v>0</v>
      </c>
      <c r="Q54" s="71">
        <f t="shared" si="12"/>
        <v>0</v>
      </c>
      <c r="R54" s="71"/>
      <c r="S54" s="402"/>
      <c r="T54" s="73">
        <f>T36+T53</f>
        <v>0</v>
      </c>
      <c r="U54" s="73">
        <f>U50+U52</f>
        <v>187405945.61000001</v>
      </c>
      <c r="V54" s="73">
        <f>V50+V52</f>
        <v>556908900.99000001</v>
      </c>
      <c r="W54" s="177"/>
      <c r="X54" s="71"/>
      <c r="Y54" s="73">
        <f>Y36+Y53</f>
        <v>0</v>
      </c>
      <c r="Z54" s="216">
        <f>Z36+Z53</f>
        <v>0</v>
      </c>
    </row>
    <row r="57" spans="1:27" x14ac:dyDescent="0.25">
      <c r="T57" s="45"/>
    </row>
    <row r="58" spans="1:27" x14ac:dyDescent="0.25">
      <c r="T58" s="45"/>
    </row>
    <row r="59" spans="1:27" x14ac:dyDescent="0.25">
      <c r="T59" s="45"/>
    </row>
    <row r="70" spans="1:27" s="39" customFormat="1" ht="54.95" customHeight="1" x14ac:dyDescent="0.25">
      <c r="A70" s="46"/>
      <c r="B70" s="47"/>
      <c r="C70" s="46"/>
      <c r="D70" s="48"/>
      <c r="E70" s="46"/>
      <c r="F70" s="49"/>
      <c r="G70" s="48"/>
      <c r="H70" s="48"/>
      <c r="I70" s="48"/>
      <c r="J70" s="48"/>
      <c r="K70" s="50"/>
      <c r="M70" s="35"/>
      <c r="O70" s="35"/>
      <c r="P70" s="36"/>
      <c r="Q70" s="36"/>
      <c r="R70" s="36"/>
      <c r="S70" s="36"/>
      <c r="T70" s="36"/>
      <c r="U70" s="36"/>
      <c r="V70" s="36"/>
      <c r="W70" s="176"/>
      <c r="X70" s="36"/>
      <c r="Y70" s="36"/>
      <c r="Z70" s="36"/>
      <c r="AA70" s="407"/>
    </row>
    <row r="71" spans="1:27" s="39" customFormat="1" x14ac:dyDescent="0.25">
      <c r="A71" s="36"/>
      <c r="B71" s="36"/>
      <c r="C71" s="36"/>
      <c r="D71" s="45">
        <f>ССР!H58</f>
        <v>392033.92</v>
      </c>
      <c r="E71" s="36"/>
      <c r="F71" s="45"/>
      <c r="G71" s="45">
        <f>ССР!H76</f>
        <v>434361.04</v>
      </c>
      <c r="H71" s="45">
        <f>ССР!H78</f>
        <v>456670</v>
      </c>
      <c r="I71" s="36"/>
      <c r="J71" s="45"/>
      <c r="K71" s="35"/>
      <c r="M71" s="35"/>
      <c r="O71" s="35"/>
      <c r="P71" s="36"/>
      <c r="Q71" s="36"/>
      <c r="R71" s="36"/>
      <c r="S71" s="36"/>
      <c r="T71" s="36"/>
      <c r="U71" s="36"/>
      <c r="V71" s="36"/>
      <c r="W71" s="176"/>
      <c r="X71" s="36"/>
      <c r="Y71" s="36"/>
      <c r="Z71" s="36"/>
      <c r="AA71" s="407"/>
    </row>
    <row r="72" spans="1:27" s="39" customFormat="1" x14ac:dyDescent="0.25">
      <c r="A72" s="36"/>
      <c r="B72" s="36"/>
      <c r="C72" s="36"/>
      <c r="D72" s="45">
        <f>D32/1000</f>
        <v>392033.92</v>
      </c>
      <c r="E72" s="36"/>
      <c r="F72" s="51"/>
      <c r="G72" s="52">
        <f>G32/1000</f>
        <v>434361.03</v>
      </c>
      <c r="H72" s="52">
        <f>H32/1000</f>
        <v>456670</v>
      </c>
      <c r="I72" s="36"/>
      <c r="J72" s="45"/>
      <c r="K72" s="50"/>
      <c r="M72" s="35"/>
      <c r="O72" s="35"/>
      <c r="P72" s="36"/>
      <c r="Q72" s="36"/>
      <c r="R72" s="36"/>
      <c r="S72" s="36"/>
      <c r="T72" s="36"/>
      <c r="U72" s="36"/>
      <c r="V72" s="36"/>
      <c r="W72" s="176"/>
      <c r="X72" s="36"/>
      <c r="Y72" s="36"/>
      <c r="Z72" s="36"/>
      <c r="AA72" s="407"/>
    </row>
    <row r="73" spans="1:27" s="39" customFormat="1" x14ac:dyDescent="0.25">
      <c r="A73" s="36"/>
      <c r="B73" s="36"/>
      <c r="C73" s="36"/>
      <c r="D73" s="45"/>
      <c r="E73" s="45"/>
      <c r="F73" s="51"/>
      <c r="G73" s="36"/>
      <c r="H73" s="36"/>
      <c r="I73" s="36"/>
      <c r="J73" s="36"/>
      <c r="M73" s="35"/>
      <c r="O73" s="35"/>
      <c r="P73" s="36"/>
      <c r="Q73" s="36"/>
      <c r="R73" s="36"/>
      <c r="S73" s="36"/>
      <c r="T73" s="36"/>
      <c r="U73" s="36"/>
      <c r="V73" s="36"/>
      <c r="W73" s="176"/>
      <c r="X73" s="36"/>
      <c r="Y73" s="36"/>
      <c r="Z73" s="36"/>
      <c r="AA73" s="407"/>
    </row>
    <row r="93" spans="1:1" x14ac:dyDescent="0.25">
      <c r="A93" s="36">
        <v>7</v>
      </c>
    </row>
  </sheetData>
  <autoFilter ref="A3:W50" xr:uid="{00000000-0001-0000-0100-000000000000}"/>
  <mergeCells count="13">
    <mergeCell ref="T5:U5"/>
    <mergeCell ref="T20:U20"/>
    <mergeCell ref="T46:U46"/>
    <mergeCell ref="T33:U33"/>
    <mergeCell ref="A1:J1"/>
    <mergeCell ref="A3:A4"/>
    <mergeCell ref="B3:B4"/>
    <mergeCell ref="C3:C4"/>
    <mergeCell ref="G3:G4"/>
    <mergeCell ref="H3:H4"/>
    <mergeCell ref="I3:I4"/>
    <mergeCell ref="J3:J4"/>
    <mergeCell ref="T21:U21"/>
  </mergeCells>
  <phoneticPr fontId="47" type="noConversion"/>
  <pageMargins left="0.23622047244094491" right="0.23622047244094491" top="0.74803149606299213" bottom="0.74803149606299213" header="0.31496062992125984" footer="0.31496062992125984"/>
  <pageSetup paperSize="9" scale="58" fitToHeight="100" orientation="landscape" r:id="rId1"/>
  <rowBreaks count="2" manualBreakCount="2">
    <brk id="52" max="17" man="1"/>
    <brk id="59" max="9" man="1"/>
  </rowBreaks>
  <drawing r:id="rId2"/>
  <legacyDrawing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EC12E9-97B4-4954-B72A-330398EF9369}">
  <sheetPr>
    <pageSetUpPr fitToPage="1"/>
  </sheetPr>
  <dimension ref="A1:X99"/>
  <sheetViews>
    <sheetView topLeftCell="C1" zoomScale="85" zoomScaleNormal="85" zoomScaleSheetLayoutView="80" workbookViewId="0">
      <pane ySplit="3" topLeftCell="A9" activePane="bottomLeft" state="frozen"/>
      <selection pane="bottomLeft" activeCell="N9" sqref="N9"/>
    </sheetView>
  </sheetViews>
  <sheetFormatPr defaultColWidth="9.140625" defaultRowHeight="15.75" outlineLevelCol="1" x14ac:dyDescent="0.25"/>
  <cols>
    <col min="1" max="1" width="7.42578125" style="36" customWidth="1"/>
    <col min="2" max="2" width="16.140625" style="36" customWidth="1"/>
    <col min="3" max="3" width="37.5703125" style="36" customWidth="1"/>
    <col min="4" max="4" width="20.5703125" style="36" customWidth="1" outlineLevel="1"/>
    <col min="5" max="5" width="18.85546875" style="36" customWidth="1" outlineLevel="1"/>
    <col min="6" max="6" width="17.5703125" style="36" customWidth="1" outlineLevel="1"/>
    <col min="7" max="7" width="20.7109375" style="36" customWidth="1" outlineLevel="1"/>
    <col min="8" max="8" width="19.5703125" style="36" customWidth="1" outlineLevel="1"/>
    <col min="9" max="9" width="8.5703125" style="36" customWidth="1" outlineLevel="1"/>
    <col min="10" max="10" width="21" style="36" customWidth="1"/>
    <col min="11" max="11" width="20.42578125" style="39" hidden="1" customWidth="1" outlineLevel="1"/>
    <col min="12" max="12" width="16.85546875" style="39" hidden="1" customWidth="1" outlineLevel="1"/>
    <col min="13" max="13" width="18.140625" style="35" hidden="1" customWidth="1" outlineLevel="1"/>
    <col min="14" max="14" width="16.85546875" style="39" hidden="1" customWidth="1" outlineLevel="1"/>
    <col min="15" max="15" width="18.140625" style="35" hidden="1" customWidth="1" outlineLevel="1"/>
    <col min="16" max="16" width="18.42578125" style="36" customWidth="1" collapsed="1"/>
    <col min="17" max="17" width="17.140625" style="36" customWidth="1"/>
    <col min="18" max="18" width="19.7109375" style="36" customWidth="1"/>
    <col min="19" max="19" width="33.85546875" style="36" customWidth="1"/>
    <col min="20" max="20" width="19" style="36" customWidth="1"/>
    <col min="21" max="21" width="3.28515625" style="176" customWidth="1"/>
    <col min="22" max="22" width="27.5703125" style="36" customWidth="1"/>
    <col min="23" max="24" width="19" style="36" customWidth="1"/>
    <col min="25" max="16384" width="9.140625" style="36"/>
  </cols>
  <sheetData>
    <row r="1" spans="1:24" ht="8.25" customHeight="1" x14ac:dyDescent="0.25">
      <c r="A1" s="1189"/>
      <c r="B1" s="1189"/>
      <c r="C1" s="1189"/>
      <c r="D1" s="1189"/>
      <c r="E1" s="1189"/>
      <c r="F1" s="1189"/>
      <c r="G1" s="1189"/>
      <c r="H1" s="1189"/>
      <c r="I1" s="1189"/>
      <c r="J1" s="1189"/>
      <c r="K1" s="268"/>
      <c r="L1" s="268"/>
      <c r="N1" s="268"/>
    </row>
    <row r="2" spans="1:24" ht="5.25" customHeight="1" thickBot="1" x14ac:dyDescent="0.3">
      <c r="A2" s="37"/>
      <c r="B2" s="37"/>
      <c r="C2" s="37"/>
      <c r="D2" s="37"/>
      <c r="E2" s="37"/>
      <c r="F2" s="37"/>
      <c r="G2" s="37"/>
      <c r="H2" s="37"/>
      <c r="I2" s="38"/>
      <c r="J2" s="37"/>
    </row>
    <row r="3" spans="1:24" ht="47.25" customHeight="1" x14ac:dyDescent="0.25">
      <c r="A3" s="1190" t="s">
        <v>111</v>
      </c>
      <c r="B3" s="1192" t="s">
        <v>112</v>
      </c>
      <c r="C3" s="1192" t="s">
        <v>113</v>
      </c>
      <c r="D3" s="270" t="s">
        <v>114</v>
      </c>
      <c r="E3" s="270" t="s">
        <v>115</v>
      </c>
      <c r="F3" s="270" t="s">
        <v>116</v>
      </c>
      <c r="G3" s="1192" t="s">
        <v>117</v>
      </c>
      <c r="H3" s="1194" t="s">
        <v>225</v>
      </c>
      <c r="I3" s="1192" t="s">
        <v>118</v>
      </c>
      <c r="J3" s="1194" t="s">
        <v>119</v>
      </c>
      <c r="K3" s="74" t="s">
        <v>126</v>
      </c>
      <c r="L3" s="74" t="s">
        <v>127</v>
      </c>
      <c r="M3" s="75" t="s">
        <v>128</v>
      </c>
      <c r="N3" s="76" t="s">
        <v>134</v>
      </c>
      <c r="O3" s="77" t="s">
        <v>135</v>
      </c>
      <c r="P3" s="78" t="s">
        <v>136</v>
      </c>
      <c r="Q3" s="78" t="s">
        <v>121</v>
      </c>
      <c r="R3" s="79" t="s">
        <v>137</v>
      </c>
      <c r="S3" s="79" t="s">
        <v>138</v>
      </c>
      <c r="T3" s="80" t="s">
        <v>157</v>
      </c>
      <c r="V3" s="79" t="s">
        <v>193</v>
      </c>
      <c r="W3" s="80" t="s">
        <v>157</v>
      </c>
      <c r="X3" s="80" t="s">
        <v>137</v>
      </c>
    </row>
    <row r="4" spans="1:24" ht="23.25" customHeight="1" x14ac:dyDescent="0.25">
      <c r="A4" s="1191"/>
      <c r="B4" s="1193"/>
      <c r="C4" s="1193"/>
      <c r="D4" s="271"/>
      <c r="E4" s="271"/>
      <c r="F4" s="271"/>
      <c r="G4" s="1193"/>
      <c r="H4" s="1195"/>
      <c r="I4" s="1193"/>
      <c r="J4" s="1195"/>
      <c r="K4" s="54" t="s">
        <v>122</v>
      </c>
      <c r="L4" s="54" t="s">
        <v>123</v>
      </c>
      <c r="M4" s="54" t="s">
        <v>124</v>
      </c>
      <c r="N4" s="54" t="s">
        <v>132</v>
      </c>
      <c r="O4" s="54" t="s">
        <v>133</v>
      </c>
      <c r="P4" s="40"/>
      <c r="Q4" s="40"/>
      <c r="R4" s="65"/>
      <c r="S4" s="65"/>
      <c r="T4" s="81"/>
      <c r="V4" s="65"/>
      <c r="W4" s="81"/>
      <c r="X4" s="81"/>
    </row>
    <row r="5" spans="1:24" ht="23.25" customHeight="1" x14ac:dyDescent="0.25">
      <c r="A5" s="269"/>
      <c r="B5" s="271"/>
      <c r="C5" s="271" t="s">
        <v>221</v>
      </c>
      <c r="D5" s="271"/>
      <c r="E5" s="271"/>
      <c r="F5" s="271"/>
      <c r="G5" s="271"/>
      <c r="H5" s="272"/>
      <c r="I5" s="271"/>
      <c r="J5" s="272">
        <f>J6/1.2</f>
        <v>56893839.633333303</v>
      </c>
      <c r="K5" s="54"/>
      <c r="L5" s="54"/>
      <c r="M5" s="54"/>
      <c r="N5" s="54"/>
      <c r="O5" s="54"/>
      <c r="P5" s="318">
        <f>P6/1.082/1.024/1.0514/1.2</f>
        <v>47118689.259999998</v>
      </c>
      <c r="Q5" s="40"/>
      <c r="R5" s="65"/>
      <c r="S5" s="65"/>
      <c r="T5" s="81"/>
      <c r="V5" s="65"/>
      <c r="W5" s="81"/>
      <c r="X5" s="81"/>
    </row>
    <row r="6" spans="1:24" ht="59.25" customHeight="1" x14ac:dyDescent="0.25">
      <c r="A6" s="301">
        <v>1</v>
      </c>
      <c r="B6" s="319" t="s">
        <v>223</v>
      </c>
      <c r="C6" s="302" t="str">
        <f>ССР!C24</f>
        <v>Выполнение работ по ликвидации объектов по трассе ж.д. путей, подготовке трассы ж.д. путей.</v>
      </c>
      <c r="D6" s="303">
        <v>47118689.259999998</v>
      </c>
      <c r="E6" s="303">
        <v>4004979.12</v>
      </c>
      <c r="F6" s="303">
        <v>1268308.51</v>
      </c>
      <c r="G6" s="303">
        <v>54114496.369999997</v>
      </c>
      <c r="H6" s="303">
        <v>56893839.630000003</v>
      </c>
      <c r="I6" s="304">
        <v>1.2</v>
      </c>
      <c r="J6" s="305">
        <f>ROUND(H6*I6,2)</f>
        <v>68272607.560000002</v>
      </c>
      <c r="K6" s="299">
        <v>65507253.219999999</v>
      </c>
      <c r="L6" s="299">
        <v>360012.73</v>
      </c>
      <c r="M6" s="299"/>
      <c r="N6" s="299"/>
      <c r="O6" s="299"/>
      <c r="P6" s="53">
        <f t="shared" ref="P6:P19" si="0">K6+L6+M6+N6+O6</f>
        <v>65867265.950000003</v>
      </c>
      <c r="Q6" s="53">
        <f>J6-K6-L6-M6-N6-O6</f>
        <v>2405341.61</v>
      </c>
      <c r="R6" s="112" t="s">
        <v>139</v>
      </c>
      <c r="S6" s="111" t="s">
        <v>158</v>
      </c>
      <c r="T6" s="83">
        <f>47118689.25*1.082*1.024*1.0514*1.2</f>
        <v>65867265.939999998</v>
      </c>
      <c r="U6" s="177"/>
      <c r="V6" s="111"/>
      <c r="W6" s="84"/>
      <c r="X6" s="208"/>
    </row>
    <row r="7" spans="1:24" ht="35.1" customHeight="1" x14ac:dyDescent="0.25">
      <c r="A7" s="301">
        <v>2</v>
      </c>
      <c r="B7" s="319" t="s">
        <v>27</v>
      </c>
      <c r="C7" s="302" t="str">
        <f>ССР!C25</f>
        <v>Выполнение работ по ликвидации объекта капитального строительства</v>
      </c>
      <c r="D7" s="303">
        <v>40054718.460000001</v>
      </c>
      <c r="E7" s="303">
        <v>3284486.91</v>
      </c>
      <c r="F7" s="303">
        <v>1040140.93</v>
      </c>
      <c r="G7" s="303">
        <v>44379346.299999997</v>
      </c>
      <c r="H7" s="303">
        <v>46658688.170000002</v>
      </c>
      <c r="I7" s="304">
        <v>1.2</v>
      </c>
      <c r="J7" s="305">
        <f>ROUND(H7*I7,2)</f>
        <v>55990425.799999997</v>
      </c>
      <c r="K7" s="299">
        <v>54911594.170000002</v>
      </c>
      <c r="L7" s="299"/>
      <c r="M7" s="299"/>
      <c r="N7" s="299"/>
      <c r="O7" s="299"/>
      <c r="P7" s="53">
        <f t="shared" si="0"/>
        <v>54911594.170000002</v>
      </c>
      <c r="Q7" s="53">
        <f>J7-K7-L7-M7-N7-O7</f>
        <v>1078831.6299999999</v>
      </c>
      <c r="R7" s="112" t="s">
        <v>139</v>
      </c>
      <c r="S7" s="111" t="s">
        <v>158</v>
      </c>
      <c r="T7" s="83">
        <f>39281459.54*1.082*1.024*1.0514*1.2</f>
        <v>54911594.170000002</v>
      </c>
      <c r="V7" s="111"/>
      <c r="W7" s="84"/>
      <c r="X7" s="208"/>
    </row>
    <row r="8" spans="1:24" ht="35.1" customHeight="1" x14ac:dyDescent="0.25">
      <c r="A8" s="301">
        <v>3</v>
      </c>
      <c r="B8" s="319" t="s">
        <v>28</v>
      </c>
      <c r="C8" s="302" t="str">
        <f>ССР!C26</f>
        <v>Демонтаж сетей и систем  инженерного обоспечения.</v>
      </c>
      <c r="D8" s="303">
        <v>1177977.71</v>
      </c>
      <c r="E8" s="303">
        <v>96594.17</v>
      </c>
      <c r="F8" s="303">
        <v>30589.73</v>
      </c>
      <c r="G8" s="303">
        <v>1305161.6100000001</v>
      </c>
      <c r="H8" s="303">
        <v>1372195.26</v>
      </c>
      <c r="I8" s="304">
        <f>I6</f>
        <v>1.2</v>
      </c>
      <c r="J8" s="305">
        <f>ROUND(H8*I8,2)</f>
        <v>1646634.31</v>
      </c>
      <c r="K8" s="299"/>
      <c r="L8" s="299"/>
      <c r="M8" s="299">
        <v>1646696.3</v>
      </c>
      <c r="N8" s="299"/>
      <c r="O8" s="299"/>
      <c r="P8" s="53">
        <f t="shared" si="0"/>
        <v>1646696.3</v>
      </c>
      <c r="Q8" s="53">
        <v>0</v>
      </c>
      <c r="R8" s="112" t="s">
        <v>139</v>
      </c>
      <c r="S8" s="111" t="s">
        <v>158</v>
      </c>
      <c r="T8" s="84">
        <f>1177977.71*1.082*1.024*1.0514*1.2</f>
        <v>1646696.3</v>
      </c>
      <c r="V8" s="111"/>
      <c r="W8" s="84"/>
      <c r="X8" s="208"/>
    </row>
    <row r="9" spans="1:24" ht="34.5" customHeight="1" x14ac:dyDescent="0.25">
      <c r="A9" s="310">
        <v>4</v>
      </c>
      <c r="B9" s="311" t="s">
        <v>31</v>
      </c>
      <c r="C9" s="312" t="s">
        <v>11</v>
      </c>
      <c r="D9" s="313">
        <v>161452921.99000001</v>
      </c>
      <c r="E9" s="313">
        <v>13239139.6</v>
      </c>
      <c r="F9" s="313">
        <v>4192609.48</v>
      </c>
      <c r="G9" s="313">
        <v>178884671.06999999</v>
      </c>
      <c r="H9" s="313">
        <v>188072263.84999999</v>
      </c>
      <c r="I9" s="314">
        <v>1.2</v>
      </c>
      <c r="J9" s="315">
        <v>225686716.62</v>
      </c>
      <c r="K9" s="316">
        <v>89998722.969999999</v>
      </c>
      <c r="L9" s="316">
        <v>66544414.909999996</v>
      </c>
      <c r="M9" s="316">
        <v>42672742.899999999</v>
      </c>
      <c r="N9" s="316"/>
      <c r="O9" s="316"/>
      <c r="P9" s="53">
        <f t="shared" si="0"/>
        <v>199215880.78</v>
      </c>
      <c r="Q9" s="53">
        <f t="shared" ref="Q9:Q19" si="1">J9-K9-L9-M9-N9-O9</f>
        <v>26470835.84</v>
      </c>
      <c r="R9" s="112" t="s">
        <v>169</v>
      </c>
      <c r="S9" s="111" t="s">
        <v>189</v>
      </c>
      <c r="T9" s="224"/>
      <c r="V9" s="111"/>
      <c r="W9" s="84"/>
      <c r="X9" s="208"/>
    </row>
    <row r="10" spans="1:24" ht="35.1" customHeight="1" x14ac:dyDescent="0.25">
      <c r="A10" s="301">
        <v>5</v>
      </c>
      <c r="B10" s="319" t="s">
        <v>32</v>
      </c>
      <c r="C10" s="302" t="s">
        <v>12</v>
      </c>
      <c r="D10" s="303">
        <v>4505948.67</v>
      </c>
      <c r="E10" s="303">
        <v>369487.79</v>
      </c>
      <c r="F10" s="303">
        <v>117010.48</v>
      </c>
      <c r="G10" s="303">
        <v>4992446.9400000004</v>
      </c>
      <c r="H10" s="303">
        <v>5248861.1100000003</v>
      </c>
      <c r="I10" s="304">
        <v>1.2</v>
      </c>
      <c r="J10" s="305">
        <v>6298633.3300000001</v>
      </c>
      <c r="K10" s="299"/>
      <c r="L10" s="299"/>
      <c r="M10" s="299"/>
      <c r="N10" s="299">
        <v>5245250.92</v>
      </c>
      <c r="O10" s="299"/>
      <c r="P10" s="53">
        <f t="shared" si="0"/>
        <v>5245250.92</v>
      </c>
      <c r="Q10" s="53">
        <f t="shared" si="1"/>
        <v>1053382.4099999999</v>
      </c>
      <c r="R10" s="112" t="s">
        <v>168</v>
      </c>
      <c r="S10" s="111" t="s">
        <v>189</v>
      </c>
      <c r="T10" s="84">
        <f>P10</f>
        <v>5245250.92</v>
      </c>
      <c r="U10" s="207" t="s">
        <v>172</v>
      </c>
      <c r="V10" s="111"/>
      <c r="W10" s="84"/>
      <c r="X10" s="208"/>
    </row>
    <row r="11" spans="1:24" ht="30" customHeight="1" x14ac:dyDescent="0.25">
      <c r="A11" s="301">
        <v>6</v>
      </c>
      <c r="B11" s="319" t="s">
        <v>33</v>
      </c>
      <c r="C11" s="302" t="s">
        <v>34</v>
      </c>
      <c r="D11" s="303">
        <v>10526911.91</v>
      </c>
      <c r="E11" s="303">
        <v>863206.78</v>
      </c>
      <c r="F11" s="303">
        <v>273362.84999999998</v>
      </c>
      <c r="G11" s="303">
        <v>11663481.539999999</v>
      </c>
      <c r="H11" s="303">
        <v>12262522.85</v>
      </c>
      <c r="I11" s="304">
        <v>1.2</v>
      </c>
      <c r="J11" s="305">
        <v>14715027.42</v>
      </c>
      <c r="K11" s="299"/>
      <c r="L11" s="299">
        <v>10775049.08</v>
      </c>
      <c r="M11" s="299"/>
      <c r="N11" s="299"/>
      <c r="O11" s="299"/>
      <c r="P11" s="53">
        <f t="shared" si="0"/>
        <v>10775049.08</v>
      </c>
      <c r="Q11" s="53">
        <f t="shared" si="1"/>
        <v>3939978.34</v>
      </c>
      <c r="R11" s="190"/>
      <c r="S11" s="111" t="s">
        <v>189</v>
      </c>
      <c r="T11" s="224"/>
      <c r="V11" s="111"/>
      <c r="W11" s="84"/>
      <c r="X11" s="208"/>
    </row>
    <row r="12" spans="1:24" ht="44.25" customHeight="1" x14ac:dyDescent="0.25">
      <c r="A12" s="301">
        <v>7</v>
      </c>
      <c r="B12" s="319" t="s">
        <v>35</v>
      </c>
      <c r="C12" s="302" t="s">
        <v>36</v>
      </c>
      <c r="D12" s="303">
        <v>1615223.87</v>
      </c>
      <c r="E12" s="303">
        <v>132448.35999999999</v>
      </c>
      <c r="F12" s="303">
        <v>41944.13</v>
      </c>
      <c r="G12" s="303">
        <v>1789616.36</v>
      </c>
      <c r="H12" s="303">
        <v>1881531.81</v>
      </c>
      <c r="I12" s="304">
        <v>1.2</v>
      </c>
      <c r="J12" s="305">
        <v>2257838.17</v>
      </c>
      <c r="K12" s="299"/>
      <c r="L12" s="299"/>
      <c r="M12" s="299">
        <v>1627347.05</v>
      </c>
      <c r="N12" s="299"/>
      <c r="O12" s="299"/>
      <c r="P12" s="227">
        <f t="shared" si="0"/>
        <v>1627347.05</v>
      </c>
      <c r="Q12" s="227">
        <f t="shared" si="1"/>
        <v>630491.12</v>
      </c>
      <c r="R12" s="228" t="s">
        <v>139</v>
      </c>
      <c r="S12" s="229" t="s">
        <v>171</v>
      </c>
      <c r="T12" s="230">
        <f>1434541.77*1.082*1.024*1.0514*1.2</f>
        <v>2005347.47</v>
      </c>
      <c r="U12" s="231"/>
      <c r="V12" s="228" t="s">
        <v>139</v>
      </c>
      <c r="W12" s="232">
        <f>1447989.61*1.082*1.024*1.0514*1.2</f>
        <v>2024146.22</v>
      </c>
      <c r="X12" s="233" t="s">
        <v>186</v>
      </c>
    </row>
    <row r="13" spans="1:24" ht="35.1" customHeight="1" x14ac:dyDescent="0.25">
      <c r="A13" s="301">
        <v>8</v>
      </c>
      <c r="B13" s="319" t="s">
        <v>51</v>
      </c>
      <c r="C13" s="302" t="s">
        <v>52</v>
      </c>
      <c r="D13" s="303">
        <v>9143309.8300000001</v>
      </c>
      <c r="E13" s="303">
        <v>749751.41</v>
      </c>
      <c r="F13" s="303">
        <v>237433.47</v>
      </c>
      <c r="G13" s="303">
        <v>10130494.710000001</v>
      </c>
      <c r="H13" s="303">
        <v>10650801.17</v>
      </c>
      <c r="I13" s="304">
        <v>1.2</v>
      </c>
      <c r="J13" s="305">
        <v>12780961.4</v>
      </c>
      <c r="K13" s="299"/>
      <c r="L13" s="299"/>
      <c r="M13" s="299"/>
      <c r="N13" s="299"/>
      <c r="O13" s="299">
        <v>337909.86</v>
      </c>
      <c r="P13" s="198">
        <f t="shared" si="0"/>
        <v>337909.86</v>
      </c>
      <c r="Q13" s="198">
        <f t="shared" si="1"/>
        <v>12443051.539999999</v>
      </c>
      <c r="R13" s="203" t="s">
        <v>139</v>
      </c>
      <c r="S13" s="205" t="s">
        <v>171</v>
      </c>
      <c r="T13" s="204">
        <f>2121713.88*1.082*1.024*1.0514*1.2</f>
        <v>2965946.1</v>
      </c>
      <c r="U13" s="178"/>
      <c r="V13" s="111" t="s">
        <v>139</v>
      </c>
      <c r="W13" s="84">
        <f>1724717.19*1.082*1.024*1.0514*1.2</f>
        <v>2410984</v>
      </c>
      <c r="X13" s="233" t="s">
        <v>186</v>
      </c>
    </row>
    <row r="14" spans="1:24" ht="35.1" customHeight="1" x14ac:dyDescent="0.25">
      <c r="A14" s="301">
        <v>9</v>
      </c>
      <c r="B14" s="319" t="s">
        <v>224</v>
      </c>
      <c r="C14" s="302" t="s">
        <v>54</v>
      </c>
      <c r="D14" s="303">
        <v>21996729.18</v>
      </c>
      <c r="E14" s="303">
        <v>1803731.79</v>
      </c>
      <c r="F14" s="303">
        <v>571211.06000000006</v>
      </c>
      <c r="G14" s="303">
        <v>24371672.030000001</v>
      </c>
      <c r="H14" s="303">
        <v>25623411.34</v>
      </c>
      <c r="I14" s="304">
        <v>1.2</v>
      </c>
      <c r="J14" s="305">
        <v>30748093.609999999</v>
      </c>
      <c r="K14" s="299"/>
      <c r="L14" s="299"/>
      <c r="M14" s="299">
        <v>1211400.79</v>
      </c>
      <c r="N14" s="299"/>
      <c r="O14" s="299"/>
      <c r="P14" s="198">
        <f t="shared" si="0"/>
        <v>1211400.79</v>
      </c>
      <c r="Q14" s="198">
        <f t="shared" si="1"/>
        <v>29536692.82</v>
      </c>
      <c r="R14" s="205" t="s">
        <v>139</v>
      </c>
      <c r="S14" s="205" t="s">
        <v>171</v>
      </c>
      <c r="T14" s="204">
        <f>2987164.98*1.082*1.024*1.0514*1.2</f>
        <v>4175761.11</v>
      </c>
      <c r="U14" s="178"/>
      <c r="V14" s="111" t="s">
        <v>139</v>
      </c>
      <c r="W14" s="84">
        <f>2827828.36*1.082*1.024*1.0514*1.2</f>
        <v>3953024.28</v>
      </c>
      <c r="X14" s="233" t="s">
        <v>186</v>
      </c>
    </row>
    <row r="15" spans="1:24" ht="35.1" customHeight="1" x14ac:dyDescent="0.25">
      <c r="A15" s="301">
        <v>10</v>
      </c>
      <c r="B15" s="319" t="s">
        <v>55</v>
      </c>
      <c r="C15" s="302" t="s">
        <v>56</v>
      </c>
      <c r="D15" s="303">
        <v>1758763.66</v>
      </c>
      <c r="E15" s="303">
        <v>144218.62</v>
      </c>
      <c r="F15" s="303">
        <v>45671.57</v>
      </c>
      <c r="G15" s="303">
        <v>1948653.85</v>
      </c>
      <c r="H15" s="303">
        <v>2048737.53</v>
      </c>
      <c r="I15" s="304">
        <v>1.2</v>
      </c>
      <c r="J15" s="305">
        <v>2458485.04</v>
      </c>
      <c r="K15" s="299"/>
      <c r="L15" s="299"/>
      <c r="M15" s="299"/>
      <c r="N15" s="299"/>
      <c r="O15" s="299">
        <v>505496.99</v>
      </c>
      <c r="P15" s="53">
        <f t="shared" si="0"/>
        <v>505496.99</v>
      </c>
      <c r="Q15" s="53">
        <f t="shared" si="1"/>
        <v>1952988.05</v>
      </c>
      <c r="R15" s="191"/>
      <c r="S15" s="111" t="s">
        <v>189</v>
      </c>
      <c r="T15" s="224"/>
      <c r="V15" s="111"/>
      <c r="W15" s="84"/>
      <c r="X15" s="208"/>
    </row>
    <row r="16" spans="1:24" ht="35.1" customHeight="1" x14ac:dyDescent="0.25">
      <c r="A16" s="301">
        <v>11</v>
      </c>
      <c r="B16" s="319" t="s">
        <v>58</v>
      </c>
      <c r="C16" s="302" t="s">
        <v>108</v>
      </c>
      <c r="D16" s="303">
        <v>4044845.15</v>
      </c>
      <c r="E16" s="303">
        <v>331677.3</v>
      </c>
      <c r="F16" s="303">
        <v>105036.54</v>
      </c>
      <c r="G16" s="303">
        <v>4481558.99</v>
      </c>
      <c r="H16" s="303">
        <v>4711733.74</v>
      </c>
      <c r="I16" s="304">
        <v>1.2</v>
      </c>
      <c r="J16" s="305">
        <v>5654080.4900000002</v>
      </c>
      <c r="K16" s="299"/>
      <c r="L16" s="299"/>
      <c r="M16" s="299"/>
      <c r="N16" s="299"/>
      <c r="O16" s="299">
        <v>3594854.48</v>
      </c>
      <c r="P16" s="53">
        <f t="shared" si="0"/>
        <v>3594854.48</v>
      </c>
      <c r="Q16" s="53">
        <f t="shared" si="1"/>
        <v>2059226.01</v>
      </c>
      <c r="R16" s="191"/>
      <c r="S16" s="111" t="s">
        <v>189</v>
      </c>
      <c r="T16" s="224"/>
      <c r="V16" s="111"/>
      <c r="W16" s="84"/>
      <c r="X16" s="208"/>
    </row>
    <row r="17" spans="1:24" ht="51.75" customHeight="1" x14ac:dyDescent="0.25">
      <c r="A17" s="301">
        <v>12</v>
      </c>
      <c r="B17" s="319" t="s">
        <v>59</v>
      </c>
      <c r="C17" s="302" t="s">
        <v>60</v>
      </c>
      <c r="D17" s="303">
        <v>4859580.66</v>
      </c>
      <c r="E17" s="303">
        <v>398485.61</v>
      </c>
      <c r="F17" s="303">
        <v>126193.59</v>
      </c>
      <c r="G17" s="303">
        <v>5384259.8600000003</v>
      </c>
      <c r="H17" s="303">
        <v>5660797.71</v>
      </c>
      <c r="I17" s="304">
        <v>1.2</v>
      </c>
      <c r="J17" s="305">
        <v>6792957.25</v>
      </c>
      <c r="K17" s="299"/>
      <c r="L17" s="299"/>
      <c r="M17" s="299"/>
      <c r="N17" s="299"/>
      <c r="O17" s="299">
        <v>562345.21</v>
      </c>
      <c r="P17" s="53">
        <f t="shared" si="0"/>
        <v>562345.21</v>
      </c>
      <c r="Q17" s="53">
        <f t="shared" si="1"/>
        <v>6230612.04</v>
      </c>
      <c r="R17" s="175" t="s">
        <v>185</v>
      </c>
      <c r="S17" s="111" t="s">
        <v>190</v>
      </c>
      <c r="T17" s="84">
        <f>2024770.16*1.082*1.024*1.0514*1.2</f>
        <v>2830428.37</v>
      </c>
      <c r="V17" s="111"/>
      <c r="W17" s="84"/>
      <c r="X17" s="208"/>
    </row>
    <row r="18" spans="1:24" ht="35.1" customHeight="1" x14ac:dyDescent="0.25">
      <c r="A18" s="301">
        <v>13</v>
      </c>
      <c r="B18" s="319" t="s">
        <v>70</v>
      </c>
      <c r="C18" s="302" t="s">
        <v>8</v>
      </c>
      <c r="D18" s="303">
        <v>5005903.75</v>
      </c>
      <c r="E18" s="303">
        <v>410484.11</v>
      </c>
      <c r="F18" s="303">
        <v>129993.31</v>
      </c>
      <c r="G18" s="303">
        <v>5546381.1699999999</v>
      </c>
      <c r="H18" s="303">
        <v>5831245.6399999997</v>
      </c>
      <c r="I18" s="304">
        <v>1.2</v>
      </c>
      <c r="J18" s="305">
        <v>6997494.7699999996</v>
      </c>
      <c r="K18" s="299"/>
      <c r="L18" s="299">
        <v>2298854.48</v>
      </c>
      <c r="M18" s="299"/>
      <c r="N18" s="299"/>
      <c r="O18" s="299"/>
      <c r="P18" s="53">
        <f t="shared" si="0"/>
        <v>2298854.48</v>
      </c>
      <c r="Q18" s="53">
        <f t="shared" si="1"/>
        <v>4698640.29</v>
      </c>
      <c r="R18" s="175" t="s">
        <v>185</v>
      </c>
      <c r="S18" s="111" t="s">
        <v>191</v>
      </c>
      <c r="T18" s="84">
        <f>10751161.41*1.082*1.024*1.0514*1.2</f>
        <v>15029060</v>
      </c>
      <c r="U18" s="206"/>
      <c r="V18" s="111"/>
      <c r="W18" s="84"/>
      <c r="X18" s="208"/>
    </row>
    <row r="19" spans="1:24" ht="35.1" customHeight="1" thickBot="1" x14ac:dyDescent="0.3">
      <c r="A19" s="301">
        <v>14</v>
      </c>
      <c r="B19" s="320" t="s">
        <v>71</v>
      </c>
      <c r="C19" s="306" t="s">
        <v>109</v>
      </c>
      <c r="D19" s="307">
        <v>48898423.600000001</v>
      </c>
      <c r="E19" s="307">
        <v>4009670.74</v>
      </c>
      <c r="F19" s="307">
        <v>1269794.26</v>
      </c>
      <c r="G19" s="307">
        <v>54177888.600000001</v>
      </c>
      <c r="H19" s="307">
        <v>56960487.710000001</v>
      </c>
      <c r="I19" s="308">
        <v>1.2</v>
      </c>
      <c r="J19" s="309">
        <v>68352585.25</v>
      </c>
      <c r="K19" s="300"/>
      <c r="L19" s="300"/>
      <c r="M19" s="300">
        <v>11709977.720000001</v>
      </c>
      <c r="N19" s="300"/>
      <c r="O19" s="300">
        <v>3615838.44</v>
      </c>
      <c r="P19" s="64">
        <f t="shared" si="0"/>
        <v>15325816.16</v>
      </c>
      <c r="Q19" s="64">
        <f t="shared" si="1"/>
        <v>53026769.090000004</v>
      </c>
      <c r="R19" s="297" t="s">
        <v>185</v>
      </c>
      <c r="S19" s="298" t="s">
        <v>192</v>
      </c>
      <c r="T19" s="85">
        <f>55253749.43*1.082*1.024*1.0514*1.2</f>
        <v>77239275.239999995</v>
      </c>
      <c r="U19" s="206"/>
      <c r="V19" s="111"/>
      <c r="W19" s="85"/>
      <c r="X19" s="209"/>
    </row>
    <row r="20" spans="1:24" ht="31.5" customHeight="1" thickTop="1" thickBot="1" x14ac:dyDescent="0.3">
      <c r="A20" s="95"/>
      <c r="B20" s="96" t="s">
        <v>120</v>
      </c>
      <c r="C20" s="97"/>
      <c r="D20" s="98" t="e">
        <f>SUM(#REF!)</f>
        <v>#REF!</v>
      </c>
      <c r="E20" s="97"/>
      <c r="F20" s="99"/>
      <c r="G20" s="98" t="e">
        <f>SUM(#REF!)</f>
        <v>#REF!</v>
      </c>
      <c r="H20" s="98" t="e">
        <f>SUM(#REF!)</f>
        <v>#REF!</v>
      </c>
      <c r="I20" s="98"/>
      <c r="J20" s="98">
        <f>SUM(J6:J19)</f>
        <v>508652541.01999998</v>
      </c>
      <c r="K20" s="98">
        <f t="shared" ref="K20:Q20" si="2">SUM(K6:K19)</f>
        <v>210417570.36000001</v>
      </c>
      <c r="L20" s="98">
        <f>SUM(L6:L19)+0.01</f>
        <v>79978331.209999993</v>
      </c>
      <c r="M20" s="98">
        <f t="shared" si="2"/>
        <v>58868164.759999998</v>
      </c>
      <c r="N20" s="98">
        <f t="shared" si="2"/>
        <v>5245250.92</v>
      </c>
      <c r="O20" s="98">
        <f t="shared" si="2"/>
        <v>8616444.9800000004</v>
      </c>
      <c r="P20" s="317">
        <f>SUM(P6:P19)+0.01</f>
        <v>363125762.23000002</v>
      </c>
      <c r="Q20" s="98">
        <f t="shared" si="2"/>
        <v>145526840.78999999</v>
      </c>
      <c r="R20" s="115">
        <v>363125762.23000002</v>
      </c>
      <c r="S20" s="115"/>
      <c r="T20" s="101" t="e">
        <f>SUM(#REF!)</f>
        <v>#REF!</v>
      </c>
      <c r="U20" s="177"/>
      <c r="V20" s="115"/>
      <c r="W20" s="101" t="e">
        <f>SUM(#REF!)</f>
        <v>#REF!</v>
      </c>
      <c r="X20" s="210" t="e">
        <f>SUM(#REF!)</f>
        <v>#REF!</v>
      </c>
    </row>
    <row r="21" spans="1:24" ht="35.1" customHeight="1" thickTop="1" x14ac:dyDescent="0.25">
      <c r="A21" s="283"/>
      <c r="B21" s="284"/>
      <c r="C21" s="285" t="s">
        <v>222</v>
      </c>
      <c r="D21" s="286"/>
      <c r="E21" s="286"/>
      <c r="F21" s="286"/>
      <c r="G21" s="286"/>
      <c r="H21" s="286"/>
      <c r="I21" s="287"/>
      <c r="J21" s="288"/>
      <c r="K21" s="289"/>
      <c r="L21" s="289"/>
      <c r="M21" s="289"/>
      <c r="N21" s="289"/>
      <c r="O21" s="289"/>
      <c r="P21" s="290"/>
      <c r="Q21" s="293"/>
      <c r="R21" s="294"/>
      <c r="S21" s="295"/>
      <c r="T21" s="296"/>
      <c r="U21" s="206"/>
      <c r="V21" s="111"/>
      <c r="W21" s="291"/>
      <c r="X21" s="292"/>
    </row>
    <row r="22" spans="1:24" ht="34.5" customHeight="1" x14ac:dyDescent="0.25">
      <c r="A22" s="82">
        <v>4</v>
      </c>
      <c r="B22" s="186" t="s">
        <v>31</v>
      </c>
      <c r="C22" s="42" t="s">
        <v>11</v>
      </c>
      <c r="D22" s="127">
        <v>161452921.99000001</v>
      </c>
      <c r="E22" s="127">
        <v>13239139.6</v>
      </c>
      <c r="F22" s="127">
        <v>4192609.48</v>
      </c>
      <c r="G22" s="127">
        <v>178884671.06999999</v>
      </c>
      <c r="H22" s="127">
        <v>188072263.84999999</v>
      </c>
      <c r="I22" s="44">
        <v>1.2</v>
      </c>
      <c r="J22" s="55">
        <v>225686716.62</v>
      </c>
      <c r="K22" s="56"/>
      <c r="L22" s="56"/>
      <c r="M22" s="56"/>
      <c r="N22" s="56"/>
      <c r="O22" s="56"/>
      <c r="P22" s="53">
        <f t="shared" ref="P22:P30" si="3">K22+L22+M22+N22+O22</f>
        <v>0</v>
      </c>
      <c r="Q22" s="53">
        <f t="shared" ref="Q22:Q30" si="4">J22-K22-L22-M22-N22-O22</f>
        <v>225686716.62</v>
      </c>
      <c r="R22" s="112" t="s">
        <v>169</v>
      </c>
      <c r="S22" s="111" t="s">
        <v>189</v>
      </c>
      <c r="T22" s="224"/>
      <c r="V22" s="111"/>
      <c r="W22" s="84"/>
      <c r="X22" s="208"/>
    </row>
    <row r="23" spans="1:24" ht="35.1" customHeight="1" x14ac:dyDescent="0.25">
      <c r="A23" s="82">
        <v>5</v>
      </c>
      <c r="B23" s="41" t="s">
        <v>32</v>
      </c>
      <c r="C23" s="42" t="s">
        <v>12</v>
      </c>
      <c r="D23" s="127">
        <v>4505948.67</v>
      </c>
      <c r="E23" s="127">
        <v>369487.79</v>
      </c>
      <c r="F23" s="127">
        <v>117010.48</v>
      </c>
      <c r="G23" s="127">
        <v>4992446.9400000004</v>
      </c>
      <c r="H23" s="127">
        <v>5248861.1100000003</v>
      </c>
      <c r="I23" s="44">
        <v>1.2</v>
      </c>
      <c r="J23" s="55">
        <v>6298633.3300000001</v>
      </c>
      <c r="K23" s="56"/>
      <c r="L23" s="56"/>
      <c r="M23" s="56"/>
      <c r="N23" s="56"/>
      <c r="O23" s="56"/>
      <c r="P23" s="53">
        <f t="shared" si="3"/>
        <v>0</v>
      </c>
      <c r="Q23" s="53">
        <f t="shared" si="4"/>
        <v>6298633.3300000001</v>
      </c>
      <c r="R23" s="112" t="s">
        <v>168</v>
      </c>
      <c r="S23" s="111" t="s">
        <v>189</v>
      </c>
      <c r="T23" s="84">
        <f>P23</f>
        <v>0</v>
      </c>
      <c r="U23" s="207" t="s">
        <v>172</v>
      </c>
      <c r="V23" s="111"/>
      <c r="W23" s="84"/>
      <c r="X23" s="208"/>
    </row>
    <row r="24" spans="1:24" ht="30" customHeight="1" x14ac:dyDescent="0.25">
      <c r="A24" s="82">
        <v>6</v>
      </c>
      <c r="B24" s="41" t="s">
        <v>33</v>
      </c>
      <c r="C24" s="42" t="s">
        <v>34</v>
      </c>
      <c r="D24" s="127">
        <v>10526911.91</v>
      </c>
      <c r="E24" s="127">
        <v>863206.78</v>
      </c>
      <c r="F24" s="127">
        <v>273362.84999999998</v>
      </c>
      <c r="G24" s="127">
        <v>11663481.539999999</v>
      </c>
      <c r="H24" s="127">
        <v>12262522.85</v>
      </c>
      <c r="I24" s="44">
        <v>1.2</v>
      </c>
      <c r="J24" s="55">
        <v>14715027.42</v>
      </c>
      <c r="K24" s="56"/>
      <c r="L24" s="56"/>
      <c r="M24" s="56"/>
      <c r="N24" s="56"/>
      <c r="O24" s="56"/>
      <c r="P24" s="53">
        <f t="shared" si="3"/>
        <v>0</v>
      </c>
      <c r="Q24" s="53">
        <f t="shared" si="4"/>
        <v>14715027.42</v>
      </c>
      <c r="R24" s="190"/>
      <c r="S24" s="111" t="s">
        <v>189</v>
      </c>
      <c r="T24" s="224"/>
      <c r="V24" s="111"/>
      <c r="W24" s="84"/>
      <c r="X24" s="208"/>
    </row>
    <row r="25" spans="1:24" ht="44.25" customHeight="1" x14ac:dyDescent="0.25">
      <c r="A25" s="273">
        <v>7</v>
      </c>
      <c r="B25" s="274" t="s">
        <v>177</v>
      </c>
      <c r="C25" s="275" t="s">
        <v>36</v>
      </c>
      <c r="D25" s="276">
        <v>1615223.87</v>
      </c>
      <c r="E25" s="276">
        <v>132448.35999999999</v>
      </c>
      <c r="F25" s="276">
        <v>41944.13</v>
      </c>
      <c r="G25" s="276">
        <v>1789616.36</v>
      </c>
      <c r="H25" s="276">
        <v>1881531.81</v>
      </c>
      <c r="I25" s="277">
        <v>1.2</v>
      </c>
      <c r="J25" s="278">
        <v>2257838.17</v>
      </c>
      <c r="K25" s="227"/>
      <c r="L25" s="227"/>
      <c r="M25" s="227"/>
      <c r="N25" s="227"/>
      <c r="O25" s="227"/>
      <c r="P25" s="227">
        <f t="shared" si="3"/>
        <v>0</v>
      </c>
      <c r="Q25" s="227">
        <f t="shared" si="4"/>
        <v>2257838.17</v>
      </c>
      <c r="R25" s="228" t="s">
        <v>139</v>
      </c>
      <c r="S25" s="229" t="s">
        <v>171</v>
      </c>
      <c r="T25" s="230">
        <f>1434541.77*1.082*1.024*1.0514*1.2</f>
        <v>2005347.47</v>
      </c>
      <c r="U25" s="231"/>
      <c r="V25" s="228" t="s">
        <v>139</v>
      </c>
      <c r="W25" s="232">
        <f>1447989.61*1.082*1.024*1.0514*1.2</f>
        <v>2024146.22</v>
      </c>
      <c r="X25" s="233" t="s">
        <v>186</v>
      </c>
    </row>
    <row r="26" spans="1:24" ht="35.1" customHeight="1" x14ac:dyDescent="0.25">
      <c r="A26" s="273">
        <v>12</v>
      </c>
      <c r="B26" s="274" t="s">
        <v>181</v>
      </c>
      <c r="C26" s="275" t="s">
        <v>52</v>
      </c>
      <c r="D26" s="276">
        <v>9143309.8300000001</v>
      </c>
      <c r="E26" s="276">
        <v>749751.41</v>
      </c>
      <c r="F26" s="276">
        <v>237433.47</v>
      </c>
      <c r="G26" s="276">
        <v>10130494.710000001</v>
      </c>
      <c r="H26" s="276">
        <v>10650801.17</v>
      </c>
      <c r="I26" s="277">
        <v>1.2</v>
      </c>
      <c r="J26" s="278">
        <v>12780961.4</v>
      </c>
      <c r="K26" s="198"/>
      <c r="L26" s="198"/>
      <c r="M26" s="198"/>
      <c r="N26" s="198"/>
      <c r="O26" s="198"/>
      <c r="P26" s="198">
        <f t="shared" si="3"/>
        <v>0</v>
      </c>
      <c r="Q26" s="198">
        <f t="shared" si="4"/>
        <v>12780961.4</v>
      </c>
      <c r="R26" s="203" t="s">
        <v>139</v>
      </c>
      <c r="S26" s="205" t="s">
        <v>171</v>
      </c>
      <c r="T26" s="204">
        <f>2121713.88*1.082*1.024*1.0514*1.2</f>
        <v>2965946.1</v>
      </c>
      <c r="U26" s="178"/>
      <c r="V26" s="111" t="s">
        <v>139</v>
      </c>
      <c r="W26" s="84">
        <f>1724717.19*1.082*1.024*1.0514*1.2</f>
        <v>2410984</v>
      </c>
      <c r="X26" s="233" t="s">
        <v>186</v>
      </c>
    </row>
    <row r="27" spans="1:24" ht="35.1" customHeight="1" x14ac:dyDescent="0.25">
      <c r="A27" s="273">
        <v>13</v>
      </c>
      <c r="B27" s="274" t="s">
        <v>182</v>
      </c>
      <c r="C27" s="275" t="s">
        <v>54</v>
      </c>
      <c r="D27" s="276">
        <v>21996729.18</v>
      </c>
      <c r="E27" s="276">
        <v>1803731.79</v>
      </c>
      <c r="F27" s="276">
        <v>571211.06000000006</v>
      </c>
      <c r="G27" s="276">
        <v>24371672.030000001</v>
      </c>
      <c r="H27" s="276">
        <v>25623411.34</v>
      </c>
      <c r="I27" s="277">
        <v>1.2</v>
      </c>
      <c r="J27" s="278">
        <v>30748093.609999999</v>
      </c>
      <c r="K27" s="198"/>
      <c r="L27" s="198"/>
      <c r="M27" s="198"/>
      <c r="N27" s="198"/>
      <c r="O27" s="198"/>
      <c r="P27" s="198">
        <f t="shared" si="3"/>
        <v>0</v>
      </c>
      <c r="Q27" s="198">
        <f t="shared" si="4"/>
        <v>30748093.609999999</v>
      </c>
      <c r="R27" s="205" t="s">
        <v>139</v>
      </c>
      <c r="S27" s="205" t="s">
        <v>171</v>
      </c>
      <c r="T27" s="204">
        <f>2987164.98*1.082*1.024*1.0514*1.2</f>
        <v>4175761.11</v>
      </c>
      <c r="U27" s="178"/>
      <c r="V27" s="111" t="s">
        <v>139</v>
      </c>
      <c r="W27" s="84">
        <f>2827828.36*1.082*1.024*1.0514*1.2</f>
        <v>3953024.28</v>
      </c>
      <c r="X27" s="233" t="s">
        <v>186</v>
      </c>
    </row>
    <row r="28" spans="1:24" ht="35.1" customHeight="1" x14ac:dyDescent="0.25">
      <c r="A28" s="82">
        <v>14</v>
      </c>
      <c r="B28" s="41" t="s">
        <v>55</v>
      </c>
      <c r="C28" s="42" t="s">
        <v>56</v>
      </c>
      <c r="D28" s="127">
        <v>1758763.66</v>
      </c>
      <c r="E28" s="127">
        <v>144218.62</v>
      </c>
      <c r="F28" s="127">
        <v>45671.57</v>
      </c>
      <c r="G28" s="127">
        <v>1948653.85</v>
      </c>
      <c r="H28" s="127">
        <v>2048737.53</v>
      </c>
      <c r="I28" s="44">
        <v>1.2</v>
      </c>
      <c r="J28" s="55">
        <v>2458485.04</v>
      </c>
      <c r="K28" s="56"/>
      <c r="L28" s="56"/>
      <c r="M28" s="56"/>
      <c r="N28" s="56"/>
      <c r="O28" s="56"/>
      <c r="P28" s="53">
        <f t="shared" si="3"/>
        <v>0</v>
      </c>
      <c r="Q28" s="53">
        <f t="shared" si="4"/>
        <v>2458485.04</v>
      </c>
      <c r="R28" s="191"/>
      <c r="S28" s="111" t="s">
        <v>189</v>
      </c>
      <c r="T28" s="224"/>
      <c r="V28" s="111"/>
      <c r="W28" s="84"/>
      <c r="X28" s="208"/>
    </row>
    <row r="29" spans="1:24" ht="35.1" customHeight="1" x14ac:dyDescent="0.25">
      <c r="A29" s="82">
        <v>15</v>
      </c>
      <c r="B29" s="41" t="s">
        <v>58</v>
      </c>
      <c r="C29" s="42" t="s">
        <v>108</v>
      </c>
      <c r="D29" s="127">
        <v>4044845.15</v>
      </c>
      <c r="E29" s="127">
        <v>331677.3</v>
      </c>
      <c r="F29" s="127">
        <v>105036.54</v>
      </c>
      <c r="G29" s="127">
        <v>4481558.99</v>
      </c>
      <c r="H29" s="127">
        <v>4711733.74</v>
      </c>
      <c r="I29" s="44">
        <v>1.2</v>
      </c>
      <c r="J29" s="55">
        <v>5654080.4900000002</v>
      </c>
      <c r="K29" s="56"/>
      <c r="L29" s="56"/>
      <c r="M29" s="56"/>
      <c r="N29" s="56"/>
      <c r="O29" s="56"/>
      <c r="P29" s="53">
        <f t="shared" si="3"/>
        <v>0</v>
      </c>
      <c r="Q29" s="53">
        <f t="shared" si="4"/>
        <v>5654080.4900000002</v>
      </c>
      <c r="R29" s="191"/>
      <c r="S29" s="111" t="s">
        <v>189</v>
      </c>
      <c r="T29" s="224"/>
      <c r="V29" s="111"/>
      <c r="W29" s="84"/>
      <c r="X29" s="208"/>
    </row>
    <row r="30" spans="1:24" ht="51.75" customHeight="1" x14ac:dyDescent="0.25">
      <c r="A30" s="82">
        <v>16</v>
      </c>
      <c r="B30" s="41" t="s">
        <v>59</v>
      </c>
      <c r="C30" s="42" t="s">
        <v>60</v>
      </c>
      <c r="D30" s="127">
        <v>4859580.66</v>
      </c>
      <c r="E30" s="127">
        <v>398485.61</v>
      </c>
      <c r="F30" s="127">
        <v>126193.59</v>
      </c>
      <c r="G30" s="127">
        <v>5384259.8600000003</v>
      </c>
      <c r="H30" s="127">
        <v>5660797.71</v>
      </c>
      <c r="I30" s="44">
        <v>1.2</v>
      </c>
      <c r="J30" s="55">
        <v>6792957.25</v>
      </c>
      <c r="K30" s="56"/>
      <c r="L30" s="56"/>
      <c r="M30" s="56"/>
      <c r="N30" s="56"/>
      <c r="O30" s="56"/>
      <c r="P30" s="53">
        <f t="shared" si="3"/>
        <v>0</v>
      </c>
      <c r="Q30" s="53">
        <f t="shared" si="4"/>
        <v>6792957.25</v>
      </c>
      <c r="R30" s="175" t="s">
        <v>185</v>
      </c>
      <c r="S30" s="111" t="s">
        <v>190</v>
      </c>
      <c r="T30" s="84">
        <f>2024770.16*1.082*1.024*1.0514*1.2</f>
        <v>2830428.37</v>
      </c>
      <c r="V30" s="111"/>
      <c r="W30" s="84"/>
      <c r="X30" s="208"/>
    </row>
    <row r="31" spans="1:24" ht="35.1" customHeight="1" x14ac:dyDescent="0.25">
      <c r="A31" s="82">
        <v>20</v>
      </c>
      <c r="B31" s="185" t="s">
        <v>70</v>
      </c>
      <c r="C31" s="42" t="s">
        <v>8</v>
      </c>
      <c r="D31" s="127">
        <v>5005903.75</v>
      </c>
      <c r="E31" s="127">
        <v>410484.11</v>
      </c>
      <c r="F31" s="127">
        <v>129993.31</v>
      </c>
      <c r="G31" s="127">
        <v>5546381.1699999999</v>
      </c>
      <c r="H31" s="127">
        <v>5831245.6399999997</v>
      </c>
      <c r="I31" s="44">
        <v>1.2</v>
      </c>
      <c r="J31" s="55">
        <v>6997494.7699999996</v>
      </c>
      <c r="K31" s="56"/>
      <c r="L31" s="56"/>
      <c r="M31" s="56"/>
      <c r="N31" s="56"/>
      <c r="O31" s="56"/>
      <c r="P31" s="53">
        <f t="shared" ref="P31:P36" si="5">K31+L31+M31+N31+O31</f>
        <v>0</v>
      </c>
      <c r="Q31" s="53">
        <f t="shared" ref="Q31:Q36" si="6">J31-K31-L31-M31-N31-O31</f>
        <v>6997494.7699999996</v>
      </c>
      <c r="R31" s="175" t="s">
        <v>185</v>
      </c>
      <c r="S31" s="111" t="s">
        <v>191</v>
      </c>
      <c r="T31" s="84">
        <f>10751161.41*1.082*1.024*1.0514*1.2</f>
        <v>15029060</v>
      </c>
      <c r="U31" s="206"/>
      <c r="V31" s="111"/>
      <c r="W31" s="84"/>
      <c r="X31" s="208"/>
    </row>
    <row r="32" spans="1:24" ht="35.1" customHeight="1" thickBot="1" x14ac:dyDescent="0.3">
      <c r="A32" s="87">
        <v>21</v>
      </c>
      <c r="B32" s="187" t="s">
        <v>71</v>
      </c>
      <c r="C32" s="59" t="s">
        <v>109</v>
      </c>
      <c r="D32" s="128">
        <v>48898423.600000001</v>
      </c>
      <c r="E32" s="128">
        <v>4009670.74</v>
      </c>
      <c r="F32" s="128">
        <v>1269794.26</v>
      </c>
      <c r="G32" s="128">
        <v>54177888.600000001</v>
      </c>
      <c r="H32" s="128">
        <v>56960487.710000001</v>
      </c>
      <c r="I32" s="61">
        <v>1.2</v>
      </c>
      <c r="J32" s="62">
        <v>68352585.25</v>
      </c>
      <c r="K32" s="63"/>
      <c r="L32" s="63"/>
      <c r="M32" s="63"/>
      <c r="N32" s="63"/>
      <c r="O32" s="63"/>
      <c r="P32" s="64">
        <f t="shared" si="5"/>
        <v>0</v>
      </c>
      <c r="Q32" s="64">
        <f t="shared" si="6"/>
        <v>68352585.25</v>
      </c>
      <c r="R32" s="297" t="s">
        <v>185</v>
      </c>
      <c r="S32" s="298" t="s">
        <v>192</v>
      </c>
      <c r="T32" s="85">
        <f>55253749.43*1.082*1.024*1.0514*1.2</f>
        <v>77239275.239999995</v>
      </c>
      <c r="U32" s="206"/>
      <c r="V32" s="111"/>
      <c r="W32" s="85"/>
      <c r="X32" s="209"/>
    </row>
    <row r="33" spans="1:24" ht="35.1" customHeight="1" thickTop="1" x14ac:dyDescent="0.25">
      <c r="A33" s="279">
        <v>8</v>
      </c>
      <c r="B33" s="280" t="s">
        <v>195</v>
      </c>
      <c r="C33" s="281" t="str">
        <f>ССР!C35</f>
        <v>Электроснабжение. ЭС 1.</v>
      </c>
      <c r="D33" s="276">
        <v>475031.03999999998</v>
      </c>
      <c r="E33" s="276">
        <v>38952.550000000003</v>
      </c>
      <c r="F33" s="276">
        <v>12335.61</v>
      </c>
      <c r="G33" s="276">
        <v>526319.19999999995</v>
      </c>
      <c r="H33" s="276">
        <v>553351.18000000005</v>
      </c>
      <c r="I33" s="277">
        <f>I10</f>
        <v>1.2</v>
      </c>
      <c r="J33" s="282">
        <f t="shared" ref="J33:J39" si="7">ROUND(H33*I33,2)</f>
        <v>664021.42000000004</v>
      </c>
      <c r="K33" s="227"/>
      <c r="L33" s="227"/>
      <c r="M33" s="227"/>
      <c r="N33" s="227"/>
      <c r="O33" s="227"/>
      <c r="P33" s="234">
        <f t="shared" si="5"/>
        <v>0</v>
      </c>
      <c r="Q33" s="234">
        <f t="shared" si="6"/>
        <v>664021.42000000004</v>
      </c>
      <c r="R33" s="229" t="s">
        <v>139</v>
      </c>
      <c r="S33" s="229" t="s">
        <v>194</v>
      </c>
      <c r="T33" s="235">
        <f>533086.36*1.082*1.024*1.0514*1.2</f>
        <v>745201.99</v>
      </c>
      <c r="U33" s="236"/>
      <c r="V33" s="228" t="s">
        <v>139</v>
      </c>
      <c r="W33" s="232">
        <f>(235378.05+47139.18)*1.082*1.024*1.0514*1.2</f>
        <v>394931.14</v>
      </c>
      <c r="X33" s="233" t="s">
        <v>186</v>
      </c>
    </row>
    <row r="34" spans="1:24" ht="35.1" customHeight="1" x14ac:dyDescent="0.25">
      <c r="A34" s="279">
        <v>9</v>
      </c>
      <c r="B34" s="280" t="s">
        <v>178</v>
      </c>
      <c r="C34" s="281" t="str">
        <f>ССР!C36</f>
        <v>Переустройство кабельных линий.ЭС2</v>
      </c>
      <c r="D34" s="276">
        <v>2276671.21</v>
      </c>
      <c r="E34" s="276">
        <v>186687.04</v>
      </c>
      <c r="F34" s="276">
        <v>59120.6</v>
      </c>
      <c r="G34" s="276">
        <v>2522478.85</v>
      </c>
      <c r="H34" s="276">
        <v>2652034.42</v>
      </c>
      <c r="I34" s="277">
        <f>I10</f>
        <v>1.2</v>
      </c>
      <c r="J34" s="282">
        <f t="shared" si="7"/>
        <v>3182441.3</v>
      </c>
      <c r="K34" s="198"/>
      <c r="L34" s="198"/>
      <c r="M34" s="198"/>
      <c r="N34" s="198"/>
      <c r="O34" s="198"/>
      <c r="P34" s="199">
        <f t="shared" si="5"/>
        <v>0</v>
      </c>
      <c r="Q34" s="199">
        <f t="shared" si="6"/>
        <v>3182441.3</v>
      </c>
      <c r="R34" s="200" t="s">
        <v>139</v>
      </c>
      <c r="S34" s="200" t="s">
        <v>167</v>
      </c>
      <c r="T34" s="201">
        <f>6471079.85*1.082*1.024*1.0514*1.2</f>
        <v>9045929.4199999999</v>
      </c>
      <c r="U34" s="178"/>
      <c r="V34" s="111" t="s">
        <v>139</v>
      </c>
      <c r="W34" s="84">
        <f>(3206824.35+130942.19)*1.082*1.024*1.0514*1.2</f>
        <v>4665867.41</v>
      </c>
      <c r="X34" s="233" t="s">
        <v>186</v>
      </c>
    </row>
    <row r="35" spans="1:24" ht="35.1" customHeight="1" x14ac:dyDescent="0.25">
      <c r="A35" s="279">
        <v>10</v>
      </c>
      <c r="B35" s="280" t="s">
        <v>179</v>
      </c>
      <c r="C35" s="281" t="str">
        <f>ССР!C40</f>
        <v>Переустройство хозпитьевого водопровода.НВК2</v>
      </c>
      <c r="D35" s="276">
        <v>760016.55</v>
      </c>
      <c r="E35" s="276">
        <v>62321.36</v>
      </c>
      <c r="F35" s="276">
        <v>19736.11</v>
      </c>
      <c r="G35" s="276">
        <v>842074.02</v>
      </c>
      <c r="H35" s="276">
        <v>885323.3</v>
      </c>
      <c r="I35" s="277">
        <f>I11</f>
        <v>1.2</v>
      </c>
      <c r="J35" s="282">
        <f t="shared" si="7"/>
        <v>1062387.96</v>
      </c>
      <c r="K35" s="227"/>
      <c r="L35" s="227"/>
      <c r="M35" s="227"/>
      <c r="N35" s="227"/>
      <c r="O35" s="227"/>
      <c r="P35" s="234">
        <f t="shared" si="5"/>
        <v>0</v>
      </c>
      <c r="Q35" s="234">
        <f t="shared" si="6"/>
        <v>1062387.96</v>
      </c>
      <c r="R35" s="237" t="s">
        <v>139</v>
      </c>
      <c r="S35" s="229" t="s">
        <v>167</v>
      </c>
      <c r="T35" s="235">
        <f>1575220.02*1.082*1.024*1.0514*1.2</f>
        <v>2202001.75</v>
      </c>
      <c r="U35" s="231"/>
      <c r="V35" s="228" t="s">
        <v>139</v>
      </c>
      <c r="W35" s="232">
        <f>1047143.73*1.082*1.024*1.0514*1.2</f>
        <v>1463803.34</v>
      </c>
      <c r="X35" s="233" t="s">
        <v>186</v>
      </c>
    </row>
    <row r="36" spans="1:24" ht="35.1" customHeight="1" x14ac:dyDescent="0.25">
      <c r="A36" s="279">
        <v>11</v>
      </c>
      <c r="B36" s="280" t="s">
        <v>180</v>
      </c>
      <c r="C36" s="281" t="str">
        <f>ССР!C41</f>
        <v>Переустройство хозпитьевого водопровода.НВК3</v>
      </c>
      <c r="D36" s="276">
        <v>10454161.890000001</v>
      </c>
      <c r="E36" s="276">
        <v>857241.27</v>
      </c>
      <c r="F36" s="276">
        <v>271473.68</v>
      </c>
      <c r="G36" s="276">
        <v>11582876.84</v>
      </c>
      <c r="H36" s="276">
        <v>12177778.26</v>
      </c>
      <c r="I36" s="277">
        <f>I6</f>
        <v>1.2</v>
      </c>
      <c r="J36" s="282">
        <f t="shared" si="7"/>
        <v>14613333.91</v>
      </c>
      <c r="K36" s="227"/>
      <c r="L36" s="227"/>
      <c r="M36" s="227"/>
      <c r="N36" s="227"/>
      <c r="O36" s="227"/>
      <c r="P36" s="234">
        <f t="shared" si="5"/>
        <v>0</v>
      </c>
      <c r="Q36" s="234">
        <f t="shared" si="6"/>
        <v>14613333.91</v>
      </c>
      <c r="R36" s="237" t="s">
        <v>139</v>
      </c>
      <c r="S36" s="229" t="s">
        <v>167</v>
      </c>
      <c r="T36" s="235">
        <f>15932592.16*1.082*1.024*1.0514*1.2</f>
        <v>22272187.57</v>
      </c>
      <c r="U36" s="231"/>
      <c r="V36" s="228" t="s">
        <v>139</v>
      </c>
      <c r="W36" s="232">
        <f>13422525.94*1.082*1.024*1.0514*1.2</f>
        <v>18763363.32</v>
      </c>
      <c r="X36" s="233" t="s">
        <v>186</v>
      </c>
    </row>
    <row r="37" spans="1:24" ht="35.1" customHeight="1" x14ac:dyDescent="0.25">
      <c r="A37" s="192">
        <v>17</v>
      </c>
      <c r="B37" s="193" t="s">
        <v>183</v>
      </c>
      <c r="C37" s="194" t="str">
        <f>ССР!C49</f>
        <v>Теплоснабжение. Переустройство трубопровода.ТС2</v>
      </c>
      <c r="D37" s="195">
        <v>1890203.39</v>
      </c>
      <c r="E37" s="195">
        <v>154996.68</v>
      </c>
      <c r="F37" s="195">
        <v>49084.800000000003</v>
      </c>
      <c r="G37" s="195">
        <v>2094284.87</v>
      </c>
      <c r="H37" s="195">
        <v>2201848.2200000002</v>
      </c>
      <c r="I37" s="196">
        <f>I12</f>
        <v>1.2</v>
      </c>
      <c r="J37" s="197">
        <f t="shared" si="7"/>
        <v>2642217.86</v>
      </c>
      <c r="K37" s="198"/>
      <c r="L37" s="198"/>
      <c r="M37" s="198"/>
      <c r="N37" s="198"/>
      <c r="O37" s="198"/>
      <c r="P37" s="199">
        <f>K37+L37+M37+N37+O37</f>
        <v>0</v>
      </c>
      <c r="Q37" s="199">
        <f>J37-K37-L37-M37-N37-O37</f>
        <v>2642217.86</v>
      </c>
      <c r="R37" s="202" t="s">
        <v>139</v>
      </c>
      <c r="S37" s="200" t="s">
        <v>171</v>
      </c>
      <c r="T37" s="201">
        <f>1932402*1.082*1.024*1.0514*1.2</f>
        <v>2701306.82</v>
      </c>
      <c r="U37" s="178"/>
      <c r="V37" s="111" t="s">
        <v>139</v>
      </c>
      <c r="W37" s="84">
        <f>1675854.44*1.082*1.024*1.0514*1.2</f>
        <v>2342678.71</v>
      </c>
      <c r="X37" s="233" t="s">
        <v>186</v>
      </c>
    </row>
    <row r="38" spans="1:24" ht="35.1" customHeight="1" x14ac:dyDescent="0.25">
      <c r="A38" s="192">
        <v>18</v>
      </c>
      <c r="B38" s="193" t="s">
        <v>184</v>
      </c>
      <c r="C38" s="194" t="str">
        <f>ССР!C50</f>
        <v>Теплоснабжение. Переустройство трубопровода.ТС3</v>
      </c>
      <c r="D38" s="195">
        <v>4003449.34</v>
      </c>
      <c r="E38" s="195">
        <v>328282.84999999998</v>
      </c>
      <c r="F38" s="195">
        <v>103961.57</v>
      </c>
      <c r="G38" s="195">
        <v>4435693.76</v>
      </c>
      <c r="H38" s="195">
        <v>4663512.8499999996</v>
      </c>
      <c r="I38" s="196">
        <f>I33</f>
        <v>1.2</v>
      </c>
      <c r="J38" s="197">
        <f t="shared" si="7"/>
        <v>5596215.4199999999</v>
      </c>
      <c r="K38" s="198"/>
      <c r="L38" s="198"/>
      <c r="M38" s="198"/>
      <c r="N38" s="198"/>
      <c r="O38" s="198"/>
      <c r="P38" s="199">
        <f>K38+L38+M38+N38+O38</f>
        <v>0</v>
      </c>
      <c r="Q38" s="199">
        <f>J38-K38-L38-M38-N38-O38</f>
        <v>5596215.4199999999</v>
      </c>
      <c r="R38" s="202" t="s">
        <v>139</v>
      </c>
      <c r="S38" s="200" t="s">
        <v>171</v>
      </c>
      <c r="T38" s="201">
        <f>3008860*1.082*1.024*1.0514*1.2</f>
        <v>4206088.5999999996</v>
      </c>
      <c r="U38" s="178"/>
      <c r="V38" s="111" t="s">
        <v>139</v>
      </c>
      <c r="W38" s="84">
        <f>2820165.03*1.082*1.024*1.0514*1.2</f>
        <v>3942311.7</v>
      </c>
      <c r="X38" s="233" t="s">
        <v>186</v>
      </c>
    </row>
    <row r="39" spans="1:24" ht="35.1" customHeight="1" thickBot="1" x14ac:dyDescent="0.3">
      <c r="A39" s="170">
        <v>19</v>
      </c>
      <c r="B39" s="184" t="s">
        <v>66</v>
      </c>
      <c r="C39" s="171" t="str">
        <f>ССР!C52</f>
        <v>Наружные газопроводы. Вынос газопровода среднего давления.</v>
      </c>
      <c r="D39" s="127">
        <v>8291915.46</v>
      </c>
      <c r="E39" s="127">
        <v>679937.07</v>
      </c>
      <c r="F39" s="127">
        <v>215324.46</v>
      </c>
      <c r="G39" s="127">
        <v>9187176.9900000002</v>
      </c>
      <c r="H39" s="127">
        <v>9659034.2599999998</v>
      </c>
      <c r="I39" s="44">
        <f>I34</f>
        <v>1.2</v>
      </c>
      <c r="J39" s="172">
        <f t="shared" si="7"/>
        <v>11590841.109999999</v>
      </c>
      <c r="K39" s="56"/>
      <c r="L39" s="56"/>
      <c r="M39" s="56"/>
      <c r="N39" s="56"/>
      <c r="O39" s="56"/>
      <c r="P39" s="173">
        <f>K39+L39+M39+N39+O39</f>
        <v>0</v>
      </c>
      <c r="Q39" s="173">
        <f>J39-K39-L39-M39-N39-O39</f>
        <v>11590841.109999999</v>
      </c>
      <c r="R39" s="175" t="s">
        <v>185</v>
      </c>
      <c r="S39" s="175" t="s">
        <v>173</v>
      </c>
      <c r="T39" s="174">
        <f>4359587.89*1.082*1.024*1.0514*1.2</f>
        <v>6094272.5599999996</v>
      </c>
      <c r="U39" s="188"/>
      <c r="V39" s="111"/>
      <c r="W39" s="84"/>
      <c r="X39" s="208"/>
    </row>
    <row r="40" spans="1:24" ht="31.5" customHeight="1" thickTop="1" thickBot="1" x14ac:dyDescent="0.3">
      <c r="A40" s="95"/>
      <c r="B40" s="96" t="s">
        <v>120</v>
      </c>
      <c r="C40" s="97"/>
      <c r="D40" s="98" t="e">
        <f>SUM(#REF!)</f>
        <v>#REF!</v>
      </c>
      <c r="E40" s="97"/>
      <c r="F40" s="99"/>
      <c r="G40" s="98" t="e">
        <f>SUM(#REF!)</f>
        <v>#REF!</v>
      </c>
      <c r="H40" s="98" t="e">
        <f>SUM(#REF!)</f>
        <v>#REF!</v>
      </c>
      <c r="I40" s="98"/>
      <c r="J40" s="98">
        <f>SUM(J21:J39)</f>
        <v>422094332.32999998</v>
      </c>
      <c r="K40" s="98">
        <f t="shared" ref="K40:Q40" si="8">SUM(K21:K39)</f>
        <v>0</v>
      </c>
      <c r="L40" s="98">
        <f t="shared" si="8"/>
        <v>0</v>
      </c>
      <c r="M40" s="98">
        <f t="shared" si="8"/>
        <v>0</v>
      </c>
      <c r="N40" s="98">
        <f t="shared" si="8"/>
        <v>0</v>
      </c>
      <c r="O40" s="98">
        <f t="shared" si="8"/>
        <v>0</v>
      </c>
      <c r="P40" s="98">
        <f t="shared" si="8"/>
        <v>0</v>
      </c>
      <c r="Q40" s="98">
        <f t="shared" si="8"/>
        <v>422094332.32999998</v>
      </c>
      <c r="R40" s="115"/>
      <c r="S40" s="115"/>
      <c r="T40" s="101" t="e">
        <f>SUM(#REF!)</f>
        <v>#REF!</v>
      </c>
      <c r="U40" s="177"/>
      <c r="V40" s="115"/>
      <c r="W40" s="101" t="e">
        <f>SUM(#REF!)</f>
        <v>#REF!</v>
      </c>
      <c r="X40" s="210" t="e">
        <f>SUM(#REF!)</f>
        <v>#REF!</v>
      </c>
    </row>
    <row r="41" spans="1:24" ht="31.5" customHeight="1" thickTop="1" thickBot="1" x14ac:dyDescent="0.3">
      <c r="A41" s="95"/>
      <c r="B41" s="96" t="s">
        <v>153</v>
      </c>
      <c r="C41" s="97"/>
      <c r="D41" s="98" t="e">
        <f>SUM(D6:D39)</f>
        <v>#REF!</v>
      </c>
      <c r="E41" s="97"/>
      <c r="F41" s="99"/>
      <c r="G41" s="98" t="e">
        <f>SUM(G6:G39)</f>
        <v>#REF!</v>
      </c>
      <c r="H41" s="98" t="e">
        <f>SUM(H6:H39)</f>
        <v>#REF!</v>
      </c>
      <c r="I41" s="98"/>
      <c r="J41" s="98">
        <f>SUM(J6:J39)</f>
        <v>1439399414.3699999</v>
      </c>
      <c r="K41" s="100">
        <f>SUM(K6:K39)</f>
        <v>420835140.72000003</v>
      </c>
      <c r="L41" s="100">
        <f>SUM(L6:L39)+0.01</f>
        <v>159956662.41999999</v>
      </c>
      <c r="M41" s="100">
        <f>SUM(M6:M39)</f>
        <v>117736329.52</v>
      </c>
      <c r="N41" s="100">
        <f>SUM(N6:N39)</f>
        <v>10490501.84</v>
      </c>
      <c r="O41" s="100">
        <f>SUM(O6:O39)</f>
        <v>17232889.960000001</v>
      </c>
      <c r="P41" s="100">
        <f>SUM(P6:P39)+0.01</f>
        <v>726251524.46000004</v>
      </c>
      <c r="Q41" s="100">
        <f>SUM(Q6:Q39)</f>
        <v>713148013.90999997</v>
      </c>
      <c r="R41" s="115"/>
      <c r="S41" s="115"/>
      <c r="T41" s="101" t="e">
        <f>SUM(T6:T39)</f>
        <v>#REF!</v>
      </c>
      <c r="U41" s="177"/>
      <c r="V41" s="115"/>
      <c r="W41" s="101" t="e">
        <f>SUM(W6:W39)</f>
        <v>#REF!</v>
      </c>
      <c r="X41" s="210" t="e">
        <f>SUM(X6:X39)</f>
        <v>#REF!</v>
      </c>
    </row>
    <row r="42" spans="1:24" ht="35.1" customHeight="1" thickTop="1" x14ac:dyDescent="0.25">
      <c r="A42" s="82">
        <v>23</v>
      </c>
      <c r="B42" s="41">
        <v>1</v>
      </c>
      <c r="C42" s="42" t="s">
        <v>175</v>
      </c>
      <c r="D42" s="43"/>
      <c r="E42" s="43"/>
      <c r="F42" s="43"/>
      <c r="G42" s="43"/>
      <c r="H42" s="43"/>
      <c r="I42" s="44"/>
      <c r="J42" s="55"/>
      <c r="K42" s="56"/>
      <c r="L42" s="56"/>
      <c r="M42" s="56"/>
      <c r="N42" s="56"/>
      <c r="O42" s="56"/>
      <c r="P42" s="53"/>
      <c r="Q42" s="53"/>
      <c r="R42" s="223" t="s">
        <v>188</v>
      </c>
      <c r="S42" s="225" t="s">
        <v>189</v>
      </c>
      <c r="T42" s="179">
        <f>3513933.05*1.2</f>
        <v>4216719.66</v>
      </c>
      <c r="V42" s="119"/>
      <c r="W42" s="179"/>
      <c r="X42" s="179"/>
    </row>
    <row r="43" spans="1:24" ht="35.1" customHeight="1" x14ac:dyDescent="0.25">
      <c r="A43" s="88">
        <v>22</v>
      </c>
      <c r="B43" s="57">
        <v>1</v>
      </c>
      <c r="C43" s="89" t="s">
        <v>174</v>
      </c>
      <c r="D43" s="90"/>
      <c r="E43" s="90"/>
      <c r="F43" s="90"/>
      <c r="G43" s="90"/>
      <c r="H43" s="90"/>
      <c r="I43" s="91"/>
      <c r="J43" s="92"/>
      <c r="K43" s="93"/>
      <c r="L43" s="93"/>
      <c r="M43" s="93"/>
      <c r="N43" s="93"/>
      <c r="O43" s="93"/>
      <c r="P43" s="94"/>
      <c r="Q43" s="94"/>
      <c r="R43" s="223" t="s">
        <v>188</v>
      </c>
      <c r="S43" s="226" t="s">
        <v>189</v>
      </c>
      <c r="T43" s="105">
        <f>1800394.58*1.2</f>
        <v>2160473.5</v>
      </c>
      <c r="V43" s="117"/>
      <c r="W43" s="105"/>
      <c r="X43" s="211"/>
    </row>
    <row r="44" spans="1:24" ht="35.1" customHeight="1" x14ac:dyDescent="0.25">
      <c r="A44" s="88">
        <v>24</v>
      </c>
      <c r="B44" s="57"/>
      <c r="C44" s="89" t="s">
        <v>140</v>
      </c>
      <c r="D44" s="90"/>
      <c r="E44" s="90"/>
      <c r="F44" s="90"/>
      <c r="G44" s="90"/>
      <c r="H44" s="90"/>
      <c r="I44" s="91"/>
      <c r="J44" s="92"/>
      <c r="K44" s="93"/>
      <c r="L44" s="93"/>
      <c r="M44" s="93"/>
      <c r="N44" s="93"/>
      <c r="O44" s="93"/>
      <c r="P44" s="94"/>
      <c r="Q44" s="94"/>
      <c r="R44" s="116" t="s">
        <v>139</v>
      </c>
      <c r="S44" s="117" t="s">
        <v>156</v>
      </c>
      <c r="T44" s="105"/>
      <c r="V44" s="117"/>
      <c r="W44" s="105"/>
      <c r="X44" s="211"/>
    </row>
    <row r="45" spans="1:24" ht="35.1" customHeight="1" x14ac:dyDescent="0.25">
      <c r="A45" s="82">
        <v>25</v>
      </c>
      <c r="B45" s="41"/>
      <c r="C45" s="42" t="s">
        <v>141</v>
      </c>
      <c r="D45" s="43"/>
      <c r="E45" s="43"/>
      <c r="F45" s="43"/>
      <c r="G45" s="43"/>
      <c r="H45" s="43"/>
      <c r="I45" s="44"/>
      <c r="J45" s="55"/>
      <c r="K45" s="56"/>
      <c r="L45" s="56"/>
      <c r="M45" s="56"/>
      <c r="N45" s="56"/>
      <c r="O45" s="56"/>
      <c r="P45" s="53"/>
      <c r="Q45" s="53"/>
      <c r="R45" s="118" t="s">
        <v>139</v>
      </c>
      <c r="S45" s="119"/>
      <c r="T45" s="179">
        <v>751503.23</v>
      </c>
      <c r="V45" s="119"/>
      <c r="W45" s="179"/>
      <c r="X45" s="179"/>
    </row>
    <row r="46" spans="1:24" ht="35.1" customHeight="1" x14ac:dyDescent="0.25">
      <c r="A46" s="88">
        <v>26</v>
      </c>
      <c r="B46" s="41"/>
      <c r="C46" s="42" t="s">
        <v>142</v>
      </c>
      <c r="D46" s="43"/>
      <c r="E46" s="43"/>
      <c r="F46" s="43"/>
      <c r="G46" s="43"/>
      <c r="H46" s="43"/>
      <c r="I46" s="44"/>
      <c r="J46" s="55"/>
      <c r="K46" s="56"/>
      <c r="L46" s="56"/>
      <c r="M46" s="56"/>
      <c r="N46" s="56"/>
      <c r="O46" s="56"/>
      <c r="P46" s="53"/>
      <c r="Q46" s="53"/>
      <c r="R46" s="118" t="s">
        <v>139</v>
      </c>
      <c r="S46" s="119"/>
      <c r="T46" s="180">
        <v>88471.33</v>
      </c>
      <c r="V46" s="119"/>
      <c r="W46" s="180"/>
      <c r="X46" s="180"/>
    </row>
    <row r="47" spans="1:24" ht="35.1" customHeight="1" x14ac:dyDescent="0.25">
      <c r="A47" s="82">
        <v>27</v>
      </c>
      <c r="B47" s="41"/>
      <c r="C47" s="42" t="s">
        <v>143</v>
      </c>
      <c r="D47" s="43"/>
      <c r="E47" s="43"/>
      <c r="F47" s="43"/>
      <c r="G47" s="43"/>
      <c r="H47" s="43"/>
      <c r="I47" s="44"/>
      <c r="J47" s="55"/>
      <c r="K47" s="56"/>
      <c r="L47" s="56"/>
      <c r="M47" s="56"/>
      <c r="N47" s="56"/>
      <c r="O47" s="56"/>
      <c r="P47" s="53"/>
      <c r="Q47" s="53"/>
      <c r="R47" s="118" t="s">
        <v>139</v>
      </c>
      <c r="S47" s="119"/>
      <c r="T47" s="180">
        <v>27119.98</v>
      </c>
      <c r="V47" s="119"/>
      <c r="W47" s="180"/>
      <c r="X47" s="180"/>
    </row>
    <row r="48" spans="1:24" ht="41.25" customHeight="1" x14ac:dyDescent="0.25">
      <c r="A48" s="217">
        <v>28</v>
      </c>
      <c r="B48" s="218"/>
      <c r="C48" s="219" t="s">
        <v>144</v>
      </c>
      <c r="D48" s="220"/>
      <c r="E48" s="220"/>
      <c r="F48" s="220"/>
      <c r="G48" s="220"/>
      <c r="H48" s="220"/>
      <c r="I48" s="221"/>
      <c r="J48" s="222"/>
      <c r="K48" s="181"/>
      <c r="L48" s="181"/>
      <c r="M48" s="181"/>
      <c r="N48" s="181"/>
      <c r="O48" s="181"/>
      <c r="P48" s="53"/>
      <c r="Q48" s="53"/>
      <c r="R48" s="223" t="s">
        <v>185</v>
      </c>
      <c r="S48" s="119" t="s">
        <v>187</v>
      </c>
      <c r="T48" s="180">
        <f>227727.27*1.082*1.024*1.0514*1.2</f>
        <v>318340.19</v>
      </c>
      <c r="U48" s="189"/>
      <c r="V48" s="182"/>
      <c r="W48" s="183"/>
      <c r="X48" s="212"/>
    </row>
    <row r="49" spans="1:24" ht="35.1" customHeight="1" x14ac:dyDescent="0.25">
      <c r="A49" s="82">
        <v>29</v>
      </c>
      <c r="B49" s="41"/>
      <c r="C49" s="42" t="s">
        <v>145</v>
      </c>
      <c r="D49" s="43"/>
      <c r="E49" s="43"/>
      <c r="F49" s="43"/>
      <c r="G49" s="43"/>
      <c r="H49" s="43"/>
      <c r="I49" s="44"/>
      <c r="J49" s="55"/>
      <c r="K49" s="56"/>
      <c r="L49" s="56"/>
      <c r="M49" s="56"/>
      <c r="N49" s="56"/>
      <c r="O49" s="56"/>
      <c r="P49" s="53"/>
      <c r="Q49" s="53"/>
      <c r="R49" s="118" t="s">
        <v>139</v>
      </c>
      <c r="S49" s="119" t="s">
        <v>166</v>
      </c>
      <c r="T49" s="180">
        <v>1989811.12</v>
      </c>
      <c r="V49" s="119"/>
      <c r="W49" s="180"/>
      <c r="X49" s="180"/>
    </row>
    <row r="50" spans="1:24" ht="35.1" customHeight="1" x14ac:dyDescent="0.25">
      <c r="A50" s="82">
        <v>30</v>
      </c>
      <c r="B50" s="41"/>
      <c r="C50" s="42" t="s">
        <v>146</v>
      </c>
      <c r="D50" s="43"/>
      <c r="E50" s="43"/>
      <c r="F50" s="43"/>
      <c r="G50" s="43"/>
      <c r="H50" s="43"/>
      <c r="I50" s="44"/>
      <c r="J50" s="55"/>
      <c r="K50" s="56"/>
      <c r="L50" s="56"/>
      <c r="M50" s="56"/>
      <c r="N50" s="56"/>
      <c r="O50" s="56"/>
      <c r="P50" s="53"/>
      <c r="Q50" s="53"/>
      <c r="R50" s="118" t="s">
        <v>139</v>
      </c>
      <c r="S50" s="119"/>
      <c r="T50" s="180">
        <v>204781.66</v>
      </c>
      <c r="V50" s="119"/>
      <c r="W50" s="180"/>
      <c r="X50" s="180"/>
    </row>
    <row r="51" spans="1:24" ht="45" customHeight="1" x14ac:dyDescent="0.25">
      <c r="A51" s="82">
        <v>31</v>
      </c>
      <c r="B51" s="41"/>
      <c r="C51" s="42" t="s">
        <v>147</v>
      </c>
      <c r="D51" s="43"/>
      <c r="E51" s="43"/>
      <c r="F51" s="43"/>
      <c r="G51" s="43"/>
      <c r="H51" s="43"/>
      <c r="I51" s="44"/>
      <c r="J51" s="55"/>
      <c r="K51" s="56"/>
      <c r="L51" s="56"/>
      <c r="M51" s="56"/>
      <c r="N51" s="56"/>
      <c r="O51" s="56"/>
      <c r="P51" s="53"/>
      <c r="Q51" s="53"/>
      <c r="R51" s="120" t="s">
        <v>155</v>
      </c>
      <c r="S51" s="119"/>
      <c r="T51" s="107"/>
      <c r="V51" s="119"/>
      <c r="W51" s="107"/>
      <c r="X51" s="213"/>
    </row>
    <row r="52" spans="1:24" ht="35.1" customHeight="1" x14ac:dyDescent="0.25">
      <c r="A52" s="82">
        <v>32</v>
      </c>
      <c r="B52" s="41"/>
      <c r="C52" s="42" t="s">
        <v>148</v>
      </c>
      <c r="D52" s="43"/>
      <c r="E52" s="43"/>
      <c r="F52" s="43"/>
      <c r="G52" s="43"/>
      <c r="H52" s="43"/>
      <c r="I52" s="44"/>
      <c r="J52" s="55"/>
      <c r="K52" s="56"/>
      <c r="L52" s="56"/>
      <c r="M52" s="56"/>
      <c r="N52" s="56"/>
      <c r="O52" s="56"/>
      <c r="P52" s="53"/>
      <c r="Q52" s="53"/>
      <c r="R52" s="121" t="s">
        <v>139</v>
      </c>
      <c r="S52" s="119"/>
      <c r="T52" s="107">
        <v>263608.96999999997</v>
      </c>
      <c r="V52" s="119"/>
      <c r="W52" s="107"/>
      <c r="X52" s="213"/>
    </row>
    <row r="53" spans="1:24" ht="35.1" customHeight="1" x14ac:dyDescent="0.25">
      <c r="A53" s="82">
        <v>33</v>
      </c>
      <c r="B53" s="41"/>
      <c r="C53" s="42" t="s">
        <v>149</v>
      </c>
      <c r="D53" s="43"/>
      <c r="E53" s="43"/>
      <c r="F53" s="43"/>
      <c r="G53" s="43"/>
      <c r="H53" s="43"/>
      <c r="I53" s="44"/>
      <c r="J53" s="55"/>
      <c r="K53" s="56"/>
      <c r="L53" s="56"/>
      <c r="M53" s="56"/>
      <c r="N53" s="56"/>
      <c r="O53" s="56"/>
      <c r="P53" s="53"/>
      <c r="Q53" s="53"/>
      <c r="R53" s="122" t="s">
        <v>170</v>
      </c>
      <c r="S53" s="119"/>
      <c r="T53" s="107"/>
      <c r="V53" s="119"/>
      <c r="W53" s="107"/>
      <c r="X53" s="213"/>
    </row>
    <row r="54" spans="1:24" ht="35.1" customHeight="1" x14ac:dyDescent="0.25">
      <c r="A54" s="82">
        <v>34</v>
      </c>
      <c r="B54" s="41"/>
      <c r="C54" s="42" t="s">
        <v>150</v>
      </c>
      <c r="D54" s="43"/>
      <c r="E54" s="43"/>
      <c r="F54" s="43"/>
      <c r="G54" s="43"/>
      <c r="H54" s="43"/>
      <c r="I54" s="44"/>
      <c r="J54" s="55"/>
      <c r="K54" s="56"/>
      <c r="L54" s="56"/>
      <c r="M54" s="56"/>
      <c r="N54" s="56"/>
      <c r="O54" s="56"/>
      <c r="P54" s="53"/>
      <c r="Q54" s="53"/>
      <c r="R54" s="123"/>
      <c r="S54" s="119"/>
      <c r="T54" s="107"/>
      <c r="V54" s="119"/>
      <c r="W54" s="107"/>
      <c r="X54" s="213"/>
    </row>
    <row r="55" spans="1:24" ht="35.1" customHeight="1" x14ac:dyDescent="0.25">
      <c r="A55" s="82">
        <v>35</v>
      </c>
      <c r="B55" s="41"/>
      <c r="C55" s="42" t="s">
        <v>151</v>
      </c>
      <c r="D55" s="43"/>
      <c r="E55" s="43"/>
      <c r="F55" s="43"/>
      <c r="G55" s="43"/>
      <c r="H55" s="43"/>
      <c r="I55" s="44"/>
      <c r="J55" s="55"/>
      <c r="K55" s="56"/>
      <c r="L55" s="56"/>
      <c r="M55" s="56"/>
      <c r="N55" s="56"/>
      <c r="O55" s="56"/>
      <c r="P55" s="53"/>
      <c r="Q55" s="53"/>
      <c r="R55" s="123"/>
      <c r="S55" s="119"/>
      <c r="T55" s="107"/>
      <c r="V55" s="119"/>
      <c r="W55" s="107"/>
      <c r="X55" s="213"/>
    </row>
    <row r="56" spans="1:24" ht="35.1" customHeight="1" thickBot="1" x14ac:dyDescent="0.3">
      <c r="A56" s="87">
        <v>36</v>
      </c>
      <c r="B56" s="58"/>
      <c r="C56" s="59" t="s">
        <v>152</v>
      </c>
      <c r="D56" s="60"/>
      <c r="E56" s="60"/>
      <c r="F56" s="60"/>
      <c r="G56" s="60"/>
      <c r="H56" s="60"/>
      <c r="I56" s="61"/>
      <c r="J56" s="62"/>
      <c r="K56" s="63"/>
      <c r="L56" s="63"/>
      <c r="M56" s="63"/>
      <c r="N56" s="63"/>
      <c r="O56" s="63"/>
      <c r="P56" s="64"/>
      <c r="Q56" s="64"/>
      <c r="R56" s="124"/>
      <c r="S56" s="125"/>
      <c r="T56" s="109"/>
      <c r="V56" s="125"/>
      <c r="W56" s="109"/>
      <c r="X56" s="214"/>
    </row>
    <row r="57" spans="1:24" ht="31.5" customHeight="1" thickTop="1" thickBot="1" x14ac:dyDescent="0.3">
      <c r="A57" s="102"/>
      <c r="B57" s="66" t="s">
        <v>120</v>
      </c>
      <c r="C57" s="67"/>
      <c r="D57" s="68">
        <f>SUM(D44:D56)</f>
        <v>0</v>
      </c>
      <c r="E57" s="68">
        <f t="shared" ref="E57:J57" si="9">SUM(E44:E56)</f>
        <v>0</v>
      </c>
      <c r="F57" s="68">
        <f t="shared" si="9"/>
        <v>0</v>
      </c>
      <c r="G57" s="68">
        <f t="shared" si="9"/>
        <v>0</v>
      </c>
      <c r="H57" s="68">
        <f t="shared" si="9"/>
        <v>0</v>
      </c>
      <c r="I57" s="68">
        <f t="shared" si="9"/>
        <v>0</v>
      </c>
      <c r="J57" s="68">
        <f t="shared" si="9"/>
        <v>0</v>
      </c>
      <c r="K57" s="69"/>
      <c r="L57" s="69"/>
      <c r="M57" s="69"/>
      <c r="N57" s="69"/>
      <c r="O57" s="69"/>
      <c r="P57" s="69"/>
      <c r="Q57" s="69"/>
      <c r="R57" s="69"/>
      <c r="S57" s="69"/>
      <c r="T57" s="86">
        <f>SUM(T44:T56)</f>
        <v>3643636.48</v>
      </c>
      <c r="U57" s="177"/>
      <c r="V57" s="69"/>
      <c r="W57" s="86">
        <f>SUM(W44:W56)</f>
        <v>0</v>
      </c>
      <c r="X57" s="215">
        <f>SUM(X44:X56)</f>
        <v>0</v>
      </c>
    </row>
    <row r="58" spans="1:24" ht="31.5" customHeight="1" thickBot="1" x14ac:dyDescent="0.3">
      <c r="A58" s="104"/>
      <c r="B58" s="103" t="s">
        <v>153</v>
      </c>
      <c r="C58" s="70"/>
      <c r="D58" s="71" t="e">
        <f>D41+D57</f>
        <v>#REF!</v>
      </c>
      <c r="E58" s="70"/>
      <c r="F58" s="72"/>
      <c r="G58" s="71" t="e">
        <f>SUM(G17:G57)</f>
        <v>#REF!</v>
      </c>
      <c r="H58" s="71" t="e">
        <f>SUM(H17:H57)</f>
        <v>#REF!</v>
      </c>
      <c r="I58" s="71"/>
      <c r="J58" s="71">
        <f t="shared" ref="J58:Q58" si="10">J41+J57</f>
        <v>1439399414.3699999</v>
      </c>
      <c r="K58" s="71">
        <f t="shared" si="10"/>
        <v>420835140.72000003</v>
      </c>
      <c r="L58" s="71">
        <f t="shared" si="10"/>
        <v>159956662.41999999</v>
      </c>
      <c r="M58" s="71">
        <f t="shared" si="10"/>
        <v>117736329.52</v>
      </c>
      <c r="N58" s="71">
        <f t="shared" si="10"/>
        <v>10490501.84</v>
      </c>
      <c r="O58" s="71">
        <f t="shared" si="10"/>
        <v>17232889.960000001</v>
      </c>
      <c r="P58" s="71">
        <f t="shared" si="10"/>
        <v>726251524.46000004</v>
      </c>
      <c r="Q58" s="71">
        <f t="shared" si="10"/>
        <v>713148013.90999997</v>
      </c>
      <c r="R58" s="71"/>
      <c r="S58" s="71"/>
      <c r="T58" s="73" t="e">
        <f>T41+T57</f>
        <v>#REF!</v>
      </c>
      <c r="U58" s="177"/>
      <c r="V58" s="71"/>
      <c r="W58" s="73" t="e">
        <f>W41+W57</f>
        <v>#REF!</v>
      </c>
      <c r="X58" s="216" t="e">
        <f>X41+X57</f>
        <v>#REF!</v>
      </c>
    </row>
    <row r="61" spans="1:24" x14ac:dyDescent="0.25">
      <c r="C61" s="36" t="s">
        <v>164</v>
      </c>
    </row>
    <row r="62" spans="1:24" x14ac:dyDescent="0.25">
      <c r="C62" s="36" t="s">
        <v>165</v>
      </c>
    </row>
    <row r="76" spans="1:24" s="39" customFormat="1" ht="54.95" customHeight="1" x14ac:dyDescent="0.25">
      <c r="A76" s="46"/>
      <c r="B76" s="47"/>
      <c r="C76" s="46"/>
      <c r="D76" s="48"/>
      <c r="E76" s="46"/>
      <c r="F76" s="49"/>
      <c r="G76" s="48"/>
      <c r="H76" s="48"/>
      <c r="I76" s="48"/>
      <c r="J76" s="48"/>
      <c r="K76" s="50"/>
      <c r="M76" s="35"/>
      <c r="O76" s="35"/>
      <c r="P76" s="36"/>
      <c r="Q76" s="36"/>
      <c r="R76" s="36"/>
      <c r="S76" s="36"/>
      <c r="T76" s="36"/>
      <c r="U76" s="176"/>
      <c r="V76" s="36"/>
      <c r="W76" s="36"/>
      <c r="X76" s="36"/>
    </row>
    <row r="77" spans="1:24" s="39" customFormat="1" x14ac:dyDescent="0.25">
      <c r="A77" s="36"/>
      <c r="B77" s="36"/>
      <c r="C77" s="36"/>
      <c r="D77" s="45">
        <f>ССР!H58</f>
        <v>392033.92</v>
      </c>
      <c r="E77" s="36"/>
      <c r="F77" s="45"/>
      <c r="G77" s="45">
        <f>ССР!H76</f>
        <v>434361.04</v>
      </c>
      <c r="H77" s="45">
        <f>ССР!H78</f>
        <v>456670</v>
      </c>
      <c r="I77" s="36"/>
      <c r="J77" s="45"/>
      <c r="K77" s="35"/>
      <c r="M77" s="35"/>
      <c r="O77" s="35"/>
      <c r="P77" s="36"/>
      <c r="Q77" s="36"/>
      <c r="R77" s="36"/>
      <c r="S77" s="36"/>
      <c r="T77" s="36"/>
      <c r="U77" s="176"/>
      <c r="V77" s="36"/>
      <c r="W77" s="36"/>
      <c r="X77" s="36"/>
    </row>
    <row r="78" spans="1:24" s="39" customFormat="1" x14ac:dyDescent="0.25">
      <c r="A78" s="36"/>
      <c r="B78" s="36"/>
      <c r="C78" s="36"/>
      <c r="D78" s="45" t="e">
        <f>D41/1000</f>
        <v>#REF!</v>
      </c>
      <c r="E78" s="36"/>
      <c r="F78" s="51"/>
      <c r="G78" s="52" t="e">
        <f>G41/1000</f>
        <v>#REF!</v>
      </c>
      <c r="H78" s="52" t="e">
        <f>H41/1000</f>
        <v>#REF!</v>
      </c>
      <c r="I78" s="36"/>
      <c r="J78" s="45"/>
      <c r="K78" s="50"/>
      <c r="M78" s="35"/>
      <c r="O78" s="35"/>
      <c r="P78" s="36"/>
      <c r="Q78" s="36"/>
      <c r="R78" s="36"/>
      <c r="S78" s="36"/>
      <c r="T78" s="36"/>
      <c r="U78" s="176"/>
      <c r="V78" s="36"/>
      <c r="W78" s="36"/>
      <c r="X78" s="36"/>
    </row>
    <row r="79" spans="1:24" s="39" customFormat="1" x14ac:dyDescent="0.25">
      <c r="A79" s="36"/>
      <c r="B79" s="36"/>
      <c r="C79" s="36"/>
      <c r="D79" s="45"/>
      <c r="E79" s="45"/>
      <c r="F79" s="51"/>
      <c r="G79" s="36"/>
      <c r="H79" s="36"/>
      <c r="I79" s="36"/>
      <c r="J79" s="36"/>
      <c r="M79" s="35"/>
      <c r="O79" s="35"/>
      <c r="P79" s="36"/>
      <c r="Q79" s="36"/>
      <c r="R79" s="36"/>
      <c r="S79" s="36"/>
      <c r="T79" s="36"/>
      <c r="U79" s="176"/>
      <c r="V79" s="36"/>
      <c r="W79" s="36"/>
      <c r="X79" s="36"/>
    </row>
    <row r="99" spans="1:1" x14ac:dyDescent="0.25">
      <c r="A99" s="36">
        <v>7</v>
      </c>
    </row>
  </sheetData>
  <autoFilter ref="A3:U58" xr:uid="{00000000-0001-0000-0100-000000000000}"/>
  <mergeCells count="8">
    <mergeCell ref="A1:J1"/>
    <mergeCell ref="A3:A4"/>
    <mergeCell ref="B3:B4"/>
    <mergeCell ref="C3:C4"/>
    <mergeCell ref="G3:G4"/>
    <mergeCell ref="H3:H4"/>
    <mergeCell ref="I3:I4"/>
    <mergeCell ref="J3:J4"/>
  </mergeCells>
  <pageMargins left="0.23622047244094491" right="0.23622047244094491" top="0.74803149606299213" bottom="0.74803149606299213" header="0.31496062992125984" footer="0.31496062992125984"/>
  <pageSetup paperSize="9" scale="55" fitToHeight="100" orientation="landscape" r:id="rId1"/>
  <rowBreaks count="2" manualBreakCount="2">
    <brk id="59" max="17" man="1"/>
    <brk id="65" max="9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138408-3136-4FD0-8428-C8EE680F4A3F}">
  <sheetPr>
    <pageSetUpPr fitToPage="1"/>
  </sheetPr>
  <dimension ref="A1:W67"/>
  <sheetViews>
    <sheetView view="pageBreakPreview" zoomScale="80" zoomScaleNormal="80" zoomScaleSheetLayoutView="80" workbookViewId="0">
      <pane ySplit="3" topLeftCell="A17" activePane="bottomLeft" state="frozen"/>
      <selection pane="bottomLeft" activeCell="H21" sqref="H21"/>
    </sheetView>
  </sheetViews>
  <sheetFormatPr defaultColWidth="9.140625" defaultRowHeight="15.75" outlineLevelCol="1" x14ac:dyDescent="0.25"/>
  <cols>
    <col min="1" max="1" width="7.42578125" style="130" customWidth="1"/>
    <col min="2" max="2" width="14.7109375" style="130" customWidth="1"/>
    <col min="3" max="3" width="44.85546875" style="130" customWidth="1"/>
    <col min="4" max="4" width="20.5703125" style="130" customWidth="1" outlineLevel="1"/>
    <col min="5" max="5" width="18.85546875" style="130" customWidth="1" outlineLevel="1"/>
    <col min="6" max="6" width="17.5703125" style="130" customWidth="1" outlineLevel="1"/>
    <col min="7" max="7" width="17.85546875" style="130" customWidth="1" outlineLevel="1"/>
    <col min="8" max="8" width="19.5703125" style="130" customWidth="1" outlineLevel="1"/>
    <col min="9" max="9" width="8.5703125" style="130" customWidth="1" outlineLevel="1"/>
    <col min="10" max="10" width="25.140625" style="130" customWidth="1"/>
    <col min="11" max="11" width="20.42578125" style="131" customWidth="1"/>
    <col min="12" max="12" width="16.85546875" style="131" customWidth="1"/>
    <col min="13" max="13" width="18.140625" style="129" customWidth="1"/>
    <col min="14" max="14" width="16.85546875" style="131" customWidth="1"/>
    <col min="15" max="15" width="18.140625" style="129" customWidth="1"/>
    <col min="16" max="16" width="21" style="130" customWidth="1"/>
    <col min="17" max="20" width="19" style="130" customWidth="1"/>
    <col min="21" max="21" width="19.28515625" style="36" customWidth="1"/>
    <col min="22" max="22" width="24.28515625" style="36" customWidth="1"/>
    <col min="23" max="23" width="19" style="36" customWidth="1"/>
    <col min="24" max="16384" width="9.140625" style="130"/>
  </cols>
  <sheetData>
    <row r="1" spans="1:23" ht="26.25" customHeight="1" x14ac:dyDescent="0.25">
      <c r="A1" s="1189"/>
      <c r="B1" s="1189"/>
      <c r="C1" s="1189"/>
      <c r="D1" s="1189"/>
      <c r="E1" s="1189"/>
      <c r="F1" s="1189"/>
      <c r="G1" s="1189"/>
      <c r="H1" s="1189"/>
      <c r="I1" s="1189"/>
      <c r="J1" s="1189"/>
      <c r="K1" s="126"/>
      <c r="L1" s="126"/>
      <c r="N1" s="126"/>
    </row>
    <row r="2" spans="1:23" ht="5.25" customHeight="1" thickBot="1" x14ac:dyDescent="0.3">
      <c r="A2" s="37"/>
      <c r="B2" s="37"/>
      <c r="C2" s="37"/>
      <c r="D2" s="37"/>
      <c r="E2" s="37"/>
      <c r="F2" s="37"/>
      <c r="G2" s="37"/>
      <c r="H2" s="37"/>
      <c r="I2" s="38"/>
      <c r="J2" s="37"/>
    </row>
    <row r="3" spans="1:23" ht="84.75" customHeight="1" x14ac:dyDescent="0.25">
      <c r="A3" s="1217" t="s">
        <v>111</v>
      </c>
      <c r="B3" s="1217" t="s">
        <v>112</v>
      </c>
      <c r="C3" s="1217" t="s">
        <v>113</v>
      </c>
      <c r="D3" s="132" t="s">
        <v>114</v>
      </c>
      <c r="E3" s="132" t="s">
        <v>115</v>
      </c>
      <c r="F3" s="132" t="s">
        <v>116</v>
      </c>
      <c r="G3" s="1217" t="s">
        <v>117</v>
      </c>
      <c r="H3" s="1218" t="s">
        <v>125</v>
      </c>
      <c r="I3" s="1217" t="s">
        <v>118</v>
      </c>
      <c r="J3" s="1218" t="s">
        <v>119</v>
      </c>
      <c r="K3" s="133" t="s">
        <v>126</v>
      </c>
      <c r="L3" s="133" t="s">
        <v>127</v>
      </c>
      <c r="M3" s="134" t="s">
        <v>128</v>
      </c>
      <c r="N3" s="135" t="s">
        <v>134</v>
      </c>
      <c r="O3" s="136" t="s">
        <v>135</v>
      </c>
      <c r="P3" s="137" t="s">
        <v>136</v>
      </c>
      <c r="Q3" s="137" t="s">
        <v>121</v>
      </c>
      <c r="R3" s="137" t="s">
        <v>129</v>
      </c>
      <c r="S3" s="137" t="s">
        <v>131</v>
      </c>
      <c r="T3" s="137" t="s">
        <v>130</v>
      </c>
      <c r="U3" s="79" t="s">
        <v>137</v>
      </c>
      <c r="V3" s="79" t="s">
        <v>138</v>
      </c>
      <c r="W3" s="80" t="s">
        <v>157</v>
      </c>
    </row>
    <row r="4" spans="1:23" x14ac:dyDescent="0.25">
      <c r="A4" s="1217"/>
      <c r="B4" s="1217"/>
      <c r="C4" s="1217"/>
      <c r="D4" s="132"/>
      <c r="E4" s="132"/>
      <c r="F4" s="132"/>
      <c r="G4" s="1217"/>
      <c r="H4" s="1218"/>
      <c r="I4" s="1217"/>
      <c r="J4" s="1218"/>
      <c r="K4" s="138" t="s">
        <v>122</v>
      </c>
      <c r="L4" s="138" t="s">
        <v>123</v>
      </c>
      <c r="M4" s="138" t="s">
        <v>124</v>
      </c>
      <c r="N4" s="138" t="s">
        <v>132</v>
      </c>
      <c r="O4" s="138" t="s">
        <v>133</v>
      </c>
      <c r="P4" s="139"/>
      <c r="Q4" s="139"/>
      <c r="R4" s="139"/>
      <c r="S4" s="139"/>
      <c r="T4" s="139"/>
      <c r="U4" s="65"/>
      <c r="V4" s="65"/>
      <c r="W4" s="81"/>
    </row>
    <row r="5" spans="1:23" ht="59.25" customHeight="1" x14ac:dyDescent="0.25">
      <c r="A5" s="140">
        <v>1</v>
      </c>
      <c r="B5" s="141" t="s">
        <v>25</v>
      </c>
      <c r="C5" s="142" t="str">
        <f>[14]ССР!C24</f>
        <v>Выполнение работ по ликвидации объектов по трассе ж.д. путей, подготовке трассы ж.д. путей.</v>
      </c>
      <c r="D5" s="143">
        <f>'[14]01-01-01'!N448</f>
        <v>48841208.740000002</v>
      </c>
      <c r="E5" s="143">
        <f>'[14]01-01-01'!N449</f>
        <v>4004979.12</v>
      </c>
      <c r="F5" s="143">
        <f>'[14]01-01-01'!N451</f>
        <v>1268308.51</v>
      </c>
      <c r="G5" s="143">
        <f>D5+E5+F5</f>
        <v>54114496.369999997</v>
      </c>
      <c r="H5" s="143">
        <f>'[14]01-01-01'!N453</f>
        <v>56893839.630000003</v>
      </c>
      <c r="I5" s="144">
        <v>1.2</v>
      </c>
      <c r="J5" s="145">
        <f>ROUND(H5*I5,2)</f>
        <v>68272607.560000002</v>
      </c>
      <c r="K5" s="146">
        <f>[15]реестр!$J$11</f>
        <v>65507253.219999999</v>
      </c>
      <c r="L5" s="146">
        <f>[16]реестр!$J$13</f>
        <v>360012.73</v>
      </c>
      <c r="M5" s="146"/>
      <c r="N5" s="146"/>
      <c r="O5" s="146"/>
      <c r="P5" s="147">
        <f>K5+L5+M5+N5+O5</f>
        <v>65867265.950000003</v>
      </c>
      <c r="Q5" s="147">
        <f>J5-K5-L5-M5-N5-O5</f>
        <v>2405341.61</v>
      </c>
      <c r="R5" s="147">
        <f>Q5</f>
        <v>2405341.61</v>
      </c>
      <c r="S5" s="148">
        <v>0</v>
      </c>
      <c r="T5" s="148">
        <f>Q5-R5-S5</f>
        <v>0</v>
      </c>
      <c r="U5" s="112" t="s">
        <v>139</v>
      </c>
      <c r="V5" s="111" t="s">
        <v>158</v>
      </c>
      <c r="W5" s="83">
        <f>47118689.25*1.082*1.024*1.0514*1.2</f>
        <v>65867265.939999998</v>
      </c>
    </row>
    <row r="6" spans="1:23" ht="35.1" customHeight="1" x14ac:dyDescent="0.25">
      <c r="A6" s="140">
        <v>2</v>
      </c>
      <c r="B6" s="141" t="s">
        <v>27</v>
      </c>
      <c r="C6" s="142" t="str">
        <f>[14]ССР!C25</f>
        <v>Выполнение работ по ликвидации объекта капитального строительства</v>
      </c>
      <c r="D6" s="143">
        <f>'[14]01-01-02 '!N722</f>
        <v>40054718.460000001</v>
      </c>
      <c r="E6" s="143">
        <f>'[14]01-01-02 '!N723</f>
        <v>3284486.91</v>
      </c>
      <c r="F6" s="143">
        <f>'[14]01-01-02 '!N725</f>
        <v>1040140.93</v>
      </c>
      <c r="G6" s="143">
        <f>D6+E6+F6</f>
        <v>44379346.299999997</v>
      </c>
      <c r="H6" s="143">
        <f>'[14]01-01-02 '!N727</f>
        <v>46658688.170000002</v>
      </c>
      <c r="I6" s="144">
        <v>1.2</v>
      </c>
      <c r="J6" s="145">
        <f t="shared" ref="J6:J25" si="0">ROUND(H6*I6,2)</f>
        <v>55990425.799999997</v>
      </c>
      <c r="K6" s="146">
        <f>[15]реестр!$J$12</f>
        <v>54911594.170000002</v>
      </c>
      <c r="L6" s="146"/>
      <c r="M6" s="146"/>
      <c r="N6" s="146"/>
      <c r="O6" s="146"/>
      <c r="P6" s="147">
        <f t="shared" ref="P6:P25" si="1">K6+L6+M6+N6+O6</f>
        <v>54911594.170000002</v>
      </c>
      <c r="Q6" s="147">
        <f t="shared" ref="Q6:Q25" si="2">J6-K6-L6-M6-N6-O6</f>
        <v>1078831.6299999999</v>
      </c>
      <c r="R6" s="147">
        <f>Q6</f>
        <v>1078831.6299999999</v>
      </c>
      <c r="S6" s="148">
        <v>0</v>
      </c>
      <c r="T6" s="148">
        <f>Q6-R6-S6</f>
        <v>0</v>
      </c>
      <c r="U6" s="112" t="s">
        <v>139</v>
      </c>
      <c r="V6" s="111" t="s">
        <v>158</v>
      </c>
      <c r="W6" s="83">
        <f>39281459.54*1.082*1.024*1.0514*1.2</f>
        <v>54911594.170000002</v>
      </c>
    </row>
    <row r="7" spans="1:23" ht="35.1" customHeight="1" x14ac:dyDescent="0.25">
      <c r="A7" s="140">
        <v>3</v>
      </c>
      <c r="B7" s="141" t="s">
        <v>28</v>
      </c>
      <c r="C7" s="142" t="str">
        <f>[14]ССР!C26</f>
        <v>Демонтаж сетей и систем  инженерного обоспечения.</v>
      </c>
      <c r="D7" s="143">
        <f>'[14]01-01-03'!N266</f>
        <v>1177977.71</v>
      </c>
      <c r="E7" s="143">
        <f>'[14]01-01-03'!N267</f>
        <v>96594.17</v>
      </c>
      <c r="F7" s="143">
        <f>'[14]01-01-03'!N269</f>
        <v>30589.73</v>
      </c>
      <c r="G7" s="143">
        <f>D7+E7+F7</f>
        <v>1305161.6100000001</v>
      </c>
      <c r="H7" s="143">
        <f>'[14]01-01-03'!N271</f>
        <v>1372195.26</v>
      </c>
      <c r="I7" s="144">
        <f>I5</f>
        <v>1.2</v>
      </c>
      <c r="J7" s="145">
        <f>ROUND(H7*I7,2)</f>
        <v>1646634.31</v>
      </c>
      <c r="K7" s="146"/>
      <c r="L7" s="146"/>
      <c r="M7" s="146">
        <f>1646696.3</f>
        <v>1646696.3</v>
      </c>
      <c r="N7" s="146"/>
      <c r="O7" s="146"/>
      <c r="P7" s="147">
        <f t="shared" si="1"/>
        <v>1646696.3</v>
      </c>
      <c r="Q7" s="147">
        <f t="shared" si="2"/>
        <v>-61.99</v>
      </c>
      <c r="R7" s="147">
        <v>0</v>
      </c>
      <c r="S7" s="148">
        <v>0</v>
      </c>
      <c r="T7" s="147">
        <f>Q7-R7-S7</f>
        <v>-61.99</v>
      </c>
      <c r="U7" s="112" t="s">
        <v>139</v>
      </c>
      <c r="V7" s="111" t="s">
        <v>158</v>
      </c>
      <c r="W7" s="84">
        <f>1177977.71*1.082*1.024*1.0514*1.2</f>
        <v>1646696.3</v>
      </c>
    </row>
    <row r="8" spans="1:23" ht="117" customHeight="1" x14ac:dyDescent="0.25">
      <c r="A8" s="140">
        <v>4</v>
      </c>
      <c r="B8" s="149">
        <v>36893</v>
      </c>
      <c r="C8" s="142" t="str">
        <f>[14]ССР!C29</f>
        <v>Верхнее строение пути</v>
      </c>
      <c r="D8" s="143">
        <f>'[14]02-01-01'!N1115</f>
        <v>161452921.99000001</v>
      </c>
      <c r="E8" s="143">
        <f>'[14]02-01-01'!N1116</f>
        <v>13239139.6</v>
      </c>
      <c r="F8" s="143">
        <f>'[14]02-01-01'!N1118</f>
        <v>4192609.48</v>
      </c>
      <c r="G8" s="143">
        <f t="shared" ref="G8:G25" si="3">D8+E8+F8</f>
        <v>178884671.06999999</v>
      </c>
      <c r="H8" s="143">
        <f>'[14]02-01-01'!N1120</f>
        <v>188072263.84999999</v>
      </c>
      <c r="I8" s="144">
        <f>I5</f>
        <v>1.2</v>
      </c>
      <c r="J8" s="145">
        <f t="shared" si="0"/>
        <v>225686716.62</v>
      </c>
      <c r="K8" s="146">
        <f>[15]реестр!$J$13</f>
        <v>89998722.969999999</v>
      </c>
      <c r="L8" s="146">
        <f>[16]реестр!$J$11</f>
        <v>66544414.909999996</v>
      </c>
      <c r="M8" s="146">
        <v>42672742.899999999</v>
      </c>
      <c r="N8" s="146"/>
      <c r="O8" s="146"/>
      <c r="P8" s="147">
        <f t="shared" si="1"/>
        <v>199215880.78</v>
      </c>
      <c r="Q8" s="147">
        <f t="shared" si="2"/>
        <v>26470835.84</v>
      </c>
      <c r="R8" s="147">
        <f>2801779.13+6000000</f>
        <v>8801779.1300000008</v>
      </c>
      <c r="S8" s="148">
        <v>5320000</v>
      </c>
      <c r="T8" s="147">
        <f t="shared" ref="T8:T25" si="4">Q8-R8-S8</f>
        <v>12349056.710000001</v>
      </c>
      <c r="U8" s="112"/>
      <c r="V8" s="110"/>
      <c r="W8" s="84"/>
    </row>
    <row r="9" spans="1:23" ht="35.1" customHeight="1" x14ac:dyDescent="0.25">
      <c r="A9" s="140">
        <v>5</v>
      </c>
      <c r="B9" s="141" t="s">
        <v>32</v>
      </c>
      <c r="C9" s="142" t="str">
        <f>[14]ССР!C30</f>
        <v>Восстановительные работы цеха №121/18. АС 3.</v>
      </c>
      <c r="D9" s="143">
        <f>'[14]02-02-01'!N1999</f>
        <v>4505948.67</v>
      </c>
      <c r="E9" s="143">
        <f>'[14]02-02-01'!N2000</f>
        <v>369487.79</v>
      </c>
      <c r="F9" s="143">
        <f>'[14]02-02-01'!N2002</f>
        <v>117010.48</v>
      </c>
      <c r="G9" s="143">
        <f t="shared" si="3"/>
        <v>4992446.9400000004</v>
      </c>
      <c r="H9" s="143">
        <f>'[14]02-02-01'!N2004</f>
        <v>5248861.1100000003</v>
      </c>
      <c r="I9" s="144">
        <f>I6</f>
        <v>1.2</v>
      </c>
      <c r="J9" s="145">
        <f t="shared" si="0"/>
        <v>6298633.3300000001</v>
      </c>
      <c r="K9" s="146"/>
      <c r="L9" s="146"/>
      <c r="M9" s="146"/>
      <c r="N9" s="146">
        <v>5245250.92</v>
      </c>
      <c r="O9" s="146"/>
      <c r="P9" s="147">
        <f t="shared" si="1"/>
        <v>5245250.92</v>
      </c>
      <c r="Q9" s="147">
        <f t="shared" si="2"/>
        <v>1053382.4099999999</v>
      </c>
      <c r="R9" s="147">
        <v>0</v>
      </c>
      <c r="S9" s="148">
        <v>410418.9</v>
      </c>
      <c r="T9" s="147">
        <f t="shared" si="4"/>
        <v>642963.51</v>
      </c>
      <c r="U9" s="112"/>
      <c r="V9" s="110"/>
      <c r="W9" s="84"/>
    </row>
    <row r="10" spans="1:23" ht="35.1" customHeight="1" x14ac:dyDescent="0.25">
      <c r="A10" s="140">
        <v>6</v>
      </c>
      <c r="B10" s="141" t="s">
        <v>33</v>
      </c>
      <c r="C10" s="142" t="str">
        <f>[14]ССР!C31</f>
        <v>Архитектурно-строительные решения. Часть 1.АС1</v>
      </c>
      <c r="D10" s="143">
        <f>'[14]02-03-01'!N1237</f>
        <v>10526911.91</v>
      </c>
      <c r="E10" s="143">
        <f>'[14]02-03-01'!N1238</f>
        <v>863206.78</v>
      </c>
      <c r="F10" s="143">
        <f>'[14]02-03-01'!N1240</f>
        <v>273362.84999999998</v>
      </c>
      <c r="G10" s="143">
        <f t="shared" si="3"/>
        <v>11663481.539999999</v>
      </c>
      <c r="H10" s="143">
        <f>'[14]02-03-01'!N1243</f>
        <v>12262522.85</v>
      </c>
      <c r="I10" s="144">
        <f>I7</f>
        <v>1.2</v>
      </c>
      <c r="J10" s="145">
        <f t="shared" si="0"/>
        <v>14715027.42</v>
      </c>
      <c r="K10" s="146"/>
      <c r="L10" s="146">
        <f>[16]реестр!$J$14</f>
        <v>10775049.08</v>
      </c>
      <c r="M10" s="146"/>
      <c r="N10" s="146"/>
      <c r="O10" s="146"/>
      <c r="P10" s="147">
        <f t="shared" si="1"/>
        <v>10775049.08</v>
      </c>
      <c r="Q10" s="147">
        <f t="shared" si="2"/>
        <v>3939978.34</v>
      </c>
      <c r="R10" s="147">
        <v>0</v>
      </c>
      <c r="S10" s="148">
        <v>800000</v>
      </c>
      <c r="T10" s="147">
        <f>Q10-R10-S10</f>
        <v>3139978.34</v>
      </c>
      <c r="U10" s="112"/>
      <c r="V10" s="110"/>
      <c r="W10" s="84"/>
    </row>
    <row r="11" spans="1:23" ht="35.1" customHeight="1" x14ac:dyDescent="0.25">
      <c r="A11" s="140">
        <v>7</v>
      </c>
      <c r="B11" s="141" t="s">
        <v>35</v>
      </c>
      <c r="C11" s="142" t="str">
        <f>[14]ССР!C32</f>
        <v>Трансбордер. Архитектурно-строительные решения. Часть 2. АС2 .</v>
      </c>
      <c r="D11" s="143">
        <f>'[14]02-03-02'!N392</f>
        <v>1615223.87</v>
      </c>
      <c r="E11" s="143">
        <f>'[14]02-03-02'!N393</f>
        <v>132448.35999999999</v>
      </c>
      <c r="F11" s="143">
        <f>'[14]02-03-02'!N395</f>
        <v>41944.13</v>
      </c>
      <c r="G11" s="143">
        <f t="shared" si="3"/>
        <v>1789616.36</v>
      </c>
      <c r="H11" s="143">
        <f>'[14]02-03-02'!N398</f>
        <v>1881531.81</v>
      </c>
      <c r="I11" s="144">
        <f>I8</f>
        <v>1.2</v>
      </c>
      <c r="J11" s="145">
        <f t="shared" si="0"/>
        <v>2257838.17</v>
      </c>
      <c r="K11" s="146"/>
      <c r="L11" s="146"/>
      <c r="M11" s="146">
        <v>1627347.05</v>
      </c>
      <c r="N11" s="146"/>
      <c r="O11" s="146"/>
      <c r="P11" s="147">
        <f t="shared" si="1"/>
        <v>1627347.05</v>
      </c>
      <c r="Q11" s="147">
        <f t="shared" si="2"/>
        <v>630491.12</v>
      </c>
      <c r="R11" s="147">
        <f>Q11</f>
        <v>630491.12</v>
      </c>
      <c r="S11" s="148">
        <v>0</v>
      </c>
      <c r="T11" s="147">
        <f t="shared" si="4"/>
        <v>0</v>
      </c>
      <c r="U11" s="111" t="s">
        <v>161</v>
      </c>
      <c r="V11" s="110"/>
      <c r="W11" s="84">
        <f>113458.97*1.082*1.024*1.0514*1.2</f>
        <v>158604.42000000001</v>
      </c>
    </row>
    <row r="12" spans="1:23" ht="35.1" customHeight="1" x14ac:dyDescent="0.25">
      <c r="A12" s="140">
        <v>8</v>
      </c>
      <c r="B12" s="141" t="s">
        <v>39</v>
      </c>
      <c r="C12" s="142" t="str">
        <f>[14]ССР!C35</f>
        <v>Электроснабжение. ЭС 1.</v>
      </c>
      <c r="D12" s="143">
        <f>'[14]04-01-01'!N165</f>
        <v>475031.03999999998</v>
      </c>
      <c r="E12" s="143">
        <f>'[14]04-01-01'!N166</f>
        <v>38952.550000000003</v>
      </c>
      <c r="F12" s="143">
        <f>'[14]04-01-01'!N168</f>
        <v>12335.61</v>
      </c>
      <c r="G12" s="143">
        <f t="shared" si="3"/>
        <v>526319.19999999995</v>
      </c>
      <c r="H12" s="143">
        <f>'[14]04-01-01'!N171</f>
        <v>553351.18000000005</v>
      </c>
      <c r="I12" s="144">
        <f>I9</f>
        <v>1.2</v>
      </c>
      <c r="J12" s="145">
        <f t="shared" si="0"/>
        <v>664021.42000000004</v>
      </c>
      <c r="K12" s="146"/>
      <c r="L12" s="146"/>
      <c r="M12" s="146"/>
      <c r="N12" s="146"/>
      <c r="O12" s="146"/>
      <c r="P12" s="147">
        <f t="shared" si="1"/>
        <v>0</v>
      </c>
      <c r="Q12" s="147">
        <f t="shared" si="2"/>
        <v>664021.42000000004</v>
      </c>
      <c r="R12" s="147">
        <v>368180.82</v>
      </c>
      <c r="S12" s="148">
        <v>0</v>
      </c>
      <c r="T12" s="147">
        <f t="shared" si="4"/>
        <v>295840.59999999998</v>
      </c>
      <c r="U12" s="112"/>
      <c r="V12" s="110"/>
      <c r="W12" s="84"/>
    </row>
    <row r="13" spans="1:23" ht="35.1" customHeight="1" x14ac:dyDescent="0.25">
      <c r="A13" s="140">
        <v>9</v>
      </c>
      <c r="B13" s="141" t="s">
        <v>41</v>
      </c>
      <c r="C13" s="142" t="str">
        <f>[14]ССР!C36</f>
        <v>Переустройство кабельных линий.ЭС2</v>
      </c>
      <c r="D13" s="143">
        <f>'[14]04-01-02'!N840</f>
        <v>2276671.21</v>
      </c>
      <c r="E13" s="143">
        <f>'[14]04-01-02'!N841</f>
        <v>186687.04</v>
      </c>
      <c r="F13" s="143">
        <f>'[14]04-01-02'!N843</f>
        <v>59120.6</v>
      </c>
      <c r="G13" s="143">
        <f t="shared" si="3"/>
        <v>2522478.85</v>
      </c>
      <c r="H13" s="143">
        <f>'[14]04-01-02'!N846</f>
        <v>2652034.42</v>
      </c>
      <c r="I13" s="144">
        <f>I9</f>
        <v>1.2</v>
      </c>
      <c r="J13" s="145">
        <f t="shared" si="0"/>
        <v>3182441.3</v>
      </c>
      <c r="K13" s="146"/>
      <c r="L13" s="146"/>
      <c r="M13" s="146"/>
      <c r="N13" s="146"/>
      <c r="O13" s="146"/>
      <c r="P13" s="147">
        <f t="shared" si="1"/>
        <v>0</v>
      </c>
      <c r="Q13" s="147">
        <f t="shared" si="2"/>
        <v>3182441.3</v>
      </c>
      <c r="R13" s="147">
        <v>1173466.43</v>
      </c>
      <c r="S13" s="148">
        <v>0</v>
      </c>
      <c r="T13" s="147">
        <f t="shared" si="4"/>
        <v>2008974.87</v>
      </c>
      <c r="U13" s="111" t="s">
        <v>139</v>
      </c>
      <c r="V13" s="111" t="s">
        <v>158</v>
      </c>
      <c r="W13" s="84">
        <f>6471079.85*1.082*1.024*1.0514*1.2</f>
        <v>9045929.4199999999</v>
      </c>
    </row>
    <row r="14" spans="1:23" ht="35.1" customHeight="1" x14ac:dyDescent="0.25">
      <c r="A14" s="140">
        <v>10</v>
      </c>
      <c r="B14" s="141" t="s">
        <v>46</v>
      </c>
      <c r="C14" s="142" t="str">
        <f>[14]ССР!C40</f>
        <v>Переустройство хозпитьевого водопровода.НВК2</v>
      </c>
      <c r="D14" s="143">
        <f>'[14]06-01-01'!N702</f>
        <v>760016.55</v>
      </c>
      <c r="E14" s="143">
        <f>'[14]06-01-01'!N703</f>
        <v>62321.36</v>
      </c>
      <c r="F14" s="143">
        <f>'[14]06-01-01'!N705</f>
        <v>19736.11</v>
      </c>
      <c r="G14" s="143">
        <f t="shared" si="3"/>
        <v>842074.02</v>
      </c>
      <c r="H14" s="143">
        <f>'[14]06-01-01'!N708</f>
        <v>885323.3</v>
      </c>
      <c r="I14" s="144">
        <f>I10</f>
        <v>1.2</v>
      </c>
      <c r="J14" s="145">
        <f t="shared" si="0"/>
        <v>1062387.96</v>
      </c>
      <c r="K14" s="146"/>
      <c r="L14" s="146"/>
      <c r="M14" s="146"/>
      <c r="N14" s="146"/>
      <c r="O14" s="146"/>
      <c r="P14" s="147">
        <f t="shared" si="1"/>
        <v>0</v>
      </c>
      <c r="Q14" s="147">
        <f t="shared" si="2"/>
        <v>1062387.96</v>
      </c>
      <c r="R14" s="147">
        <v>0</v>
      </c>
      <c r="S14" s="148">
        <v>0</v>
      </c>
      <c r="T14" s="147">
        <f t="shared" si="4"/>
        <v>1062387.96</v>
      </c>
      <c r="U14" s="112" t="s">
        <v>162</v>
      </c>
      <c r="V14" s="111" t="s">
        <v>163</v>
      </c>
      <c r="W14" s="84">
        <f>1575220.02*1.082*1.024*1.0514*1.2</f>
        <v>2202001.75</v>
      </c>
    </row>
    <row r="15" spans="1:23" ht="35.1" customHeight="1" x14ac:dyDescent="0.25">
      <c r="A15" s="140">
        <v>11</v>
      </c>
      <c r="B15" s="141" t="s">
        <v>48</v>
      </c>
      <c r="C15" s="142" t="str">
        <f>[14]ССР!C41</f>
        <v>Переустройство хозпитьевого водопровода.НВК3</v>
      </c>
      <c r="D15" s="143">
        <f>'[14]06-01-02'!N1348</f>
        <v>10454161.890000001</v>
      </c>
      <c r="E15" s="143">
        <f>'[14]06-01-02'!N1349</f>
        <v>857241.27</v>
      </c>
      <c r="F15" s="143">
        <f>'[14]06-01-02'!N1351</f>
        <v>271473.68</v>
      </c>
      <c r="G15" s="143">
        <f t="shared" si="3"/>
        <v>11582876.84</v>
      </c>
      <c r="H15" s="143">
        <f>'[14]06-01-02'!N1354</f>
        <v>12177778.26</v>
      </c>
      <c r="I15" s="144">
        <f>I5</f>
        <v>1.2</v>
      </c>
      <c r="J15" s="145">
        <f t="shared" si="0"/>
        <v>14613333.91</v>
      </c>
      <c r="K15" s="146"/>
      <c r="L15" s="146"/>
      <c r="M15" s="146"/>
      <c r="N15" s="146"/>
      <c r="O15" s="146"/>
      <c r="P15" s="147">
        <f t="shared" si="1"/>
        <v>0</v>
      </c>
      <c r="Q15" s="147">
        <f t="shared" si="2"/>
        <v>14613333.91</v>
      </c>
      <c r="R15" s="147">
        <v>0</v>
      </c>
      <c r="S15" s="148">
        <v>0</v>
      </c>
      <c r="T15" s="147">
        <f t="shared" si="4"/>
        <v>14613333.91</v>
      </c>
      <c r="U15" s="112" t="s">
        <v>139</v>
      </c>
      <c r="V15" s="111" t="s">
        <v>158</v>
      </c>
      <c r="W15" s="84">
        <f>15932592.16*1.082*1.024*1.0514*1.2</f>
        <v>22272187.57</v>
      </c>
    </row>
    <row r="16" spans="1:23" ht="35.1" customHeight="1" x14ac:dyDescent="0.25">
      <c r="A16" s="140">
        <v>12</v>
      </c>
      <c r="B16" s="141" t="s">
        <v>51</v>
      </c>
      <c r="C16" s="142" t="str">
        <f>[14]ССР!C43</f>
        <v>Переустройство хозяйственно-бытовой канализации.НВК4</v>
      </c>
      <c r="D16" s="143">
        <f>'[14]06-02-01'!N1692</f>
        <v>9143309.8300000001</v>
      </c>
      <c r="E16" s="143">
        <f>'[14]06-02-01'!N1693</f>
        <v>749751.41</v>
      </c>
      <c r="F16" s="143">
        <f>'[14]06-02-01'!N1695</f>
        <v>237433.47</v>
      </c>
      <c r="G16" s="143">
        <f t="shared" si="3"/>
        <v>10130494.710000001</v>
      </c>
      <c r="H16" s="143">
        <f>'[14]06-02-01'!N1698</f>
        <v>10650801.17</v>
      </c>
      <c r="I16" s="144">
        <f>I6</f>
        <v>1.2</v>
      </c>
      <c r="J16" s="145">
        <f t="shared" si="0"/>
        <v>12780961.4</v>
      </c>
      <c r="K16" s="146"/>
      <c r="L16" s="146"/>
      <c r="M16" s="146"/>
      <c r="N16" s="146"/>
      <c r="O16" s="146">
        <v>337909.86</v>
      </c>
      <c r="P16" s="147">
        <f t="shared" si="1"/>
        <v>337909.86</v>
      </c>
      <c r="Q16" s="147">
        <f t="shared" si="2"/>
        <v>12443051.539999999</v>
      </c>
      <c r="R16" s="147">
        <v>7690625.7000000002</v>
      </c>
      <c r="S16" s="148">
        <v>0</v>
      </c>
      <c r="T16" s="147">
        <f t="shared" si="4"/>
        <v>4752425.84</v>
      </c>
      <c r="U16" s="111" t="s">
        <v>161</v>
      </c>
      <c r="V16" s="111" t="s">
        <v>163</v>
      </c>
      <c r="W16" s="84">
        <f>1587331.93*1.082*1.024*1.0514*1.2</f>
        <v>2218933</v>
      </c>
    </row>
    <row r="17" spans="1:23" ht="35.1" customHeight="1" x14ac:dyDescent="0.25">
      <c r="A17" s="140">
        <v>13</v>
      </c>
      <c r="B17" s="141" t="s">
        <v>53</v>
      </c>
      <c r="C17" s="142" t="str">
        <f>[14]ССР!C44</f>
        <v>Переустройство ливневой канализации.НВК5.</v>
      </c>
      <c r="D17" s="143">
        <f>'[14]06-02-02 '!N1847</f>
        <v>21996729.18</v>
      </c>
      <c r="E17" s="143">
        <f>'[14]06-02-02 '!N1848</f>
        <v>1803731.79</v>
      </c>
      <c r="F17" s="143">
        <f>'[14]06-02-02 '!N1850</f>
        <v>571211.06000000006</v>
      </c>
      <c r="G17" s="143">
        <f t="shared" si="3"/>
        <v>24371672.030000001</v>
      </c>
      <c r="H17" s="143">
        <f>'[14]06-02-02 '!N1853</f>
        <v>25623411.34</v>
      </c>
      <c r="I17" s="144">
        <f>I7</f>
        <v>1.2</v>
      </c>
      <c r="J17" s="145">
        <f t="shared" si="0"/>
        <v>30748093.609999999</v>
      </c>
      <c r="K17" s="146"/>
      <c r="L17" s="146"/>
      <c r="M17" s="146">
        <v>1211400.79</v>
      </c>
      <c r="N17" s="146"/>
      <c r="O17" s="146"/>
      <c r="P17" s="147">
        <f t="shared" si="1"/>
        <v>1211400.79</v>
      </c>
      <c r="Q17" s="147">
        <f t="shared" si="2"/>
        <v>29536692.82</v>
      </c>
      <c r="R17" s="147">
        <v>20038567.059999999</v>
      </c>
      <c r="S17" s="148">
        <v>0</v>
      </c>
      <c r="T17" s="147">
        <f t="shared" si="4"/>
        <v>9498125.7599999998</v>
      </c>
      <c r="U17" s="111" t="s">
        <v>161</v>
      </c>
      <c r="V17" s="111" t="s">
        <v>163</v>
      </c>
      <c r="W17" s="84">
        <f>2120579.48*1.082*1.024*1.0514*1.2</f>
        <v>2964360.32</v>
      </c>
    </row>
    <row r="18" spans="1:23" ht="35.1" customHeight="1" x14ac:dyDescent="0.25">
      <c r="A18" s="140">
        <v>14</v>
      </c>
      <c r="B18" s="141" t="s">
        <v>55</v>
      </c>
      <c r="C18" s="142" t="str">
        <f>[14]ССР!C45</f>
        <v>Трубопровод ливневых сточных вод от трансбордера. НВК1</v>
      </c>
      <c r="D18" s="143">
        <f>'[14]06-02-03 '!N573</f>
        <v>1758763.66</v>
      </c>
      <c r="E18" s="143">
        <f>'[14]06-02-03 '!N574</f>
        <v>144218.62</v>
      </c>
      <c r="F18" s="143">
        <f>'[14]06-02-03 '!N576</f>
        <v>45671.57</v>
      </c>
      <c r="G18" s="143">
        <f t="shared" si="3"/>
        <v>1948653.85</v>
      </c>
      <c r="H18" s="143">
        <f>'[14]06-02-03 '!N579</f>
        <v>2048737.53</v>
      </c>
      <c r="I18" s="144">
        <f>I8</f>
        <v>1.2</v>
      </c>
      <c r="J18" s="145">
        <f t="shared" si="0"/>
        <v>2458485.04</v>
      </c>
      <c r="K18" s="146"/>
      <c r="L18" s="146"/>
      <c r="M18" s="146"/>
      <c r="N18" s="146"/>
      <c r="O18" s="146">
        <v>505496.99</v>
      </c>
      <c r="P18" s="147">
        <f t="shared" si="1"/>
        <v>505496.99</v>
      </c>
      <c r="Q18" s="147">
        <f t="shared" si="2"/>
        <v>1952988.05</v>
      </c>
      <c r="R18" s="147">
        <v>1207154.99</v>
      </c>
      <c r="S18" s="148">
        <v>0</v>
      </c>
      <c r="T18" s="147">
        <f t="shared" si="4"/>
        <v>745833.06</v>
      </c>
      <c r="U18" s="112"/>
      <c r="V18" s="110"/>
      <c r="W18" s="84"/>
    </row>
    <row r="19" spans="1:23" ht="35.1" customHeight="1" x14ac:dyDescent="0.25">
      <c r="A19" s="140">
        <v>15</v>
      </c>
      <c r="B19" s="141" t="s">
        <v>58</v>
      </c>
      <c r="C19" s="142" t="str">
        <f>[14]ССР!C47</f>
        <v>Теплоснабжение. Переустройство трубопровода.ТС1</v>
      </c>
      <c r="D19" s="143">
        <f>'[14]06-03-01'!N1753</f>
        <v>4044845.15</v>
      </c>
      <c r="E19" s="143">
        <f>'[14]06-03-01'!N1754</f>
        <v>331677.3</v>
      </c>
      <c r="F19" s="143">
        <f>'[14]06-03-01'!N1756</f>
        <v>105036.54</v>
      </c>
      <c r="G19" s="143">
        <f t="shared" si="3"/>
        <v>4481558.99</v>
      </c>
      <c r="H19" s="143">
        <f>'[14]06-03-01'!N1759</f>
        <v>4711733.74</v>
      </c>
      <c r="I19" s="144">
        <f>I15</f>
        <v>1.2</v>
      </c>
      <c r="J19" s="145">
        <f t="shared" si="0"/>
        <v>5654080.4900000002</v>
      </c>
      <c r="K19" s="146"/>
      <c r="L19" s="146"/>
      <c r="M19" s="146"/>
      <c r="N19" s="146"/>
      <c r="O19" s="146">
        <v>3594854.48</v>
      </c>
      <c r="P19" s="147">
        <f t="shared" si="1"/>
        <v>3594854.48</v>
      </c>
      <c r="Q19" s="147">
        <f t="shared" si="2"/>
        <v>2059226.01</v>
      </c>
      <c r="R19" s="147">
        <v>0</v>
      </c>
      <c r="S19" s="148">
        <v>0</v>
      </c>
      <c r="T19" s="147">
        <f t="shared" si="4"/>
        <v>2059226.01</v>
      </c>
      <c r="U19" s="112"/>
      <c r="V19" s="110"/>
      <c r="W19" s="84"/>
    </row>
    <row r="20" spans="1:23" ht="75.75" customHeight="1" x14ac:dyDescent="0.25">
      <c r="A20" s="140">
        <v>16</v>
      </c>
      <c r="B20" s="141" t="s">
        <v>59</v>
      </c>
      <c r="C20" s="142" t="str">
        <f>[14]ССР!C48</f>
        <v>Архитектурно-строительные решения. Эстакада для ТС1. АС 4</v>
      </c>
      <c r="D20" s="143">
        <f>'[14]06-03-02'!N897</f>
        <v>4859580.66</v>
      </c>
      <c r="E20" s="143">
        <f>'[14]06-03-02'!N898</f>
        <v>398485.61</v>
      </c>
      <c r="F20" s="143">
        <f>'[14]06-03-02'!N900</f>
        <v>126193.59</v>
      </c>
      <c r="G20" s="143">
        <f t="shared" si="3"/>
        <v>5384259.8600000003</v>
      </c>
      <c r="H20" s="143">
        <f>'[14]06-03-02'!N903</f>
        <v>5660797.71</v>
      </c>
      <c r="I20" s="144">
        <f>I16</f>
        <v>1.2</v>
      </c>
      <c r="J20" s="145">
        <f t="shared" si="0"/>
        <v>6792957.25</v>
      </c>
      <c r="K20" s="146"/>
      <c r="L20" s="146"/>
      <c r="M20" s="146"/>
      <c r="N20" s="146"/>
      <c r="O20" s="146">
        <v>562345.21</v>
      </c>
      <c r="P20" s="147">
        <f t="shared" si="1"/>
        <v>562345.21</v>
      </c>
      <c r="Q20" s="147">
        <f t="shared" si="2"/>
        <v>6230612.04</v>
      </c>
      <c r="R20" s="147">
        <v>3103657.81</v>
      </c>
      <c r="S20" s="148">
        <v>279056.24</v>
      </c>
      <c r="T20" s="147">
        <f t="shared" si="4"/>
        <v>2847897.99</v>
      </c>
      <c r="U20" s="112"/>
      <c r="V20" s="110"/>
      <c r="W20" s="84"/>
    </row>
    <row r="21" spans="1:23" ht="35.1" customHeight="1" x14ac:dyDescent="0.25">
      <c r="A21" s="140">
        <v>17</v>
      </c>
      <c r="B21" s="141" t="s">
        <v>61</v>
      </c>
      <c r="C21" s="142" t="str">
        <f>[14]ССР!C49</f>
        <v>Теплоснабжение. Переустройство трубопровода.ТС2</v>
      </c>
      <c r="D21" s="143">
        <f>'[14]06-03-03 '!N1536</f>
        <v>1890203.39</v>
      </c>
      <c r="E21" s="143">
        <f>'[14]06-03-03 '!N1537</f>
        <v>154996.68</v>
      </c>
      <c r="F21" s="143">
        <f>'[14]06-03-03 '!N1539</f>
        <v>49084.800000000003</v>
      </c>
      <c r="G21" s="143">
        <f t="shared" si="3"/>
        <v>2094284.87</v>
      </c>
      <c r="H21" s="143">
        <f>'[14]06-03-03 '!N1542</f>
        <v>2201848.2200000002</v>
      </c>
      <c r="I21" s="144">
        <f>I11</f>
        <v>1.2</v>
      </c>
      <c r="J21" s="145">
        <f t="shared" si="0"/>
        <v>2642217.86</v>
      </c>
      <c r="K21" s="146"/>
      <c r="L21" s="146"/>
      <c r="M21" s="146"/>
      <c r="N21" s="146"/>
      <c r="O21" s="146"/>
      <c r="P21" s="147">
        <f t="shared" si="1"/>
        <v>0</v>
      </c>
      <c r="Q21" s="147">
        <f t="shared" si="2"/>
        <v>2642217.86</v>
      </c>
      <c r="R21" s="147">
        <v>0</v>
      </c>
      <c r="S21" s="148">
        <v>0</v>
      </c>
      <c r="T21" s="147">
        <f t="shared" si="4"/>
        <v>2642217.86</v>
      </c>
      <c r="U21" s="112"/>
      <c r="V21" s="110"/>
      <c r="W21" s="84"/>
    </row>
    <row r="22" spans="1:23" ht="35.1" customHeight="1" x14ac:dyDescent="0.25">
      <c r="A22" s="140">
        <v>18</v>
      </c>
      <c r="B22" s="141" t="s">
        <v>63</v>
      </c>
      <c r="C22" s="142" t="str">
        <f>[14]ССР!C50</f>
        <v>Теплоснабжение. Переустройство трубопровода.ТС3</v>
      </c>
      <c r="D22" s="143">
        <f>'[14]06-03-04'!N955</f>
        <v>4003449.34</v>
      </c>
      <c r="E22" s="143">
        <f>'[14]06-03-04'!N956</f>
        <v>328282.84999999998</v>
      </c>
      <c r="F22" s="143">
        <f>'[14]06-03-04'!N958</f>
        <v>103961.57</v>
      </c>
      <c r="G22" s="143">
        <f t="shared" si="3"/>
        <v>4435693.76</v>
      </c>
      <c r="H22" s="143">
        <f>'[14]06-03-04'!N961</f>
        <v>4663512.8499999996</v>
      </c>
      <c r="I22" s="144">
        <f>I12</f>
        <v>1.2</v>
      </c>
      <c r="J22" s="145">
        <f t="shared" si="0"/>
        <v>5596215.4199999999</v>
      </c>
      <c r="K22" s="146"/>
      <c r="L22" s="146"/>
      <c r="M22" s="146"/>
      <c r="N22" s="146"/>
      <c r="O22" s="146"/>
      <c r="P22" s="147">
        <f t="shared" si="1"/>
        <v>0</v>
      </c>
      <c r="Q22" s="147">
        <f t="shared" si="2"/>
        <v>5596215.4199999999</v>
      </c>
      <c r="R22" s="147">
        <v>0</v>
      </c>
      <c r="S22" s="148">
        <v>0</v>
      </c>
      <c r="T22" s="147">
        <f t="shared" si="4"/>
        <v>5596215.4199999999</v>
      </c>
      <c r="U22" s="112"/>
      <c r="V22" s="110"/>
      <c r="W22" s="84"/>
    </row>
    <row r="23" spans="1:23" ht="35.1" customHeight="1" x14ac:dyDescent="0.25">
      <c r="A23" s="140">
        <v>19</v>
      </c>
      <c r="B23" s="141" t="s">
        <v>66</v>
      </c>
      <c r="C23" s="142" t="str">
        <f>[14]ССР!C52</f>
        <v>Наружные газопроводы. Вынос газопровода среднего давления.</v>
      </c>
      <c r="D23" s="143">
        <f>'[14]06-04-01'!N736</f>
        <v>8291915.46</v>
      </c>
      <c r="E23" s="143">
        <f>'[14]06-04-01'!N737</f>
        <v>679937.07</v>
      </c>
      <c r="F23" s="143">
        <f>'[14]06-04-01'!N739</f>
        <v>215324.46</v>
      </c>
      <c r="G23" s="143">
        <f t="shared" si="3"/>
        <v>9187176.9900000002</v>
      </c>
      <c r="H23" s="143">
        <f>'[14]06-04-01'!N742</f>
        <v>9659034.2599999998</v>
      </c>
      <c r="I23" s="144">
        <f>I13</f>
        <v>1.2</v>
      </c>
      <c r="J23" s="145">
        <f t="shared" si="0"/>
        <v>11590841.109999999</v>
      </c>
      <c r="K23" s="146"/>
      <c r="L23" s="146"/>
      <c r="M23" s="146"/>
      <c r="N23" s="146"/>
      <c r="O23" s="146"/>
      <c r="P23" s="147">
        <f t="shared" si="1"/>
        <v>0</v>
      </c>
      <c r="Q23" s="147">
        <f t="shared" si="2"/>
        <v>11590841.109999999</v>
      </c>
      <c r="R23" s="147">
        <v>4721101.28</v>
      </c>
      <c r="S23" s="148">
        <v>0</v>
      </c>
      <c r="T23" s="147">
        <f t="shared" si="4"/>
        <v>6869739.8300000001</v>
      </c>
      <c r="U23" s="112"/>
      <c r="V23" s="110"/>
      <c r="W23" s="84"/>
    </row>
    <row r="24" spans="1:23" ht="35.1" customHeight="1" x14ac:dyDescent="0.25">
      <c r="A24" s="140">
        <v>20</v>
      </c>
      <c r="B24" s="141" t="s">
        <v>70</v>
      </c>
      <c r="C24" s="142" t="str">
        <f>[14]ССР!C55</f>
        <v>Генеральный план. Трансбордер. ГП1</v>
      </c>
      <c r="D24" s="143">
        <f>'[14]07-01-01'!N413</f>
        <v>5005903.75</v>
      </c>
      <c r="E24" s="143">
        <f>'[14]07-01-01'!N414</f>
        <v>410484.11</v>
      </c>
      <c r="F24" s="143">
        <f>'[14]07-01-01'!N416</f>
        <v>129993.31</v>
      </c>
      <c r="G24" s="143">
        <f t="shared" si="3"/>
        <v>5546381.1699999999</v>
      </c>
      <c r="H24" s="143">
        <f>'[14]07-01-01'!N419</f>
        <v>5831245.6399999997</v>
      </c>
      <c r="I24" s="144">
        <f>I14</f>
        <v>1.2</v>
      </c>
      <c r="J24" s="145">
        <f t="shared" si="0"/>
        <v>6997494.7699999996</v>
      </c>
      <c r="K24" s="146"/>
      <c r="L24" s="146">
        <f>[17]реестр!$J$12</f>
        <v>2298854.48</v>
      </c>
      <c r="M24" s="146"/>
      <c r="N24" s="146"/>
      <c r="O24" s="146"/>
      <c r="P24" s="147">
        <f t="shared" si="1"/>
        <v>2298854.48</v>
      </c>
      <c r="Q24" s="147">
        <f t="shared" si="2"/>
        <v>4698640.29</v>
      </c>
      <c r="R24" s="147">
        <v>0</v>
      </c>
      <c r="S24" s="148">
        <v>1031589.53</v>
      </c>
      <c r="T24" s="147">
        <f t="shared" si="4"/>
        <v>3667050.76</v>
      </c>
      <c r="U24" s="112"/>
      <c r="V24" s="110"/>
      <c r="W24" s="84"/>
    </row>
    <row r="25" spans="1:23" ht="35.1" customHeight="1" thickBot="1" x14ac:dyDescent="0.3">
      <c r="A25" s="140">
        <v>21</v>
      </c>
      <c r="B25" s="150" t="s">
        <v>71</v>
      </c>
      <c r="C25" s="151" t="str">
        <f>[14]ССР!C56</f>
        <v>Генеральный план. ГП2</v>
      </c>
      <c r="D25" s="152">
        <f>'[14]07-01-02'!N961</f>
        <v>48898423.600000001</v>
      </c>
      <c r="E25" s="152">
        <f>'[14]07-01-02'!N962</f>
        <v>4009670.74</v>
      </c>
      <c r="F25" s="152">
        <f>'[14]07-01-02'!N964</f>
        <v>1269794.26</v>
      </c>
      <c r="G25" s="152">
        <f t="shared" si="3"/>
        <v>54177888.600000001</v>
      </c>
      <c r="H25" s="152">
        <f>'[14]07-01-02'!N967</f>
        <v>56960487.710000001</v>
      </c>
      <c r="I25" s="153">
        <f>I21</f>
        <v>1.2</v>
      </c>
      <c r="J25" s="154">
        <f t="shared" si="0"/>
        <v>68352585.25</v>
      </c>
      <c r="K25" s="155"/>
      <c r="L25" s="155"/>
      <c r="M25" s="155">
        <v>11709977.720000001</v>
      </c>
      <c r="N25" s="155"/>
      <c r="O25" s="155">
        <v>3615838.44</v>
      </c>
      <c r="P25" s="156">
        <f t="shared" si="1"/>
        <v>15325816.16</v>
      </c>
      <c r="Q25" s="156">
        <f t="shared" si="2"/>
        <v>53026769.090000004</v>
      </c>
      <c r="R25" s="156">
        <v>6335847.9699999997</v>
      </c>
      <c r="S25" s="157">
        <v>19404665.390000001</v>
      </c>
      <c r="T25" s="156">
        <f t="shared" si="4"/>
        <v>27286255.73</v>
      </c>
      <c r="U25" s="113"/>
      <c r="V25" s="114"/>
      <c r="W25" s="85"/>
    </row>
    <row r="26" spans="1:23" ht="31.5" customHeight="1" thickTop="1" thickBot="1" x14ac:dyDescent="0.3">
      <c r="A26" s="158"/>
      <c r="B26" s="159" t="s">
        <v>120</v>
      </c>
      <c r="C26" s="160"/>
      <c r="D26" s="161">
        <f>SUM(D5:D25)</f>
        <v>392033916.06</v>
      </c>
      <c r="E26" s="160"/>
      <c r="F26" s="162"/>
      <c r="G26" s="161">
        <f>SUM(G5:G25)</f>
        <v>434361033.93000001</v>
      </c>
      <c r="H26" s="161">
        <f>SUM(H5:H25)</f>
        <v>456670000.00999999</v>
      </c>
      <c r="I26" s="161"/>
      <c r="J26" s="161">
        <f>SUM(J5:J25)</f>
        <v>548004000</v>
      </c>
      <c r="K26" s="163">
        <f>SUM(K5:K25)</f>
        <v>210417570.36000001</v>
      </c>
      <c r="L26" s="163">
        <f>SUM(L5:L25)+0.01</f>
        <v>79978331.209999993</v>
      </c>
      <c r="M26" s="163">
        <f t="shared" ref="M26:S26" si="5">SUM(M5:M25)</f>
        <v>58868164.759999998</v>
      </c>
      <c r="N26" s="163">
        <f>SUM(N5:N25)</f>
        <v>5245250.92</v>
      </c>
      <c r="O26" s="163">
        <f>SUM(O5:O25)</f>
        <v>8616444.9800000004</v>
      </c>
      <c r="P26" s="163">
        <f>SUM(P5:P25)+0.01</f>
        <v>363125762.23000002</v>
      </c>
      <c r="Q26" s="163">
        <f t="shared" si="5"/>
        <v>184878237.78</v>
      </c>
      <c r="R26" s="163">
        <f t="shared" si="5"/>
        <v>57555045.549999997</v>
      </c>
      <c r="S26" s="163">
        <f t="shared" si="5"/>
        <v>27245730.059999999</v>
      </c>
      <c r="T26" s="163">
        <f>SUM(T5:T25)</f>
        <v>100077462.17</v>
      </c>
      <c r="U26" s="115"/>
      <c r="V26" s="115"/>
      <c r="W26" s="101">
        <f>SUM(W5:W25)</f>
        <v>161287572.88999999</v>
      </c>
    </row>
    <row r="27" spans="1:23" ht="16.5" thickTop="1" x14ac:dyDescent="0.25">
      <c r="U27" s="116" t="s">
        <v>139</v>
      </c>
      <c r="V27" s="117" t="s">
        <v>156</v>
      </c>
      <c r="W27" s="105"/>
    </row>
    <row r="28" spans="1:23" x14ac:dyDescent="0.25">
      <c r="U28" s="118" t="s">
        <v>139</v>
      </c>
      <c r="V28" s="119"/>
      <c r="W28" s="108">
        <v>751503.23</v>
      </c>
    </row>
    <row r="29" spans="1:23" x14ac:dyDescent="0.25">
      <c r="U29" s="118" t="s">
        <v>139</v>
      </c>
      <c r="V29" s="119"/>
      <c r="W29" s="106">
        <v>88471.33</v>
      </c>
    </row>
    <row r="30" spans="1:23" x14ac:dyDescent="0.25">
      <c r="U30" s="118" t="s">
        <v>139</v>
      </c>
      <c r="V30" s="119"/>
      <c r="W30" s="106">
        <v>27119.98</v>
      </c>
    </row>
    <row r="31" spans="1:23" ht="38.25" x14ac:dyDescent="0.25">
      <c r="U31" s="120" t="s">
        <v>154</v>
      </c>
      <c r="V31" s="119"/>
      <c r="W31" s="107"/>
    </row>
    <row r="32" spans="1:23" x14ac:dyDescent="0.25">
      <c r="U32" s="118" t="s">
        <v>139</v>
      </c>
      <c r="V32" s="119"/>
      <c r="W32" s="106">
        <v>1989811.12</v>
      </c>
    </row>
    <row r="33" spans="2:23" x14ac:dyDescent="0.25">
      <c r="U33" s="118" t="s">
        <v>139</v>
      </c>
      <c r="V33" s="119"/>
      <c r="W33" s="106">
        <v>204781.66</v>
      </c>
    </row>
    <row r="34" spans="2:23" ht="38.25" x14ac:dyDescent="0.25">
      <c r="U34" s="120" t="s">
        <v>155</v>
      </c>
      <c r="V34" s="119"/>
      <c r="W34" s="107"/>
    </row>
    <row r="35" spans="2:23" x14ac:dyDescent="0.25">
      <c r="U35" s="121" t="s">
        <v>139</v>
      </c>
      <c r="V35" s="119"/>
      <c r="W35" s="107">
        <v>263608.96999999997</v>
      </c>
    </row>
    <row r="36" spans="2:23" x14ac:dyDescent="0.25">
      <c r="U36" s="122"/>
      <c r="V36" s="119"/>
      <c r="W36" s="107"/>
    </row>
    <row r="37" spans="2:23" x14ac:dyDescent="0.25">
      <c r="U37" s="123"/>
      <c r="V37" s="119"/>
      <c r="W37" s="107"/>
    </row>
    <row r="38" spans="2:23" x14ac:dyDescent="0.25">
      <c r="U38" s="123"/>
      <c r="V38" s="119"/>
      <c r="W38" s="107"/>
    </row>
    <row r="39" spans="2:23" ht="16.5" thickBot="1" x14ac:dyDescent="0.3">
      <c r="U39" s="124"/>
      <c r="V39" s="125"/>
      <c r="W39" s="109"/>
    </row>
    <row r="40" spans="2:23" ht="17.25" thickTop="1" thickBot="1" x14ac:dyDescent="0.3">
      <c r="U40" s="69"/>
      <c r="V40" s="69"/>
      <c r="W40" s="86">
        <f>SUM(W27:W39)</f>
        <v>3325296.29</v>
      </c>
    </row>
    <row r="41" spans="2:23" ht="16.5" thickBot="1" x14ac:dyDescent="0.3">
      <c r="U41" s="71"/>
      <c r="V41" s="71"/>
      <c r="W41" s="73">
        <f>W26+W40</f>
        <v>164612869.18000001</v>
      </c>
    </row>
    <row r="44" spans="2:23" ht="54.95" customHeight="1" x14ac:dyDescent="0.25">
      <c r="B44" s="164"/>
      <c r="D44" s="165"/>
      <c r="F44" s="166"/>
      <c r="G44" s="165"/>
      <c r="H44" s="165"/>
      <c r="I44" s="165"/>
      <c r="J44" s="165"/>
      <c r="K44" s="165"/>
    </row>
    <row r="45" spans="2:23" x14ac:dyDescent="0.25">
      <c r="D45" s="167">
        <f>[14]ССР!H58</f>
        <v>392033.92</v>
      </c>
      <c r="F45" s="167"/>
      <c r="G45" s="167">
        <f>[14]ССР!H76</f>
        <v>434361.04</v>
      </c>
      <c r="H45" s="167">
        <f>[14]ССР!H78</f>
        <v>456670</v>
      </c>
      <c r="J45" s="167">
        <f>[14]ССР!H82</f>
        <v>548004</v>
      </c>
      <c r="K45" s="129"/>
    </row>
    <row r="46" spans="2:23" x14ac:dyDescent="0.25">
      <c r="D46" s="167">
        <f>D26/1000</f>
        <v>392033.92</v>
      </c>
      <c r="F46" s="168"/>
      <c r="G46" s="169">
        <f>G26/1000</f>
        <v>434361.03</v>
      </c>
      <c r="H46" s="169">
        <f>H26/1000</f>
        <v>456670</v>
      </c>
      <c r="J46" s="167">
        <f>J26/1000</f>
        <v>548004</v>
      </c>
      <c r="K46" s="165"/>
    </row>
    <row r="47" spans="2:23" x14ac:dyDescent="0.25">
      <c r="D47" s="167"/>
      <c r="E47" s="167"/>
      <c r="F47" s="168"/>
    </row>
    <row r="67" spans="1:1" x14ac:dyDescent="0.25">
      <c r="A67" s="130">
        <v>7</v>
      </c>
    </row>
  </sheetData>
  <autoFilter ref="A3:U26" xr:uid="{00000000-0001-0000-0100-000000000000}"/>
  <mergeCells count="8">
    <mergeCell ref="A1:J1"/>
    <mergeCell ref="A3:A4"/>
    <mergeCell ref="B3:B4"/>
    <mergeCell ref="C3:C4"/>
    <mergeCell ref="G3:G4"/>
    <mergeCell ref="H3:H4"/>
    <mergeCell ref="I3:I4"/>
    <mergeCell ref="J3:J4"/>
  </mergeCells>
  <pageMargins left="0.23622047244094491" right="0.23622047244094491" top="0.74803149606299213" bottom="0.74803149606299213" header="0.31496062992125984" footer="0.31496062992125984"/>
  <pageSetup paperSize="9" scale="32" fitToHeight="100" orientation="landscape" r:id="rId1"/>
  <rowBreaks count="2" manualBreakCount="2">
    <brk id="27" max="17" man="1"/>
    <brk id="33" max="9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3E7DF4-FD3E-4E83-8F65-D296F4EE5E55}">
  <sheetPr>
    <tabColor rgb="FFFF0000"/>
    <pageSetUpPr fitToPage="1"/>
  </sheetPr>
  <dimension ref="A1:AB93"/>
  <sheetViews>
    <sheetView zoomScale="90" zoomScaleNormal="90" zoomScaleSheetLayoutView="80" workbookViewId="0">
      <pane ySplit="3" topLeftCell="A4" activePane="bottomLeft" state="frozen"/>
      <selection pane="bottomLeft" activeCell="C14" sqref="C14"/>
    </sheetView>
  </sheetViews>
  <sheetFormatPr defaultColWidth="9.140625" defaultRowHeight="15.75" outlineLevelCol="1" x14ac:dyDescent="0.25"/>
  <cols>
    <col min="1" max="1" width="7.42578125" style="36" customWidth="1"/>
    <col min="2" max="2" width="16.140625" style="36" customWidth="1"/>
    <col min="3" max="3" width="35" style="36" customWidth="1"/>
    <col min="4" max="4" width="20.5703125" style="36" hidden="1" customWidth="1" outlineLevel="1"/>
    <col min="5" max="5" width="18.85546875" style="36" hidden="1" customWidth="1" outlineLevel="1"/>
    <col min="6" max="6" width="17.5703125" style="36" hidden="1" customWidth="1" outlineLevel="1"/>
    <col min="7" max="7" width="20.7109375" style="36" hidden="1" customWidth="1" outlineLevel="1"/>
    <col min="8" max="8" width="19.5703125" style="36" hidden="1" customWidth="1" outlineLevel="1"/>
    <col min="9" max="9" width="8.5703125" style="36" hidden="1" customWidth="1" outlineLevel="1"/>
    <col min="10" max="10" width="22.28515625" style="36" customWidth="1" collapsed="1"/>
    <col min="11" max="11" width="20.42578125" style="39" hidden="1" customWidth="1" outlineLevel="1"/>
    <col min="12" max="12" width="16.85546875" style="39" hidden="1" customWidth="1" outlineLevel="1"/>
    <col min="13" max="13" width="18.140625" style="35" hidden="1" customWidth="1" outlineLevel="1"/>
    <col min="14" max="14" width="16.85546875" style="39" hidden="1" customWidth="1" outlineLevel="1"/>
    <col min="15" max="15" width="18.140625" style="35" hidden="1" customWidth="1" outlineLevel="1"/>
    <col min="16" max="16" width="18.42578125" style="36" customWidth="1" collapsed="1"/>
    <col min="17" max="17" width="15.42578125" style="36" bestFit="1" customWidth="1"/>
    <col min="18" max="18" width="19.7109375" style="36" customWidth="1"/>
    <col min="19" max="19" width="27.140625" style="36" customWidth="1"/>
    <col min="20" max="20" width="26.140625" style="36" customWidth="1"/>
    <col min="21" max="21" width="26.7109375" style="36" bestFit="1" customWidth="1"/>
    <col min="22" max="22" width="31.42578125" style="36" customWidth="1"/>
    <col min="23" max="23" width="3.28515625" style="176" hidden="1" customWidth="1"/>
    <col min="24" max="24" width="27.5703125" style="36" hidden="1" customWidth="1"/>
    <col min="25" max="26" width="19" style="36" hidden="1" customWidth="1"/>
    <col min="27" max="27" width="29.28515625" style="406" bestFit="1" customWidth="1"/>
    <col min="28" max="28" width="15" style="36" customWidth="1"/>
    <col min="29" max="16384" width="9.140625" style="36"/>
  </cols>
  <sheetData>
    <row r="1" spans="1:28" ht="8.25" customHeight="1" x14ac:dyDescent="0.25">
      <c r="A1" s="1189"/>
      <c r="B1" s="1189"/>
      <c r="C1" s="1189"/>
      <c r="D1" s="1189"/>
      <c r="E1" s="1189"/>
      <c r="F1" s="1189"/>
      <c r="G1" s="1189"/>
      <c r="H1" s="1189"/>
      <c r="I1" s="1189"/>
      <c r="J1" s="1189"/>
      <c r="K1" s="536"/>
      <c r="L1" s="536"/>
      <c r="N1" s="536"/>
    </row>
    <row r="2" spans="1:28" ht="5.25" customHeight="1" thickBot="1" x14ac:dyDescent="0.3">
      <c r="A2" s="37"/>
      <c r="B2" s="37"/>
      <c r="C2" s="37"/>
      <c r="D2" s="37"/>
      <c r="E2" s="37"/>
      <c r="F2" s="37"/>
      <c r="G2" s="37"/>
      <c r="H2" s="37"/>
      <c r="I2" s="38"/>
      <c r="J2" s="37"/>
    </row>
    <row r="3" spans="1:28" ht="47.25" customHeight="1" x14ac:dyDescent="0.25">
      <c r="A3" s="1190" t="s">
        <v>111</v>
      </c>
      <c r="B3" s="1192" t="s">
        <v>112</v>
      </c>
      <c r="C3" s="1192" t="s">
        <v>113</v>
      </c>
      <c r="D3" s="537" t="s">
        <v>114</v>
      </c>
      <c r="E3" s="537" t="s">
        <v>115</v>
      </c>
      <c r="F3" s="537" t="s">
        <v>116</v>
      </c>
      <c r="G3" s="1192" t="s">
        <v>117</v>
      </c>
      <c r="H3" s="1194" t="s">
        <v>125</v>
      </c>
      <c r="I3" s="1192" t="s">
        <v>118</v>
      </c>
      <c r="J3" s="1194" t="s">
        <v>244</v>
      </c>
      <c r="K3" s="74" t="s">
        <v>126</v>
      </c>
      <c r="L3" s="74" t="s">
        <v>127</v>
      </c>
      <c r="M3" s="75" t="s">
        <v>128</v>
      </c>
      <c r="N3" s="76" t="s">
        <v>134</v>
      </c>
      <c r="O3" s="77" t="s">
        <v>135</v>
      </c>
      <c r="P3" s="78" t="s">
        <v>136</v>
      </c>
      <c r="Q3" s="78" t="s">
        <v>121</v>
      </c>
      <c r="R3" s="79" t="s">
        <v>137</v>
      </c>
      <c r="S3" s="79" t="s">
        <v>138</v>
      </c>
      <c r="T3" s="80" t="s">
        <v>249</v>
      </c>
      <c r="U3" s="80" t="s">
        <v>256</v>
      </c>
      <c r="V3" s="80" t="s">
        <v>242</v>
      </c>
      <c r="X3" s="79" t="s">
        <v>193</v>
      </c>
      <c r="Y3" s="80" t="s">
        <v>157</v>
      </c>
      <c r="Z3" s="80" t="s">
        <v>137</v>
      </c>
    </row>
    <row r="4" spans="1:28" ht="14.25" customHeight="1" x14ac:dyDescent="0.25">
      <c r="A4" s="1191"/>
      <c r="B4" s="1193"/>
      <c r="C4" s="1193"/>
      <c r="D4" s="538"/>
      <c r="E4" s="538"/>
      <c r="F4" s="538"/>
      <c r="G4" s="1193"/>
      <c r="H4" s="1195"/>
      <c r="I4" s="1193"/>
      <c r="J4" s="1195"/>
      <c r="K4" s="54" t="s">
        <v>122</v>
      </c>
      <c r="L4" s="54" t="s">
        <v>123</v>
      </c>
      <c r="M4" s="54" t="s">
        <v>124</v>
      </c>
      <c r="N4" s="54" t="s">
        <v>132</v>
      </c>
      <c r="O4" s="54" t="s">
        <v>133</v>
      </c>
      <c r="P4" s="40"/>
      <c r="Q4" s="40"/>
      <c r="R4" s="65"/>
      <c r="S4" s="65"/>
      <c r="T4" s="81"/>
      <c r="U4" s="81"/>
      <c r="V4" s="81"/>
      <c r="X4" s="65"/>
      <c r="Y4" s="81"/>
      <c r="Z4" s="81"/>
    </row>
    <row r="5" spans="1:28" ht="51.75" customHeight="1" x14ac:dyDescent="0.25">
      <c r="A5" s="380"/>
      <c r="B5" s="381"/>
      <c r="C5" s="381"/>
      <c r="D5" s="381"/>
      <c r="E5" s="381"/>
      <c r="F5" s="381"/>
      <c r="G5" s="381"/>
      <c r="H5" s="382"/>
      <c r="I5" s="381"/>
      <c r="J5" s="382"/>
      <c r="K5" s="383"/>
      <c r="L5" s="383"/>
      <c r="M5" s="383"/>
      <c r="N5" s="383"/>
      <c r="O5" s="383"/>
      <c r="P5" s="383"/>
      <c r="Q5" s="383"/>
      <c r="R5" s="383"/>
      <c r="S5" s="383"/>
      <c r="T5" s="1196" t="s">
        <v>258</v>
      </c>
      <c r="U5" s="1197"/>
      <c r="V5" s="384"/>
      <c r="X5" s="65"/>
      <c r="Y5" s="81"/>
      <c r="Z5" s="81"/>
    </row>
    <row r="6" spans="1:28" ht="27.75" customHeight="1" x14ac:dyDescent="0.25">
      <c r="A6" s="1198" t="s">
        <v>259</v>
      </c>
      <c r="B6" s="1199"/>
      <c r="C6" s="1199"/>
      <c r="D6" s="1199"/>
      <c r="E6" s="1199"/>
      <c r="F6" s="1199"/>
      <c r="G6" s="1199"/>
      <c r="H6" s="1199"/>
      <c r="I6" s="1199"/>
      <c r="J6" s="1199"/>
      <c r="K6" s="1199"/>
      <c r="L6" s="1199"/>
      <c r="M6" s="1199"/>
      <c r="N6" s="1199"/>
      <c r="O6" s="1199"/>
      <c r="P6" s="1199"/>
      <c r="Q6" s="1199"/>
      <c r="R6" s="1199"/>
      <c r="S6" s="1199"/>
      <c r="T6" s="1199"/>
      <c r="U6" s="1199"/>
      <c r="V6" s="1200"/>
      <c r="X6" s="65"/>
      <c r="Y6" s="81"/>
      <c r="Z6" s="81"/>
      <c r="AA6" s="406" t="s">
        <v>260</v>
      </c>
    </row>
    <row r="7" spans="1:28" ht="54" customHeight="1" x14ac:dyDescent="0.25">
      <c r="A7" s="273">
        <v>1</v>
      </c>
      <c r="B7" s="361" t="s">
        <v>159</v>
      </c>
      <c r="C7" s="275" t="str">
        <f>ССР!C24</f>
        <v>Выполнение работ по ликвидации объектов по трассе ж.д. путей, подготовке трассы ж.д. путей.</v>
      </c>
      <c r="D7" s="385">
        <v>48841208.740000002</v>
      </c>
      <c r="E7" s="385">
        <v>4004979.12</v>
      </c>
      <c r="F7" s="385">
        <v>1268308.51</v>
      </c>
      <c r="G7" s="385">
        <v>54114496.369999997</v>
      </c>
      <c r="H7" s="385">
        <v>56893839.630000003</v>
      </c>
      <c r="I7" s="277">
        <v>1.2</v>
      </c>
      <c r="J7" s="278">
        <f>ROUND(H7*I7,2)</f>
        <v>68272607.560000002</v>
      </c>
      <c r="K7" s="365">
        <v>65507253.219999999</v>
      </c>
      <c r="L7" s="365">
        <v>360012.73</v>
      </c>
      <c r="M7" s="365"/>
      <c r="N7" s="365"/>
      <c r="O7" s="365"/>
      <c r="P7" s="365">
        <f>K7+L7+M7+N7+O7</f>
        <v>65867265.950000003</v>
      </c>
      <c r="Q7" s="365">
        <f>J7-K7-L7-M7-N7-O7</f>
        <v>2405341.61</v>
      </c>
      <c r="R7" s="365" t="s">
        <v>139</v>
      </c>
      <c r="S7" s="362" t="s">
        <v>158</v>
      </c>
      <c r="T7" s="363">
        <f>P7</f>
        <v>65867265.950000003</v>
      </c>
      <c r="U7" s="363">
        <v>0</v>
      </c>
      <c r="V7" s="364">
        <f t="shared" ref="V7:V14" si="0">T7+U7</f>
        <v>65867265.950000003</v>
      </c>
      <c r="W7" s="177"/>
      <c r="X7" s="111"/>
      <c r="Y7" s="84"/>
      <c r="Z7" s="208"/>
    </row>
    <row r="8" spans="1:28" ht="35.1" customHeight="1" x14ac:dyDescent="0.25">
      <c r="A8" s="273">
        <v>2</v>
      </c>
      <c r="B8" s="361" t="s">
        <v>160</v>
      </c>
      <c r="C8" s="275" t="str">
        <f>ССР!C25</f>
        <v>Выполнение работ по ликвидации объекта капитального строительства</v>
      </c>
      <c r="D8" s="385">
        <v>40054718.460000001</v>
      </c>
      <c r="E8" s="385">
        <v>3284486.91</v>
      </c>
      <c r="F8" s="385">
        <v>1040140.93</v>
      </c>
      <c r="G8" s="385">
        <v>44379346.299999997</v>
      </c>
      <c r="H8" s="385">
        <v>46658688.170000002</v>
      </c>
      <c r="I8" s="277">
        <v>1.2</v>
      </c>
      <c r="J8" s="278">
        <f t="shared" ref="J8:J30" si="1">ROUND(H8*I8,2)</f>
        <v>55990425.799999997</v>
      </c>
      <c r="K8" s="365">
        <v>54911594.170000002</v>
      </c>
      <c r="L8" s="365"/>
      <c r="M8" s="365"/>
      <c r="N8" s="365"/>
      <c r="O8" s="365"/>
      <c r="P8" s="365">
        <f t="shared" ref="P8:P30" si="2">K8+L8+M8+N8+O8</f>
        <v>54911594.170000002</v>
      </c>
      <c r="Q8" s="365">
        <f t="shared" ref="Q8:Q30" si="3">J8-K8-L8-M8-N8-O8</f>
        <v>1078831.6299999999</v>
      </c>
      <c r="R8" s="365" t="s">
        <v>139</v>
      </c>
      <c r="S8" s="362" t="s">
        <v>158</v>
      </c>
      <c r="T8" s="363">
        <f t="shared" ref="T8:T30" si="4">P8</f>
        <v>54911594.170000002</v>
      </c>
      <c r="U8" s="363">
        <v>0</v>
      </c>
      <c r="V8" s="364">
        <f t="shared" si="0"/>
        <v>54911594.170000002</v>
      </c>
      <c r="X8" s="111"/>
      <c r="Y8" s="84"/>
      <c r="Z8" s="208"/>
    </row>
    <row r="9" spans="1:28" ht="35.1" customHeight="1" x14ac:dyDescent="0.25">
      <c r="A9" s="273">
        <v>3</v>
      </c>
      <c r="B9" s="361" t="s">
        <v>176</v>
      </c>
      <c r="C9" s="275" t="str">
        <f>ССР!C26</f>
        <v>Демонтаж сетей и систем  инженерного обоспечения.</v>
      </c>
      <c r="D9" s="385">
        <v>1177977.71</v>
      </c>
      <c r="E9" s="385">
        <v>96594.17</v>
      </c>
      <c r="F9" s="385">
        <v>30589.73</v>
      </c>
      <c r="G9" s="385">
        <v>1305161.6100000001</v>
      </c>
      <c r="H9" s="385">
        <v>1372195.26</v>
      </c>
      <c r="I9" s="277">
        <f>I7</f>
        <v>1.2</v>
      </c>
      <c r="J9" s="278">
        <f>ROUND(H9*I9,2)</f>
        <v>1646634.31</v>
      </c>
      <c r="K9" s="365"/>
      <c r="L9" s="365"/>
      <c r="M9" s="365">
        <v>1646696.3</v>
      </c>
      <c r="N9" s="365"/>
      <c r="O9" s="365"/>
      <c r="P9" s="365">
        <f t="shared" si="2"/>
        <v>1646696.3</v>
      </c>
      <c r="Q9" s="365">
        <v>0</v>
      </c>
      <c r="R9" s="365" t="s">
        <v>139</v>
      </c>
      <c r="S9" s="362" t="s">
        <v>158</v>
      </c>
      <c r="T9" s="363">
        <f t="shared" si="4"/>
        <v>1646696.3</v>
      </c>
      <c r="U9" s="363">
        <v>0</v>
      </c>
      <c r="V9" s="364">
        <f t="shared" si="0"/>
        <v>1646696.3</v>
      </c>
      <c r="X9" s="111"/>
      <c r="Y9" s="84"/>
      <c r="Z9" s="208"/>
    </row>
    <row r="10" spans="1:28" s="525" customFormat="1" ht="44.25" customHeight="1" x14ac:dyDescent="0.25">
      <c r="A10" s="217">
        <v>7</v>
      </c>
      <c r="B10" s="245" t="s">
        <v>177</v>
      </c>
      <c r="C10" s="219" t="str">
        <f>ССР!C32</f>
        <v>Трансбордер. Архитектурно-строительные решения. Часть 2. АС2 .</v>
      </c>
      <c r="D10" s="220">
        <v>1615223.87</v>
      </c>
      <c r="E10" s="220">
        <v>132448.35999999999</v>
      </c>
      <c r="F10" s="220">
        <v>41944.13</v>
      </c>
      <c r="G10" s="220">
        <v>1789616.36</v>
      </c>
      <c r="H10" s="220">
        <v>1881531.81</v>
      </c>
      <c r="I10" s="221">
        <f>I23</f>
        <v>1.2</v>
      </c>
      <c r="J10" s="222">
        <f t="shared" si="1"/>
        <v>2257838.17</v>
      </c>
      <c r="K10" s="246"/>
      <c r="L10" s="246"/>
      <c r="M10" s="246">
        <v>1627347.05</v>
      </c>
      <c r="N10" s="246"/>
      <c r="O10" s="246"/>
      <c r="P10" s="246">
        <f>K10+L10+M10+N10+O10</f>
        <v>1627347.05</v>
      </c>
      <c r="Q10" s="246">
        <f t="shared" si="3"/>
        <v>630491.12</v>
      </c>
      <c r="R10" s="539" t="s">
        <v>139</v>
      </c>
      <c r="S10" s="461" t="s">
        <v>264</v>
      </c>
      <c r="T10" s="247">
        <f t="shared" si="4"/>
        <v>1627347.05</v>
      </c>
      <c r="U10" s="248">
        <v>400933.67</v>
      </c>
      <c r="V10" s="248">
        <f t="shared" si="0"/>
        <v>2028280.72</v>
      </c>
      <c r="W10" s="231"/>
      <c r="X10" s="229" t="s">
        <v>139</v>
      </c>
      <c r="Y10" s="523">
        <f>1447989.61*1.082*1.024*1.0514*1.2</f>
        <v>2024146.22</v>
      </c>
      <c r="Z10" s="524" t="s">
        <v>186</v>
      </c>
      <c r="AA10" s="406" t="s">
        <v>263</v>
      </c>
      <c r="AB10" s="526">
        <f>V10-J10</f>
        <v>-229557.45</v>
      </c>
    </row>
    <row r="11" spans="1:28" ht="42.75" customHeight="1" x14ac:dyDescent="0.25">
      <c r="A11" s="217">
        <v>8</v>
      </c>
      <c r="B11" s="245" t="s">
        <v>195</v>
      </c>
      <c r="C11" s="219" t="str">
        <f>ССР!C35</f>
        <v>Электроснабжение. ЭС 1.</v>
      </c>
      <c r="D11" s="220">
        <v>475031.03999999998</v>
      </c>
      <c r="E11" s="220">
        <v>38952.550000000003</v>
      </c>
      <c r="F11" s="220">
        <v>12335.61</v>
      </c>
      <c r="G11" s="220">
        <v>526319.19999999995</v>
      </c>
      <c r="H11" s="220">
        <v>553351.18000000005</v>
      </c>
      <c r="I11" s="221">
        <f>I24</f>
        <v>1.2</v>
      </c>
      <c r="J11" s="222">
        <f t="shared" si="1"/>
        <v>664021.42000000004</v>
      </c>
      <c r="K11" s="246"/>
      <c r="L11" s="246"/>
      <c r="M11" s="246"/>
      <c r="N11" s="246"/>
      <c r="O11" s="246"/>
      <c r="P11" s="246">
        <f t="shared" si="2"/>
        <v>0</v>
      </c>
      <c r="Q11" s="246">
        <f t="shared" si="3"/>
        <v>664021.42000000004</v>
      </c>
      <c r="R11" s="539" t="s">
        <v>139</v>
      </c>
      <c r="S11" s="461" t="s">
        <v>265</v>
      </c>
      <c r="T11" s="247">
        <f t="shared" si="4"/>
        <v>0</v>
      </c>
      <c r="U11" s="247">
        <f>388699.4+79299.42</f>
        <v>467998.82</v>
      </c>
      <c r="V11" s="248">
        <f t="shared" si="0"/>
        <v>467998.82</v>
      </c>
      <c r="W11" s="236"/>
      <c r="X11" s="228" t="s">
        <v>139</v>
      </c>
      <c r="Y11" s="232">
        <f>(235378.05+47139.18)*1.082*1.024*1.0514*1.2</f>
        <v>394931.14</v>
      </c>
      <c r="Z11" s="233" t="s">
        <v>186</v>
      </c>
      <c r="AA11" s="406" t="s">
        <v>263</v>
      </c>
      <c r="AB11" s="526">
        <f t="shared" ref="AB11:AB18" si="5">V11-J11</f>
        <v>-196022.6</v>
      </c>
    </row>
    <row r="12" spans="1:28" ht="51" customHeight="1" x14ac:dyDescent="0.25">
      <c r="A12" s="217">
        <v>9</v>
      </c>
      <c r="B12" s="245" t="s">
        <v>178</v>
      </c>
      <c r="C12" s="219" t="str">
        <f>ССР!C36</f>
        <v>Переустройство кабельных линий.ЭС2</v>
      </c>
      <c r="D12" s="220">
        <v>2276671.21</v>
      </c>
      <c r="E12" s="220">
        <v>186687.04</v>
      </c>
      <c r="F12" s="220">
        <v>59120.6</v>
      </c>
      <c r="G12" s="220">
        <v>2522478.85</v>
      </c>
      <c r="H12" s="220">
        <v>2652034.42</v>
      </c>
      <c r="I12" s="221">
        <f>I24</f>
        <v>1.2</v>
      </c>
      <c r="J12" s="222">
        <f t="shared" si="1"/>
        <v>3182441.3</v>
      </c>
      <c r="K12" s="246"/>
      <c r="L12" s="246"/>
      <c r="M12" s="246"/>
      <c r="N12" s="246"/>
      <c r="O12" s="246"/>
      <c r="P12" s="246">
        <f t="shared" si="2"/>
        <v>0</v>
      </c>
      <c r="Q12" s="246">
        <f t="shared" si="3"/>
        <v>3182441.3</v>
      </c>
      <c r="R12" s="539" t="s">
        <v>139</v>
      </c>
      <c r="S12" s="461" t="s">
        <v>266</v>
      </c>
      <c r="T12" s="247">
        <f t="shared" si="4"/>
        <v>0</v>
      </c>
      <c r="U12" s="247">
        <f>4830233+244506.56</f>
        <v>5074739.5599999996</v>
      </c>
      <c r="V12" s="248">
        <f t="shared" si="0"/>
        <v>5074739.5599999996</v>
      </c>
      <c r="W12" s="178"/>
      <c r="X12" s="111" t="s">
        <v>139</v>
      </c>
      <c r="Y12" s="84">
        <f>(3206824.35+130942.19)*1.082*1.024*1.0514*1.2</f>
        <v>4665867.41</v>
      </c>
      <c r="Z12" s="233" t="s">
        <v>186</v>
      </c>
      <c r="AA12" s="406" t="s">
        <v>263</v>
      </c>
      <c r="AB12" s="526">
        <f t="shared" si="5"/>
        <v>1892298.26</v>
      </c>
    </row>
    <row r="13" spans="1:28" ht="39.75" customHeight="1" x14ac:dyDescent="0.25">
      <c r="A13" s="217">
        <v>10</v>
      </c>
      <c r="B13" s="245" t="s">
        <v>179</v>
      </c>
      <c r="C13" s="219" t="str">
        <f>ССР!C40</f>
        <v>Переустройство хозпитьевого водопровода.НВК2</v>
      </c>
      <c r="D13" s="220">
        <v>760016.55</v>
      </c>
      <c r="E13" s="220">
        <v>62321.36</v>
      </c>
      <c r="F13" s="220">
        <v>19736.11</v>
      </c>
      <c r="G13" s="220">
        <v>842074.02</v>
      </c>
      <c r="H13" s="220">
        <v>885323.3</v>
      </c>
      <c r="I13" s="221">
        <f>I25</f>
        <v>1.2</v>
      </c>
      <c r="J13" s="222">
        <f t="shared" si="1"/>
        <v>1062387.96</v>
      </c>
      <c r="K13" s="246"/>
      <c r="L13" s="246"/>
      <c r="M13" s="246"/>
      <c r="N13" s="246"/>
      <c r="O13" s="246"/>
      <c r="P13" s="246">
        <f t="shared" si="2"/>
        <v>0</v>
      </c>
      <c r="Q13" s="246">
        <f t="shared" si="3"/>
        <v>1062387.96</v>
      </c>
      <c r="R13" s="246" t="s">
        <v>139</v>
      </c>
      <c r="S13" s="461" t="s">
        <v>266</v>
      </c>
      <c r="T13" s="247">
        <f t="shared" si="4"/>
        <v>0</v>
      </c>
      <c r="U13" s="247">
        <v>1565587.54</v>
      </c>
      <c r="V13" s="248">
        <f t="shared" si="0"/>
        <v>1565587.54</v>
      </c>
      <c r="W13" s="231"/>
      <c r="X13" s="228" t="s">
        <v>139</v>
      </c>
      <c r="Y13" s="232">
        <f>1047143.73*1.082*1.024*1.0514*1.2</f>
        <v>1463803.34</v>
      </c>
      <c r="Z13" s="233" t="s">
        <v>186</v>
      </c>
      <c r="AA13" s="406" t="s">
        <v>263</v>
      </c>
      <c r="AB13" s="526">
        <f t="shared" si="5"/>
        <v>503199.58</v>
      </c>
    </row>
    <row r="14" spans="1:28" ht="43.5" customHeight="1" x14ac:dyDescent="0.25">
      <c r="A14" s="217">
        <v>11</v>
      </c>
      <c r="B14" s="245" t="s">
        <v>180</v>
      </c>
      <c r="C14" s="219" t="str">
        <f>ССР!C41</f>
        <v>Переустройство хозпитьевого водопровода.НВК3</v>
      </c>
      <c r="D14" s="220">
        <v>10454161.890000001</v>
      </c>
      <c r="E14" s="220">
        <v>857241.27</v>
      </c>
      <c r="F14" s="220">
        <v>271473.68</v>
      </c>
      <c r="G14" s="220">
        <v>11582876.84</v>
      </c>
      <c r="H14" s="220">
        <v>12177778.26</v>
      </c>
      <c r="I14" s="221">
        <f t="shared" ref="I14:I19" si="6">I7</f>
        <v>1.2</v>
      </c>
      <c r="J14" s="222">
        <f t="shared" si="1"/>
        <v>14613333.91</v>
      </c>
      <c r="K14" s="246"/>
      <c r="L14" s="246"/>
      <c r="M14" s="246"/>
      <c r="N14" s="246"/>
      <c r="O14" s="246"/>
      <c r="P14" s="246">
        <f t="shared" si="2"/>
        <v>0</v>
      </c>
      <c r="Q14" s="246">
        <f t="shared" si="3"/>
        <v>14613333.91</v>
      </c>
      <c r="R14" s="246" t="s">
        <v>139</v>
      </c>
      <c r="S14" s="461" t="s">
        <v>266</v>
      </c>
      <c r="T14" s="247">
        <f t="shared" si="4"/>
        <v>0</v>
      </c>
      <c r="U14" s="247">
        <v>19890772.960000001</v>
      </c>
      <c r="V14" s="248">
        <f t="shared" si="0"/>
        <v>19890772.960000001</v>
      </c>
      <c r="W14" s="231"/>
      <c r="X14" s="228" t="s">
        <v>139</v>
      </c>
      <c r="Y14" s="232">
        <f>13422525.94*1.082*1.024*1.0514*1.2</f>
        <v>18763363.32</v>
      </c>
      <c r="Z14" s="233" t="s">
        <v>186</v>
      </c>
      <c r="AA14" s="406" t="s">
        <v>263</v>
      </c>
      <c r="AB14" s="526">
        <f t="shared" si="5"/>
        <v>5277439.05</v>
      </c>
    </row>
    <row r="15" spans="1:28" s="525" customFormat="1" ht="47.25" customHeight="1" x14ac:dyDescent="0.25">
      <c r="A15" s="217">
        <v>12</v>
      </c>
      <c r="B15" s="245" t="s">
        <v>181</v>
      </c>
      <c r="C15" s="219" t="str">
        <f>ССР!C43</f>
        <v>Переустройство хозяйственно-бытовой канализации.НВК4</v>
      </c>
      <c r="D15" s="220">
        <v>9143309.8300000001</v>
      </c>
      <c r="E15" s="220">
        <v>749751.41</v>
      </c>
      <c r="F15" s="220">
        <v>237433.47</v>
      </c>
      <c r="G15" s="220">
        <v>10130494.710000001</v>
      </c>
      <c r="H15" s="220">
        <v>10650801.17</v>
      </c>
      <c r="I15" s="221">
        <f t="shared" si="6"/>
        <v>1.2</v>
      </c>
      <c r="J15" s="222">
        <f t="shared" si="1"/>
        <v>12780961.4</v>
      </c>
      <c r="K15" s="246"/>
      <c r="L15" s="246"/>
      <c r="M15" s="246"/>
      <c r="N15" s="246"/>
      <c r="O15" s="246">
        <v>337909.86</v>
      </c>
      <c r="P15" s="246">
        <f t="shared" si="2"/>
        <v>337909.86</v>
      </c>
      <c r="Q15" s="246">
        <f t="shared" si="3"/>
        <v>12443051.539999999</v>
      </c>
      <c r="R15" s="246" t="s">
        <v>139</v>
      </c>
      <c r="S15" s="461" t="s">
        <v>267</v>
      </c>
      <c r="T15" s="247">
        <f t="shared" si="4"/>
        <v>337909.86</v>
      </c>
      <c r="U15" s="247">
        <v>2229020.44</v>
      </c>
      <c r="V15" s="248">
        <f>T15+U15</f>
        <v>2566930.2999999998</v>
      </c>
      <c r="W15" s="178"/>
      <c r="X15" s="175" t="s">
        <v>139</v>
      </c>
      <c r="Y15" s="174">
        <f>1724717.19*1.082*1.024*1.0514*1.2</f>
        <v>2410984</v>
      </c>
      <c r="Z15" s="524" t="s">
        <v>186</v>
      </c>
      <c r="AA15" s="406" t="s">
        <v>263</v>
      </c>
      <c r="AB15" s="526">
        <f t="shared" si="5"/>
        <v>-10214031.1</v>
      </c>
    </row>
    <row r="16" spans="1:28" s="525" customFormat="1" ht="44.25" customHeight="1" x14ac:dyDescent="0.25">
      <c r="A16" s="217">
        <v>13</v>
      </c>
      <c r="B16" s="245" t="s">
        <v>182</v>
      </c>
      <c r="C16" s="219" t="str">
        <f>ССР!C44</f>
        <v>Переустройство ливневой канализации.НВК5.</v>
      </c>
      <c r="D16" s="220">
        <v>21996729.18</v>
      </c>
      <c r="E16" s="220">
        <v>1803731.79</v>
      </c>
      <c r="F16" s="220">
        <v>571211.06000000006</v>
      </c>
      <c r="G16" s="220">
        <v>24371672.030000001</v>
      </c>
      <c r="H16" s="220">
        <v>25623411.34</v>
      </c>
      <c r="I16" s="221">
        <f t="shared" si="6"/>
        <v>1.2</v>
      </c>
      <c r="J16" s="222">
        <f t="shared" si="1"/>
        <v>30748093.609999999</v>
      </c>
      <c r="K16" s="246"/>
      <c r="L16" s="246"/>
      <c r="M16" s="246">
        <v>1211400.79</v>
      </c>
      <c r="N16" s="246"/>
      <c r="O16" s="246"/>
      <c r="P16" s="246">
        <f t="shared" si="2"/>
        <v>1211400.79</v>
      </c>
      <c r="Q16" s="246">
        <f t="shared" si="3"/>
        <v>29536692.82</v>
      </c>
      <c r="R16" s="539" t="s">
        <v>139</v>
      </c>
      <c r="S16" s="461" t="s">
        <v>268</v>
      </c>
      <c r="T16" s="247">
        <f t="shared" si="4"/>
        <v>1211400.79</v>
      </c>
      <c r="U16" s="247">
        <v>3328756.46</v>
      </c>
      <c r="V16" s="248">
        <f>T16+U16</f>
        <v>4540157.25</v>
      </c>
      <c r="W16" s="178"/>
      <c r="X16" s="175" t="s">
        <v>139</v>
      </c>
      <c r="Y16" s="174">
        <f>2827828.36*1.082*1.024*1.0514*1.2</f>
        <v>3953024.28</v>
      </c>
      <c r="Z16" s="524" t="s">
        <v>186</v>
      </c>
      <c r="AA16" s="406" t="s">
        <v>263</v>
      </c>
      <c r="AB16" s="526">
        <f t="shared" si="5"/>
        <v>-26207936.359999999</v>
      </c>
    </row>
    <row r="17" spans="1:28" ht="40.5" customHeight="1" x14ac:dyDescent="0.25">
      <c r="A17" s="217">
        <v>17</v>
      </c>
      <c r="B17" s="245" t="s">
        <v>183</v>
      </c>
      <c r="C17" s="219" t="str">
        <f>ССР!C49</f>
        <v>Теплоснабжение. Переустройство трубопровода.ТС2</v>
      </c>
      <c r="D17" s="220">
        <v>1890203.39</v>
      </c>
      <c r="E17" s="220">
        <v>154996.68</v>
      </c>
      <c r="F17" s="220">
        <v>49084.800000000003</v>
      </c>
      <c r="G17" s="220">
        <v>2094284.87</v>
      </c>
      <c r="H17" s="220">
        <v>2201848.2200000002</v>
      </c>
      <c r="I17" s="221">
        <f t="shared" si="6"/>
        <v>1.2</v>
      </c>
      <c r="J17" s="222">
        <f>ROUND(H17*I17,2)</f>
        <v>2642217.86</v>
      </c>
      <c r="K17" s="246"/>
      <c r="L17" s="246"/>
      <c r="M17" s="246"/>
      <c r="N17" s="246"/>
      <c r="O17" s="246"/>
      <c r="P17" s="246">
        <f>K17+L17+M17+N17+O17</f>
        <v>0</v>
      </c>
      <c r="Q17" s="246">
        <f>J17-K17-L17-M17-N17-O17</f>
        <v>2642217.86</v>
      </c>
      <c r="R17" s="246" t="s">
        <v>139</v>
      </c>
      <c r="S17" s="461" t="s">
        <v>269</v>
      </c>
      <c r="T17" s="247">
        <f>P17</f>
        <v>0</v>
      </c>
      <c r="U17" s="247">
        <v>2515253.7999999998</v>
      </c>
      <c r="V17" s="248">
        <f>T17+U17</f>
        <v>2515253.7999999998</v>
      </c>
      <c r="W17" s="178"/>
      <c r="X17" s="111" t="s">
        <v>139</v>
      </c>
      <c r="Y17" s="84">
        <f>1675854.44*1.082*1.024*1.0514*1.2</f>
        <v>2342678.71</v>
      </c>
      <c r="Z17" s="233" t="s">
        <v>186</v>
      </c>
      <c r="AA17" s="406" t="s">
        <v>263</v>
      </c>
      <c r="AB17" s="526">
        <f t="shared" si="5"/>
        <v>-126964.06</v>
      </c>
    </row>
    <row r="18" spans="1:28" ht="31.5" x14ac:dyDescent="0.25">
      <c r="A18" s="217">
        <v>18</v>
      </c>
      <c r="B18" s="245" t="s">
        <v>184</v>
      </c>
      <c r="C18" s="219" t="str">
        <f>ССР!C50</f>
        <v>Теплоснабжение. Переустройство трубопровода.ТС3</v>
      </c>
      <c r="D18" s="220">
        <v>4003449.34</v>
      </c>
      <c r="E18" s="220">
        <v>328282.84999999998</v>
      </c>
      <c r="F18" s="220">
        <v>103961.57</v>
      </c>
      <c r="G18" s="220">
        <v>4435693.76</v>
      </c>
      <c r="H18" s="220">
        <v>4663512.8499999996</v>
      </c>
      <c r="I18" s="221">
        <f t="shared" si="6"/>
        <v>1.2</v>
      </c>
      <c r="J18" s="222">
        <f>ROUND(H18*I18,2)</f>
        <v>5596215.4199999999</v>
      </c>
      <c r="K18" s="246"/>
      <c r="L18" s="246"/>
      <c r="M18" s="246"/>
      <c r="N18" s="246"/>
      <c r="O18" s="246"/>
      <c r="P18" s="246">
        <f>K18+L18+M18+N18+O18</f>
        <v>0</v>
      </c>
      <c r="Q18" s="246">
        <f>J18-K18-L18-M18-N18-O18</f>
        <v>5596215.4199999999</v>
      </c>
      <c r="R18" s="246" t="s">
        <v>139</v>
      </c>
      <c r="S18" s="461" t="s">
        <v>267</v>
      </c>
      <c r="T18" s="247">
        <f>P18</f>
        <v>0</v>
      </c>
      <c r="U18" s="247">
        <v>4789058</v>
      </c>
      <c r="V18" s="248">
        <f>T18+U18</f>
        <v>4789058</v>
      </c>
      <c r="W18" s="178"/>
      <c r="X18" s="111" t="s">
        <v>139</v>
      </c>
      <c r="Y18" s="84">
        <f>2820165.03*1.082*1.024*1.0514*1.2</f>
        <v>3942311.7</v>
      </c>
      <c r="Z18" s="233" t="s">
        <v>186</v>
      </c>
      <c r="AA18" s="406" t="s">
        <v>257</v>
      </c>
      <c r="AB18" s="526">
        <f t="shared" si="5"/>
        <v>-807157.42</v>
      </c>
    </row>
    <row r="19" spans="1:28" ht="31.5" x14ac:dyDescent="0.25">
      <c r="A19" s="217">
        <v>19</v>
      </c>
      <c r="B19" s="245" t="s">
        <v>66</v>
      </c>
      <c r="C19" s="219" t="str">
        <f>ССР!C52</f>
        <v>Наружные газопроводы. Вынос газопровода среднего давления.</v>
      </c>
      <c r="D19" s="220">
        <v>8291915.46</v>
      </c>
      <c r="E19" s="220">
        <v>679937.07</v>
      </c>
      <c r="F19" s="220">
        <v>215324.46</v>
      </c>
      <c r="G19" s="220">
        <v>9187176.9900000002</v>
      </c>
      <c r="H19" s="220">
        <v>9659034.2599999998</v>
      </c>
      <c r="I19" s="221">
        <f t="shared" si="6"/>
        <v>1.2</v>
      </c>
      <c r="J19" s="222">
        <f>ROUND(H19*I19,2)</f>
        <v>11590841.109999999</v>
      </c>
      <c r="K19" s="459"/>
      <c r="L19" s="459"/>
      <c r="M19" s="459"/>
      <c r="N19" s="459"/>
      <c r="O19" s="459"/>
      <c r="P19" s="246">
        <f>K19+L19+M19+N19+O19</f>
        <v>0</v>
      </c>
      <c r="Q19" s="246">
        <f>J19-K19-L19-M19-N19-O19</f>
        <v>11590841.109999999</v>
      </c>
      <c r="R19" s="540" t="s">
        <v>139</v>
      </c>
      <c r="S19" s="461" t="s">
        <v>270</v>
      </c>
      <c r="T19" s="247">
        <f>P19</f>
        <v>0</v>
      </c>
      <c r="U19" s="541">
        <v>6408229.1799999997</v>
      </c>
      <c r="V19" s="247">
        <f>T19+U19</f>
        <v>6408229.1799999997</v>
      </c>
      <c r="W19" s="188"/>
      <c r="X19" s="111"/>
      <c r="Y19" s="84"/>
      <c r="Z19" s="208"/>
      <c r="AA19" s="406" t="s">
        <v>263</v>
      </c>
    </row>
    <row r="20" spans="1:28" ht="4.5" customHeight="1" x14ac:dyDescent="0.25">
      <c r="A20" s="409"/>
      <c r="B20" s="410"/>
      <c r="C20" s="411"/>
      <c r="D20" s="412"/>
      <c r="E20" s="412"/>
      <c r="F20" s="412"/>
      <c r="G20" s="412"/>
      <c r="H20" s="412"/>
      <c r="I20" s="413"/>
      <c r="J20" s="414"/>
      <c r="K20" s="415"/>
      <c r="L20" s="415"/>
      <c r="M20" s="415"/>
      <c r="N20" s="415"/>
      <c r="O20" s="415"/>
      <c r="P20" s="415"/>
      <c r="Q20" s="415"/>
      <c r="R20" s="415"/>
      <c r="S20" s="190"/>
      <c r="T20" s="416"/>
      <c r="U20" s="417"/>
      <c r="V20" s="418"/>
      <c r="W20" s="178"/>
      <c r="X20" s="111"/>
      <c r="Y20" s="84"/>
      <c r="Z20" s="233"/>
    </row>
    <row r="21" spans="1:28" ht="32.25" hidden="1" customHeight="1" x14ac:dyDescent="0.25">
      <c r="A21" s="380"/>
      <c r="B21" s="381"/>
      <c r="C21" s="381"/>
      <c r="D21" s="381"/>
      <c r="E21" s="381"/>
      <c r="F21" s="381"/>
      <c r="G21" s="381"/>
      <c r="H21" s="382"/>
      <c r="I21" s="381"/>
      <c r="J21" s="382"/>
      <c r="K21" s="383"/>
      <c r="L21" s="383"/>
      <c r="M21" s="383"/>
      <c r="N21" s="383"/>
      <c r="O21" s="383"/>
      <c r="P21" s="383"/>
      <c r="Q21" s="383"/>
      <c r="R21" s="383"/>
      <c r="S21" s="383"/>
      <c r="T21" s="1196" t="s">
        <v>254</v>
      </c>
      <c r="U21" s="1197"/>
      <c r="V21" s="384"/>
      <c r="X21" s="65"/>
      <c r="Y21" s="81"/>
      <c r="Z21" s="81"/>
    </row>
    <row r="22" spans="1:28" ht="32.25" customHeight="1" x14ac:dyDescent="0.25">
      <c r="A22" s="380"/>
      <c r="B22" s="381"/>
      <c r="C22" s="381"/>
      <c r="D22" s="381"/>
      <c r="E22" s="381"/>
      <c r="F22" s="381"/>
      <c r="G22" s="381"/>
      <c r="H22" s="382"/>
      <c r="I22" s="381"/>
      <c r="J22" s="382"/>
      <c r="K22" s="383"/>
      <c r="L22" s="383"/>
      <c r="M22" s="383"/>
      <c r="N22" s="383"/>
      <c r="O22" s="383"/>
      <c r="P22" s="383"/>
      <c r="Q22" s="383"/>
      <c r="R22" s="383"/>
      <c r="S22" s="383"/>
      <c r="T22" s="1196" t="s">
        <v>272</v>
      </c>
      <c r="U22" s="1197"/>
      <c r="V22" s="384"/>
      <c r="X22" s="65"/>
      <c r="Y22" s="81"/>
      <c r="Z22" s="81"/>
    </row>
    <row r="23" spans="1:28" ht="45" customHeight="1" x14ac:dyDescent="0.25">
      <c r="A23" s="217">
        <v>20</v>
      </c>
      <c r="B23" s="372" t="s">
        <v>31</v>
      </c>
      <c r="C23" s="219" t="str">
        <f>ССР!C29</f>
        <v>Верхнее строение пути</v>
      </c>
      <c r="D23" s="220">
        <v>161452921.99000001</v>
      </c>
      <c r="E23" s="220">
        <v>13239139.6</v>
      </c>
      <c r="F23" s="220">
        <v>4192609.48</v>
      </c>
      <c r="G23" s="220">
        <v>178884671.06999999</v>
      </c>
      <c r="H23" s="220">
        <v>188072263.84999999</v>
      </c>
      <c r="I23" s="221">
        <f>I7</f>
        <v>1.2</v>
      </c>
      <c r="J23" s="222">
        <f>ROUND(H23*I23,2)</f>
        <v>225686716.62</v>
      </c>
      <c r="K23" s="373">
        <v>89998722.969999999</v>
      </c>
      <c r="L23" s="373">
        <v>66544414.909999996</v>
      </c>
      <c r="M23" s="373">
        <v>42672742.899999999</v>
      </c>
      <c r="N23" s="373"/>
      <c r="O23" s="373"/>
      <c r="P23" s="371">
        <f>K23+L23+M23+N23+O23</f>
        <v>199215880.78</v>
      </c>
      <c r="Q23" s="371">
        <f>J23-K23-L23-M23-N23-O23</f>
        <v>26470835.84</v>
      </c>
      <c r="R23" s="396" t="s">
        <v>243</v>
      </c>
      <c r="S23" s="403" t="s">
        <v>273</v>
      </c>
      <c r="T23" s="83">
        <f>P23</f>
        <v>199215880.78</v>
      </c>
      <c r="U23" s="366">
        <v>63289401</v>
      </c>
      <c r="V23" s="83">
        <f t="shared" ref="V23:V32" si="7">T23+U23</f>
        <v>262505281.78</v>
      </c>
      <c r="X23" s="111"/>
      <c r="Y23" s="84"/>
      <c r="Z23" s="208"/>
      <c r="AA23" s="419"/>
    </row>
    <row r="24" spans="1:28" s="449" customFormat="1" ht="32.25" customHeight="1" x14ac:dyDescent="0.25">
      <c r="A24" s="434">
        <v>21</v>
      </c>
      <c r="B24" s="435" t="s">
        <v>32</v>
      </c>
      <c r="C24" s="436" t="str">
        <f>ССР!C30</f>
        <v>Восстановительные работы цеха №121/18. АС 3.</v>
      </c>
      <c r="D24" s="437">
        <v>4505948.67</v>
      </c>
      <c r="E24" s="437">
        <v>369487.79</v>
      </c>
      <c r="F24" s="437">
        <v>117010.48</v>
      </c>
      <c r="G24" s="437">
        <v>4992446.9400000004</v>
      </c>
      <c r="H24" s="437">
        <v>5248861.1100000003</v>
      </c>
      <c r="I24" s="438">
        <f>I8</f>
        <v>1.2</v>
      </c>
      <c r="J24" s="439">
        <f>ROUND(H24*I24,2)</f>
        <v>6298633.3300000001</v>
      </c>
      <c r="K24" s="440"/>
      <c r="L24" s="440"/>
      <c r="M24" s="440"/>
      <c r="N24" s="440">
        <v>5245250.92</v>
      </c>
      <c r="O24" s="440"/>
      <c r="P24" s="441">
        <f>K24+L24+M24+N24+O24</f>
        <v>5245250.92</v>
      </c>
      <c r="Q24" s="441">
        <f>J24-K24-L24-M24-N24-O24</f>
        <v>1053382.4099999999</v>
      </c>
      <c r="R24" s="442" t="s">
        <v>168</v>
      </c>
      <c r="S24" s="442" t="s">
        <v>189</v>
      </c>
      <c r="T24" s="443">
        <f>P24</f>
        <v>5245250.92</v>
      </c>
      <c r="U24" s="444">
        <v>0</v>
      </c>
      <c r="V24" s="443">
        <f t="shared" si="7"/>
        <v>5245250.92</v>
      </c>
      <c r="W24" s="445" t="s">
        <v>172</v>
      </c>
      <c r="X24" s="446"/>
      <c r="Y24" s="443"/>
      <c r="Z24" s="447"/>
      <c r="AA24" s="448"/>
    </row>
    <row r="25" spans="1:28" s="449" customFormat="1" ht="36" x14ac:dyDescent="0.25">
      <c r="A25" s="434">
        <v>22</v>
      </c>
      <c r="B25" s="435" t="s">
        <v>33</v>
      </c>
      <c r="C25" s="436" t="str">
        <f>ССР!C31</f>
        <v>Архитектурно-строительные решения. Часть 1.АС1</v>
      </c>
      <c r="D25" s="437">
        <v>10526911.91</v>
      </c>
      <c r="E25" s="437">
        <v>863206.78</v>
      </c>
      <c r="F25" s="437">
        <v>273362.84999999998</v>
      </c>
      <c r="G25" s="437">
        <v>11663481.539999999</v>
      </c>
      <c r="H25" s="437">
        <v>12262522.85</v>
      </c>
      <c r="I25" s="438">
        <f>I9</f>
        <v>1.2</v>
      </c>
      <c r="J25" s="439">
        <f>ROUND(H25*I25,2)</f>
        <v>14715027.42</v>
      </c>
      <c r="K25" s="440"/>
      <c r="L25" s="440">
        <v>10775049.08</v>
      </c>
      <c r="M25" s="440"/>
      <c r="N25" s="440"/>
      <c r="O25" s="440"/>
      <c r="P25" s="441">
        <f>K25+L25+M25+N25+O25</f>
        <v>10775049.08</v>
      </c>
      <c r="Q25" s="441">
        <f>J25-K25-L25-M25-N25-O25</f>
        <v>3939978.34</v>
      </c>
      <c r="R25" s="450" t="s">
        <v>139</v>
      </c>
      <c r="S25" s="442" t="s">
        <v>262</v>
      </c>
      <c r="T25" s="443">
        <f>P25</f>
        <v>10775049.08</v>
      </c>
      <c r="U25" s="444">
        <v>0</v>
      </c>
      <c r="V25" s="443">
        <f t="shared" si="7"/>
        <v>10775049.08</v>
      </c>
      <c r="W25" s="451"/>
      <c r="X25" s="446"/>
      <c r="Y25" s="443"/>
      <c r="Z25" s="447"/>
      <c r="AA25" s="448"/>
    </row>
    <row r="26" spans="1:28" s="449" customFormat="1" ht="36" x14ac:dyDescent="0.25">
      <c r="A26" s="434">
        <v>23</v>
      </c>
      <c r="B26" s="435" t="s">
        <v>55</v>
      </c>
      <c r="C26" s="436" t="str">
        <f>ССР!C45</f>
        <v>Трубопровод ливневых сточных вод от трансбордера. НВК1</v>
      </c>
      <c r="D26" s="437">
        <v>1758763.66</v>
      </c>
      <c r="E26" s="437">
        <v>144218.62</v>
      </c>
      <c r="F26" s="437">
        <v>45671.57</v>
      </c>
      <c r="G26" s="437">
        <v>1948653.85</v>
      </c>
      <c r="H26" s="437">
        <v>2048737.53</v>
      </c>
      <c r="I26" s="438">
        <f>I23</f>
        <v>1.2</v>
      </c>
      <c r="J26" s="439">
        <f t="shared" si="1"/>
        <v>2458485.04</v>
      </c>
      <c r="K26" s="452"/>
      <c r="L26" s="452"/>
      <c r="M26" s="452"/>
      <c r="N26" s="452"/>
      <c r="O26" s="452">
        <v>505496.99</v>
      </c>
      <c r="P26" s="441">
        <f t="shared" si="2"/>
        <v>505496.99</v>
      </c>
      <c r="Q26" s="441">
        <f t="shared" si="3"/>
        <v>1952988.05</v>
      </c>
      <c r="R26" s="452" t="s">
        <v>243</v>
      </c>
      <c r="S26" s="453" t="s">
        <v>251</v>
      </c>
      <c r="T26" s="443">
        <f t="shared" si="4"/>
        <v>505496.99</v>
      </c>
      <c r="U26" s="454">
        <v>0</v>
      </c>
      <c r="V26" s="455">
        <f t="shared" si="7"/>
        <v>505496.99</v>
      </c>
      <c r="W26" s="451"/>
      <c r="X26" s="446"/>
      <c r="Y26" s="443"/>
      <c r="Z26" s="447"/>
      <c r="AA26" s="448"/>
    </row>
    <row r="27" spans="1:28" s="449" customFormat="1" ht="47.25" x14ac:dyDescent="0.25">
      <c r="A27" s="434">
        <v>24</v>
      </c>
      <c r="B27" s="435" t="s">
        <v>58</v>
      </c>
      <c r="C27" s="436" t="str">
        <f>ССР!C47</f>
        <v>Теплоснабжение. Переустройство трубопровода.ТС1</v>
      </c>
      <c r="D27" s="437">
        <v>4044845.15</v>
      </c>
      <c r="E27" s="437">
        <v>331677.3</v>
      </c>
      <c r="F27" s="437">
        <v>105036.54</v>
      </c>
      <c r="G27" s="437">
        <v>4481558.99</v>
      </c>
      <c r="H27" s="437">
        <v>4711733.74</v>
      </c>
      <c r="I27" s="438">
        <f>I14</f>
        <v>1.2</v>
      </c>
      <c r="J27" s="439">
        <f t="shared" si="1"/>
        <v>5654080.4900000002</v>
      </c>
      <c r="K27" s="452"/>
      <c r="L27" s="452"/>
      <c r="M27" s="452"/>
      <c r="N27" s="452"/>
      <c r="O27" s="452">
        <v>3594854.48</v>
      </c>
      <c r="P27" s="441">
        <f t="shared" si="2"/>
        <v>3594854.48</v>
      </c>
      <c r="Q27" s="441">
        <f t="shared" si="3"/>
        <v>2059226.01</v>
      </c>
      <c r="R27" s="452" t="s">
        <v>243</v>
      </c>
      <c r="S27" s="453" t="s">
        <v>251</v>
      </c>
      <c r="T27" s="443">
        <f t="shared" si="4"/>
        <v>3594854.48</v>
      </c>
      <c r="U27" s="454">
        <v>0</v>
      </c>
      <c r="V27" s="455">
        <f t="shared" si="7"/>
        <v>3594854.48</v>
      </c>
      <c r="W27" s="451"/>
      <c r="X27" s="446"/>
      <c r="Y27" s="443"/>
      <c r="Z27" s="447"/>
      <c r="AA27" s="448"/>
    </row>
    <row r="28" spans="1:28" s="449" customFormat="1" ht="36" x14ac:dyDescent="0.25">
      <c r="A28" s="434">
        <v>25</v>
      </c>
      <c r="B28" s="435" t="s">
        <v>59</v>
      </c>
      <c r="C28" s="436" t="str">
        <f>ССР!C48</f>
        <v>Архитектурно-строительные решения. Эстакада для ТС1. АС 4</v>
      </c>
      <c r="D28" s="437">
        <v>4859580.66</v>
      </c>
      <c r="E28" s="437">
        <v>398485.61</v>
      </c>
      <c r="F28" s="437">
        <v>126193.59</v>
      </c>
      <c r="G28" s="437">
        <v>5384259.8600000003</v>
      </c>
      <c r="H28" s="437">
        <v>5660797.71</v>
      </c>
      <c r="I28" s="438">
        <f>I15</f>
        <v>1.2</v>
      </c>
      <c r="J28" s="439">
        <f t="shared" si="1"/>
        <v>6792957.25</v>
      </c>
      <c r="K28" s="452"/>
      <c r="L28" s="452"/>
      <c r="M28" s="452"/>
      <c r="N28" s="452"/>
      <c r="O28" s="452">
        <v>562345.21</v>
      </c>
      <c r="P28" s="441">
        <f t="shared" si="2"/>
        <v>562345.21</v>
      </c>
      <c r="Q28" s="441">
        <f t="shared" si="3"/>
        <v>6230612.04</v>
      </c>
      <c r="R28" s="456" t="s">
        <v>243</v>
      </c>
      <c r="S28" s="453" t="s">
        <v>251</v>
      </c>
      <c r="T28" s="443">
        <f t="shared" si="4"/>
        <v>562345.21</v>
      </c>
      <c r="U28" s="454">
        <v>0</v>
      </c>
      <c r="V28" s="455">
        <f t="shared" si="7"/>
        <v>562345.21</v>
      </c>
      <c r="W28" s="451"/>
      <c r="X28" s="446"/>
      <c r="Y28" s="443"/>
      <c r="Z28" s="447"/>
      <c r="AA28" s="448"/>
    </row>
    <row r="29" spans="1:28" ht="36" x14ac:dyDescent="0.25">
      <c r="A29" s="217">
        <v>26</v>
      </c>
      <c r="B29" s="245" t="s">
        <v>70</v>
      </c>
      <c r="C29" s="219" t="str">
        <f>ССР!C55</f>
        <v>Генеральный план. Трансбордер. ГП1</v>
      </c>
      <c r="D29" s="220">
        <v>5005903.75</v>
      </c>
      <c r="E29" s="220">
        <v>410484.11</v>
      </c>
      <c r="F29" s="220">
        <v>129993.31</v>
      </c>
      <c r="G29" s="220">
        <v>5546381.1699999999</v>
      </c>
      <c r="H29" s="220">
        <v>5831245.6399999997</v>
      </c>
      <c r="I29" s="221">
        <f>I13</f>
        <v>1.2</v>
      </c>
      <c r="J29" s="222">
        <f t="shared" si="1"/>
        <v>6997494.7699999996</v>
      </c>
      <c r="K29" s="373"/>
      <c r="L29" s="373">
        <v>2298854.48</v>
      </c>
      <c r="M29" s="373"/>
      <c r="N29" s="373"/>
      <c r="O29" s="373"/>
      <c r="P29" s="371">
        <f t="shared" si="2"/>
        <v>2298854.48</v>
      </c>
      <c r="Q29" s="371">
        <f t="shared" si="3"/>
        <v>4698640.29</v>
      </c>
      <c r="R29" s="395" t="s">
        <v>243</v>
      </c>
      <c r="S29" s="403" t="s">
        <v>247</v>
      </c>
      <c r="T29" s="83">
        <f t="shared" si="4"/>
        <v>2298854.48</v>
      </c>
      <c r="U29" s="367">
        <v>0</v>
      </c>
      <c r="V29" s="368">
        <f t="shared" si="7"/>
        <v>2298854.48</v>
      </c>
      <c r="W29" s="206"/>
      <c r="X29" s="111"/>
      <c r="Y29" s="84"/>
      <c r="Z29" s="208"/>
      <c r="AA29" s="419"/>
    </row>
    <row r="30" spans="1:28" ht="36.75" thickBot="1" x14ac:dyDescent="0.3">
      <c r="A30" s="421">
        <v>27</v>
      </c>
      <c r="B30" s="374" t="s">
        <v>71</v>
      </c>
      <c r="C30" s="375" t="str">
        <f>ССР!C56</f>
        <v>Генеральный план. ГП2</v>
      </c>
      <c r="D30" s="397">
        <v>48898423.600000001</v>
      </c>
      <c r="E30" s="397">
        <v>4009670.74</v>
      </c>
      <c r="F30" s="397">
        <v>1269794.26</v>
      </c>
      <c r="G30" s="397">
        <v>54177888.600000001</v>
      </c>
      <c r="H30" s="397">
        <v>56960487.710000001</v>
      </c>
      <c r="I30" s="376">
        <f>I17</f>
        <v>1.2</v>
      </c>
      <c r="J30" s="377">
        <f t="shared" si="1"/>
        <v>68352585.25</v>
      </c>
      <c r="K30" s="378"/>
      <c r="L30" s="378"/>
      <c r="M30" s="378">
        <v>11709977.720000001</v>
      </c>
      <c r="N30" s="378"/>
      <c r="O30" s="378">
        <v>3615838.44</v>
      </c>
      <c r="P30" s="379">
        <f t="shared" si="2"/>
        <v>15325816.16</v>
      </c>
      <c r="Q30" s="379">
        <f t="shared" si="3"/>
        <v>53026769.090000004</v>
      </c>
      <c r="R30" s="422" t="s">
        <v>243</v>
      </c>
      <c r="S30" s="423" t="s">
        <v>247</v>
      </c>
      <c r="T30" s="370">
        <f t="shared" si="4"/>
        <v>15325816.16</v>
      </c>
      <c r="U30" s="424">
        <v>0</v>
      </c>
      <c r="V30" s="369">
        <f t="shared" si="7"/>
        <v>15325816.16</v>
      </c>
      <c r="W30" s="206"/>
      <c r="X30" s="111"/>
      <c r="Y30" s="85"/>
      <c r="Z30" s="209"/>
      <c r="AA30" s="419"/>
    </row>
    <row r="31" spans="1:28" ht="35.1" customHeight="1" thickTop="1" x14ac:dyDescent="0.25">
      <c r="A31" s="387">
        <v>28</v>
      </c>
      <c r="B31" s="388">
        <v>1</v>
      </c>
      <c r="C31" s="389" t="s">
        <v>175</v>
      </c>
      <c r="D31" s="390"/>
      <c r="E31" s="390"/>
      <c r="F31" s="390"/>
      <c r="G31" s="390"/>
      <c r="H31" s="390"/>
      <c r="I31" s="391"/>
      <c r="J31" s="392"/>
      <c r="K31" s="393"/>
      <c r="L31" s="393"/>
      <c r="M31" s="393"/>
      <c r="N31" s="393"/>
      <c r="O31" s="393"/>
      <c r="P31" s="393">
        <f>T31</f>
        <v>4216719.66</v>
      </c>
      <c r="Q31" s="393"/>
      <c r="R31" s="477" t="s">
        <v>139</v>
      </c>
      <c r="S31" s="394" t="s">
        <v>255</v>
      </c>
      <c r="T31" s="420">
        <v>4216719.66</v>
      </c>
      <c r="U31" s="420">
        <v>0</v>
      </c>
      <c r="V31" s="420">
        <f t="shared" si="7"/>
        <v>4216719.66</v>
      </c>
      <c r="X31" s="119"/>
      <c r="Y31" s="179"/>
      <c r="Z31" s="179"/>
    </row>
    <row r="32" spans="1:28" ht="35.1" customHeight="1" thickBot="1" x14ac:dyDescent="0.3">
      <c r="A32" s="513">
        <v>29</v>
      </c>
      <c r="B32" s="479">
        <v>1</v>
      </c>
      <c r="C32" s="480" t="s">
        <v>174</v>
      </c>
      <c r="D32" s="481"/>
      <c r="E32" s="481"/>
      <c r="F32" s="481"/>
      <c r="G32" s="481"/>
      <c r="H32" s="481"/>
      <c r="I32" s="482"/>
      <c r="J32" s="483"/>
      <c r="K32" s="484"/>
      <c r="L32" s="484"/>
      <c r="M32" s="484"/>
      <c r="N32" s="484"/>
      <c r="O32" s="484"/>
      <c r="P32" s="484">
        <f>T32</f>
        <v>2160473.5</v>
      </c>
      <c r="Q32" s="484"/>
      <c r="R32" s="514" t="s">
        <v>139</v>
      </c>
      <c r="S32" s="515" t="s">
        <v>255</v>
      </c>
      <c r="T32" s="485">
        <v>2160473.5</v>
      </c>
      <c r="U32" s="485">
        <v>0</v>
      </c>
      <c r="V32" s="486">
        <f t="shared" si="7"/>
        <v>2160473.5</v>
      </c>
      <c r="X32" s="117"/>
      <c r="Y32" s="105"/>
      <c r="Z32" s="211"/>
    </row>
    <row r="33" spans="1:26" ht="31.5" customHeight="1" thickTop="1" thickBot="1" x14ac:dyDescent="0.3">
      <c r="A33" s="516"/>
      <c r="B33" s="517" t="s">
        <v>120</v>
      </c>
      <c r="C33" s="518"/>
      <c r="D33" s="519">
        <f>SUM(D7:D30)</f>
        <v>392033916.06</v>
      </c>
      <c r="E33" s="518"/>
      <c r="F33" s="520"/>
      <c r="G33" s="519">
        <f>SUM(G7:G30)</f>
        <v>434361033.93000001</v>
      </c>
      <c r="H33" s="519">
        <f>SUM(H7:H30)</f>
        <v>456670000.00999999</v>
      </c>
      <c r="I33" s="519"/>
      <c r="J33" s="519">
        <f>SUM(J7:J30)</f>
        <v>548004000</v>
      </c>
      <c r="K33" s="521">
        <f>SUM(K7:K30)</f>
        <v>210417570.36000001</v>
      </c>
      <c r="L33" s="521">
        <f>SUM(L7:L30)+0.01</f>
        <v>79978331.209999993</v>
      </c>
      <c r="M33" s="521">
        <f>SUM(M7:M30)</f>
        <v>58868164.759999998</v>
      </c>
      <c r="N33" s="521">
        <f>SUM(N7:N30)</f>
        <v>5245250.92</v>
      </c>
      <c r="O33" s="521">
        <f>SUM(O7:O30)</f>
        <v>8616444.9800000004</v>
      </c>
      <c r="P33" s="521">
        <f>SUM(P7:P32)+0.01</f>
        <v>369502955.38999999</v>
      </c>
      <c r="Q33" s="521">
        <f>J33-P33</f>
        <v>178501044.61000001</v>
      </c>
      <c r="R33" s="521"/>
      <c r="S33" s="521"/>
      <c r="T33" s="522">
        <f>SUM(T7:T32)</f>
        <v>369502955.38</v>
      </c>
      <c r="U33" s="522">
        <f>SUM(U7:U32)</f>
        <v>109959751.43000001</v>
      </c>
      <c r="V33" s="522">
        <f>SUM(V7:V32)</f>
        <v>479462706.81</v>
      </c>
      <c r="W33" s="177"/>
      <c r="X33" s="115"/>
      <c r="Y33" s="101">
        <f>SUM(Y7:Y30)</f>
        <v>39961110.119999997</v>
      </c>
      <c r="Z33" s="210">
        <f>SUM(Z7:Z30)</f>
        <v>0</v>
      </c>
    </row>
    <row r="34" spans="1:26" ht="32.25" customHeight="1" x14ac:dyDescent="0.25">
      <c r="A34" s="498"/>
      <c r="B34" s="499"/>
      <c r="C34" s="499"/>
      <c r="D34" s="499"/>
      <c r="E34" s="499"/>
      <c r="F34" s="499"/>
      <c r="G34" s="499"/>
      <c r="H34" s="500"/>
      <c r="I34" s="499"/>
      <c r="J34" s="500"/>
      <c r="K34" s="501"/>
      <c r="L34" s="501"/>
      <c r="M34" s="501"/>
      <c r="N34" s="501"/>
      <c r="O34" s="501"/>
      <c r="P34" s="501"/>
      <c r="Q34" s="501"/>
      <c r="R34" s="501"/>
      <c r="S34" s="501"/>
      <c r="T34" s="1187" t="s">
        <v>245</v>
      </c>
      <c r="U34" s="1188"/>
      <c r="V34" s="503"/>
      <c r="X34" s="65"/>
      <c r="Y34" s="81"/>
      <c r="Z34" s="81"/>
    </row>
    <row r="35" spans="1:26" ht="35.1" customHeight="1" x14ac:dyDescent="0.25">
      <c r="A35" s="217">
        <v>30</v>
      </c>
      <c r="B35" s="218">
        <v>2</v>
      </c>
      <c r="C35" s="219" t="s">
        <v>141</v>
      </c>
      <c r="D35" s="220"/>
      <c r="E35" s="220"/>
      <c r="F35" s="220"/>
      <c r="G35" s="220"/>
      <c r="H35" s="220"/>
      <c r="I35" s="221"/>
      <c r="J35" s="222"/>
      <c r="K35" s="459"/>
      <c r="L35" s="459"/>
      <c r="M35" s="459"/>
      <c r="N35" s="459"/>
      <c r="O35" s="459"/>
      <c r="P35" s="459"/>
      <c r="Q35" s="459"/>
      <c r="R35" s="460" t="s">
        <v>139</v>
      </c>
      <c r="S35" s="461" t="s">
        <v>261</v>
      </c>
      <c r="T35" s="462">
        <v>0</v>
      </c>
      <c r="U35" s="462">
        <v>809392.99</v>
      </c>
      <c r="V35" s="462">
        <f t="shared" ref="V35:V40" si="8">T35+U35</f>
        <v>809392.99</v>
      </c>
      <c r="X35" s="119"/>
      <c r="Y35" s="179"/>
      <c r="Z35" s="179"/>
    </row>
    <row r="36" spans="1:26" ht="35.1" customHeight="1" x14ac:dyDescent="0.25">
      <c r="A36" s="458">
        <v>31</v>
      </c>
      <c r="B36" s="218">
        <v>3</v>
      </c>
      <c r="C36" s="219" t="s">
        <v>142</v>
      </c>
      <c r="D36" s="220"/>
      <c r="E36" s="220"/>
      <c r="F36" s="220"/>
      <c r="G36" s="220"/>
      <c r="H36" s="220"/>
      <c r="I36" s="221"/>
      <c r="J36" s="222"/>
      <c r="K36" s="459"/>
      <c r="L36" s="459"/>
      <c r="M36" s="459"/>
      <c r="N36" s="459"/>
      <c r="O36" s="459"/>
      <c r="P36" s="459"/>
      <c r="Q36" s="459"/>
      <c r="R36" s="460" t="s">
        <v>139</v>
      </c>
      <c r="S36" s="461" t="str">
        <f>S35</f>
        <v>отправлено на проверку 05.06</v>
      </c>
      <c r="T36" s="462">
        <v>0</v>
      </c>
      <c r="U36" s="462">
        <v>95286.48</v>
      </c>
      <c r="V36" s="462">
        <f t="shared" si="8"/>
        <v>95286.48</v>
      </c>
      <c r="X36" s="119"/>
      <c r="Y36" s="180"/>
      <c r="Z36" s="180"/>
    </row>
    <row r="37" spans="1:26" ht="35.1" customHeight="1" x14ac:dyDescent="0.25">
      <c r="A37" s="217">
        <v>32</v>
      </c>
      <c r="B37" s="218">
        <v>4</v>
      </c>
      <c r="C37" s="219" t="s">
        <v>143</v>
      </c>
      <c r="D37" s="220"/>
      <c r="E37" s="220"/>
      <c r="F37" s="220"/>
      <c r="G37" s="220"/>
      <c r="H37" s="220"/>
      <c r="I37" s="221"/>
      <c r="J37" s="222"/>
      <c r="K37" s="459"/>
      <c r="L37" s="459"/>
      <c r="M37" s="459"/>
      <c r="N37" s="459"/>
      <c r="O37" s="459"/>
      <c r="P37" s="459"/>
      <c r="Q37" s="459"/>
      <c r="R37" s="460" t="s">
        <v>139</v>
      </c>
      <c r="S37" s="461" t="str">
        <f>S35</f>
        <v>отправлено на проверку 05.06</v>
      </c>
      <c r="T37" s="462">
        <v>0</v>
      </c>
      <c r="U37" s="462">
        <v>29209.07</v>
      </c>
      <c r="V37" s="462">
        <f t="shared" si="8"/>
        <v>29209.07</v>
      </c>
      <c r="X37" s="119"/>
      <c r="Y37" s="180"/>
      <c r="Z37" s="180"/>
    </row>
    <row r="38" spans="1:26" ht="35.1" customHeight="1" x14ac:dyDescent="0.25">
      <c r="A38" s="458">
        <v>33</v>
      </c>
      <c r="B38" s="218">
        <v>6</v>
      </c>
      <c r="C38" s="219" t="s">
        <v>146</v>
      </c>
      <c r="D38" s="220"/>
      <c r="E38" s="220"/>
      <c r="F38" s="220"/>
      <c r="G38" s="220"/>
      <c r="H38" s="220"/>
      <c r="I38" s="221"/>
      <c r="J38" s="222"/>
      <c r="K38" s="459"/>
      <c r="L38" s="459"/>
      <c r="M38" s="459"/>
      <c r="N38" s="459"/>
      <c r="O38" s="459"/>
      <c r="P38" s="459"/>
      <c r="Q38" s="459"/>
      <c r="R38" s="460" t="s">
        <v>139</v>
      </c>
      <c r="S38" s="461" t="str">
        <f>S35</f>
        <v>отправлено на проверку 05.06</v>
      </c>
      <c r="T38" s="462">
        <v>0</v>
      </c>
      <c r="U38" s="462">
        <v>220556.39</v>
      </c>
      <c r="V38" s="462">
        <f t="shared" si="8"/>
        <v>220556.39</v>
      </c>
      <c r="X38" s="119"/>
      <c r="Y38" s="180"/>
      <c r="Z38" s="180"/>
    </row>
    <row r="39" spans="1:26" ht="35.1" customHeight="1" x14ac:dyDescent="0.25">
      <c r="A39" s="217">
        <v>38</v>
      </c>
      <c r="B39" s="41">
        <v>7</v>
      </c>
      <c r="C39" s="42" t="s">
        <v>148</v>
      </c>
      <c r="D39" s="43"/>
      <c r="E39" s="43"/>
      <c r="F39" s="43"/>
      <c r="G39" s="43"/>
      <c r="H39" s="43"/>
      <c r="I39" s="44"/>
      <c r="J39" s="55"/>
      <c r="K39" s="56"/>
      <c r="L39" s="56"/>
      <c r="M39" s="56"/>
      <c r="N39" s="56"/>
      <c r="O39" s="56"/>
      <c r="P39" s="459"/>
      <c r="Q39" s="459"/>
      <c r="R39" s="529" t="s">
        <v>139</v>
      </c>
      <c r="S39" s="461" t="str">
        <f>S35</f>
        <v>отправлено на проверку 05.06</v>
      </c>
      <c r="T39" s="530">
        <v>0</v>
      </c>
      <c r="U39" s="530">
        <v>231661.7</v>
      </c>
      <c r="V39" s="462">
        <f>T39+U39</f>
        <v>231661.7</v>
      </c>
      <c r="X39" s="119"/>
      <c r="Y39" s="107"/>
      <c r="Z39" s="213"/>
    </row>
    <row r="40" spans="1:26" ht="35.1" customHeight="1" x14ac:dyDescent="0.25">
      <c r="A40" s="217">
        <v>34</v>
      </c>
      <c r="B40" s="463">
        <v>9</v>
      </c>
      <c r="C40" s="464" t="s">
        <v>140</v>
      </c>
      <c r="D40" s="465"/>
      <c r="E40" s="465"/>
      <c r="F40" s="465"/>
      <c r="G40" s="465"/>
      <c r="H40" s="465"/>
      <c r="I40" s="466"/>
      <c r="J40" s="467"/>
      <c r="K40" s="468"/>
      <c r="L40" s="468"/>
      <c r="M40" s="468"/>
      <c r="N40" s="468"/>
      <c r="O40" s="468"/>
      <c r="P40" s="468"/>
      <c r="Q40" s="468"/>
      <c r="R40" s="469" t="s">
        <v>139</v>
      </c>
      <c r="S40" s="528" t="str">
        <f>S35</f>
        <v>отправлено на проверку 05.06</v>
      </c>
      <c r="T40" s="470">
        <v>0</v>
      </c>
      <c r="U40" s="470">
        <v>598821.47</v>
      </c>
      <c r="V40" s="462">
        <f t="shared" si="8"/>
        <v>598821.47</v>
      </c>
      <c r="X40" s="117"/>
      <c r="Y40" s="105"/>
      <c r="Z40" s="211"/>
    </row>
    <row r="41" spans="1:26" ht="35.1" customHeight="1" thickBot="1" x14ac:dyDescent="0.3">
      <c r="A41" s="425">
        <v>35</v>
      </c>
      <c r="B41" s="426">
        <v>10</v>
      </c>
      <c r="C41" s="427" t="s">
        <v>248</v>
      </c>
      <c r="D41" s="428"/>
      <c r="E41" s="428"/>
      <c r="F41" s="428"/>
      <c r="G41" s="428"/>
      <c r="H41" s="428"/>
      <c r="I41" s="429"/>
      <c r="J41" s="430"/>
      <c r="K41" s="431"/>
      <c r="L41" s="431"/>
      <c r="M41" s="431"/>
      <c r="N41" s="431"/>
      <c r="O41" s="431"/>
      <c r="P41" s="431"/>
      <c r="Q41" s="431"/>
      <c r="R41" s="478" t="s">
        <v>255</v>
      </c>
      <c r="S41" s="535" t="s">
        <v>271</v>
      </c>
      <c r="T41" s="432">
        <v>0</v>
      </c>
      <c r="U41" s="432">
        <v>9690548.2599999998</v>
      </c>
      <c r="V41" s="433">
        <f>T41+U41</f>
        <v>9690548.2599999998</v>
      </c>
      <c r="X41" s="117"/>
      <c r="Y41" s="105"/>
      <c r="Z41" s="211"/>
    </row>
    <row r="42" spans="1:26" ht="35.1" customHeight="1" thickTop="1" thickBot="1" x14ac:dyDescent="0.3">
      <c r="A42" s="421">
        <v>39</v>
      </c>
      <c r="B42" s="374">
        <v>12</v>
      </c>
      <c r="C42" s="375" t="s">
        <v>250</v>
      </c>
      <c r="D42" s="471"/>
      <c r="E42" s="471"/>
      <c r="F42" s="471"/>
      <c r="G42" s="471"/>
      <c r="H42" s="471"/>
      <c r="I42" s="472"/>
      <c r="J42" s="473"/>
      <c r="K42" s="474"/>
      <c r="L42" s="474"/>
      <c r="M42" s="474"/>
      <c r="N42" s="474"/>
      <c r="O42" s="474"/>
      <c r="P42" s="531"/>
      <c r="Q42" s="531"/>
      <c r="R42" s="532" t="s">
        <v>139</v>
      </c>
      <c r="S42" s="527" t="str">
        <f>S35</f>
        <v>отправлено на проверку 05.06</v>
      </c>
      <c r="T42" s="533">
        <v>0</v>
      </c>
      <c r="U42" s="533">
        <v>119814.01</v>
      </c>
      <c r="V42" s="534">
        <f>T42+U42</f>
        <v>119814.01</v>
      </c>
      <c r="X42" s="119"/>
      <c r="Y42" s="107"/>
      <c r="Z42" s="213"/>
    </row>
    <row r="43" spans="1:26" ht="35.1" customHeight="1" thickTop="1" x14ac:dyDescent="0.25">
      <c r="A43" s="475">
        <v>36</v>
      </c>
      <c r="B43" s="476">
        <v>5</v>
      </c>
      <c r="C43" s="411" t="s">
        <v>145</v>
      </c>
      <c r="D43" s="412"/>
      <c r="E43" s="412"/>
      <c r="F43" s="412"/>
      <c r="G43" s="412"/>
      <c r="H43" s="412"/>
      <c r="I43" s="413"/>
      <c r="J43" s="414"/>
      <c r="K43" s="56"/>
      <c r="L43" s="56"/>
      <c r="M43" s="56"/>
      <c r="N43" s="56"/>
      <c r="O43" s="56"/>
      <c r="P43" s="53"/>
      <c r="Q43" s="53"/>
      <c r="R43" s="398" t="s">
        <v>139</v>
      </c>
      <c r="S43" s="457" t="s">
        <v>246</v>
      </c>
      <c r="T43" s="399">
        <v>0</v>
      </c>
      <c r="U43" s="399">
        <v>2348452.58</v>
      </c>
      <c r="V43" s="399">
        <f>T43+U43</f>
        <v>2348452.58</v>
      </c>
      <c r="X43" s="119"/>
      <c r="Y43" s="180"/>
      <c r="Z43" s="180"/>
    </row>
    <row r="44" spans="1:26" ht="41.25" customHeight="1" x14ac:dyDescent="0.25">
      <c r="A44" s="487">
        <v>37</v>
      </c>
      <c r="B44" s="488">
        <v>8</v>
      </c>
      <c r="C44" s="489" t="s">
        <v>144</v>
      </c>
      <c r="D44" s="490"/>
      <c r="E44" s="490"/>
      <c r="F44" s="490"/>
      <c r="G44" s="490"/>
      <c r="H44" s="490"/>
      <c r="I44" s="491"/>
      <c r="J44" s="492"/>
      <c r="K44" s="493"/>
      <c r="L44" s="493"/>
      <c r="M44" s="493"/>
      <c r="N44" s="493"/>
      <c r="O44" s="493"/>
      <c r="P44" s="290"/>
      <c r="Q44" s="290"/>
      <c r="R44" s="494" t="s">
        <v>139</v>
      </c>
      <c r="S44" s="495" t="s">
        <v>246</v>
      </c>
      <c r="T44" s="496">
        <v>0</v>
      </c>
      <c r="U44" s="496">
        <v>389490.94</v>
      </c>
      <c r="V44" s="497">
        <f>T44+U44</f>
        <v>389490.94</v>
      </c>
      <c r="W44" s="189"/>
      <c r="X44" s="182"/>
      <c r="Y44" s="183"/>
      <c r="Z44" s="212"/>
    </row>
    <row r="45" spans="1:26" ht="35.1" customHeight="1" thickBot="1" x14ac:dyDescent="0.3">
      <c r="A45" s="82">
        <v>12</v>
      </c>
      <c r="B45" s="321"/>
      <c r="C45" s="171" t="s">
        <v>149</v>
      </c>
      <c r="D45" s="322"/>
      <c r="E45" s="322"/>
      <c r="F45" s="322"/>
      <c r="G45" s="322"/>
      <c r="H45" s="322"/>
      <c r="I45" s="323"/>
      <c r="J45" s="172"/>
      <c r="K45" s="324"/>
      <c r="L45" s="324"/>
      <c r="M45" s="324"/>
      <c r="N45" s="324"/>
      <c r="O45" s="324"/>
      <c r="P45" s="173"/>
      <c r="Q45" s="173"/>
      <c r="R45" s="401" t="s">
        <v>139</v>
      </c>
      <c r="S45" s="401" t="s">
        <v>170</v>
      </c>
      <c r="T45" s="326"/>
      <c r="U45" s="326">
        <v>4746000</v>
      </c>
      <c r="V45" s="399">
        <f>T45+U45</f>
        <v>4746000</v>
      </c>
      <c r="X45" s="119"/>
      <c r="Y45" s="107"/>
      <c r="Z45" s="213"/>
    </row>
    <row r="46" spans="1:26" ht="35.1" customHeight="1" thickBot="1" x14ac:dyDescent="0.3">
      <c r="A46" s="504"/>
      <c r="B46" s="103"/>
      <c r="C46" s="505"/>
      <c r="D46" s="506"/>
      <c r="E46" s="506"/>
      <c r="F46" s="506"/>
      <c r="G46" s="506"/>
      <c r="H46" s="506"/>
      <c r="I46" s="507"/>
      <c r="J46" s="508"/>
      <c r="K46" s="509"/>
      <c r="L46" s="509"/>
      <c r="M46" s="509"/>
      <c r="N46" s="509"/>
      <c r="O46" s="509"/>
      <c r="P46" s="509"/>
      <c r="Q46" s="509"/>
      <c r="R46" s="510"/>
      <c r="S46" s="511"/>
      <c r="T46" s="512"/>
      <c r="U46" s="73">
        <f>SUM(U35:U45)</f>
        <v>19279233.890000001</v>
      </c>
      <c r="V46" s="73">
        <f>SUM(V35:V45)</f>
        <v>19279233.890000001</v>
      </c>
      <c r="X46" s="117"/>
      <c r="Y46" s="105"/>
      <c r="Z46" s="211"/>
    </row>
    <row r="47" spans="1:26" ht="33" customHeight="1" x14ac:dyDescent="0.25">
      <c r="A47" s="498"/>
      <c r="B47" s="499"/>
      <c r="C47" s="499"/>
      <c r="D47" s="499"/>
      <c r="E47" s="499"/>
      <c r="F47" s="499"/>
      <c r="G47" s="499"/>
      <c r="H47" s="500"/>
      <c r="I47" s="499"/>
      <c r="J47" s="500"/>
      <c r="K47" s="501"/>
      <c r="L47" s="501"/>
      <c r="M47" s="501"/>
      <c r="N47" s="501"/>
      <c r="O47" s="501"/>
      <c r="P47" s="501"/>
      <c r="Q47" s="501"/>
      <c r="R47" s="501"/>
      <c r="S47" s="502"/>
      <c r="T47" s="1187" t="s">
        <v>253</v>
      </c>
      <c r="U47" s="1188"/>
      <c r="V47" s="503"/>
      <c r="X47" s="65"/>
      <c r="Y47" s="81"/>
      <c r="Z47" s="81"/>
    </row>
    <row r="48" spans="1:26" ht="45" customHeight="1" x14ac:dyDescent="0.25">
      <c r="A48" s="82">
        <v>11</v>
      </c>
      <c r="B48" s="41">
        <v>11</v>
      </c>
      <c r="C48" s="42" t="s">
        <v>147</v>
      </c>
      <c r="D48" s="43"/>
      <c r="E48" s="43"/>
      <c r="F48" s="43"/>
      <c r="G48" s="43"/>
      <c r="H48" s="43"/>
      <c r="I48" s="44"/>
      <c r="J48" s="55"/>
      <c r="K48" s="56"/>
      <c r="L48" s="56"/>
      <c r="M48" s="56"/>
      <c r="N48" s="56"/>
      <c r="O48" s="56"/>
      <c r="P48" s="53"/>
      <c r="Q48" s="53"/>
      <c r="R48" s="400" t="s">
        <v>139</v>
      </c>
      <c r="S48" s="190" t="s">
        <v>252</v>
      </c>
      <c r="T48" s="107">
        <v>0</v>
      </c>
      <c r="U48" s="107">
        <v>22102525.02</v>
      </c>
      <c r="V48" s="399">
        <f>T48+U48</f>
        <v>22102525.02</v>
      </c>
      <c r="X48" s="119"/>
      <c r="Y48" s="107"/>
      <c r="Z48" s="213"/>
    </row>
    <row r="49" spans="1:26" ht="35.1" customHeight="1" x14ac:dyDescent="0.25">
      <c r="A49" s="82">
        <v>14</v>
      </c>
      <c r="B49" s="321"/>
      <c r="C49" s="171" t="s">
        <v>151</v>
      </c>
      <c r="D49" s="322"/>
      <c r="E49" s="322"/>
      <c r="F49" s="322"/>
      <c r="G49" s="322"/>
      <c r="H49" s="322"/>
      <c r="I49" s="323"/>
      <c r="J49" s="172"/>
      <c r="K49" s="324"/>
      <c r="L49" s="324"/>
      <c r="M49" s="324"/>
      <c r="N49" s="324"/>
      <c r="O49" s="324"/>
      <c r="P49" s="173"/>
      <c r="Q49" s="173"/>
      <c r="R49" s="404" t="s">
        <v>243</v>
      </c>
      <c r="S49" s="325"/>
      <c r="T49" s="326"/>
      <c r="U49" s="326"/>
      <c r="V49" s="399">
        <f>T49+U49</f>
        <v>0</v>
      </c>
      <c r="X49" s="119"/>
      <c r="Y49" s="107"/>
      <c r="Z49" s="213"/>
    </row>
    <row r="50" spans="1:26" ht="35.1" customHeight="1" thickBot="1" x14ac:dyDescent="0.3">
      <c r="A50" s="87">
        <v>15</v>
      </c>
      <c r="B50" s="327"/>
      <c r="C50" s="328" t="s">
        <v>152</v>
      </c>
      <c r="D50" s="329"/>
      <c r="E50" s="329"/>
      <c r="F50" s="329"/>
      <c r="G50" s="329"/>
      <c r="H50" s="329"/>
      <c r="I50" s="330"/>
      <c r="J50" s="331"/>
      <c r="K50" s="332"/>
      <c r="L50" s="332"/>
      <c r="M50" s="332"/>
      <c r="N50" s="332"/>
      <c r="O50" s="332"/>
      <c r="P50" s="333"/>
      <c r="Q50" s="333"/>
      <c r="R50" s="405" t="s">
        <v>243</v>
      </c>
      <c r="S50" s="334"/>
      <c r="T50" s="335"/>
      <c r="U50" s="335"/>
      <c r="V50" s="408">
        <f>T50+U50</f>
        <v>0</v>
      </c>
      <c r="X50" s="125"/>
      <c r="Y50" s="109"/>
      <c r="Z50" s="214"/>
    </row>
    <row r="51" spans="1:26" ht="31.5" customHeight="1" thickTop="1" thickBot="1" x14ac:dyDescent="0.3">
      <c r="A51" s="102"/>
      <c r="B51" s="66" t="s">
        <v>120</v>
      </c>
      <c r="C51" s="67"/>
      <c r="D51" s="68">
        <f t="shared" ref="D51:J51" si="9">SUM(D35:D50)</f>
        <v>0</v>
      </c>
      <c r="E51" s="68">
        <f t="shared" si="9"/>
        <v>0</v>
      </c>
      <c r="F51" s="68">
        <f t="shared" si="9"/>
        <v>0</v>
      </c>
      <c r="G51" s="68">
        <f t="shared" si="9"/>
        <v>0</v>
      </c>
      <c r="H51" s="68">
        <f t="shared" si="9"/>
        <v>0</v>
      </c>
      <c r="I51" s="68">
        <f t="shared" si="9"/>
        <v>0</v>
      </c>
      <c r="J51" s="68">
        <f t="shared" si="9"/>
        <v>0</v>
      </c>
      <c r="K51" s="69"/>
      <c r="L51" s="69"/>
      <c r="M51" s="69"/>
      <c r="N51" s="69"/>
      <c r="O51" s="69"/>
      <c r="P51" s="69"/>
      <c r="Q51" s="69"/>
      <c r="R51" s="69"/>
      <c r="S51" s="386"/>
      <c r="T51" s="86">
        <f>SUM(T35:T50)</f>
        <v>0</v>
      </c>
      <c r="U51" s="86">
        <f>SUM(U35:U50)-U46</f>
        <v>41381758.909999996</v>
      </c>
      <c r="V51" s="86">
        <f>SUM(V35:V50)-V46</f>
        <v>41381758.909999996</v>
      </c>
      <c r="W51" s="177"/>
      <c r="X51" s="69"/>
      <c r="Y51" s="86">
        <f>SUM(Y35:Y50)</f>
        <v>0</v>
      </c>
      <c r="Z51" s="215">
        <f>SUM(Z35:Z50)</f>
        <v>0</v>
      </c>
    </row>
    <row r="52" spans="1:26" ht="31.5" customHeight="1" thickBot="1" x14ac:dyDescent="0.3">
      <c r="A52" s="104"/>
      <c r="B52" s="103" t="s">
        <v>153</v>
      </c>
      <c r="C52" s="70"/>
      <c r="D52" s="71">
        <f>D33+D51</f>
        <v>392033916.06</v>
      </c>
      <c r="E52" s="70"/>
      <c r="F52" s="72"/>
      <c r="G52" s="71">
        <f>SUM(G28:G51)</f>
        <v>499469563.56</v>
      </c>
      <c r="H52" s="71">
        <f>SUM(H28:H51)</f>
        <v>525122531.06999999</v>
      </c>
      <c r="I52" s="71"/>
      <c r="J52" s="71">
        <f t="shared" ref="J52:Q52" si="10">J33+J51</f>
        <v>548004000</v>
      </c>
      <c r="K52" s="71">
        <f t="shared" si="10"/>
        <v>210417570.36000001</v>
      </c>
      <c r="L52" s="71">
        <f t="shared" si="10"/>
        <v>79978331.209999993</v>
      </c>
      <c r="M52" s="71">
        <f t="shared" si="10"/>
        <v>58868164.759999998</v>
      </c>
      <c r="N52" s="71">
        <f t="shared" si="10"/>
        <v>5245250.92</v>
      </c>
      <c r="O52" s="71">
        <f t="shared" si="10"/>
        <v>8616444.9800000004</v>
      </c>
      <c r="P52" s="71">
        <f t="shared" si="10"/>
        <v>369502955.38999999</v>
      </c>
      <c r="Q52" s="71">
        <f t="shared" si="10"/>
        <v>178501044.61000001</v>
      </c>
      <c r="R52" s="71"/>
      <c r="S52" s="402"/>
      <c r="T52" s="73">
        <f>T33+T51</f>
        <v>369502955.38</v>
      </c>
      <c r="U52" s="73">
        <f>U33+U51</f>
        <v>151341510.34</v>
      </c>
      <c r="V52" s="73">
        <f>V33+V51</f>
        <v>520844465.72000003</v>
      </c>
      <c r="W52" s="177"/>
      <c r="X52" s="71"/>
      <c r="Y52" s="73">
        <f>Y33+Y51</f>
        <v>39961110.119999997</v>
      </c>
      <c r="Z52" s="216">
        <f>Z33+Z51</f>
        <v>0</v>
      </c>
    </row>
    <row r="55" spans="1:26" x14ac:dyDescent="0.25">
      <c r="C55" s="36" t="s">
        <v>164</v>
      </c>
    </row>
    <row r="56" spans="1:26" x14ac:dyDescent="0.25">
      <c r="C56" s="36" t="s">
        <v>165</v>
      </c>
    </row>
    <row r="57" spans="1:26" x14ac:dyDescent="0.25">
      <c r="T57" s="45"/>
    </row>
    <row r="58" spans="1:26" x14ac:dyDescent="0.25">
      <c r="T58" s="45"/>
    </row>
    <row r="59" spans="1:26" x14ac:dyDescent="0.25">
      <c r="T59" s="45"/>
    </row>
    <row r="70" spans="1:27" s="39" customFormat="1" ht="54.95" customHeight="1" x14ac:dyDescent="0.25">
      <c r="A70" s="46"/>
      <c r="B70" s="47"/>
      <c r="C70" s="46"/>
      <c r="D70" s="48"/>
      <c r="E70" s="46"/>
      <c r="F70" s="49"/>
      <c r="G70" s="48"/>
      <c r="H70" s="48"/>
      <c r="I70" s="48"/>
      <c r="J70" s="48"/>
      <c r="K70" s="50"/>
      <c r="M70" s="35"/>
      <c r="O70" s="35"/>
      <c r="P70" s="36"/>
      <c r="Q70" s="36"/>
      <c r="R70" s="36"/>
      <c r="S70" s="36"/>
      <c r="T70" s="36"/>
      <c r="U70" s="36"/>
      <c r="V70" s="36"/>
      <c r="W70" s="176"/>
      <c r="X70" s="36"/>
      <c r="Y70" s="36"/>
      <c r="Z70" s="36"/>
      <c r="AA70" s="407"/>
    </row>
    <row r="71" spans="1:27" s="39" customFormat="1" x14ac:dyDescent="0.25">
      <c r="A71" s="36"/>
      <c r="B71" s="36"/>
      <c r="C71" s="36"/>
      <c r="D71" s="45">
        <f>ССР!H58</f>
        <v>392033.92</v>
      </c>
      <c r="E71" s="36"/>
      <c r="F71" s="45"/>
      <c r="G71" s="45">
        <f>ССР!H76</f>
        <v>434361.04</v>
      </c>
      <c r="H71" s="45">
        <f>ССР!H78</f>
        <v>456670</v>
      </c>
      <c r="I71" s="36"/>
      <c r="J71" s="45"/>
      <c r="K71" s="35"/>
      <c r="M71" s="35"/>
      <c r="O71" s="35"/>
      <c r="P71" s="36"/>
      <c r="Q71" s="36"/>
      <c r="R71" s="36"/>
      <c r="S71" s="36"/>
      <c r="T71" s="36"/>
      <c r="U71" s="36"/>
      <c r="V71" s="36"/>
      <c r="W71" s="176"/>
      <c r="X71" s="36"/>
      <c r="Y71" s="36"/>
      <c r="Z71" s="36"/>
      <c r="AA71" s="407"/>
    </row>
    <row r="72" spans="1:27" s="39" customFormat="1" x14ac:dyDescent="0.25">
      <c r="A72" s="36"/>
      <c r="B72" s="36"/>
      <c r="C72" s="36"/>
      <c r="D72" s="45">
        <f>D33/1000</f>
        <v>392033.92</v>
      </c>
      <c r="E72" s="36"/>
      <c r="F72" s="51"/>
      <c r="G72" s="52">
        <f>G33/1000</f>
        <v>434361.03</v>
      </c>
      <c r="H72" s="52">
        <f>H33/1000</f>
        <v>456670</v>
      </c>
      <c r="I72" s="36"/>
      <c r="J72" s="45"/>
      <c r="K72" s="50"/>
      <c r="M72" s="35"/>
      <c r="O72" s="35"/>
      <c r="P72" s="36"/>
      <c r="Q72" s="36"/>
      <c r="R72" s="36"/>
      <c r="S72" s="36"/>
      <c r="T72" s="36"/>
      <c r="U72" s="36"/>
      <c r="V72" s="36"/>
      <c r="W72" s="176"/>
      <c r="X72" s="36"/>
      <c r="Y72" s="36"/>
      <c r="Z72" s="36"/>
      <c r="AA72" s="407"/>
    </row>
    <row r="73" spans="1:27" s="39" customFormat="1" x14ac:dyDescent="0.25">
      <c r="A73" s="36"/>
      <c r="B73" s="36"/>
      <c r="C73" s="36"/>
      <c r="D73" s="45"/>
      <c r="E73" s="45"/>
      <c r="F73" s="51"/>
      <c r="G73" s="36"/>
      <c r="H73" s="36"/>
      <c r="I73" s="36"/>
      <c r="J73" s="36"/>
      <c r="M73" s="35"/>
      <c r="O73" s="35"/>
      <c r="P73" s="36"/>
      <c r="Q73" s="36"/>
      <c r="R73" s="36"/>
      <c r="S73" s="36"/>
      <c r="T73" s="36"/>
      <c r="U73" s="36"/>
      <c r="V73" s="36"/>
      <c r="W73" s="176"/>
      <c r="X73" s="36"/>
      <c r="Y73" s="36"/>
      <c r="Z73" s="36"/>
      <c r="AA73" s="407"/>
    </row>
    <row r="93" spans="1:1" x14ac:dyDescent="0.25">
      <c r="A93" s="36">
        <v>7</v>
      </c>
    </row>
  </sheetData>
  <autoFilter ref="A3:W52" xr:uid="{00000000-0001-0000-0100-000000000000}"/>
  <mergeCells count="14">
    <mergeCell ref="T47:U47"/>
    <mergeCell ref="A1:J1"/>
    <mergeCell ref="A3:A4"/>
    <mergeCell ref="B3:B4"/>
    <mergeCell ref="C3:C4"/>
    <mergeCell ref="G3:G4"/>
    <mergeCell ref="H3:H4"/>
    <mergeCell ref="I3:I4"/>
    <mergeCell ref="J3:J4"/>
    <mergeCell ref="T5:U5"/>
    <mergeCell ref="A6:V6"/>
    <mergeCell ref="T21:U21"/>
    <mergeCell ref="T22:U22"/>
    <mergeCell ref="T34:U34"/>
  </mergeCells>
  <pageMargins left="0.23622047244094491" right="0.23622047244094491" top="0.74803149606299213" bottom="0.74803149606299213" header="0.31496062992125984" footer="0.31496062992125984"/>
  <pageSetup paperSize="9" scale="58" fitToHeight="100" orientation="landscape" r:id="rId1"/>
  <rowBreaks count="2" manualBreakCount="2">
    <brk id="53" max="17" man="1"/>
    <brk id="59" max="9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8DA3B9-7FB2-4142-8DB5-F14FF006272D}">
  <sheetPr>
    <tabColor rgb="FF92D050"/>
    <pageSetUpPr fitToPage="1"/>
  </sheetPr>
  <dimension ref="A1:AB93"/>
  <sheetViews>
    <sheetView zoomScale="90" zoomScaleNormal="90" zoomScaleSheetLayoutView="80" workbookViewId="0">
      <pane ySplit="3" topLeftCell="A8" activePane="bottomLeft" state="frozen"/>
      <selection pane="bottomLeft" activeCell="U11" sqref="U11"/>
    </sheetView>
  </sheetViews>
  <sheetFormatPr defaultColWidth="9.140625" defaultRowHeight="15.75" outlineLevelCol="1" x14ac:dyDescent="0.25"/>
  <cols>
    <col min="1" max="1" width="7.42578125" style="36" customWidth="1"/>
    <col min="2" max="2" width="16.140625" style="36" customWidth="1"/>
    <col min="3" max="3" width="35.85546875" style="36" customWidth="1"/>
    <col min="4" max="4" width="20.5703125" style="36" hidden="1" customWidth="1" outlineLevel="1"/>
    <col min="5" max="5" width="18.85546875" style="36" hidden="1" customWidth="1" outlineLevel="1"/>
    <col min="6" max="6" width="17.5703125" style="36" hidden="1" customWidth="1" outlineLevel="1"/>
    <col min="7" max="7" width="20.7109375" style="36" hidden="1" customWidth="1" outlineLevel="1"/>
    <col min="8" max="8" width="19.5703125" style="36" hidden="1" customWidth="1" outlineLevel="1"/>
    <col min="9" max="9" width="8.5703125" style="36" hidden="1" customWidth="1" outlineLevel="1"/>
    <col min="10" max="10" width="22.28515625" style="36" customWidth="1" collapsed="1"/>
    <col min="11" max="11" width="20.42578125" style="39" hidden="1" customWidth="1" outlineLevel="1"/>
    <col min="12" max="12" width="16.85546875" style="39" hidden="1" customWidth="1" outlineLevel="1"/>
    <col min="13" max="13" width="18.140625" style="35" hidden="1" customWidth="1" outlineLevel="1"/>
    <col min="14" max="14" width="16.85546875" style="39" hidden="1" customWidth="1" outlineLevel="1"/>
    <col min="15" max="15" width="18.140625" style="35" hidden="1" customWidth="1" outlineLevel="1"/>
    <col min="16" max="16" width="18.42578125" style="36" customWidth="1" collapsed="1"/>
    <col min="17" max="17" width="15.42578125" style="36" bestFit="1" customWidth="1"/>
    <col min="18" max="18" width="30.28515625" style="36" customWidth="1"/>
    <col min="19" max="19" width="30.42578125" style="36" customWidth="1"/>
    <col min="20" max="20" width="26.140625" style="36" customWidth="1"/>
    <col min="21" max="21" width="26.7109375" style="36" bestFit="1" customWidth="1"/>
    <col min="22" max="22" width="31.42578125" style="36" customWidth="1"/>
    <col min="23" max="23" width="3.28515625" style="176" hidden="1" customWidth="1"/>
    <col min="24" max="24" width="27.5703125" style="36" hidden="1" customWidth="1"/>
    <col min="25" max="26" width="19" style="36" hidden="1" customWidth="1"/>
    <col min="27" max="27" width="29.28515625" style="406" bestFit="1" customWidth="1"/>
    <col min="28" max="28" width="15" style="36" customWidth="1"/>
    <col min="29" max="16384" width="9.140625" style="36"/>
  </cols>
  <sheetData>
    <row r="1" spans="1:28" ht="8.25" customHeight="1" x14ac:dyDescent="0.25">
      <c r="A1" s="1189"/>
      <c r="B1" s="1189"/>
      <c r="C1" s="1189"/>
      <c r="D1" s="1189"/>
      <c r="E1" s="1189"/>
      <c r="F1" s="1189"/>
      <c r="G1" s="1189"/>
      <c r="H1" s="1189"/>
      <c r="I1" s="1189"/>
      <c r="J1" s="1189"/>
      <c r="K1" s="601"/>
      <c r="L1" s="601"/>
      <c r="N1" s="601"/>
    </row>
    <row r="2" spans="1:28" ht="5.25" customHeight="1" thickBot="1" x14ac:dyDescent="0.3">
      <c r="A2" s="37"/>
      <c r="B2" s="37"/>
      <c r="C2" s="37"/>
      <c r="D2" s="37"/>
      <c r="E2" s="37"/>
      <c r="F2" s="37"/>
      <c r="G2" s="37"/>
      <c r="H2" s="37"/>
      <c r="I2" s="38"/>
      <c r="J2" s="37"/>
    </row>
    <row r="3" spans="1:28" ht="47.25" customHeight="1" x14ac:dyDescent="0.25">
      <c r="A3" s="1190" t="s">
        <v>111</v>
      </c>
      <c r="B3" s="1192" t="s">
        <v>112</v>
      </c>
      <c r="C3" s="1192" t="s">
        <v>113</v>
      </c>
      <c r="D3" s="602" t="s">
        <v>114</v>
      </c>
      <c r="E3" s="602" t="s">
        <v>115</v>
      </c>
      <c r="F3" s="602" t="s">
        <v>116</v>
      </c>
      <c r="G3" s="1192" t="s">
        <v>117</v>
      </c>
      <c r="H3" s="1194" t="s">
        <v>125</v>
      </c>
      <c r="I3" s="1192" t="s">
        <v>118</v>
      </c>
      <c r="J3" s="1194" t="s">
        <v>244</v>
      </c>
      <c r="K3" s="74" t="s">
        <v>126</v>
      </c>
      <c r="L3" s="74" t="s">
        <v>127</v>
      </c>
      <c r="M3" s="75" t="s">
        <v>128</v>
      </c>
      <c r="N3" s="76" t="s">
        <v>134</v>
      </c>
      <c r="O3" s="77" t="s">
        <v>135</v>
      </c>
      <c r="P3" s="78" t="s">
        <v>136</v>
      </c>
      <c r="Q3" s="78" t="s">
        <v>121</v>
      </c>
      <c r="R3" s="79" t="s">
        <v>137</v>
      </c>
      <c r="S3" s="79" t="s">
        <v>138</v>
      </c>
      <c r="T3" s="80" t="s">
        <v>249</v>
      </c>
      <c r="U3" s="80" t="s">
        <v>276</v>
      </c>
      <c r="V3" s="80" t="s">
        <v>242</v>
      </c>
      <c r="X3" s="79" t="s">
        <v>193</v>
      </c>
      <c r="Y3" s="80" t="s">
        <v>157</v>
      </c>
      <c r="Z3" s="80" t="s">
        <v>137</v>
      </c>
    </row>
    <row r="4" spans="1:28" ht="14.25" customHeight="1" x14ac:dyDescent="0.25">
      <c r="A4" s="1191"/>
      <c r="B4" s="1193"/>
      <c r="C4" s="1193"/>
      <c r="D4" s="603"/>
      <c r="E4" s="603"/>
      <c r="F4" s="603"/>
      <c r="G4" s="1193"/>
      <c r="H4" s="1195"/>
      <c r="I4" s="1193"/>
      <c r="J4" s="1195"/>
      <c r="K4" s="54" t="s">
        <v>122</v>
      </c>
      <c r="L4" s="54" t="s">
        <v>123</v>
      </c>
      <c r="M4" s="54" t="s">
        <v>124</v>
      </c>
      <c r="N4" s="54" t="s">
        <v>132</v>
      </c>
      <c r="O4" s="54" t="s">
        <v>133</v>
      </c>
      <c r="P4" s="40"/>
      <c r="Q4" s="40"/>
      <c r="R4" s="65"/>
      <c r="S4" s="65"/>
      <c r="T4" s="81"/>
      <c r="U4" s="81"/>
      <c r="V4" s="81"/>
      <c r="X4" s="65"/>
      <c r="Y4" s="81"/>
      <c r="Z4" s="81"/>
    </row>
    <row r="5" spans="1:28" x14ac:dyDescent="0.25">
      <c r="A5" s="380"/>
      <c r="B5" s="381"/>
      <c r="C5" s="381"/>
      <c r="D5" s="381"/>
      <c r="E5" s="381"/>
      <c r="F5" s="381"/>
      <c r="G5" s="381"/>
      <c r="H5" s="382"/>
      <c r="I5" s="381"/>
      <c r="J5" s="382"/>
      <c r="K5" s="383"/>
      <c r="L5" s="383"/>
      <c r="M5" s="383"/>
      <c r="N5" s="383"/>
      <c r="O5" s="383"/>
      <c r="P5" s="383"/>
      <c r="Q5" s="383"/>
      <c r="R5" s="383"/>
      <c r="S5" s="383"/>
      <c r="T5" s="1196" t="s">
        <v>283</v>
      </c>
      <c r="U5" s="1197"/>
      <c r="V5" s="384"/>
      <c r="X5" s="65"/>
      <c r="Y5" s="81"/>
      <c r="Z5" s="81"/>
    </row>
    <row r="6" spans="1:28" ht="54" customHeight="1" x14ac:dyDescent="0.25">
      <c r="A6" s="273">
        <v>1</v>
      </c>
      <c r="B6" s="361" t="s">
        <v>159</v>
      </c>
      <c r="C6" s="275" t="str">
        <f>ССР!C24</f>
        <v>Выполнение работ по ликвидации объектов по трассе ж.д. путей, подготовке трассы ж.д. путей.</v>
      </c>
      <c r="D6" s="385">
        <v>48841208.740000002</v>
      </c>
      <c r="E6" s="385">
        <v>4004979.12</v>
      </c>
      <c r="F6" s="385">
        <v>1268308.51</v>
      </c>
      <c r="G6" s="385">
        <v>54114496.369999997</v>
      </c>
      <c r="H6" s="385">
        <v>56893839.630000003</v>
      </c>
      <c r="I6" s="277">
        <v>1.2</v>
      </c>
      <c r="J6" s="278">
        <f>ROUND(H6*I6,2)</f>
        <v>68272607.560000002</v>
      </c>
      <c r="K6" s="365">
        <v>65507253.219999999</v>
      </c>
      <c r="L6" s="365">
        <v>360012.73</v>
      </c>
      <c r="M6" s="365"/>
      <c r="N6" s="365"/>
      <c r="O6" s="365"/>
      <c r="P6" s="365">
        <f>K6+L6+M6+N6+O6</f>
        <v>65867265.950000003</v>
      </c>
      <c r="Q6" s="365">
        <f>J6-K6-L6-M6-N6-O6</f>
        <v>2405341.61</v>
      </c>
      <c r="R6" s="365" t="s">
        <v>139</v>
      </c>
      <c r="S6" s="362" t="s">
        <v>158</v>
      </c>
      <c r="T6" s="363">
        <f>P6</f>
        <v>65867265.950000003</v>
      </c>
      <c r="U6" s="363">
        <v>0</v>
      </c>
      <c r="V6" s="364">
        <f t="shared" ref="V6:V13" si="0">T6+U6</f>
        <v>65867265.950000003</v>
      </c>
      <c r="W6" s="177"/>
      <c r="X6" s="111"/>
      <c r="Y6" s="84"/>
      <c r="Z6" s="208"/>
    </row>
    <row r="7" spans="1:28" ht="42.75" customHeight="1" x14ac:dyDescent="0.25">
      <c r="A7" s="273">
        <v>2</v>
      </c>
      <c r="B7" s="361" t="s">
        <v>160</v>
      </c>
      <c r="C7" s="275" t="str">
        <f>ССР!C25</f>
        <v>Выполнение работ по ликвидации объекта капитального строительства</v>
      </c>
      <c r="D7" s="385">
        <v>40054718.460000001</v>
      </c>
      <c r="E7" s="385">
        <v>3284486.91</v>
      </c>
      <c r="F7" s="385">
        <v>1040140.93</v>
      </c>
      <c r="G7" s="385">
        <v>44379346.299999997</v>
      </c>
      <c r="H7" s="385">
        <v>46658688.170000002</v>
      </c>
      <c r="I7" s="277">
        <v>1.2</v>
      </c>
      <c r="J7" s="278">
        <f t="shared" ref="J7:J29" si="1">ROUND(H7*I7,2)</f>
        <v>55990425.799999997</v>
      </c>
      <c r="K7" s="365">
        <v>54911594.170000002</v>
      </c>
      <c r="L7" s="365"/>
      <c r="M7" s="365"/>
      <c r="N7" s="365"/>
      <c r="O7" s="365"/>
      <c r="P7" s="365">
        <f t="shared" ref="P7:P29" si="2">K7+L7+M7+N7+O7</f>
        <v>54911594.170000002</v>
      </c>
      <c r="Q7" s="365">
        <f t="shared" ref="Q7:Q29" si="3">J7-K7-L7-M7-N7-O7</f>
        <v>1078831.6299999999</v>
      </c>
      <c r="R7" s="365" t="s">
        <v>139</v>
      </c>
      <c r="S7" s="362" t="s">
        <v>158</v>
      </c>
      <c r="T7" s="363">
        <f t="shared" ref="T7:T29" si="4">P7</f>
        <v>54911594.170000002</v>
      </c>
      <c r="U7" s="363">
        <v>0</v>
      </c>
      <c r="V7" s="364">
        <f t="shared" si="0"/>
        <v>54911594.170000002</v>
      </c>
      <c r="X7" s="111"/>
      <c r="Y7" s="84"/>
      <c r="Z7" s="208"/>
    </row>
    <row r="8" spans="1:28" ht="35.1" customHeight="1" x14ac:dyDescent="0.25">
      <c r="A8" s="273">
        <v>3</v>
      </c>
      <c r="B8" s="361" t="s">
        <v>176</v>
      </c>
      <c r="C8" s="275" t="str">
        <f>ССР!C26</f>
        <v>Демонтаж сетей и систем  инженерного обоспечения.</v>
      </c>
      <c r="D8" s="385">
        <v>1177977.71</v>
      </c>
      <c r="E8" s="385">
        <v>96594.17</v>
      </c>
      <c r="F8" s="385">
        <v>30589.73</v>
      </c>
      <c r="G8" s="385">
        <v>1305161.6100000001</v>
      </c>
      <c r="H8" s="385">
        <v>1372195.26</v>
      </c>
      <c r="I8" s="277">
        <f>I6</f>
        <v>1.2</v>
      </c>
      <c r="J8" s="278">
        <f>ROUND(H8*I8,2)</f>
        <v>1646634.31</v>
      </c>
      <c r="K8" s="365"/>
      <c r="L8" s="365"/>
      <c r="M8" s="365">
        <v>1646696.3</v>
      </c>
      <c r="N8" s="365"/>
      <c r="O8" s="365"/>
      <c r="P8" s="365">
        <f t="shared" si="2"/>
        <v>1646696.3</v>
      </c>
      <c r="Q8" s="365">
        <v>0</v>
      </c>
      <c r="R8" s="365" t="s">
        <v>139</v>
      </c>
      <c r="S8" s="362" t="s">
        <v>158</v>
      </c>
      <c r="T8" s="363">
        <f t="shared" si="4"/>
        <v>1646696.3</v>
      </c>
      <c r="U8" s="363">
        <v>0</v>
      </c>
      <c r="V8" s="364">
        <f t="shared" si="0"/>
        <v>1646696.3</v>
      </c>
      <c r="X8" s="111"/>
      <c r="Y8" s="84"/>
      <c r="Z8" s="208"/>
    </row>
    <row r="9" spans="1:28" s="525" customFormat="1" ht="44.25" customHeight="1" x14ac:dyDescent="0.25">
      <c r="A9" s="217">
        <v>4</v>
      </c>
      <c r="B9" s="245" t="s">
        <v>177</v>
      </c>
      <c r="C9" s="219" t="str">
        <f>ССР!C32</f>
        <v>Трансбордер. Архитектурно-строительные решения. Часть 2. АС2 .</v>
      </c>
      <c r="D9" s="220">
        <v>1615223.87</v>
      </c>
      <c r="E9" s="220">
        <v>132448.35999999999</v>
      </c>
      <c r="F9" s="220">
        <v>41944.13</v>
      </c>
      <c r="G9" s="220">
        <v>1789616.36</v>
      </c>
      <c r="H9" s="220">
        <v>1881531.81</v>
      </c>
      <c r="I9" s="221">
        <f>I22</f>
        <v>1.2</v>
      </c>
      <c r="J9" s="222">
        <f t="shared" si="1"/>
        <v>2257838.17</v>
      </c>
      <c r="K9" s="246"/>
      <c r="L9" s="246"/>
      <c r="M9" s="246">
        <v>1627347.05</v>
      </c>
      <c r="N9" s="246"/>
      <c r="O9" s="246"/>
      <c r="P9" s="246">
        <f>K9+L9+M9+N9+O9</f>
        <v>1627347.05</v>
      </c>
      <c r="Q9" s="246">
        <f t="shared" si="3"/>
        <v>630491.12</v>
      </c>
      <c r="R9" s="539" t="s">
        <v>139</v>
      </c>
      <c r="S9" s="461" t="s">
        <v>291</v>
      </c>
      <c r="T9" s="247">
        <f t="shared" si="4"/>
        <v>1627347.05</v>
      </c>
      <c r="U9" s="590">
        <v>396302.34</v>
      </c>
      <c r="V9" s="248">
        <f t="shared" si="0"/>
        <v>2023649.39</v>
      </c>
      <c r="W9" s="231"/>
      <c r="X9" s="229" t="s">
        <v>139</v>
      </c>
      <c r="Y9" s="523">
        <f>1447989.61*1.082*1.024*1.0514*1.2</f>
        <v>2024146.22</v>
      </c>
      <c r="Z9" s="524" t="s">
        <v>186</v>
      </c>
      <c r="AA9" s="406"/>
      <c r="AB9" s="526">
        <f>V9-J9</f>
        <v>-234188.78</v>
      </c>
    </row>
    <row r="10" spans="1:28" ht="42.75" customHeight="1" x14ac:dyDescent="0.25">
      <c r="A10" s="217">
        <v>5</v>
      </c>
      <c r="B10" s="245" t="s">
        <v>195</v>
      </c>
      <c r="C10" s="219" t="str">
        <f>ССР!C35</f>
        <v>Электроснабжение. ЭС 1.</v>
      </c>
      <c r="D10" s="220">
        <v>475031.03999999998</v>
      </c>
      <c r="E10" s="220">
        <v>38952.550000000003</v>
      </c>
      <c r="F10" s="220">
        <v>12335.61</v>
      </c>
      <c r="G10" s="220">
        <v>526319.19999999995</v>
      </c>
      <c r="H10" s="220">
        <v>553351.18000000005</v>
      </c>
      <c r="I10" s="221">
        <f>I23</f>
        <v>1.2</v>
      </c>
      <c r="J10" s="222">
        <f t="shared" si="1"/>
        <v>664021.42000000004</v>
      </c>
      <c r="K10" s="246"/>
      <c r="L10" s="246"/>
      <c r="M10" s="246"/>
      <c r="N10" s="246"/>
      <c r="O10" s="246"/>
      <c r="P10" s="246">
        <f t="shared" si="2"/>
        <v>0</v>
      </c>
      <c r="Q10" s="246">
        <f t="shared" si="3"/>
        <v>664021.42000000004</v>
      </c>
      <c r="R10" s="539" t="s">
        <v>139</v>
      </c>
      <c r="S10" s="461" t="str">
        <f>S9</f>
        <v>ВОР оформлен, отправлен на подпись для Дураева 14.06</v>
      </c>
      <c r="T10" s="247">
        <f t="shared" si="4"/>
        <v>0</v>
      </c>
      <c r="U10" s="590">
        <f>329035+47139*1.0514*1.2</f>
        <v>388509.33</v>
      </c>
      <c r="V10" s="248">
        <f t="shared" si="0"/>
        <v>388509.33</v>
      </c>
      <c r="W10" s="236"/>
      <c r="X10" s="228" t="s">
        <v>139</v>
      </c>
      <c r="Y10" s="232">
        <f>(235378.05+47139.18)*1.082*1.024*1.0514*1.2</f>
        <v>394931.14</v>
      </c>
      <c r="Z10" s="233" t="s">
        <v>186</v>
      </c>
      <c r="AB10" s="526">
        <f t="shared" ref="AB10:AB18" si="5">V10-J10</f>
        <v>-275512.09000000003</v>
      </c>
    </row>
    <row r="11" spans="1:28" ht="51" customHeight="1" x14ac:dyDescent="0.25">
      <c r="A11" s="217">
        <v>6</v>
      </c>
      <c r="B11" s="245" t="s">
        <v>178</v>
      </c>
      <c r="C11" s="219" t="str">
        <f>ССР!C36</f>
        <v>Переустройство кабельных линий.ЭС2</v>
      </c>
      <c r="D11" s="220">
        <v>2276671.21</v>
      </c>
      <c r="E11" s="220">
        <v>186687.04</v>
      </c>
      <c r="F11" s="220">
        <v>59120.6</v>
      </c>
      <c r="G11" s="220">
        <v>2522478.85</v>
      </c>
      <c r="H11" s="220">
        <v>2652034.42</v>
      </c>
      <c r="I11" s="221">
        <f>I23</f>
        <v>1.2</v>
      </c>
      <c r="J11" s="222">
        <f t="shared" si="1"/>
        <v>3182441.3</v>
      </c>
      <c r="K11" s="246"/>
      <c r="L11" s="246"/>
      <c r="M11" s="246"/>
      <c r="N11" s="246"/>
      <c r="O11" s="246"/>
      <c r="P11" s="246">
        <f t="shared" si="2"/>
        <v>0</v>
      </c>
      <c r="Q11" s="246">
        <f t="shared" si="3"/>
        <v>3182441.3</v>
      </c>
      <c r="R11" s="539" t="s">
        <v>139</v>
      </c>
      <c r="S11" s="461" t="str">
        <f>S9</f>
        <v>ВОР оформлен, отправлен на подпись для Дураева 14.06</v>
      </c>
      <c r="T11" s="247">
        <f t="shared" si="4"/>
        <v>0</v>
      </c>
      <c r="U11" s="607">
        <v>4814643</v>
      </c>
      <c r="V11" s="248">
        <f t="shared" si="0"/>
        <v>4814643</v>
      </c>
      <c r="W11" s="178"/>
      <c r="X11" s="111" t="s">
        <v>139</v>
      </c>
      <c r="Y11" s="84">
        <f>(3206824.35+130942.19)*1.082*1.024*1.0514*1.2</f>
        <v>4665867.41</v>
      </c>
      <c r="Z11" s="233" t="s">
        <v>186</v>
      </c>
      <c r="AB11" s="526">
        <f t="shared" si="5"/>
        <v>1632201.7</v>
      </c>
    </row>
    <row r="12" spans="1:28" ht="39.75" customHeight="1" x14ac:dyDescent="0.25">
      <c r="A12" s="217">
        <v>7</v>
      </c>
      <c r="B12" s="245" t="s">
        <v>179</v>
      </c>
      <c r="C12" s="219" t="str">
        <f>ССР!C40</f>
        <v>Переустройство хозпитьевого водопровода.НВК2</v>
      </c>
      <c r="D12" s="220">
        <v>760016.55</v>
      </c>
      <c r="E12" s="220">
        <v>62321.36</v>
      </c>
      <c r="F12" s="220">
        <v>19736.11</v>
      </c>
      <c r="G12" s="220">
        <v>842074.02</v>
      </c>
      <c r="H12" s="220">
        <v>885323.3</v>
      </c>
      <c r="I12" s="221">
        <f>I24</f>
        <v>1.2</v>
      </c>
      <c r="J12" s="222">
        <f t="shared" si="1"/>
        <v>1062387.96</v>
      </c>
      <c r="K12" s="246"/>
      <c r="L12" s="246"/>
      <c r="M12" s="246"/>
      <c r="N12" s="246"/>
      <c r="O12" s="246"/>
      <c r="P12" s="246">
        <f t="shared" si="2"/>
        <v>0</v>
      </c>
      <c r="Q12" s="246">
        <f t="shared" si="3"/>
        <v>1062387.96</v>
      </c>
      <c r="R12" s="246" t="s">
        <v>139</v>
      </c>
      <c r="S12" s="461" t="str">
        <f>S9</f>
        <v>ВОР оформлен, отправлен на подпись для Дураева 14.06</v>
      </c>
      <c r="T12" s="247">
        <f t="shared" si="4"/>
        <v>0</v>
      </c>
      <c r="U12" s="590">
        <v>1463803.34</v>
      </c>
      <c r="V12" s="248">
        <f t="shared" si="0"/>
        <v>1463803.34</v>
      </c>
      <c r="W12" s="231"/>
      <c r="X12" s="228" t="s">
        <v>139</v>
      </c>
      <c r="Y12" s="232">
        <f>1047143.73*1.082*1.024*1.0514*1.2</f>
        <v>1463803.34</v>
      </c>
      <c r="Z12" s="233" t="s">
        <v>186</v>
      </c>
      <c r="AB12" s="526">
        <f t="shared" si="5"/>
        <v>401415.38</v>
      </c>
    </row>
    <row r="13" spans="1:28" ht="43.5" customHeight="1" x14ac:dyDescent="0.25">
      <c r="A13" s="217">
        <v>8</v>
      </c>
      <c r="B13" s="245" t="s">
        <v>180</v>
      </c>
      <c r="C13" s="219" t="str">
        <f>ССР!C41</f>
        <v>Переустройство хозпитьевого водопровода.НВК3</v>
      </c>
      <c r="D13" s="220">
        <v>10454161.890000001</v>
      </c>
      <c r="E13" s="220">
        <v>857241.27</v>
      </c>
      <c r="F13" s="220">
        <v>271473.68</v>
      </c>
      <c r="G13" s="220">
        <v>11582876.84</v>
      </c>
      <c r="H13" s="220">
        <v>12177778.26</v>
      </c>
      <c r="I13" s="221">
        <f t="shared" ref="I13:I18" si="6">I6</f>
        <v>1.2</v>
      </c>
      <c r="J13" s="222">
        <f t="shared" si="1"/>
        <v>14613333.91</v>
      </c>
      <c r="K13" s="246"/>
      <c r="L13" s="246"/>
      <c r="M13" s="246"/>
      <c r="N13" s="246"/>
      <c r="O13" s="246"/>
      <c r="P13" s="246">
        <f t="shared" si="2"/>
        <v>0</v>
      </c>
      <c r="Q13" s="246">
        <f t="shared" si="3"/>
        <v>14613333.91</v>
      </c>
      <c r="R13" s="246" t="s">
        <v>139</v>
      </c>
      <c r="S13" s="461" t="str">
        <f>S9</f>
        <v>ВОР оформлен, отправлен на подпись для Дураева 14.06</v>
      </c>
      <c r="T13" s="247">
        <f t="shared" si="4"/>
        <v>0</v>
      </c>
      <c r="U13" s="590">
        <v>19308691</v>
      </c>
      <c r="V13" s="248">
        <f t="shared" si="0"/>
        <v>19308691</v>
      </c>
      <c r="W13" s="231"/>
      <c r="X13" s="228" t="s">
        <v>139</v>
      </c>
      <c r="Y13" s="232">
        <f>13422525.94*1.082*1.024*1.0514*1.2</f>
        <v>18763363.32</v>
      </c>
      <c r="Z13" s="233" t="s">
        <v>186</v>
      </c>
      <c r="AB13" s="526">
        <f t="shared" si="5"/>
        <v>4695357.09</v>
      </c>
    </row>
    <row r="14" spans="1:28" s="525" customFormat="1" ht="47.25" customHeight="1" x14ac:dyDescent="0.25">
      <c r="A14" s="217">
        <v>9</v>
      </c>
      <c r="B14" s="245" t="s">
        <v>181</v>
      </c>
      <c r="C14" s="219" t="str">
        <f>ССР!C43</f>
        <v>Переустройство хозяйственно-бытовой канализации.НВК4</v>
      </c>
      <c r="D14" s="220">
        <v>9143309.8300000001</v>
      </c>
      <c r="E14" s="220">
        <v>749751.41</v>
      </c>
      <c r="F14" s="220">
        <v>237433.47</v>
      </c>
      <c r="G14" s="220">
        <v>10130494.710000001</v>
      </c>
      <c r="H14" s="220">
        <v>10650801.17</v>
      </c>
      <c r="I14" s="221">
        <f t="shared" si="6"/>
        <v>1.2</v>
      </c>
      <c r="J14" s="222">
        <f t="shared" si="1"/>
        <v>12780961.4</v>
      </c>
      <c r="K14" s="246"/>
      <c r="L14" s="246"/>
      <c r="M14" s="246"/>
      <c r="N14" s="246"/>
      <c r="O14" s="246">
        <v>337909.86</v>
      </c>
      <c r="P14" s="246">
        <f t="shared" si="2"/>
        <v>337909.86</v>
      </c>
      <c r="Q14" s="246">
        <f t="shared" si="3"/>
        <v>12443051.539999999</v>
      </c>
      <c r="R14" s="246" t="s">
        <v>139</v>
      </c>
      <c r="S14" s="461" t="str">
        <f>S9</f>
        <v>ВОР оформлен, отправлен на подпись для Дураева 14.06</v>
      </c>
      <c r="T14" s="247">
        <f t="shared" si="4"/>
        <v>337909.86</v>
      </c>
      <c r="U14" s="607">
        <v>2202170</v>
      </c>
      <c r="V14" s="248">
        <f>T14+U14</f>
        <v>2540079.86</v>
      </c>
      <c r="W14" s="178"/>
      <c r="X14" s="175" t="s">
        <v>139</v>
      </c>
      <c r="Y14" s="174">
        <f>1724717.19*1.082*1.024*1.0514*1.2</f>
        <v>2410984</v>
      </c>
      <c r="Z14" s="524" t="s">
        <v>186</v>
      </c>
      <c r="AA14" s="406"/>
      <c r="AB14" s="526">
        <f t="shared" si="5"/>
        <v>-10240881.539999999</v>
      </c>
    </row>
    <row r="15" spans="1:28" s="525" customFormat="1" ht="44.25" customHeight="1" x14ac:dyDescent="0.25">
      <c r="A15" s="217">
        <v>10</v>
      </c>
      <c r="B15" s="245" t="s">
        <v>182</v>
      </c>
      <c r="C15" s="219" t="str">
        <f>ССР!C44</f>
        <v>Переустройство ливневой канализации.НВК5.</v>
      </c>
      <c r="D15" s="220">
        <v>21996729.18</v>
      </c>
      <c r="E15" s="220">
        <v>1803731.79</v>
      </c>
      <c r="F15" s="220">
        <v>571211.06000000006</v>
      </c>
      <c r="G15" s="220">
        <v>24371672.030000001</v>
      </c>
      <c r="H15" s="220">
        <v>25623411.34</v>
      </c>
      <c r="I15" s="221">
        <f t="shared" si="6"/>
        <v>1.2</v>
      </c>
      <c r="J15" s="222">
        <f t="shared" si="1"/>
        <v>30748093.609999999</v>
      </c>
      <c r="K15" s="246"/>
      <c r="L15" s="246"/>
      <c r="M15" s="246">
        <v>1211400.79</v>
      </c>
      <c r="N15" s="246"/>
      <c r="O15" s="246"/>
      <c r="P15" s="246">
        <f t="shared" si="2"/>
        <v>1211400.79</v>
      </c>
      <c r="Q15" s="246">
        <f t="shared" si="3"/>
        <v>29536692.82</v>
      </c>
      <c r="R15" s="539" t="s">
        <v>139</v>
      </c>
      <c r="S15" s="461" t="str">
        <f>S9</f>
        <v>ВОР оформлен, отправлен на подпись для Дураева 14.06</v>
      </c>
      <c r="T15" s="247">
        <f t="shared" si="4"/>
        <v>1211400.79</v>
      </c>
      <c r="U15" s="607">
        <v>3236659</v>
      </c>
      <c r="V15" s="248">
        <f>T15+U15</f>
        <v>4448059.79</v>
      </c>
      <c r="W15" s="178"/>
      <c r="X15" s="175" t="s">
        <v>139</v>
      </c>
      <c r="Y15" s="174">
        <f>2827828.36*1.082*1.024*1.0514*1.2</f>
        <v>3953024.28</v>
      </c>
      <c r="Z15" s="524" t="s">
        <v>186</v>
      </c>
      <c r="AA15" s="406"/>
      <c r="AB15" s="526">
        <f t="shared" si="5"/>
        <v>-26300033.82</v>
      </c>
    </row>
    <row r="16" spans="1:28" ht="40.5" customHeight="1" x14ac:dyDescent="0.25">
      <c r="A16" s="217">
        <v>11</v>
      </c>
      <c r="B16" s="245" t="s">
        <v>183</v>
      </c>
      <c r="C16" s="219" t="str">
        <f>ССР!C49</f>
        <v>Теплоснабжение. Переустройство трубопровода.ТС2</v>
      </c>
      <c r="D16" s="220">
        <v>1890203.39</v>
      </c>
      <c r="E16" s="220">
        <v>154996.68</v>
      </c>
      <c r="F16" s="220">
        <v>49084.800000000003</v>
      </c>
      <c r="G16" s="220">
        <v>2094284.87</v>
      </c>
      <c r="H16" s="220">
        <v>2201848.2200000002</v>
      </c>
      <c r="I16" s="221">
        <f t="shared" si="6"/>
        <v>1.2</v>
      </c>
      <c r="J16" s="222">
        <f>ROUND(H16*I16,2)</f>
        <v>2642217.86</v>
      </c>
      <c r="K16" s="246"/>
      <c r="L16" s="246"/>
      <c r="M16" s="246"/>
      <c r="N16" s="246"/>
      <c r="O16" s="246"/>
      <c r="P16" s="246">
        <f>K16+L16+M16+N16+O16</f>
        <v>0</v>
      </c>
      <c r="Q16" s="246">
        <f>J16-K16-L16-M16-N16-O16</f>
        <v>2642217.86</v>
      </c>
      <c r="R16" s="246" t="s">
        <v>139</v>
      </c>
      <c r="S16" s="461" t="str">
        <f>S9</f>
        <v>ВОР оформлен, отправлен на подпись для Дураева 14.06</v>
      </c>
      <c r="T16" s="247">
        <f>P16</f>
        <v>0</v>
      </c>
      <c r="U16" s="607">
        <v>2387178</v>
      </c>
      <c r="V16" s="248">
        <f>T16+U16</f>
        <v>2387178</v>
      </c>
      <c r="W16" s="178"/>
      <c r="X16" s="111" t="s">
        <v>139</v>
      </c>
      <c r="Y16" s="84">
        <f>1675854.44*1.082*1.024*1.0514*1.2</f>
        <v>2342678.71</v>
      </c>
      <c r="Z16" s="233" t="s">
        <v>186</v>
      </c>
      <c r="AB16" s="526">
        <f t="shared" si="5"/>
        <v>-255039.86</v>
      </c>
    </row>
    <row r="17" spans="1:28" ht="42" customHeight="1" x14ac:dyDescent="0.25">
      <c r="A17" s="217">
        <v>12</v>
      </c>
      <c r="B17" s="245" t="s">
        <v>184</v>
      </c>
      <c r="C17" s="219" t="str">
        <f>ССР!C50</f>
        <v>Теплоснабжение. Переустройство трубопровода.ТС3</v>
      </c>
      <c r="D17" s="220">
        <v>4003449.34</v>
      </c>
      <c r="E17" s="220">
        <v>328282.84999999998</v>
      </c>
      <c r="F17" s="220">
        <v>103961.57</v>
      </c>
      <c r="G17" s="220">
        <v>4435693.76</v>
      </c>
      <c r="H17" s="220">
        <v>4663512.8499999996</v>
      </c>
      <c r="I17" s="221">
        <f t="shared" si="6"/>
        <v>1.2</v>
      </c>
      <c r="J17" s="222">
        <f>ROUND(H17*I17,2)</f>
        <v>5596215.4199999999</v>
      </c>
      <c r="K17" s="246"/>
      <c r="L17" s="246"/>
      <c r="M17" s="246"/>
      <c r="N17" s="246"/>
      <c r="O17" s="246"/>
      <c r="P17" s="246">
        <f>K17+L17+M17+N17+O17</f>
        <v>0</v>
      </c>
      <c r="Q17" s="246">
        <f>J17-K17-L17-M17-N17-O17</f>
        <v>5596215.4199999999</v>
      </c>
      <c r="R17" s="246" t="s">
        <v>139</v>
      </c>
      <c r="S17" s="461" t="str">
        <f>S9</f>
        <v>ВОР оформлен, отправлен на подпись для Дураева 14.06</v>
      </c>
      <c r="T17" s="247">
        <f>P17</f>
        <v>0</v>
      </c>
      <c r="U17" s="590">
        <v>3942311.7</v>
      </c>
      <c r="V17" s="248">
        <f>T17+U17</f>
        <v>3942311.7</v>
      </c>
      <c r="W17" s="178"/>
      <c r="X17" s="111" t="s">
        <v>139</v>
      </c>
      <c r="Y17" s="84">
        <f>2820165.03*1.082*1.024*1.0514*1.2</f>
        <v>3942311.7</v>
      </c>
      <c r="Z17" s="233" t="s">
        <v>186</v>
      </c>
      <c r="AB17" s="526">
        <f t="shared" si="5"/>
        <v>-1653903.72</v>
      </c>
    </row>
    <row r="18" spans="1:28" ht="39.75" customHeight="1" x14ac:dyDescent="0.25">
      <c r="A18" s="217">
        <v>13</v>
      </c>
      <c r="B18" s="245" t="s">
        <v>289</v>
      </c>
      <c r="C18" s="219" t="str">
        <f>ССР!C52</f>
        <v>Наружные газопроводы. Вынос газопровода среднего давления.</v>
      </c>
      <c r="D18" s="220">
        <v>8291915.46</v>
      </c>
      <c r="E18" s="220">
        <v>679937.07</v>
      </c>
      <c r="F18" s="220">
        <v>215324.46</v>
      </c>
      <c r="G18" s="220">
        <v>9187176.9900000002</v>
      </c>
      <c r="H18" s="220">
        <v>9659034.2599999998</v>
      </c>
      <c r="I18" s="221">
        <f t="shared" si="6"/>
        <v>1.2</v>
      </c>
      <c r="J18" s="222">
        <f>ROUND(H18*I18,2)</f>
        <v>11590841.109999999</v>
      </c>
      <c r="K18" s="459"/>
      <c r="L18" s="459"/>
      <c r="M18" s="459"/>
      <c r="N18" s="459"/>
      <c r="O18" s="459"/>
      <c r="P18" s="246">
        <f>K18+L18+M18+N18+O18</f>
        <v>0</v>
      </c>
      <c r="Q18" s="246">
        <f>J18-K18-L18-M18-N18-O18</f>
        <v>11590841.109999999</v>
      </c>
      <c r="R18" s="540" t="s">
        <v>139</v>
      </c>
      <c r="S18" s="461" t="str">
        <f>S9</f>
        <v>ВОР оформлен, отправлен на подпись для Дураева 14.06</v>
      </c>
      <c r="T18" s="247">
        <f>P18</f>
        <v>0</v>
      </c>
      <c r="U18" s="247">
        <v>6207755.29</v>
      </c>
      <c r="V18" s="248">
        <f>T18+U18</f>
        <v>6207755.29</v>
      </c>
      <c r="W18" s="188"/>
      <c r="X18" s="111"/>
      <c r="Y18" s="84"/>
      <c r="Z18" s="208"/>
      <c r="AB18" s="526">
        <f t="shared" si="5"/>
        <v>-5383085.8200000003</v>
      </c>
    </row>
    <row r="19" spans="1:28" ht="4.5" customHeight="1" x14ac:dyDescent="0.25">
      <c r="A19" s="409"/>
      <c r="B19" s="410"/>
      <c r="C19" s="411"/>
      <c r="D19" s="412"/>
      <c r="E19" s="412"/>
      <c r="F19" s="412"/>
      <c r="G19" s="412"/>
      <c r="H19" s="412"/>
      <c r="I19" s="413"/>
      <c r="J19" s="414"/>
      <c r="K19" s="415"/>
      <c r="L19" s="415"/>
      <c r="M19" s="415"/>
      <c r="N19" s="415"/>
      <c r="O19" s="415"/>
      <c r="P19" s="415"/>
      <c r="Q19" s="415"/>
      <c r="R19" s="415"/>
      <c r="S19" s="190"/>
      <c r="T19" s="416"/>
      <c r="U19" s="417"/>
      <c r="V19" s="418"/>
      <c r="W19" s="178"/>
      <c r="X19" s="111"/>
      <c r="Y19" s="84"/>
      <c r="Z19" s="233"/>
    </row>
    <row r="20" spans="1:28" ht="32.25" hidden="1" customHeight="1" x14ac:dyDescent="0.25">
      <c r="A20" s="380"/>
      <c r="B20" s="381"/>
      <c r="C20" s="381"/>
      <c r="D20" s="381"/>
      <c r="E20" s="381"/>
      <c r="F20" s="381"/>
      <c r="G20" s="381"/>
      <c r="H20" s="382"/>
      <c r="I20" s="381"/>
      <c r="J20" s="382"/>
      <c r="K20" s="383"/>
      <c r="L20" s="383"/>
      <c r="M20" s="383"/>
      <c r="N20" s="383"/>
      <c r="O20" s="383"/>
      <c r="P20" s="383"/>
      <c r="Q20" s="383"/>
      <c r="R20" s="383"/>
      <c r="S20" s="383"/>
      <c r="T20" s="1196" t="s">
        <v>254</v>
      </c>
      <c r="U20" s="1197"/>
      <c r="V20" s="384"/>
      <c r="X20" s="65"/>
      <c r="Y20" s="81"/>
      <c r="Z20" s="81"/>
    </row>
    <row r="21" spans="1:28" ht="32.25" customHeight="1" x14ac:dyDescent="0.25">
      <c r="A21" s="380"/>
      <c r="B21" s="381"/>
      <c r="C21" s="381"/>
      <c r="D21" s="381"/>
      <c r="E21" s="381"/>
      <c r="F21" s="381"/>
      <c r="G21" s="381"/>
      <c r="H21" s="382"/>
      <c r="I21" s="381"/>
      <c r="J21" s="382"/>
      <c r="K21" s="383"/>
      <c r="L21" s="383"/>
      <c r="M21" s="383"/>
      <c r="N21" s="383"/>
      <c r="O21" s="383"/>
      <c r="P21" s="383"/>
      <c r="Q21" s="383"/>
      <c r="R21" s="383"/>
      <c r="S21" s="383"/>
      <c r="T21" s="1196" t="s">
        <v>272</v>
      </c>
      <c r="U21" s="1197"/>
      <c r="V21" s="384"/>
      <c r="X21" s="65"/>
      <c r="Y21" s="81"/>
      <c r="Z21" s="81"/>
    </row>
    <row r="22" spans="1:28" ht="45" customHeight="1" x14ac:dyDescent="0.25">
      <c r="A22" s="217">
        <v>14</v>
      </c>
      <c r="B22" s="372" t="s">
        <v>31</v>
      </c>
      <c r="C22" s="219" t="str">
        <f>ССР!C29</f>
        <v>Верхнее строение пути</v>
      </c>
      <c r="D22" s="220">
        <v>161452921.99000001</v>
      </c>
      <c r="E22" s="220">
        <v>13239139.6</v>
      </c>
      <c r="F22" s="220">
        <v>4192609.48</v>
      </c>
      <c r="G22" s="220">
        <v>178884671.06999999</v>
      </c>
      <c r="H22" s="220">
        <v>188072263.84999999</v>
      </c>
      <c r="I22" s="221">
        <f>I6</f>
        <v>1.2</v>
      </c>
      <c r="J22" s="222">
        <f>ROUND(H22*I22,2)</f>
        <v>225686716.62</v>
      </c>
      <c r="K22" s="373">
        <v>89998722.969999999</v>
      </c>
      <c r="L22" s="373">
        <v>66544414.909999996</v>
      </c>
      <c r="M22" s="373">
        <v>42672742.899999999</v>
      </c>
      <c r="N22" s="373"/>
      <c r="O22" s="373"/>
      <c r="P22" s="371">
        <f>K22+L22+M22+N22+O22</f>
        <v>199215880.78</v>
      </c>
      <c r="Q22" s="371">
        <f>J22-K22-L22-M22-N22-O22</f>
        <v>26470835.84</v>
      </c>
      <c r="R22" s="396" t="s">
        <v>284</v>
      </c>
      <c r="S22" s="403" t="s">
        <v>287</v>
      </c>
      <c r="T22" s="83">
        <f>P22</f>
        <v>199215880.78</v>
      </c>
      <c r="U22" s="366">
        <v>37774590</v>
      </c>
      <c r="V22" s="83">
        <f t="shared" ref="V22:V31" si="7">T22+U22</f>
        <v>236990470.78</v>
      </c>
      <c r="X22" s="111"/>
      <c r="Y22" s="84"/>
      <c r="Z22" s="208"/>
      <c r="AA22" s="419"/>
    </row>
    <row r="23" spans="1:28" s="449" customFormat="1" ht="32.25" customHeight="1" x14ac:dyDescent="0.25">
      <c r="A23" s="434">
        <v>15</v>
      </c>
      <c r="B23" s="435" t="s">
        <v>32</v>
      </c>
      <c r="C23" s="436" t="str">
        <f>ССР!C30</f>
        <v>Восстановительные работы цеха №121/18. АС 3.</v>
      </c>
      <c r="D23" s="437">
        <v>4505948.67</v>
      </c>
      <c r="E23" s="437">
        <v>369487.79</v>
      </c>
      <c r="F23" s="437">
        <v>117010.48</v>
      </c>
      <c r="G23" s="437">
        <v>4992446.9400000004</v>
      </c>
      <c r="H23" s="437">
        <v>5248861.1100000003</v>
      </c>
      <c r="I23" s="438">
        <f>I7</f>
        <v>1.2</v>
      </c>
      <c r="J23" s="439">
        <f>ROUND(H23*I23,2)</f>
        <v>6298633.3300000001</v>
      </c>
      <c r="K23" s="440"/>
      <c r="L23" s="440"/>
      <c r="M23" s="440"/>
      <c r="N23" s="440">
        <v>5245250.92</v>
      </c>
      <c r="O23" s="440"/>
      <c r="P23" s="441">
        <f>K23+L23+M23+N23+O23</f>
        <v>5245250.92</v>
      </c>
      <c r="Q23" s="441">
        <f>J23-K23-L23-M23-N23-O23</f>
        <v>1053382.4099999999</v>
      </c>
      <c r="R23" s="578" t="s">
        <v>168</v>
      </c>
      <c r="S23" s="442" t="s">
        <v>189</v>
      </c>
      <c r="T23" s="443">
        <f>P23</f>
        <v>5245250.92</v>
      </c>
      <c r="U23" s="444">
        <v>0</v>
      </c>
      <c r="V23" s="443">
        <f t="shared" si="7"/>
        <v>5245250.92</v>
      </c>
      <c r="W23" s="445" t="s">
        <v>172</v>
      </c>
      <c r="X23" s="446"/>
      <c r="Y23" s="443"/>
      <c r="Z23" s="447"/>
      <c r="AA23" s="448"/>
    </row>
    <row r="24" spans="1:28" s="585" customFormat="1" ht="31.5" x14ac:dyDescent="0.25">
      <c r="A24" s="217">
        <v>16</v>
      </c>
      <c r="B24" s="245" t="s">
        <v>33</v>
      </c>
      <c r="C24" s="219" t="str">
        <f>ССР!C31</f>
        <v>Архитектурно-строительные решения. Часть 1.АС1</v>
      </c>
      <c r="D24" s="220">
        <v>10526911.91</v>
      </c>
      <c r="E24" s="220">
        <v>863206.78</v>
      </c>
      <c r="F24" s="220">
        <v>273362.84999999998</v>
      </c>
      <c r="G24" s="220">
        <v>11663481.539999999</v>
      </c>
      <c r="H24" s="220">
        <v>12262522.85</v>
      </c>
      <c r="I24" s="221">
        <f>I8</f>
        <v>1.2</v>
      </c>
      <c r="J24" s="222">
        <f>ROUND(H24*I24,2)</f>
        <v>14715027.42</v>
      </c>
      <c r="K24" s="373"/>
      <c r="L24" s="373">
        <v>10775049.08</v>
      </c>
      <c r="M24" s="373"/>
      <c r="N24" s="373"/>
      <c r="O24" s="373"/>
      <c r="P24" s="371">
        <f>K24+L24+M24+N24+O24</f>
        <v>10775049.08</v>
      </c>
      <c r="Q24" s="371">
        <f>J24-K24-L24-M24-N24-O24</f>
        <v>3939978.34</v>
      </c>
      <c r="R24" s="395" t="str">
        <f>R26</f>
        <v>ждем ВОР</v>
      </c>
      <c r="S24" s="403" t="s">
        <v>275</v>
      </c>
      <c r="T24" s="83">
        <f>P24</f>
        <v>10775049.08</v>
      </c>
      <c r="U24" s="586">
        <f>Q24</f>
        <v>3939978.34</v>
      </c>
      <c r="V24" s="83">
        <f t="shared" si="7"/>
        <v>14715027.42</v>
      </c>
      <c r="W24" s="582"/>
      <c r="X24" s="111"/>
      <c r="Y24" s="83"/>
      <c r="Z24" s="583"/>
      <c r="AA24" s="584"/>
    </row>
    <row r="25" spans="1:28" s="449" customFormat="1" ht="31.5" x14ac:dyDescent="0.25">
      <c r="A25" s="434">
        <v>17</v>
      </c>
      <c r="B25" s="435" t="s">
        <v>55</v>
      </c>
      <c r="C25" s="436" t="str">
        <f>ССР!C45</f>
        <v>Трубопровод ливневых сточных вод от трансбордера. НВК1</v>
      </c>
      <c r="D25" s="437">
        <v>1758763.66</v>
      </c>
      <c r="E25" s="437">
        <v>144218.62</v>
      </c>
      <c r="F25" s="437">
        <v>45671.57</v>
      </c>
      <c r="G25" s="437">
        <v>1948653.85</v>
      </c>
      <c r="H25" s="437">
        <v>2048737.53</v>
      </c>
      <c r="I25" s="438">
        <f>I22</f>
        <v>1.2</v>
      </c>
      <c r="J25" s="439">
        <f t="shared" si="1"/>
        <v>2458485.04</v>
      </c>
      <c r="K25" s="452"/>
      <c r="L25" s="452"/>
      <c r="M25" s="452"/>
      <c r="N25" s="452"/>
      <c r="O25" s="452">
        <v>505496.99</v>
      </c>
      <c r="P25" s="441">
        <f t="shared" si="2"/>
        <v>505496.99</v>
      </c>
      <c r="Q25" s="441">
        <f t="shared" si="3"/>
        <v>1952988.05</v>
      </c>
      <c r="R25" s="578" t="str">
        <f>R23</f>
        <v>ВОРа на доп. не будет</v>
      </c>
      <c r="S25" s="453" t="s">
        <v>251</v>
      </c>
      <c r="T25" s="443">
        <f t="shared" si="4"/>
        <v>505496.99</v>
      </c>
      <c r="U25" s="454">
        <v>0</v>
      </c>
      <c r="V25" s="455">
        <f t="shared" si="7"/>
        <v>505496.99</v>
      </c>
      <c r="W25" s="451"/>
      <c r="X25" s="446"/>
      <c r="Y25" s="443"/>
      <c r="Z25" s="447"/>
      <c r="AA25" s="448"/>
    </row>
    <row r="26" spans="1:28" s="585" customFormat="1" ht="31.5" x14ac:dyDescent="0.25">
      <c r="A26" s="217">
        <v>18</v>
      </c>
      <c r="B26" s="245" t="s">
        <v>58</v>
      </c>
      <c r="C26" s="219" t="str">
        <f>ССР!C47</f>
        <v>Теплоснабжение. Переустройство трубопровода.ТС1</v>
      </c>
      <c r="D26" s="220">
        <v>4044845.15</v>
      </c>
      <c r="E26" s="220">
        <v>331677.3</v>
      </c>
      <c r="F26" s="220">
        <v>105036.54</v>
      </c>
      <c r="G26" s="220">
        <v>4481558.99</v>
      </c>
      <c r="H26" s="220">
        <v>4711733.74</v>
      </c>
      <c r="I26" s="221">
        <f>I13</f>
        <v>1.2</v>
      </c>
      <c r="J26" s="222">
        <f t="shared" si="1"/>
        <v>5654080.4900000002</v>
      </c>
      <c r="K26" s="579"/>
      <c r="L26" s="579"/>
      <c r="M26" s="579"/>
      <c r="N26" s="579"/>
      <c r="O26" s="579">
        <v>3594854.48</v>
      </c>
      <c r="P26" s="371">
        <f t="shared" si="2"/>
        <v>3594854.48</v>
      </c>
      <c r="Q26" s="371">
        <f t="shared" si="3"/>
        <v>2059226.01</v>
      </c>
      <c r="R26" s="579" t="s">
        <v>169</v>
      </c>
      <c r="S26" s="580" t="s">
        <v>247</v>
      </c>
      <c r="T26" s="83">
        <f t="shared" si="4"/>
        <v>3594854.48</v>
      </c>
      <c r="U26" s="581">
        <v>0</v>
      </c>
      <c r="V26" s="368">
        <f t="shared" si="7"/>
        <v>3594854.48</v>
      </c>
      <c r="W26" s="582"/>
      <c r="X26" s="111"/>
      <c r="Y26" s="83"/>
      <c r="Z26" s="583"/>
      <c r="AA26" s="584"/>
    </row>
    <row r="27" spans="1:28" s="449" customFormat="1" ht="78.75" x14ac:dyDescent="0.25">
      <c r="A27" s="434">
        <v>19</v>
      </c>
      <c r="B27" s="435" t="s">
        <v>59</v>
      </c>
      <c r="C27" s="436" t="str">
        <f>ССР!C48</f>
        <v>Архитектурно-строительные решения. Эстакада для ТС1. АС 4</v>
      </c>
      <c r="D27" s="437">
        <v>4859580.66</v>
      </c>
      <c r="E27" s="437">
        <v>398485.61</v>
      </c>
      <c r="F27" s="437">
        <v>126193.59</v>
      </c>
      <c r="G27" s="437">
        <v>5384259.8600000003</v>
      </c>
      <c r="H27" s="437">
        <v>5660797.71</v>
      </c>
      <c r="I27" s="438">
        <f>I14</f>
        <v>1.2</v>
      </c>
      <c r="J27" s="439">
        <f t="shared" si="1"/>
        <v>6792957.25</v>
      </c>
      <c r="K27" s="452"/>
      <c r="L27" s="452"/>
      <c r="M27" s="452"/>
      <c r="N27" s="452"/>
      <c r="O27" s="452">
        <v>562345.21</v>
      </c>
      <c r="P27" s="441">
        <f t="shared" si="2"/>
        <v>562345.21</v>
      </c>
      <c r="Q27" s="441">
        <f t="shared" si="3"/>
        <v>6230612.04</v>
      </c>
      <c r="R27" s="456" t="s">
        <v>286</v>
      </c>
      <c r="S27" s="453" t="s">
        <v>251</v>
      </c>
      <c r="T27" s="443">
        <f t="shared" si="4"/>
        <v>562345.21</v>
      </c>
      <c r="U27" s="454">
        <v>0</v>
      </c>
      <c r="V27" s="455">
        <f t="shared" si="7"/>
        <v>562345.21</v>
      </c>
      <c r="W27" s="451"/>
      <c r="X27" s="446"/>
      <c r="Y27" s="443"/>
      <c r="Z27" s="447"/>
      <c r="AA27" s="448"/>
    </row>
    <row r="28" spans="1:28" ht="31.5" x14ac:dyDescent="0.25">
      <c r="A28" s="217">
        <v>20</v>
      </c>
      <c r="B28" s="245" t="s">
        <v>70</v>
      </c>
      <c r="C28" s="219" t="str">
        <f>ССР!C55</f>
        <v>Генеральный план. Трансбордер. ГП1</v>
      </c>
      <c r="D28" s="220">
        <v>5005903.75</v>
      </c>
      <c r="E28" s="220">
        <v>410484.11</v>
      </c>
      <c r="F28" s="220">
        <v>129993.31</v>
      </c>
      <c r="G28" s="220">
        <v>5546381.1699999999</v>
      </c>
      <c r="H28" s="220">
        <v>5831245.6399999997</v>
      </c>
      <c r="I28" s="221">
        <f>I12</f>
        <v>1.2</v>
      </c>
      <c r="J28" s="222">
        <f t="shared" si="1"/>
        <v>6997494.7699999996</v>
      </c>
      <c r="K28" s="373"/>
      <c r="L28" s="373">
        <v>2298854.48</v>
      </c>
      <c r="M28" s="373"/>
      <c r="N28" s="373"/>
      <c r="O28" s="373"/>
      <c r="P28" s="371">
        <f t="shared" si="2"/>
        <v>2298854.48</v>
      </c>
      <c r="Q28" s="371">
        <f t="shared" si="3"/>
        <v>4698640.29</v>
      </c>
      <c r="R28" s="395" t="str">
        <f>R26</f>
        <v>ждем ВОР</v>
      </c>
      <c r="S28" s="403" t="s">
        <v>247</v>
      </c>
      <c r="T28" s="83">
        <f t="shared" si="4"/>
        <v>2298854.48</v>
      </c>
      <c r="U28" s="367">
        <f>Q28</f>
        <v>4698640.29</v>
      </c>
      <c r="V28" s="368">
        <f t="shared" si="7"/>
        <v>6997494.7699999996</v>
      </c>
      <c r="W28" s="206"/>
      <c r="X28" s="111"/>
      <c r="Y28" s="84"/>
      <c r="Z28" s="208"/>
      <c r="AA28" s="419"/>
    </row>
    <row r="29" spans="1:28" ht="24.75" thickBot="1" x14ac:dyDescent="0.3">
      <c r="A29" s="421">
        <v>21</v>
      </c>
      <c r="B29" s="374" t="s">
        <v>71</v>
      </c>
      <c r="C29" s="375" t="str">
        <f>ССР!C56</f>
        <v>Генеральный план. ГП2</v>
      </c>
      <c r="D29" s="397">
        <v>48898423.600000001</v>
      </c>
      <c r="E29" s="397">
        <v>4009670.74</v>
      </c>
      <c r="F29" s="397">
        <v>1269794.26</v>
      </c>
      <c r="G29" s="397">
        <v>54177888.600000001</v>
      </c>
      <c r="H29" s="397">
        <v>56960487.710000001</v>
      </c>
      <c r="I29" s="376">
        <f>I16</f>
        <v>1.2</v>
      </c>
      <c r="J29" s="377">
        <f t="shared" si="1"/>
        <v>68352585.25</v>
      </c>
      <c r="K29" s="378"/>
      <c r="L29" s="378"/>
      <c r="M29" s="378">
        <v>11709977.720000001</v>
      </c>
      <c r="N29" s="378"/>
      <c r="O29" s="378">
        <v>3615838.44</v>
      </c>
      <c r="P29" s="379">
        <f t="shared" si="2"/>
        <v>15325816.16</v>
      </c>
      <c r="Q29" s="379">
        <f t="shared" si="3"/>
        <v>53026769.090000004</v>
      </c>
      <c r="R29" s="422" t="str">
        <f>R26</f>
        <v>ждем ВОР</v>
      </c>
      <c r="S29" s="423" t="s">
        <v>247</v>
      </c>
      <c r="T29" s="370">
        <f t="shared" si="4"/>
        <v>15325816.16</v>
      </c>
      <c r="U29" s="424">
        <f>Q29</f>
        <v>53026769.090000004</v>
      </c>
      <c r="V29" s="369">
        <f t="shared" si="7"/>
        <v>68352585.25</v>
      </c>
      <c r="W29" s="206"/>
      <c r="X29" s="111"/>
      <c r="Y29" s="85"/>
      <c r="Z29" s="209"/>
      <c r="AA29" s="419"/>
    </row>
    <row r="30" spans="1:28" ht="35.1" customHeight="1" thickTop="1" x14ac:dyDescent="0.25">
      <c r="A30" s="387">
        <v>22</v>
      </c>
      <c r="B30" s="388">
        <v>1</v>
      </c>
      <c r="C30" s="389" t="s">
        <v>175</v>
      </c>
      <c r="D30" s="390"/>
      <c r="E30" s="390"/>
      <c r="F30" s="390"/>
      <c r="G30" s="390"/>
      <c r="H30" s="390"/>
      <c r="I30" s="391"/>
      <c r="J30" s="392"/>
      <c r="K30" s="393"/>
      <c r="L30" s="393"/>
      <c r="M30" s="393"/>
      <c r="N30" s="393"/>
      <c r="O30" s="393"/>
      <c r="P30" s="393">
        <f>T30</f>
        <v>4216719.66</v>
      </c>
      <c r="Q30" s="393"/>
      <c r="R30" s="477" t="s">
        <v>139</v>
      </c>
      <c r="S30" s="394" t="s">
        <v>255</v>
      </c>
      <c r="T30" s="420">
        <v>4216719.66</v>
      </c>
      <c r="U30" s="420">
        <v>0</v>
      </c>
      <c r="V30" s="420">
        <f t="shared" si="7"/>
        <v>4216719.66</v>
      </c>
      <c r="X30" s="119"/>
      <c r="Y30" s="179"/>
      <c r="Z30" s="179"/>
    </row>
    <row r="31" spans="1:28" ht="35.1" customHeight="1" thickBot="1" x14ac:dyDescent="0.3">
      <c r="A31" s="513">
        <v>23</v>
      </c>
      <c r="B31" s="479">
        <v>1</v>
      </c>
      <c r="C31" s="480" t="s">
        <v>174</v>
      </c>
      <c r="D31" s="481"/>
      <c r="E31" s="481"/>
      <c r="F31" s="481"/>
      <c r="G31" s="481"/>
      <c r="H31" s="481"/>
      <c r="I31" s="482"/>
      <c r="J31" s="483"/>
      <c r="K31" s="484"/>
      <c r="L31" s="484"/>
      <c r="M31" s="484"/>
      <c r="N31" s="484"/>
      <c r="O31" s="484"/>
      <c r="P31" s="484">
        <f>T31</f>
        <v>2160473.5</v>
      </c>
      <c r="Q31" s="484"/>
      <c r="R31" s="514" t="s">
        <v>139</v>
      </c>
      <c r="S31" s="515" t="s">
        <v>255</v>
      </c>
      <c r="T31" s="485">
        <v>2160473.5</v>
      </c>
      <c r="U31" s="485">
        <v>0</v>
      </c>
      <c r="V31" s="486">
        <f t="shared" si="7"/>
        <v>2160473.5</v>
      </c>
      <c r="X31" s="117"/>
      <c r="Y31" s="105"/>
      <c r="Z31" s="211"/>
    </row>
    <row r="32" spans="1:28" ht="31.5" customHeight="1" thickTop="1" thickBot="1" x14ac:dyDescent="0.3">
      <c r="A32" s="516"/>
      <c r="B32" s="517" t="s">
        <v>120</v>
      </c>
      <c r="C32" s="518"/>
      <c r="D32" s="519">
        <f>SUM(D6:D29)</f>
        <v>392033916.06</v>
      </c>
      <c r="E32" s="518"/>
      <c r="F32" s="520"/>
      <c r="G32" s="519">
        <f>SUM(G6:G29)</f>
        <v>434361033.93000001</v>
      </c>
      <c r="H32" s="519">
        <f>SUM(H6:H29)</f>
        <v>456670000.00999999</v>
      </c>
      <c r="I32" s="519"/>
      <c r="J32" s="519">
        <f>SUM(J6:J29)</f>
        <v>548004000</v>
      </c>
      <c r="K32" s="521">
        <f>SUM(K6:K29)</f>
        <v>210417570.36000001</v>
      </c>
      <c r="L32" s="521">
        <f>SUM(L6:L29)+0.01</f>
        <v>79978331.209999993</v>
      </c>
      <c r="M32" s="521">
        <f>SUM(M6:M29)</f>
        <v>58868164.759999998</v>
      </c>
      <c r="N32" s="521">
        <f>SUM(N6:N29)</f>
        <v>5245250.92</v>
      </c>
      <c r="O32" s="521">
        <f>SUM(O6:O29)</f>
        <v>8616444.9800000004</v>
      </c>
      <c r="P32" s="521">
        <f>SUM(P6:P31)+0.01</f>
        <v>369502955.38999999</v>
      </c>
      <c r="Q32" s="521">
        <f>J32-P32</f>
        <v>178501044.61000001</v>
      </c>
      <c r="R32" s="521"/>
      <c r="S32" s="521"/>
      <c r="T32" s="522">
        <f>SUM(T6:T31)</f>
        <v>369502955.38</v>
      </c>
      <c r="U32" s="522">
        <f>SUM(U6:U31)</f>
        <v>143788000.72</v>
      </c>
      <c r="V32" s="522">
        <f>SUM(V6:V31)</f>
        <v>513290956.10000002</v>
      </c>
      <c r="W32" s="177"/>
      <c r="X32" s="115"/>
      <c r="Y32" s="101">
        <f>SUM(Y6:Y29)</f>
        <v>39961110.119999997</v>
      </c>
      <c r="Z32" s="210">
        <f>SUM(Z6:Z29)</f>
        <v>0</v>
      </c>
    </row>
    <row r="33" spans="1:27" ht="32.25" customHeight="1" x14ac:dyDescent="0.25">
      <c r="A33" s="498"/>
      <c r="B33" s="499"/>
      <c r="C33" s="499"/>
      <c r="D33" s="499"/>
      <c r="E33" s="499"/>
      <c r="F33" s="499"/>
      <c r="G33" s="499"/>
      <c r="H33" s="500"/>
      <c r="I33" s="499"/>
      <c r="J33" s="500"/>
      <c r="K33" s="501"/>
      <c r="L33" s="501"/>
      <c r="M33" s="501"/>
      <c r="N33" s="501"/>
      <c r="O33" s="501"/>
      <c r="P33" s="501"/>
      <c r="Q33" s="501"/>
      <c r="R33" s="501"/>
      <c r="S33" s="501"/>
      <c r="T33" s="1187" t="s">
        <v>245</v>
      </c>
      <c r="U33" s="1188"/>
      <c r="V33" s="503"/>
      <c r="X33" s="65"/>
      <c r="Y33" s="81"/>
      <c r="Z33" s="81"/>
    </row>
    <row r="34" spans="1:27" ht="35.1" customHeight="1" x14ac:dyDescent="0.25">
      <c r="A34" s="591">
        <v>24</v>
      </c>
      <c r="B34" s="542">
        <v>2</v>
      </c>
      <c r="C34" s="592" t="s">
        <v>141</v>
      </c>
      <c r="D34" s="593"/>
      <c r="E34" s="593"/>
      <c r="F34" s="593"/>
      <c r="G34" s="593"/>
      <c r="H34" s="593"/>
      <c r="I34" s="594"/>
      <c r="J34" s="595"/>
      <c r="K34" s="596"/>
      <c r="L34" s="596"/>
      <c r="M34" s="596"/>
      <c r="N34" s="596"/>
      <c r="O34" s="596"/>
      <c r="P34" s="596"/>
      <c r="Q34" s="596"/>
      <c r="R34" s="597" t="s">
        <v>139</v>
      </c>
      <c r="S34" s="600" t="s">
        <v>290</v>
      </c>
      <c r="T34" s="598">
        <v>0</v>
      </c>
      <c r="U34" s="598">
        <v>705505</v>
      </c>
      <c r="V34" s="598">
        <f t="shared" ref="V34:V44" si="8">T34+U34</f>
        <v>705505</v>
      </c>
      <c r="X34" s="119"/>
      <c r="Y34" s="179"/>
      <c r="Z34" s="179"/>
      <c r="AA34" s="406" t="s">
        <v>280</v>
      </c>
    </row>
    <row r="35" spans="1:27" ht="35.1" customHeight="1" x14ac:dyDescent="0.25">
      <c r="A35" s="599">
        <v>25</v>
      </c>
      <c r="B35" s="542">
        <v>3</v>
      </c>
      <c r="C35" s="592" t="s">
        <v>142</v>
      </c>
      <c r="D35" s="593"/>
      <c r="E35" s="593"/>
      <c r="F35" s="593"/>
      <c r="G35" s="593"/>
      <c r="H35" s="593"/>
      <c r="I35" s="594"/>
      <c r="J35" s="595"/>
      <c r="K35" s="596"/>
      <c r="L35" s="596"/>
      <c r="M35" s="596"/>
      <c r="N35" s="596"/>
      <c r="O35" s="596"/>
      <c r="P35" s="596"/>
      <c r="Q35" s="596"/>
      <c r="R35" s="597" t="s">
        <v>139</v>
      </c>
      <c r="S35" s="600" t="s">
        <v>290</v>
      </c>
      <c r="T35" s="598">
        <v>0</v>
      </c>
      <c r="U35" s="598">
        <v>85851.36</v>
      </c>
      <c r="V35" s="598">
        <f t="shared" si="8"/>
        <v>85851.36</v>
      </c>
      <c r="X35" s="119"/>
      <c r="Y35" s="180"/>
      <c r="Z35" s="180"/>
    </row>
    <row r="36" spans="1:27" ht="35.1" customHeight="1" x14ac:dyDescent="0.25">
      <c r="A36" s="591">
        <v>26</v>
      </c>
      <c r="B36" s="542">
        <v>4</v>
      </c>
      <c r="C36" s="592" t="s">
        <v>143</v>
      </c>
      <c r="D36" s="593"/>
      <c r="E36" s="593"/>
      <c r="F36" s="593"/>
      <c r="G36" s="593"/>
      <c r="H36" s="593"/>
      <c r="I36" s="594"/>
      <c r="J36" s="595"/>
      <c r="K36" s="596"/>
      <c r="L36" s="596"/>
      <c r="M36" s="596"/>
      <c r="N36" s="596"/>
      <c r="O36" s="596"/>
      <c r="P36" s="596"/>
      <c r="Q36" s="596"/>
      <c r="R36" s="597" t="s">
        <v>139</v>
      </c>
      <c r="S36" s="600" t="s">
        <v>290</v>
      </c>
      <c r="T36" s="598">
        <v>0</v>
      </c>
      <c r="U36" s="598">
        <v>26314.48</v>
      </c>
      <c r="V36" s="598">
        <f t="shared" si="8"/>
        <v>26314.48</v>
      </c>
      <c r="X36" s="119"/>
      <c r="Y36" s="180"/>
      <c r="Z36" s="180"/>
    </row>
    <row r="37" spans="1:27" ht="35.1" customHeight="1" x14ac:dyDescent="0.25">
      <c r="A37" s="599">
        <v>27</v>
      </c>
      <c r="B37" s="542">
        <v>5</v>
      </c>
      <c r="C37" s="592" t="s">
        <v>146</v>
      </c>
      <c r="D37" s="593"/>
      <c r="E37" s="593"/>
      <c r="F37" s="593"/>
      <c r="G37" s="593"/>
      <c r="H37" s="593"/>
      <c r="I37" s="594"/>
      <c r="J37" s="595"/>
      <c r="K37" s="596"/>
      <c r="L37" s="596"/>
      <c r="M37" s="596"/>
      <c r="N37" s="596"/>
      <c r="O37" s="596"/>
      <c r="P37" s="596"/>
      <c r="Q37" s="596"/>
      <c r="R37" s="597" t="s">
        <v>139</v>
      </c>
      <c r="S37" s="600" t="s">
        <v>290</v>
      </c>
      <c r="T37" s="598">
        <v>0</v>
      </c>
      <c r="U37" s="598">
        <v>208912.6</v>
      </c>
      <c r="V37" s="598">
        <f t="shared" si="8"/>
        <v>208912.6</v>
      </c>
      <c r="X37" s="119"/>
      <c r="Y37" s="180"/>
      <c r="Z37" s="180"/>
    </row>
    <row r="38" spans="1:27" ht="35.1" customHeight="1" x14ac:dyDescent="0.25">
      <c r="A38" s="217">
        <v>29</v>
      </c>
      <c r="B38" s="543">
        <v>6</v>
      </c>
      <c r="C38" s="464" t="s">
        <v>140</v>
      </c>
      <c r="D38" s="465"/>
      <c r="E38" s="465"/>
      <c r="F38" s="465"/>
      <c r="G38" s="465"/>
      <c r="H38" s="465"/>
      <c r="I38" s="466"/>
      <c r="J38" s="467"/>
      <c r="K38" s="468"/>
      <c r="L38" s="468"/>
      <c r="M38" s="468"/>
      <c r="N38" s="468"/>
      <c r="O38" s="468"/>
      <c r="P38" s="468"/>
      <c r="Q38" s="468"/>
      <c r="R38" s="469" t="s">
        <v>139</v>
      </c>
      <c r="S38" s="528" t="s">
        <v>292</v>
      </c>
      <c r="T38" s="470">
        <v>0</v>
      </c>
      <c r="U38" s="470">
        <v>570651.94999999995</v>
      </c>
      <c r="V38" s="462">
        <f t="shared" si="8"/>
        <v>570651.94999999995</v>
      </c>
      <c r="X38" s="117"/>
      <c r="Y38" s="105"/>
      <c r="Z38" s="211"/>
    </row>
    <row r="39" spans="1:27" ht="35.1" customHeight="1" x14ac:dyDescent="0.25">
      <c r="A39" s="217">
        <v>28</v>
      </c>
      <c r="B39" s="542">
        <v>7</v>
      </c>
      <c r="C39" s="42" t="s">
        <v>148</v>
      </c>
      <c r="D39" s="43"/>
      <c r="E39" s="43"/>
      <c r="F39" s="43"/>
      <c r="G39" s="43"/>
      <c r="H39" s="43"/>
      <c r="I39" s="44"/>
      <c r="J39" s="55"/>
      <c r="K39" s="56"/>
      <c r="L39" s="56"/>
      <c r="M39" s="56"/>
      <c r="N39" s="56"/>
      <c r="O39" s="56"/>
      <c r="P39" s="459"/>
      <c r="Q39" s="459"/>
      <c r="R39" s="529" t="s">
        <v>139</v>
      </c>
      <c r="S39" s="461" t="str">
        <f>S38</f>
        <v>вопросы к емк. ковша и уплотнению трамбовками</v>
      </c>
      <c r="T39" s="530">
        <v>0</v>
      </c>
      <c r="U39" s="530">
        <v>231084.76</v>
      </c>
      <c r="V39" s="462">
        <f t="shared" si="8"/>
        <v>231084.76</v>
      </c>
      <c r="X39" s="119"/>
      <c r="Y39" s="107"/>
      <c r="Z39" s="213"/>
    </row>
    <row r="40" spans="1:27" ht="35.1" customHeight="1" thickBot="1" x14ac:dyDescent="0.3">
      <c r="A40" s="421">
        <v>31</v>
      </c>
      <c r="B40" s="544">
        <v>8</v>
      </c>
      <c r="C40" s="375" t="s">
        <v>250</v>
      </c>
      <c r="D40" s="471"/>
      <c r="E40" s="471"/>
      <c r="F40" s="471"/>
      <c r="G40" s="471"/>
      <c r="H40" s="471"/>
      <c r="I40" s="472"/>
      <c r="J40" s="473"/>
      <c r="K40" s="474"/>
      <c r="L40" s="474"/>
      <c r="M40" s="474"/>
      <c r="N40" s="474"/>
      <c r="O40" s="474"/>
      <c r="P40" s="531"/>
      <c r="Q40" s="531"/>
      <c r="R40" s="532" t="s">
        <v>139</v>
      </c>
      <c r="S40" s="527" t="str">
        <f>S38</f>
        <v>вопросы к емк. ковша и уплотнению трамбовками</v>
      </c>
      <c r="T40" s="533">
        <v>0</v>
      </c>
      <c r="U40" s="533">
        <v>107940.55</v>
      </c>
      <c r="V40" s="534">
        <f t="shared" si="8"/>
        <v>107940.55</v>
      </c>
      <c r="X40" s="119"/>
      <c r="Y40" s="107"/>
      <c r="Z40" s="213"/>
    </row>
    <row r="41" spans="1:27" ht="35.1" customHeight="1" thickTop="1" x14ac:dyDescent="0.25">
      <c r="A41" s="545">
        <v>32</v>
      </c>
      <c r="B41" s="568">
        <v>9</v>
      </c>
      <c r="C41" s="569" t="s">
        <v>145</v>
      </c>
      <c r="D41" s="570"/>
      <c r="E41" s="570"/>
      <c r="F41" s="570"/>
      <c r="G41" s="570"/>
      <c r="H41" s="570"/>
      <c r="I41" s="571"/>
      <c r="J41" s="572"/>
      <c r="K41" s="573"/>
      <c r="L41" s="573"/>
      <c r="M41" s="573"/>
      <c r="N41" s="573"/>
      <c r="O41" s="573"/>
      <c r="P41" s="574"/>
      <c r="Q41" s="574"/>
      <c r="R41" s="575" t="s">
        <v>139</v>
      </c>
      <c r="S41" s="576" t="s">
        <v>285</v>
      </c>
      <c r="T41" s="577">
        <v>0</v>
      </c>
      <c r="U41" s="577">
        <v>2348452.58</v>
      </c>
      <c r="V41" s="577">
        <f t="shared" si="8"/>
        <v>2348452.58</v>
      </c>
      <c r="X41" s="119"/>
      <c r="Y41" s="180"/>
      <c r="Z41" s="180"/>
    </row>
    <row r="42" spans="1:27" ht="46.5" customHeight="1" x14ac:dyDescent="0.25">
      <c r="A42" s="475">
        <v>33</v>
      </c>
      <c r="B42" s="558">
        <v>10</v>
      </c>
      <c r="C42" s="559" t="s">
        <v>144</v>
      </c>
      <c r="D42" s="560"/>
      <c r="E42" s="560"/>
      <c r="F42" s="560"/>
      <c r="G42" s="560"/>
      <c r="H42" s="560"/>
      <c r="I42" s="561"/>
      <c r="J42" s="562"/>
      <c r="K42" s="563"/>
      <c r="L42" s="563"/>
      <c r="M42" s="563"/>
      <c r="N42" s="563"/>
      <c r="O42" s="563"/>
      <c r="P42" s="293"/>
      <c r="Q42" s="293"/>
      <c r="R42" s="564" t="s">
        <v>139</v>
      </c>
      <c r="S42" s="565" t="s">
        <v>288</v>
      </c>
      <c r="T42" s="566">
        <v>0</v>
      </c>
      <c r="U42" s="566">
        <v>389490.94</v>
      </c>
      <c r="V42" s="567">
        <f t="shared" si="8"/>
        <v>389490.94</v>
      </c>
      <c r="W42" s="189"/>
      <c r="X42" s="182"/>
      <c r="Y42" s="183"/>
      <c r="Z42" s="212"/>
    </row>
    <row r="43" spans="1:27" ht="50.25" customHeight="1" thickBot="1" x14ac:dyDescent="0.3">
      <c r="A43" s="546">
        <v>30</v>
      </c>
      <c r="B43" s="547"/>
      <c r="C43" s="548" t="s">
        <v>279</v>
      </c>
      <c r="D43" s="549"/>
      <c r="E43" s="549"/>
      <c r="F43" s="549"/>
      <c r="G43" s="549"/>
      <c r="H43" s="549"/>
      <c r="I43" s="550"/>
      <c r="J43" s="551"/>
      <c r="K43" s="552"/>
      <c r="L43" s="552"/>
      <c r="M43" s="552"/>
      <c r="N43" s="552"/>
      <c r="O43" s="552"/>
      <c r="P43" s="552"/>
      <c r="Q43" s="552"/>
      <c r="R43" s="553" t="s">
        <v>255</v>
      </c>
      <c r="S43" s="554" t="s">
        <v>281</v>
      </c>
      <c r="T43" s="555">
        <v>0</v>
      </c>
      <c r="U43" s="555">
        <v>9690548.2599999998</v>
      </c>
      <c r="V43" s="556">
        <f t="shared" si="8"/>
        <v>9690548.2599999998</v>
      </c>
      <c r="X43" s="117"/>
      <c r="Y43" s="105"/>
      <c r="Z43" s="211"/>
    </row>
    <row r="44" spans="1:27" ht="35.1" customHeight="1" thickTop="1" thickBot="1" x14ac:dyDescent="0.3">
      <c r="A44" s="82">
        <v>34</v>
      </c>
      <c r="B44" s="321"/>
      <c r="C44" s="171" t="s">
        <v>149</v>
      </c>
      <c r="D44" s="322"/>
      <c r="E44" s="322"/>
      <c r="F44" s="322"/>
      <c r="G44" s="322"/>
      <c r="H44" s="322"/>
      <c r="I44" s="323"/>
      <c r="J44" s="172"/>
      <c r="K44" s="324"/>
      <c r="L44" s="324"/>
      <c r="M44" s="324"/>
      <c r="N44" s="324"/>
      <c r="O44" s="324"/>
      <c r="P44" s="173"/>
      <c r="Q44" s="173"/>
      <c r="R44" s="401" t="s">
        <v>139</v>
      </c>
      <c r="S44" s="401" t="s">
        <v>170</v>
      </c>
      <c r="T44" s="326"/>
      <c r="U44" s="326">
        <v>4746000</v>
      </c>
      <c r="V44" s="399">
        <f t="shared" si="8"/>
        <v>4746000</v>
      </c>
      <c r="X44" s="119"/>
      <c r="Y44" s="107"/>
      <c r="Z44" s="213"/>
    </row>
    <row r="45" spans="1:27" ht="35.1" customHeight="1" thickBot="1" x14ac:dyDescent="0.3">
      <c r="A45" s="504"/>
      <c r="B45" s="103"/>
      <c r="C45" s="505"/>
      <c r="D45" s="506"/>
      <c r="E45" s="506"/>
      <c r="F45" s="506"/>
      <c r="G45" s="506"/>
      <c r="H45" s="506"/>
      <c r="I45" s="507"/>
      <c r="J45" s="508"/>
      <c r="K45" s="509"/>
      <c r="L45" s="509"/>
      <c r="M45" s="509"/>
      <c r="N45" s="509"/>
      <c r="O45" s="509"/>
      <c r="P45" s="509"/>
      <c r="Q45" s="509"/>
      <c r="R45" s="510"/>
      <c r="S45" s="511"/>
      <c r="T45" s="512"/>
      <c r="U45" s="73">
        <f>SUM(U34:U44)</f>
        <v>19110752.48</v>
      </c>
      <c r="V45" s="73">
        <f>SUM(V34:V44)</f>
        <v>19110752.48</v>
      </c>
      <c r="X45" s="117"/>
      <c r="Y45" s="105"/>
      <c r="Z45" s="211"/>
    </row>
    <row r="46" spans="1:27" ht="33" customHeight="1" x14ac:dyDescent="0.25">
      <c r="A46" s="498"/>
      <c r="B46" s="499"/>
      <c r="C46" s="499"/>
      <c r="D46" s="499"/>
      <c r="E46" s="499"/>
      <c r="F46" s="499"/>
      <c r="G46" s="499"/>
      <c r="H46" s="500"/>
      <c r="I46" s="499"/>
      <c r="J46" s="500"/>
      <c r="K46" s="501"/>
      <c r="L46" s="501"/>
      <c r="M46" s="501"/>
      <c r="N46" s="501"/>
      <c r="O46" s="501"/>
      <c r="P46" s="501"/>
      <c r="Q46" s="501"/>
      <c r="R46" s="501"/>
      <c r="S46" s="502"/>
      <c r="T46" s="1187" t="s">
        <v>253</v>
      </c>
      <c r="U46" s="1188"/>
      <c r="V46" s="503"/>
      <c r="X46" s="65"/>
      <c r="Y46" s="81"/>
      <c r="Z46" s="81"/>
    </row>
    <row r="47" spans="1:27" ht="35.1" customHeight="1" x14ac:dyDescent="0.25">
      <c r="A47" s="82">
        <v>36</v>
      </c>
      <c r="B47" s="321"/>
      <c r="C47" s="171" t="s">
        <v>151</v>
      </c>
      <c r="D47" s="322"/>
      <c r="E47" s="322"/>
      <c r="F47" s="322"/>
      <c r="G47" s="322"/>
      <c r="H47" s="322"/>
      <c r="I47" s="323"/>
      <c r="J47" s="172"/>
      <c r="K47" s="324"/>
      <c r="L47" s="324"/>
      <c r="M47" s="324"/>
      <c r="N47" s="324"/>
      <c r="O47" s="324"/>
      <c r="P47" s="173"/>
      <c r="Q47" s="173"/>
      <c r="R47" s="404" t="s">
        <v>243</v>
      </c>
      <c r="S47" s="325"/>
      <c r="T47" s="326"/>
      <c r="U47" s="326"/>
      <c r="V47" s="399">
        <f>T47+U47</f>
        <v>0</v>
      </c>
      <c r="X47" s="119"/>
      <c r="Y47" s="107"/>
      <c r="Z47" s="213"/>
    </row>
    <row r="48" spans="1:27" ht="35.1" customHeight="1" thickBot="1" x14ac:dyDescent="0.3">
      <c r="A48" s="87">
        <v>37</v>
      </c>
      <c r="B48" s="327"/>
      <c r="C48" s="328" t="s">
        <v>152</v>
      </c>
      <c r="D48" s="329"/>
      <c r="E48" s="329"/>
      <c r="F48" s="329"/>
      <c r="G48" s="329"/>
      <c r="H48" s="329"/>
      <c r="I48" s="330"/>
      <c r="J48" s="331"/>
      <c r="K48" s="332"/>
      <c r="L48" s="332"/>
      <c r="M48" s="332"/>
      <c r="N48" s="332"/>
      <c r="O48" s="332"/>
      <c r="P48" s="333"/>
      <c r="Q48" s="333"/>
      <c r="R48" s="405" t="s">
        <v>243</v>
      </c>
      <c r="S48" s="334"/>
      <c r="T48" s="335"/>
      <c r="U48" s="335"/>
      <c r="V48" s="408">
        <f>T48+U48</f>
        <v>0</v>
      </c>
      <c r="X48" s="125"/>
      <c r="Y48" s="109"/>
      <c r="Z48" s="214"/>
    </row>
    <row r="49" spans="1:27" ht="31.5" customHeight="1" thickTop="1" thickBot="1" x14ac:dyDescent="0.3">
      <c r="A49" s="102"/>
      <c r="B49" s="66" t="s">
        <v>120</v>
      </c>
      <c r="C49" s="67"/>
      <c r="D49" s="68">
        <f t="shared" ref="D49:J49" si="9">SUM(D34:D48)</f>
        <v>0</v>
      </c>
      <c r="E49" s="68">
        <f t="shared" si="9"/>
        <v>0</v>
      </c>
      <c r="F49" s="68">
        <f t="shared" si="9"/>
        <v>0</v>
      </c>
      <c r="G49" s="68">
        <f t="shared" si="9"/>
        <v>0</v>
      </c>
      <c r="H49" s="68">
        <f t="shared" si="9"/>
        <v>0</v>
      </c>
      <c r="I49" s="68">
        <f t="shared" si="9"/>
        <v>0</v>
      </c>
      <c r="J49" s="68">
        <f t="shared" si="9"/>
        <v>0</v>
      </c>
      <c r="K49" s="69"/>
      <c r="L49" s="69"/>
      <c r="M49" s="69"/>
      <c r="N49" s="69"/>
      <c r="O49" s="69"/>
      <c r="P49" s="69"/>
      <c r="Q49" s="69"/>
      <c r="R49" s="69"/>
      <c r="S49" s="386"/>
      <c r="T49" s="86">
        <f>SUM(T34:T48)</f>
        <v>0</v>
      </c>
      <c r="U49" s="86">
        <f>SUM(U34:U48)-U45</f>
        <v>19110752.48</v>
      </c>
      <c r="V49" s="86">
        <f>SUM(V34:V48)-V45</f>
        <v>19110752.48</v>
      </c>
      <c r="W49" s="177"/>
      <c r="X49" s="69"/>
      <c r="Y49" s="86">
        <f>SUM(Y34:Y48)</f>
        <v>0</v>
      </c>
      <c r="Z49" s="215">
        <f>SUM(Z34:Z48)</f>
        <v>0</v>
      </c>
    </row>
    <row r="50" spans="1:27" ht="31.5" customHeight="1" thickBot="1" x14ac:dyDescent="0.3">
      <c r="A50" s="104"/>
      <c r="B50" s="103" t="s">
        <v>153</v>
      </c>
      <c r="C50" s="70"/>
      <c r="D50" s="71">
        <f>D32+D49</f>
        <v>392033916.06</v>
      </c>
      <c r="E50" s="70"/>
      <c r="F50" s="72"/>
      <c r="G50" s="71">
        <f>SUM(G27:G49)</f>
        <v>499469563.56</v>
      </c>
      <c r="H50" s="71">
        <f>SUM(H27:H49)</f>
        <v>525122531.06999999</v>
      </c>
      <c r="I50" s="71"/>
      <c r="J50" s="71">
        <f t="shared" ref="J50:Q50" si="10">J32+J49</f>
        <v>548004000</v>
      </c>
      <c r="K50" s="71">
        <f t="shared" si="10"/>
        <v>210417570.36000001</v>
      </c>
      <c r="L50" s="71">
        <f t="shared" si="10"/>
        <v>79978331.209999993</v>
      </c>
      <c r="M50" s="71">
        <f t="shared" si="10"/>
        <v>58868164.759999998</v>
      </c>
      <c r="N50" s="71">
        <f t="shared" si="10"/>
        <v>5245250.92</v>
      </c>
      <c r="O50" s="71">
        <f t="shared" si="10"/>
        <v>8616444.9800000004</v>
      </c>
      <c r="P50" s="71">
        <f t="shared" si="10"/>
        <v>369502955.38999999</v>
      </c>
      <c r="Q50" s="71">
        <f t="shared" si="10"/>
        <v>178501044.61000001</v>
      </c>
      <c r="R50" s="71"/>
      <c r="S50" s="402"/>
      <c r="T50" s="73">
        <f>T32+T49</f>
        <v>369502955.38</v>
      </c>
      <c r="U50" s="73">
        <f>U32+U49</f>
        <v>162898753.19999999</v>
      </c>
      <c r="V50" s="73">
        <f>V32+V49</f>
        <v>532401708.57999998</v>
      </c>
      <c r="W50" s="177"/>
      <c r="X50" s="71"/>
      <c r="Y50" s="73">
        <f>Y32+Y49</f>
        <v>39961110.119999997</v>
      </c>
      <c r="Z50" s="216">
        <f>Z32+Z49</f>
        <v>0</v>
      </c>
      <c r="AA50" s="406">
        <f>V50/1.0514</f>
        <v>506374080.82556599</v>
      </c>
    </row>
    <row r="51" spans="1:27" x14ac:dyDescent="0.25">
      <c r="AA51" s="557">
        <f>J50/AA50</f>
        <v>1.0822000000000001</v>
      </c>
    </row>
    <row r="52" spans="1:27" ht="45" customHeight="1" x14ac:dyDescent="0.25">
      <c r="A52" s="82">
        <v>35</v>
      </c>
      <c r="B52" s="41">
        <v>11</v>
      </c>
      <c r="C52" s="42" t="s">
        <v>277</v>
      </c>
      <c r="D52" s="43"/>
      <c r="E52" s="43"/>
      <c r="F52" s="43"/>
      <c r="G52" s="43"/>
      <c r="H52" s="43"/>
      <c r="I52" s="44"/>
      <c r="J52" s="55"/>
      <c r="K52" s="56"/>
      <c r="L52" s="56"/>
      <c r="M52" s="56"/>
      <c r="N52" s="56"/>
      <c r="O52" s="56"/>
      <c r="P52" s="53"/>
      <c r="Q52" s="53"/>
      <c r="R52" s="400" t="s">
        <v>139</v>
      </c>
      <c r="S52" s="190" t="s">
        <v>278</v>
      </c>
      <c r="T52" s="107">
        <v>0</v>
      </c>
      <c r="U52" s="107">
        <v>22184864.98</v>
      </c>
      <c r="V52" s="399">
        <f>T52+U52</f>
        <v>22184864.98</v>
      </c>
      <c r="X52" s="119"/>
      <c r="Y52" s="107"/>
      <c r="Z52" s="213"/>
    </row>
    <row r="53" spans="1:27" ht="16.5" thickBot="1" x14ac:dyDescent="0.3"/>
    <row r="54" spans="1:27" ht="31.5" customHeight="1" thickBot="1" x14ac:dyDescent="0.3">
      <c r="A54" s="104"/>
      <c r="B54" s="103" t="s">
        <v>153</v>
      </c>
      <c r="C54" s="70"/>
      <c r="D54" s="71">
        <f>D36+D53</f>
        <v>0</v>
      </c>
      <c r="E54" s="70"/>
      <c r="F54" s="72"/>
      <c r="G54" s="71">
        <f>SUM(G31:G53)</f>
        <v>933830597.49000001</v>
      </c>
      <c r="H54" s="71">
        <f>SUM(H31:H53)</f>
        <v>981792531.08000004</v>
      </c>
      <c r="I54" s="71"/>
      <c r="J54" s="71">
        <f t="shared" ref="J54:Q54" si="11">J36+J53</f>
        <v>0</v>
      </c>
      <c r="K54" s="71">
        <f t="shared" si="11"/>
        <v>0</v>
      </c>
      <c r="L54" s="71">
        <f t="shared" si="11"/>
        <v>0</v>
      </c>
      <c r="M54" s="71">
        <f t="shared" si="11"/>
        <v>0</v>
      </c>
      <c r="N54" s="71">
        <f t="shared" si="11"/>
        <v>0</v>
      </c>
      <c r="O54" s="71">
        <f t="shared" si="11"/>
        <v>0</v>
      </c>
      <c r="P54" s="71">
        <f t="shared" si="11"/>
        <v>0</v>
      </c>
      <c r="Q54" s="71">
        <f t="shared" si="11"/>
        <v>0</v>
      </c>
      <c r="R54" s="71"/>
      <c r="S54" s="402"/>
      <c r="T54" s="73">
        <f>T36+T53</f>
        <v>0</v>
      </c>
      <c r="U54" s="73">
        <f>U50+U52</f>
        <v>185083618.18000001</v>
      </c>
      <c r="V54" s="73">
        <f>V50+V52</f>
        <v>554586573.55999994</v>
      </c>
      <c r="W54" s="177"/>
      <c r="X54" s="71"/>
      <c r="Y54" s="73">
        <f>Y36+Y53</f>
        <v>0</v>
      </c>
      <c r="Z54" s="216">
        <f>Z36+Z53</f>
        <v>0</v>
      </c>
    </row>
    <row r="57" spans="1:27" x14ac:dyDescent="0.25">
      <c r="T57" s="45"/>
      <c r="V57" s="45"/>
    </row>
    <row r="58" spans="1:27" x14ac:dyDescent="0.25">
      <c r="T58" s="45"/>
    </row>
    <row r="59" spans="1:27" x14ac:dyDescent="0.25">
      <c r="T59" s="45"/>
    </row>
    <row r="60" spans="1:27" x14ac:dyDescent="0.25">
      <c r="V60" s="45"/>
    </row>
    <row r="70" spans="1:27" s="39" customFormat="1" ht="54.95" customHeight="1" x14ac:dyDescent="0.25">
      <c r="A70" s="46"/>
      <c r="B70" s="47"/>
      <c r="C70" s="46"/>
      <c r="D70" s="48"/>
      <c r="E70" s="46"/>
      <c r="F70" s="49"/>
      <c r="G70" s="48"/>
      <c r="H70" s="48"/>
      <c r="I70" s="48"/>
      <c r="J70" s="48"/>
      <c r="K70" s="50"/>
      <c r="M70" s="35"/>
      <c r="O70" s="35"/>
      <c r="P70" s="36"/>
      <c r="Q70" s="36"/>
      <c r="R70" s="36"/>
      <c r="S70" s="36"/>
      <c r="T70" s="36"/>
      <c r="U70" s="36"/>
      <c r="V70" s="36"/>
      <c r="W70" s="176"/>
      <c r="X70" s="36"/>
      <c r="Y70" s="36"/>
      <c r="Z70" s="36"/>
      <c r="AA70" s="407"/>
    </row>
    <row r="71" spans="1:27" s="39" customFormat="1" x14ac:dyDescent="0.25">
      <c r="A71" s="36"/>
      <c r="B71" s="36"/>
      <c r="C71" s="36"/>
      <c r="D71" s="45">
        <f>ССР!H58</f>
        <v>392033.92</v>
      </c>
      <c r="E71" s="36"/>
      <c r="F71" s="45"/>
      <c r="G71" s="45">
        <f>ССР!H76</f>
        <v>434361.04</v>
      </c>
      <c r="H71" s="45">
        <f>ССР!H78</f>
        <v>456670</v>
      </c>
      <c r="I71" s="36"/>
      <c r="J71" s="45"/>
      <c r="K71" s="35"/>
      <c r="M71" s="35"/>
      <c r="O71" s="35"/>
      <c r="P71" s="36"/>
      <c r="Q71" s="36"/>
      <c r="R71" s="36"/>
      <c r="S71" s="36"/>
      <c r="T71" s="36"/>
      <c r="U71" s="36"/>
      <c r="V71" s="36"/>
      <c r="W71" s="176"/>
      <c r="X71" s="36"/>
      <c r="Y71" s="36"/>
      <c r="Z71" s="36"/>
      <c r="AA71" s="407"/>
    </row>
    <row r="72" spans="1:27" s="39" customFormat="1" x14ac:dyDescent="0.25">
      <c r="A72" s="36"/>
      <c r="B72" s="36"/>
      <c r="C72" s="36"/>
      <c r="D72" s="45">
        <f>D32/1000</f>
        <v>392033.92</v>
      </c>
      <c r="E72" s="36"/>
      <c r="F72" s="51"/>
      <c r="G72" s="52">
        <f>G32/1000</f>
        <v>434361.03</v>
      </c>
      <c r="H72" s="52">
        <f>H32/1000</f>
        <v>456670</v>
      </c>
      <c r="I72" s="36"/>
      <c r="J72" s="45"/>
      <c r="K72" s="50"/>
      <c r="M72" s="35"/>
      <c r="O72" s="35"/>
      <c r="P72" s="36"/>
      <c r="Q72" s="36"/>
      <c r="R72" s="36"/>
      <c r="S72" s="36"/>
      <c r="T72" s="36"/>
      <c r="U72" s="36"/>
      <c r="V72" s="36"/>
      <c r="W72" s="176"/>
      <c r="X72" s="36"/>
      <c r="Y72" s="36"/>
      <c r="Z72" s="36"/>
      <c r="AA72" s="407"/>
    </row>
    <row r="73" spans="1:27" s="39" customFormat="1" x14ac:dyDescent="0.25">
      <c r="A73" s="36"/>
      <c r="B73" s="36"/>
      <c r="C73" s="36"/>
      <c r="D73" s="45"/>
      <c r="E73" s="45"/>
      <c r="F73" s="51"/>
      <c r="G73" s="36"/>
      <c r="H73" s="36"/>
      <c r="I73" s="36"/>
      <c r="J73" s="36"/>
      <c r="M73" s="35"/>
      <c r="O73" s="35"/>
      <c r="P73" s="36"/>
      <c r="Q73" s="36"/>
      <c r="R73" s="36"/>
      <c r="S73" s="36"/>
      <c r="T73" s="36"/>
      <c r="U73" s="36"/>
      <c r="V73" s="36"/>
      <c r="W73" s="176"/>
      <c r="X73" s="36"/>
      <c r="Y73" s="36"/>
      <c r="Z73" s="36"/>
      <c r="AA73" s="407"/>
    </row>
    <row r="93" spans="1:1" x14ac:dyDescent="0.25">
      <c r="A93" s="36">
        <v>7</v>
      </c>
    </row>
  </sheetData>
  <autoFilter ref="A3:W50" xr:uid="{00000000-0001-0000-0100-000000000000}"/>
  <mergeCells count="13">
    <mergeCell ref="A1:J1"/>
    <mergeCell ref="A3:A4"/>
    <mergeCell ref="B3:B4"/>
    <mergeCell ref="C3:C4"/>
    <mergeCell ref="G3:G4"/>
    <mergeCell ref="H3:H4"/>
    <mergeCell ref="I3:I4"/>
    <mergeCell ref="J3:J4"/>
    <mergeCell ref="T5:U5"/>
    <mergeCell ref="T20:U20"/>
    <mergeCell ref="T21:U21"/>
    <mergeCell ref="T33:U33"/>
    <mergeCell ref="T46:U46"/>
  </mergeCells>
  <pageMargins left="0.23622047244094491" right="0.23622047244094491" top="0.74803149606299213" bottom="0.74803149606299213" header="0.31496062992125984" footer="0.31496062992125984"/>
  <pageSetup paperSize="9" scale="58" fitToHeight="100" orientation="landscape" r:id="rId1"/>
  <rowBreaks count="2" manualBreakCount="2">
    <brk id="52" max="17" man="1"/>
    <brk id="59" max="9" man="1"/>
  </rowBreaks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E95AF3-DCA2-4B36-A69C-A8AE734BD3B2}">
  <sheetPr>
    <tabColor rgb="FFFF0000"/>
    <pageSetUpPr fitToPage="1"/>
  </sheetPr>
  <dimension ref="A1:AP92"/>
  <sheetViews>
    <sheetView topLeftCell="B1" zoomScale="55" zoomScaleNormal="55" zoomScaleSheetLayoutView="80" workbookViewId="0">
      <pane ySplit="3" topLeftCell="A42" activePane="bottomLeft" state="frozen"/>
      <selection pane="bottomLeft" activeCell="U46" sqref="U46"/>
    </sheetView>
  </sheetViews>
  <sheetFormatPr defaultColWidth="9.140625" defaultRowHeight="15.75" outlineLevelCol="1" x14ac:dyDescent="0.25"/>
  <cols>
    <col min="1" max="1" width="6.28515625" style="36" customWidth="1"/>
    <col min="2" max="2" width="17" style="36" customWidth="1"/>
    <col min="3" max="3" width="38.85546875" style="36" customWidth="1"/>
    <col min="4" max="4" width="20.5703125" style="36" hidden="1" customWidth="1" outlineLevel="1"/>
    <col min="5" max="5" width="18.85546875" style="36" hidden="1" customWidth="1" outlineLevel="1"/>
    <col min="6" max="6" width="17.5703125" style="36" hidden="1" customWidth="1" outlineLevel="1"/>
    <col min="7" max="7" width="20.7109375" style="36" hidden="1" customWidth="1" outlineLevel="1"/>
    <col min="8" max="8" width="19.5703125" style="36" hidden="1" customWidth="1" outlineLevel="1"/>
    <col min="9" max="9" width="8.5703125" style="36" hidden="1" customWidth="1" outlineLevel="1"/>
    <col min="10" max="10" width="22.28515625" style="36" customWidth="1" collapsed="1"/>
    <col min="11" max="11" width="20.42578125" style="39" hidden="1" customWidth="1" outlineLevel="1"/>
    <col min="12" max="12" width="16.85546875" style="39" hidden="1" customWidth="1" outlineLevel="1"/>
    <col min="13" max="13" width="18.140625" style="35" hidden="1" customWidth="1" outlineLevel="1"/>
    <col min="14" max="14" width="16.85546875" style="39" hidden="1" customWidth="1" outlineLevel="1"/>
    <col min="15" max="15" width="18.140625" style="35" hidden="1" customWidth="1" outlineLevel="1"/>
    <col min="16" max="16" width="18.42578125" style="36" customWidth="1" collapsed="1"/>
    <col min="17" max="17" width="20.28515625" style="36" customWidth="1"/>
    <col min="18" max="18" width="16.85546875" style="36" customWidth="1"/>
    <col min="19" max="19" width="40.85546875" style="36" customWidth="1"/>
    <col min="20" max="20" width="26.140625" style="36" customWidth="1"/>
    <col min="21" max="21" width="26.7109375" style="36" customWidth="1"/>
    <col min="22" max="22" width="31.42578125" style="36" customWidth="1"/>
    <col min="23" max="23" width="3.28515625" style="176" hidden="1" customWidth="1"/>
    <col min="24" max="24" width="27.5703125" style="36" hidden="1" customWidth="1"/>
    <col min="25" max="26" width="19" style="36" hidden="1" customWidth="1"/>
    <col min="27" max="27" width="29.28515625" style="406" hidden="1" customWidth="1"/>
    <col min="28" max="28" width="15" style="36" hidden="1" customWidth="1"/>
    <col min="29" max="29" width="19.28515625" style="36" hidden="1" customWidth="1"/>
    <col min="30" max="30" width="15.7109375" style="36" hidden="1" customWidth="1"/>
    <col min="31" max="31" width="19.85546875" style="36" hidden="1" customWidth="1"/>
    <col min="32" max="32" width="15.28515625" style="36" hidden="1" customWidth="1"/>
    <col min="33" max="40" width="0" style="36" hidden="1" customWidth="1"/>
    <col min="41" max="41" width="31.42578125" style="36" customWidth="1"/>
    <col min="42" max="42" width="16" style="36" bestFit="1" customWidth="1"/>
    <col min="43" max="16384" width="9.140625" style="36"/>
  </cols>
  <sheetData>
    <row r="1" spans="1:41" ht="8.25" customHeight="1" x14ac:dyDescent="0.25">
      <c r="A1" s="1189"/>
      <c r="B1" s="1189"/>
      <c r="C1" s="1189"/>
      <c r="D1" s="1189"/>
      <c r="E1" s="1189"/>
      <c r="F1" s="1189"/>
      <c r="G1" s="1189"/>
      <c r="H1" s="1189"/>
      <c r="I1" s="1189"/>
      <c r="J1" s="1189"/>
      <c r="K1" s="1141"/>
      <c r="L1" s="1141"/>
      <c r="N1" s="1141"/>
    </row>
    <row r="2" spans="1:41" ht="5.25" customHeight="1" thickBot="1" x14ac:dyDescent="0.3">
      <c r="A2" s="37"/>
      <c r="B2" s="37"/>
      <c r="C2" s="37"/>
      <c r="D2" s="37"/>
      <c r="E2" s="37"/>
      <c r="F2" s="37"/>
      <c r="G2" s="37"/>
      <c r="H2" s="37"/>
      <c r="I2" s="38"/>
      <c r="J2" s="37"/>
    </row>
    <row r="3" spans="1:41" ht="47.25" customHeight="1" x14ac:dyDescent="0.25">
      <c r="A3" s="1190" t="s">
        <v>111</v>
      </c>
      <c r="B3" s="1192" t="s">
        <v>112</v>
      </c>
      <c r="C3" s="1192" t="s">
        <v>113</v>
      </c>
      <c r="D3" s="1142" t="s">
        <v>114</v>
      </c>
      <c r="E3" s="1142" t="s">
        <v>115</v>
      </c>
      <c r="F3" s="1142" t="s">
        <v>116</v>
      </c>
      <c r="G3" s="1192" t="s">
        <v>117</v>
      </c>
      <c r="H3" s="1194" t="s">
        <v>125</v>
      </c>
      <c r="I3" s="1192" t="s">
        <v>118</v>
      </c>
      <c r="J3" s="1194" t="s">
        <v>244</v>
      </c>
      <c r="K3" s="74" t="s">
        <v>126</v>
      </c>
      <c r="L3" s="74" t="s">
        <v>127</v>
      </c>
      <c r="M3" s="75" t="s">
        <v>128</v>
      </c>
      <c r="N3" s="76" t="s">
        <v>134</v>
      </c>
      <c r="O3" s="77" t="s">
        <v>135</v>
      </c>
      <c r="P3" s="78" t="s">
        <v>136</v>
      </c>
      <c r="Q3" s="78" t="s">
        <v>121</v>
      </c>
      <c r="R3" s="79" t="s">
        <v>137</v>
      </c>
      <c r="S3" s="79" t="s">
        <v>138</v>
      </c>
      <c r="T3" s="80" t="s">
        <v>249</v>
      </c>
      <c r="U3" s="80" t="s">
        <v>276</v>
      </c>
      <c r="V3" s="80" t="s">
        <v>242</v>
      </c>
      <c r="X3" s="79" t="s">
        <v>193</v>
      </c>
      <c r="Y3" s="80" t="s">
        <v>157</v>
      </c>
      <c r="Z3" s="80" t="s">
        <v>137</v>
      </c>
      <c r="AA3" s="80" t="s">
        <v>293</v>
      </c>
      <c r="AO3" s="80" t="s">
        <v>342</v>
      </c>
    </row>
    <row r="4" spans="1:41" ht="14.25" customHeight="1" x14ac:dyDescent="0.25">
      <c r="A4" s="1191"/>
      <c r="B4" s="1193"/>
      <c r="C4" s="1193"/>
      <c r="D4" s="1143"/>
      <c r="E4" s="1143"/>
      <c r="F4" s="1143"/>
      <c r="G4" s="1193"/>
      <c r="H4" s="1195"/>
      <c r="I4" s="1193"/>
      <c r="J4" s="1195"/>
      <c r="K4" s="54" t="s">
        <v>122</v>
      </c>
      <c r="L4" s="54" t="s">
        <v>123</v>
      </c>
      <c r="M4" s="54" t="s">
        <v>124</v>
      </c>
      <c r="N4" s="54" t="s">
        <v>132</v>
      </c>
      <c r="O4" s="54" t="s">
        <v>133</v>
      </c>
      <c r="P4" s="40"/>
      <c r="Q4" s="40"/>
      <c r="R4" s="65"/>
      <c r="S4" s="65"/>
      <c r="T4" s="81"/>
      <c r="U4" s="81"/>
      <c r="V4" s="81"/>
      <c r="X4" s="65"/>
      <c r="Y4" s="81"/>
      <c r="Z4" s="81"/>
      <c r="AO4" s="81"/>
    </row>
    <row r="5" spans="1:41" x14ac:dyDescent="0.25">
      <c r="A5" s="380"/>
      <c r="B5" s="381"/>
      <c r="C5" s="381"/>
      <c r="D5" s="381"/>
      <c r="E5" s="381"/>
      <c r="F5" s="381"/>
      <c r="G5" s="381"/>
      <c r="H5" s="382"/>
      <c r="I5" s="381"/>
      <c r="J5" s="382"/>
      <c r="K5" s="383"/>
      <c r="L5" s="383"/>
      <c r="M5" s="383"/>
      <c r="N5" s="383"/>
      <c r="O5" s="383"/>
      <c r="P5" s="383"/>
      <c r="Q5" s="383"/>
      <c r="R5" s="383"/>
      <c r="S5" s="383"/>
      <c r="T5" s="1196" t="s">
        <v>283</v>
      </c>
      <c r="U5" s="1197"/>
      <c r="V5" s="384"/>
      <c r="X5" s="65"/>
      <c r="Y5" s="81"/>
      <c r="Z5" s="81"/>
      <c r="AO5" s="384"/>
    </row>
    <row r="6" spans="1:41" ht="54" customHeight="1" x14ac:dyDescent="0.25">
      <c r="A6" s="301">
        <v>1</v>
      </c>
      <c r="B6" s="620" t="s">
        <v>159</v>
      </c>
      <c r="C6" s="302" t="s">
        <v>26</v>
      </c>
      <c r="D6" s="621">
        <v>48841208.740000002</v>
      </c>
      <c r="E6" s="621">
        <v>4004979.12</v>
      </c>
      <c r="F6" s="621">
        <v>1268308.51</v>
      </c>
      <c r="G6" s="621">
        <v>54114496.369999997</v>
      </c>
      <c r="H6" s="621">
        <v>56893839.630000003</v>
      </c>
      <c r="I6" s="304">
        <v>1.2</v>
      </c>
      <c r="J6" s="305">
        <f t="shared" ref="J6:J21" si="0">ROUND(H6*I6,2)</f>
        <v>68272607.560000002</v>
      </c>
      <c r="K6" s="622">
        <v>65507253.219999999</v>
      </c>
      <c r="L6" s="622">
        <v>360012.73</v>
      </c>
      <c r="M6" s="622"/>
      <c r="N6" s="622"/>
      <c r="O6" s="622"/>
      <c r="P6" s="622">
        <f>K6+L6+M6+N6+O6</f>
        <v>65867265.950000003</v>
      </c>
      <c r="Q6" s="622">
        <f>J6-K6-L6-M6-N6-O6</f>
        <v>2405341.61</v>
      </c>
      <c r="R6" s="622" t="s">
        <v>139</v>
      </c>
      <c r="S6" s="623" t="s">
        <v>158</v>
      </c>
      <c r="T6" s="624">
        <f>P6</f>
        <v>65867265.950000003</v>
      </c>
      <c r="U6" s="624">
        <v>0</v>
      </c>
      <c r="V6" s="625">
        <f t="shared" ref="V6:V24" si="1">T6+U6</f>
        <v>65867265.950000003</v>
      </c>
      <c r="W6" s="177"/>
      <c r="X6" s="111"/>
      <c r="Y6" s="84"/>
      <c r="Z6" s="208"/>
      <c r="AA6" s="604"/>
      <c r="AC6" s="36">
        <v>0</v>
      </c>
      <c r="AD6" s="45">
        <f>U6-AC6</f>
        <v>0</v>
      </c>
      <c r="AO6" s="625">
        <f t="shared" ref="AO6:AO23" si="2">AM6+AN6</f>
        <v>0</v>
      </c>
    </row>
    <row r="7" spans="1:41" ht="49.5" customHeight="1" x14ac:dyDescent="0.25">
      <c r="A7" s="301">
        <v>2</v>
      </c>
      <c r="B7" s="620" t="s">
        <v>160</v>
      </c>
      <c r="C7" s="302" t="s">
        <v>9</v>
      </c>
      <c r="D7" s="621">
        <v>40054718.460000001</v>
      </c>
      <c r="E7" s="621">
        <v>3284486.91</v>
      </c>
      <c r="F7" s="621">
        <v>1040140.93</v>
      </c>
      <c r="G7" s="621">
        <v>44379346.299999997</v>
      </c>
      <c r="H7" s="621">
        <v>46658688.170000002</v>
      </c>
      <c r="I7" s="304">
        <v>1.2</v>
      </c>
      <c r="J7" s="305">
        <f t="shared" si="0"/>
        <v>55990425.799999997</v>
      </c>
      <c r="K7" s="622">
        <v>54911594.170000002</v>
      </c>
      <c r="L7" s="622"/>
      <c r="M7" s="622"/>
      <c r="N7" s="622"/>
      <c r="O7" s="622"/>
      <c r="P7" s="622">
        <f t="shared" ref="P7:P21" si="3">K7+L7+M7+N7+O7</f>
        <v>54911594.170000002</v>
      </c>
      <c r="Q7" s="622">
        <f t="shared" ref="Q7:Q21" si="4">J7-K7-L7-M7-N7-O7</f>
        <v>1078831.6299999999</v>
      </c>
      <c r="R7" s="622" t="s">
        <v>139</v>
      </c>
      <c r="S7" s="623" t="s">
        <v>158</v>
      </c>
      <c r="T7" s="624">
        <f t="shared" ref="T7:T21" si="5">P7</f>
        <v>54911594.170000002</v>
      </c>
      <c r="U7" s="624">
        <v>0</v>
      </c>
      <c r="V7" s="625">
        <f t="shared" si="1"/>
        <v>54911594.170000002</v>
      </c>
      <c r="X7" s="111"/>
      <c r="Y7" s="84"/>
      <c r="Z7" s="208"/>
      <c r="AA7" s="604"/>
      <c r="AC7" s="36">
        <v>0</v>
      </c>
      <c r="AD7" s="45">
        <f t="shared" ref="AD7:AD25" si="6">U7-AC7</f>
        <v>0</v>
      </c>
      <c r="AO7" s="625">
        <f t="shared" si="2"/>
        <v>0</v>
      </c>
    </row>
    <row r="8" spans="1:41" ht="35.1" customHeight="1" x14ac:dyDescent="0.25">
      <c r="A8" s="301">
        <v>3</v>
      </c>
      <c r="B8" s="620" t="s">
        <v>176</v>
      </c>
      <c r="C8" s="302" t="s">
        <v>10</v>
      </c>
      <c r="D8" s="621">
        <v>1177977.71</v>
      </c>
      <c r="E8" s="621">
        <v>96594.17</v>
      </c>
      <c r="F8" s="621">
        <v>30589.73</v>
      </c>
      <c r="G8" s="621">
        <v>1305161.6100000001</v>
      </c>
      <c r="H8" s="621">
        <v>1372195.26</v>
      </c>
      <c r="I8" s="304">
        <f>I6</f>
        <v>1.2</v>
      </c>
      <c r="J8" s="305">
        <f t="shared" si="0"/>
        <v>1646634.31</v>
      </c>
      <c r="K8" s="622"/>
      <c r="L8" s="622"/>
      <c r="M8" s="622">
        <v>1646696.3</v>
      </c>
      <c r="N8" s="622"/>
      <c r="O8" s="622"/>
      <c r="P8" s="622">
        <f t="shared" si="3"/>
        <v>1646696.3</v>
      </c>
      <c r="Q8" s="622">
        <v>0</v>
      </c>
      <c r="R8" s="622" t="s">
        <v>139</v>
      </c>
      <c r="S8" s="623" t="s">
        <v>158</v>
      </c>
      <c r="T8" s="624">
        <f t="shared" si="5"/>
        <v>1646696.3</v>
      </c>
      <c r="U8" s="624">
        <v>0</v>
      </c>
      <c r="V8" s="625">
        <f t="shared" si="1"/>
        <v>1646696.3</v>
      </c>
      <c r="X8" s="111"/>
      <c r="Y8" s="84"/>
      <c r="Z8" s="208"/>
      <c r="AA8" s="604"/>
      <c r="AC8" s="36">
        <v>0</v>
      </c>
      <c r="AD8" s="45">
        <f t="shared" si="6"/>
        <v>0</v>
      </c>
      <c r="AO8" s="625">
        <f t="shared" si="2"/>
        <v>0</v>
      </c>
    </row>
    <row r="9" spans="1:41" s="525" customFormat="1" ht="47.25" x14ac:dyDescent="0.25">
      <c r="A9" s="681">
        <v>4</v>
      </c>
      <c r="B9" s="682" t="s">
        <v>177</v>
      </c>
      <c r="C9" s="683" t="s">
        <v>36</v>
      </c>
      <c r="D9" s="684">
        <v>1615223.87</v>
      </c>
      <c r="E9" s="684">
        <v>132448.35999999999</v>
      </c>
      <c r="F9" s="684">
        <v>41944.13</v>
      </c>
      <c r="G9" s="684">
        <v>1789616.36</v>
      </c>
      <c r="H9" s="684">
        <v>1881531.81</v>
      </c>
      <c r="I9" s="685">
        <f>I19</f>
        <v>1.2</v>
      </c>
      <c r="J9" s="686">
        <f t="shared" si="0"/>
        <v>2257838.17</v>
      </c>
      <c r="K9" s="687"/>
      <c r="L9" s="687"/>
      <c r="M9" s="687">
        <v>1627347.05</v>
      </c>
      <c r="N9" s="687"/>
      <c r="O9" s="687"/>
      <c r="P9" s="687">
        <f>K9+L9+M9+N9+O9</f>
        <v>1627347.05</v>
      </c>
      <c r="Q9" s="687">
        <f t="shared" si="4"/>
        <v>630491.12</v>
      </c>
      <c r="R9" s="688" t="s">
        <v>139</v>
      </c>
      <c r="S9" s="689" t="s">
        <v>318</v>
      </c>
      <c r="T9" s="690">
        <f t="shared" si="5"/>
        <v>1627347.05</v>
      </c>
      <c r="U9" s="364">
        <f>381481.1*1.0514</f>
        <v>401089.23</v>
      </c>
      <c r="V9" s="691">
        <f t="shared" si="1"/>
        <v>2028436.28</v>
      </c>
      <c r="W9" s="231"/>
      <c r="X9" s="229" t="s">
        <v>139</v>
      </c>
      <c r="Y9" s="523">
        <f>1447989.61*1.082*1.024*1.0514*1.2</f>
        <v>2024146.22</v>
      </c>
      <c r="Z9" s="524" t="s">
        <v>186</v>
      </c>
      <c r="AA9" s="604">
        <v>2023649.39</v>
      </c>
      <c r="AB9" s="606">
        <f>AA9-V9</f>
        <v>-4786.8900000000003</v>
      </c>
      <c r="AC9" s="525">
        <v>400933.67</v>
      </c>
      <c r="AD9" s="45">
        <f t="shared" si="6"/>
        <v>155.56</v>
      </c>
      <c r="AO9" s="691">
        <f t="shared" si="2"/>
        <v>0</v>
      </c>
    </row>
    <row r="10" spans="1:41" ht="31.5" x14ac:dyDescent="0.25">
      <c r="A10" s="681">
        <v>5</v>
      </c>
      <c r="B10" s="682" t="s">
        <v>195</v>
      </c>
      <c r="C10" s="683" t="s">
        <v>313</v>
      </c>
      <c r="D10" s="684">
        <v>475031.03999999998</v>
      </c>
      <c r="E10" s="684">
        <v>38952.550000000003</v>
      </c>
      <c r="F10" s="684">
        <v>12335.61</v>
      </c>
      <c r="G10" s="684">
        <v>526319.19999999995</v>
      </c>
      <c r="H10" s="684">
        <v>553351.18000000005</v>
      </c>
      <c r="I10" s="685">
        <f>I27</f>
        <v>1.2</v>
      </c>
      <c r="J10" s="686">
        <f t="shared" si="0"/>
        <v>664021.42000000004</v>
      </c>
      <c r="K10" s="687"/>
      <c r="L10" s="687"/>
      <c r="M10" s="687"/>
      <c r="N10" s="687"/>
      <c r="O10" s="687"/>
      <c r="P10" s="687">
        <f t="shared" si="3"/>
        <v>0</v>
      </c>
      <c r="Q10" s="687">
        <f t="shared" si="4"/>
        <v>664021.42000000004</v>
      </c>
      <c r="R10" s="688" t="s">
        <v>139</v>
      </c>
      <c r="S10" s="689" t="s">
        <v>311</v>
      </c>
      <c r="T10" s="690">
        <f t="shared" si="5"/>
        <v>0</v>
      </c>
      <c r="U10" s="364">
        <f>328908.08*1.0514+75422.69*1.0514</f>
        <v>425113.37</v>
      </c>
      <c r="V10" s="691">
        <f t="shared" si="1"/>
        <v>425113.37</v>
      </c>
      <c r="W10" s="236"/>
      <c r="X10" s="228" t="s">
        <v>139</v>
      </c>
      <c r="Y10" s="232">
        <f>(235378.05+47139.18)*1.082*1.024*1.0514*1.2</f>
        <v>394931.14</v>
      </c>
      <c r="Z10" s="233" t="s">
        <v>186</v>
      </c>
      <c r="AA10" s="604">
        <v>388509.33</v>
      </c>
      <c r="AB10" s="606">
        <f t="shared" ref="AB10:AB17" si="7">AA10-V10</f>
        <v>-36604.04</v>
      </c>
      <c r="AC10" s="36">
        <v>370254</v>
      </c>
      <c r="AD10" s="45">
        <f t="shared" si="6"/>
        <v>54859.37</v>
      </c>
      <c r="AO10" s="691">
        <f t="shared" si="2"/>
        <v>0</v>
      </c>
    </row>
    <row r="11" spans="1:41" ht="31.5" x14ac:dyDescent="0.25">
      <c r="A11" s="681">
        <v>6</v>
      </c>
      <c r="B11" s="682" t="s">
        <v>178</v>
      </c>
      <c r="C11" s="683" t="s">
        <v>312</v>
      </c>
      <c r="D11" s="684">
        <v>2276671.21</v>
      </c>
      <c r="E11" s="684">
        <v>186687.04</v>
      </c>
      <c r="F11" s="684">
        <v>59120.6</v>
      </c>
      <c r="G11" s="684">
        <v>2522478.85</v>
      </c>
      <c r="H11" s="684">
        <v>2652034.42</v>
      </c>
      <c r="I11" s="685">
        <f>I27</f>
        <v>1.2</v>
      </c>
      <c r="J11" s="686">
        <f t="shared" si="0"/>
        <v>3182441.3</v>
      </c>
      <c r="K11" s="687"/>
      <c r="L11" s="687"/>
      <c r="M11" s="687"/>
      <c r="N11" s="687"/>
      <c r="O11" s="687"/>
      <c r="P11" s="687">
        <f t="shared" si="3"/>
        <v>0</v>
      </c>
      <c r="Q11" s="687">
        <f t="shared" si="4"/>
        <v>3182441.3</v>
      </c>
      <c r="R11" s="688" t="s">
        <v>139</v>
      </c>
      <c r="S11" s="689" t="s">
        <v>311</v>
      </c>
      <c r="T11" s="690">
        <f t="shared" si="5"/>
        <v>0</v>
      </c>
      <c r="U11" s="364">
        <f>4303628.36*1.0514+232553.33*1.0514</f>
        <v>4769341.43</v>
      </c>
      <c r="V11" s="691">
        <f t="shared" si="1"/>
        <v>4769341.43</v>
      </c>
      <c r="W11" s="178"/>
      <c r="X11" s="111" t="s">
        <v>139</v>
      </c>
      <c r="Y11" s="84">
        <f>(3206824.35+130942.19)*1.082*1.024*1.0514*1.2</f>
        <v>4665867.41</v>
      </c>
      <c r="Z11" s="233" t="s">
        <v>186</v>
      </c>
      <c r="AA11" s="604">
        <f>'вар НВ (с 0,65 и без упл)'!U11</f>
        <v>4814643</v>
      </c>
      <c r="AB11" s="606">
        <f t="shared" si="7"/>
        <v>45301.57</v>
      </c>
      <c r="AC11" s="45">
        <v>4524834.8600000003</v>
      </c>
      <c r="AD11" s="45">
        <f t="shared" si="6"/>
        <v>244506.57</v>
      </c>
      <c r="AO11" s="691">
        <f t="shared" si="2"/>
        <v>0</v>
      </c>
    </row>
    <row r="12" spans="1:41" ht="31.5" x14ac:dyDescent="0.25">
      <c r="A12" s="681">
        <v>7</v>
      </c>
      <c r="B12" s="682" t="s">
        <v>179</v>
      </c>
      <c r="C12" s="683" t="s">
        <v>47</v>
      </c>
      <c r="D12" s="684">
        <v>760016.55</v>
      </c>
      <c r="E12" s="684">
        <v>62321.36</v>
      </c>
      <c r="F12" s="684">
        <v>19736.11</v>
      </c>
      <c r="G12" s="684">
        <v>842074.02</v>
      </c>
      <c r="H12" s="684">
        <v>885323.3</v>
      </c>
      <c r="I12" s="685">
        <f>I20</f>
        <v>1.2</v>
      </c>
      <c r="J12" s="686">
        <f t="shared" si="0"/>
        <v>1062387.96</v>
      </c>
      <c r="K12" s="687"/>
      <c r="L12" s="687"/>
      <c r="M12" s="687"/>
      <c r="N12" s="687"/>
      <c r="O12" s="687"/>
      <c r="P12" s="687">
        <f t="shared" si="3"/>
        <v>0</v>
      </c>
      <c r="Q12" s="687">
        <f t="shared" si="4"/>
        <v>1062387.96</v>
      </c>
      <c r="R12" s="687" t="s">
        <v>139</v>
      </c>
      <c r="S12" s="689" t="s">
        <v>311</v>
      </c>
      <c r="T12" s="690">
        <f t="shared" si="5"/>
        <v>0</v>
      </c>
      <c r="U12" s="364">
        <f>1451570.46*1.0514</f>
        <v>1526181.18</v>
      </c>
      <c r="V12" s="691">
        <f t="shared" si="1"/>
        <v>1526181.18</v>
      </c>
      <c r="W12" s="231"/>
      <c r="X12" s="228" t="s">
        <v>139</v>
      </c>
      <c r="Y12" s="232">
        <f>1047143.73*1.082*1.024*1.0514*1.2</f>
        <v>1463803.34</v>
      </c>
      <c r="Z12" s="233" t="s">
        <v>186</v>
      </c>
      <c r="AA12" s="619">
        <v>1463803.34</v>
      </c>
      <c r="AB12" s="606">
        <f t="shared" si="7"/>
        <v>-62377.84</v>
      </c>
      <c r="AC12" s="36">
        <v>1553260.73</v>
      </c>
      <c r="AD12" s="45">
        <f t="shared" si="6"/>
        <v>-27079.55</v>
      </c>
      <c r="AO12" s="691">
        <f t="shared" si="2"/>
        <v>0</v>
      </c>
    </row>
    <row r="13" spans="1:41" ht="31.5" x14ac:dyDescent="0.25">
      <c r="A13" s="681">
        <v>8</v>
      </c>
      <c r="B13" s="682" t="s">
        <v>180</v>
      </c>
      <c r="C13" s="683" t="s">
        <v>49</v>
      </c>
      <c r="D13" s="684">
        <v>10454161.890000001</v>
      </c>
      <c r="E13" s="684">
        <v>857241.27</v>
      </c>
      <c r="F13" s="684">
        <v>271473.68</v>
      </c>
      <c r="G13" s="684">
        <v>11582876.84</v>
      </c>
      <c r="H13" s="684">
        <v>12177778.26</v>
      </c>
      <c r="I13" s="685">
        <f t="shared" ref="I13:I18" si="8">I6</f>
        <v>1.2</v>
      </c>
      <c r="J13" s="686">
        <f t="shared" si="0"/>
        <v>14613333.91</v>
      </c>
      <c r="K13" s="687"/>
      <c r="L13" s="687"/>
      <c r="M13" s="687"/>
      <c r="N13" s="687"/>
      <c r="O13" s="687"/>
      <c r="P13" s="687">
        <f t="shared" si="3"/>
        <v>0</v>
      </c>
      <c r="Q13" s="687">
        <f t="shared" si="4"/>
        <v>14613333.91</v>
      </c>
      <c r="R13" s="687" t="s">
        <v>139</v>
      </c>
      <c r="S13" s="689" t="str">
        <f>S10</f>
        <v>СОГЛАСОВАНО</v>
      </c>
      <c r="T13" s="690">
        <f t="shared" si="5"/>
        <v>0</v>
      </c>
      <c r="U13" s="364">
        <f>18693514.12*1.0514</f>
        <v>19654360.75</v>
      </c>
      <c r="V13" s="691">
        <f t="shared" si="1"/>
        <v>19654360.75</v>
      </c>
      <c r="W13" s="231"/>
      <c r="X13" s="228" t="s">
        <v>139</v>
      </c>
      <c r="Y13" s="232">
        <f>13422525.94*1.082*1.024*1.0514*1.2</f>
        <v>18763363.32</v>
      </c>
      <c r="Z13" s="233" t="s">
        <v>186</v>
      </c>
      <c r="AA13" s="619">
        <f>'вар НВ (с 0,65 и без упл)'!U13</f>
        <v>19308691</v>
      </c>
      <c r="AB13" s="606">
        <f t="shared" si="7"/>
        <v>-345669.75</v>
      </c>
      <c r="AC13" s="36">
        <v>19970832</v>
      </c>
      <c r="AD13" s="701">
        <f t="shared" si="6"/>
        <v>-316471.25</v>
      </c>
      <c r="AO13" s="691">
        <f t="shared" si="2"/>
        <v>0</v>
      </c>
    </row>
    <row r="14" spans="1:41" s="525" customFormat="1" ht="31.5" x14ac:dyDescent="0.25">
      <c r="A14" s="681">
        <v>9</v>
      </c>
      <c r="B14" s="682" t="s">
        <v>181</v>
      </c>
      <c r="C14" s="683" t="s">
        <v>52</v>
      </c>
      <c r="D14" s="684">
        <v>9143309.8300000001</v>
      </c>
      <c r="E14" s="684">
        <v>749751.41</v>
      </c>
      <c r="F14" s="684">
        <v>237433.47</v>
      </c>
      <c r="G14" s="684">
        <v>10130494.710000001</v>
      </c>
      <c r="H14" s="684">
        <v>10650801.17</v>
      </c>
      <c r="I14" s="685">
        <f t="shared" si="8"/>
        <v>1.2</v>
      </c>
      <c r="J14" s="686">
        <f t="shared" si="0"/>
        <v>12780961.4</v>
      </c>
      <c r="K14" s="687"/>
      <c r="L14" s="687"/>
      <c r="M14" s="687"/>
      <c r="N14" s="687"/>
      <c r="O14" s="687">
        <v>337909.86</v>
      </c>
      <c r="P14" s="687">
        <f t="shared" si="3"/>
        <v>337909.86</v>
      </c>
      <c r="Q14" s="687">
        <f t="shared" si="4"/>
        <v>12443051.539999999</v>
      </c>
      <c r="R14" s="687" t="s">
        <v>139</v>
      </c>
      <c r="S14" s="689" t="s">
        <v>311</v>
      </c>
      <c r="T14" s="690">
        <f t="shared" si="5"/>
        <v>337909.86</v>
      </c>
      <c r="U14" s="364">
        <f>2088473.11*1.0514</f>
        <v>2195820.63</v>
      </c>
      <c r="V14" s="691">
        <f t="shared" si="1"/>
        <v>2533730.4900000002</v>
      </c>
      <c r="W14" s="178"/>
      <c r="X14" s="175" t="s">
        <v>139</v>
      </c>
      <c r="Y14" s="174">
        <f>1724717.19*1.082*1.024*1.0514*1.2</f>
        <v>2410984</v>
      </c>
      <c r="Z14" s="524" t="s">
        <v>186</v>
      </c>
      <c r="AA14" s="619">
        <f>'вар НВ (с 0,65 и без упл)'!U14</f>
        <v>2202170</v>
      </c>
      <c r="AB14" s="606">
        <f t="shared" si="7"/>
        <v>-331560.49</v>
      </c>
      <c r="AC14" s="525">
        <v>2221220.66</v>
      </c>
      <c r="AD14" s="45">
        <f t="shared" si="6"/>
        <v>-25400.03</v>
      </c>
      <c r="AO14" s="691">
        <f t="shared" si="2"/>
        <v>0</v>
      </c>
    </row>
    <row r="15" spans="1:41" s="525" customFormat="1" ht="31.5" x14ac:dyDescent="0.25">
      <c r="A15" s="681">
        <v>10</v>
      </c>
      <c r="B15" s="682" t="s">
        <v>182</v>
      </c>
      <c r="C15" s="683" t="s">
        <v>54</v>
      </c>
      <c r="D15" s="684">
        <v>21996729.18</v>
      </c>
      <c r="E15" s="684">
        <v>1803731.79</v>
      </c>
      <c r="F15" s="684">
        <v>571211.06000000006</v>
      </c>
      <c r="G15" s="684">
        <v>24371672.030000001</v>
      </c>
      <c r="H15" s="684">
        <v>25623411.34</v>
      </c>
      <c r="I15" s="685">
        <f t="shared" si="8"/>
        <v>1.2</v>
      </c>
      <c r="J15" s="686">
        <f t="shared" si="0"/>
        <v>30748093.609999999</v>
      </c>
      <c r="K15" s="687"/>
      <c r="L15" s="687"/>
      <c r="M15" s="687">
        <v>1211400.79</v>
      </c>
      <c r="N15" s="687"/>
      <c r="O15" s="687"/>
      <c r="P15" s="687">
        <f t="shared" si="3"/>
        <v>1211400.79</v>
      </c>
      <c r="Q15" s="687">
        <f t="shared" si="4"/>
        <v>29536692.82</v>
      </c>
      <c r="R15" s="688" t="s">
        <v>139</v>
      </c>
      <c r="S15" s="689" t="s">
        <v>311</v>
      </c>
      <c r="T15" s="690">
        <f t="shared" si="5"/>
        <v>1211400.79</v>
      </c>
      <c r="U15" s="364">
        <f>2857250.86*1.0514</f>
        <v>3004113.55</v>
      </c>
      <c r="V15" s="691">
        <f t="shared" si="1"/>
        <v>4215514.34</v>
      </c>
      <c r="W15" s="178"/>
      <c r="X15" s="175" t="s">
        <v>139</v>
      </c>
      <c r="Y15" s="174">
        <f>2827828.36*1.082*1.024*1.0514*1.2</f>
        <v>3953024.28</v>
      </c>
      <c r="Z15" s="524" t="s">
        <v>186</v>
      </c>
      <c r="AA15" s="619">
        <f>'вар НВ (с 0,65 и без упл)'!V15</f>
        <v>4448059.79</v>
      </c>
      <c r="AB15" s="606">
        <f t="shared" si="7"/>
        <v>232545.45</v>
      </c>
      <c r="AC15" s="525">
        <v>3314342.94</v>
      </c>
      <c r="AD15" s="45">
        <f t="shared" si="6"/>
        <v>-310229.39</v>
      </c>
      <c r="AE15" s="525" t="s">
        <v>326</v>
      </c>
      <c r="AO15" s="691">
        <f t="shared" si="2"/>
        <v>0</v>
      </c>
    </row>
    <row r="16" spans="1:41" ht="31.5" x14ac:dyDescent="0.25">
      <c r="A16" s="681">
        <v>11</v>
      </c>
      <c r="B16" s="682" t="s">
        <v>183</v>
      </c>
      <c r="C16" s="683" t="s">
        <v>62</v>
      </c>
      <c r="D16" s="684">
        <v>1890203.39</v>
      </c>
      <c r="E16" s="684">
        <v>154996.68</v>
      </c>
      <c r="F16" s="684">
        <v>49084.800000000003</v>
      </c>
      <c r="G16" s="684">
        <v>2094284.87</v>
      </c>
      <c r="H16" s="684">
        <v>2201848.2200000002</v>
      </c>
      <c r="I16" s="685">
        <f t="shared" si="8"/>
        <v>1.2</v>
      </c>
      <c r="J16" s="686">
        <f t="shared" si="0"/>
        <v>2642217.86</v>
      </c>
      <c r="K16" s="687"/>
      <c r="L16" s="687"/>
      <c r="M16" s="687"/>
      <c r="N16" s="687"/>
      <c r="O16" s="687"/>
      <c r="P16" s="687">
        <f t="shared" si="3"/>
        <v>0</v>
      </c>
      <c r="Q16" s="687">
        <f t="shared" si="4"/>
        <v>2642217.86</v>
      </c>
      <c r="R16" s="687" t="s">
        <v>139</v>
      </c>
      <c r="S16" s="689" t="s">
        <v>311</v>
      </c>
      <c r="T16" s="690">
        <f t="shared" si="5"/>
        <v>0</v>
      </c>
      <c r="U16" s="364">
        <f>2349488.86*1.0514</f>
        <v>2470252.59</v>
      </c>
      <c r="V16" s="691">
        <f t="shared" si="1"/>
        <v>2470252.59</v>
      </c>
      <c r="W16" s="178"/>
      <c r="X16" s="111" t="s">
        <v>139</v>
      </c>
      <c r="Y16" s="84">
        <f>1675854.44*1.082*1.024*1.0514*1.2</f>
        <v>2342678.71</v>
      </c>
      <c r="Z16" s="233" t="s">
        <v>186</v>
      </c>
      <c r="AA16" s="619">
        <f>'вар НВ (с 0,65 и без упл)'!U16</f>
        <v>2387178</v>
      </c>
      <c r="AB16" s="606">
        <f t="shared" si="7"/>
        <v>-83074.59</v>
      </c>
      <c r="AC16" s="36">
        <v>2509941.54</v>
      </c>
      <c r="AD16" s="45">
        <f t="shared" si="6"/>
        <v>-39688.949999999997</v>
      </c>
      <c r="AO16" s="691">
        <f t="shared" si="2"/>
        <v>0</v>
      </c>
    </row>
    <row r="17" spans="1:42" ht="31.5" x14ac:dyDescent="0.25">
      <c r="A17" s="681">
        <v>12</v>
      </c>
      <c r="B17" s="682" t="s">
        <v>184</v>
      </c>
      <c r="C17" s="683" t="s">
        <v>64</v>
      </c>
      <c r="D17" s="684">
        <v>4003449.34</v>
      </c>
      <c r="E17" s="684">
        <v>328282.84999999998</v>
      </c>
      <c r="F17" s="684">
        <v>103961.57</v>
      </c>
      <c r="G17" s="684">
        <v>4435693.76</v>
      </c>
      <c r="H17" s="684">
        <v>4663512.8499999996</v>
      </c>
      <c r="I17" s="685">
        <f t="shared" si="8"/>
        <v>1.2</v>
      </c>
      <c r="J17" s="686">
        <f t="shared" si="0"/>
        <v>5596215.4199999999</v>
      </c>
      <c r="K17" s="687"/>
      <c r="L17" s="687"/>
      <c r="M17" s="687"/>
      <c r="N17" s="687"/>
      <c r="O17" s="687"/>
      <c r="P17" s="687">
        <f t="shared" si="3"/>
        <v>0</v>
      </c>
      <c r="Q17" s="687">
        <f t="shared" si="4"/>
        <v>5596215.4199999999</v>
      </c>
      <c r="R17" s="687" t="s">
        <v>139</v>
      </c>
      <c r="S17" s="689" t="s">
        <v>311</v>
      </c>
      <c r="T17" s="690">
        <f t="shared" si="5"/>
        <v>0</v>
      </c>
      <c r="U17" s="364">
        <f>4471850.99*1.0514</f>
        <v>4701704.13</v>
      </c>
      <c r="V17" s="691">
        <f t="shared" si="1"/>
        <v>4701704.13</v>
      </c>
      <c r="W17" s="178"/>
      <c r="X17" s="111" t="s">
        <v>139</v>
      </c>
      <c r="Y17" s="84">
        <f>2820165.03*1.082*1.024*1.0514*1.2</f>
        <v>3942311.7</v>
      </c>
      <c r="Z17" s="233" t="s">
        <v>186</v>
      </c>
      <c r="AA17" s="619">
        <v>3942311.7</v>
      </c>
      <c r="AB17" s="606">
        <f t="shared" si="7"/>
        <v>-759392.43</v>
      </c>
      <c r="AC17" s="36">
        <v>4764781</v>
      </c>
      <c r="AD17" s="45">
        <f t="shared" si="6"/>
        <v>-63076.87</v>
      </c>
      <c r="AO17" s="691">
        <f t="shared" si="2"/>
        <v>0</v>
      </c>
    </row>
    <row r="18" spans="1:42" ht="32.25" thickBot="1" x14ac:dyDescent="0.3">
      <c r="A18" s="681">
        <v>13</v>
      </c>
      <c r="B18" s="682" t="s">
        <v>289</v>
      </c>
      <c r="C18" s="683" t="s">
        <v>67</v>
      </c>
      <c r="D18" s="684">
        <v>8291915.46</v>
      </c>
      <c r="E18" s="684">
        <v>679937.07</v>
      </c>
      <c r="F18" s="684">
        <v>215324.46</v>
      </c>
      <c r="G18" s="684">
        <v>9187176.9900000002</v>
      </c>
      <c r="H18" s="684">
        <v>9659034.2599999998</v>
      </c>
      <c r="I18" s="685">
        <f t="shared" si="8"/>
        <v>1.2</v>
      </c>
      <c r="J18" s="686">
        <f t="shared" si="0"/>
        <v>11590841.109999999</v>
      </c>
      <c r="K18" s="702"/>
      <c r="L18" s="702"/>
      <c r="M18" s="702"/>
      <c r="N18" s="702"/>
      <c r="O18" s="702"/>
      <c r="P18" s="687">
        <f t="shared" si="3"/>
        <v>0</v>
      </c>
      <c r="Q18" s="687">
        <f t="shared" si="4"/>
        <v>11590841.109999999</v>
      </c>
      <c r="R18" s="703" t="s">
        <v>139</v>
      </c>
      <c r="S18" s="689" t="str">
        <f>S15</f>
        <v>СОГЛАСОВАНО</v>
      </c>
      <c r="T18" s="690">
        <f t="shared" si="5"/>
        <v>0</v>
      </c>
      <c r="U18" s="364">
        <f>6105289.42*1.0514</f>
        <v>6419101.2999999998</v>
      </c>
      <c r="V18" s="691">
        <f t="shared" si="1"/>
        <v>6419101.2999999998</v>
      </c>
      <c r="W18" s="188"/>
      <c r="X18" s="111"/>
      <c r="Y18" s="84"/>
      <c r="Z18" s="208"/>
      <c r="AA18" s="604"/>
      <c r="AB18" s="526"/>
      <c r="AC18" s="36">
        <v>6207964</v>
      </c>
      <c r="AD18" s="45">
        <f t="shared" si="6"/>
        <v>211137.3</v>
      </c>
      <c r="AO18" s="691">
        <f t="shared" si="2"/>
        <v>0</v>
      </c>
    </row>
    <row r="19" spans="1:42" ht="36" customHeight="1" x14ac:dyDescent="0.25">
      <c r="A19" s="301">
        <v>14</v>
      </c>
      <c r="B19" s="626" t="s">
        <v>306</v>
      </c>
      <c r="C19" s="302" t="s">
        <v>11</v>
      </c>
      <c r="D19" s="621">
        <v>161452921.99000001</v>
      </c>
      <c r="E19" s="621">
        <v>13239139.6</v>
      </c>
      <c r="F19" s="621">
        <v>4192609.48</v>
      </c>
      <c r="G19" s="621">
        <v>178884671.06999999</v>
      </c>
      <c r="H19" s="621">
        <v>188072263.84999999</v>
      </c>
      <c r="I19" s="304">
        <f>I6</f>
        <v>1.2</v>
      </c>
      <c r="J19" s="305">
        <f t="shared" si="0"/>
        <v>225686716.62</v>
      </c>
      <c r="K19" s="622">
        <v>89998722.969999999</v>
      </c>
      <c r="L19" s="622">
        <v>66544414.909999996</v>
      </c>
      <c r="M19" s="622">
        <v>42672742.899999999</v>
      </c>
      <c r="N19" s="622"/>
      <c r="O19" s="622"/>
      <c r="P19" s="622">
        <f t="shared" si="3"/>
        <v>199215880.78</v>
      </c>
      <c r="Q19" s="622">
        <f t="shared" si="4"/>
        <v>26470835.84</v>
      </c>
      <c r="R19" s="622" t="s">
        <v>139</v>
      </c>
      <c r="S19" s="1140" t="s">
        <v>329</v>
      </c>
      <c r="T19" s="624">
        <f t="shared" si="5"/>
        <v>199215880.78</v>
      </c>
      <c r="U19" s="1105">
        <f>36971378.32*1.0514</f>
        <v>38871707.170000002</v>
      </c>
      <c r="V19" s="625">
        <f t="shared" si="1"/>
        <v>238087587.94999999</v>
      </c>
      <c r="X19" s="111"/>
      <c r="Y19" s="84"/>
      <c r="Z19" s="208"/>
      <c r="AA19" s="36"/>
      <c r="AB19" s="45"/>
      <c r="AC19" s="36">
        <v>37091104.509999998</v>
      </c>
      <c r="AD19" s="45">
        <f t="shared" si="6"/>
        <v>1780602.66</v>
      </c>
      <c r="AE19" s="1106">
        <f>43185111*1.0514</f>
        <v>45404825.710000001</v>
      </c>
      <c r="AF19" s="1099" t="s">
        <v>330</v>
      </c>
      <c r="AG19" s="1100"/>
      <c r="AH19" s="1100"/>
      <c r="AI19" s="1100"/>
      <c r="AJ19" s="1100"/>
      <c r="AK19" s="1101"/>
      <c r="AO19" s="625">
        <f>'реестр под ФАКТ суммы с накрут'!U19</f>
        <v>45404825.840000004</v>
      </c>
      <c r="AP19" s="45">
        <f>U19-AO19</f>
        <v>-6533118.6699999999</v>
      </c>
    </row>
    <row r="20" spans="1:42" s="585" customFormat="1" ht="35.25" customHeight="1" thickBot="1" x14ac:dyDescent="0.3">
      <c r="A20" s="681">
        <v>15</v>
      </c>
      <c r="B20" s="1044" t="s">
        <v>307</v>
      </c>
      <c r="C20" s="683" t="s">
        <v>34</v>
      </c>
      <c r="D20" s="684">
        <v>10526911.91</v>
      </c>
      <c r="E20" s="684">
        <v>863206.78</v>
      </c>
      <c r="F20" s="684">
        <v>273362.84999999998</v>
      </c>
      <c r="G20" s="684">
        <v>11663481.539999999</v>
      </c>
      <c r="H20" s="684">
        <v>12262522.85</v>
      </c>
      <c r="I20" s="685">
        <f>I8</f>
        <v>1.2</v>
      </c>
      <c r="J20" s="686">
        <f t="shared" si="0"/>
        <v>14715027.42</v>
      </c>
      <c r="K20" s="687"/>
      <c r="L20" s="687">
        <v>10775049.08</v>
      </c>
      <c r="M20" s="687"/>
      <c r="N20" s="687"/>
      <c r="O20" s="687"/>
      <c r="P20" s="687">
        <f t="shared" si="3"/>
        <v>10775049.08</v>
      </c>
      <c r="Q20" s="687">
        <f t="shared" si="4"/>
        <v>3939978.34</v>
      </c>
      <c r="R20" s="687" t="s">
        <v>139</v>
      </c>
      <c r="S20" s="689" t="s">
        <v>311</v>
      </c>
      <c r="T20" s="690">
        <f t="shared" si="5"/>
        <v>10775049.08</v>
      </c>
      <c r="U20" s="364">
        <f>3431255.45*1.0514</f>
        <v>3607621.98</v>
      </c>
      <c r="V20" s="691">
        <f t="shared" si="1"/>
        <v>14382671.060000001</v>
      </c>
      <c r="W20" s="582"/>
      <c r="X20" s="111"/>
      <c r="Y20" s="83"/>
      <c r="Z20" s="583"/>
      <c r="AA20" s="584"/>
      <c r="AC20" s="585">
        <v>1790752.08</v>
      </c>
      <c r="AD20" s="45">
        <f t="shared" si="6"/>
        <v>1816869.9</v>
      </c>
      <c r="AE20" s="1107">
        <v>40553265.479999997</v>
      </c>
      <c r="AF20" s="1102" t="s">
        <v>331</v>
      </c>
      <c r="AG20" s="1103"/>
      <c r="AH20" s="1103"/>
      <c r="AI20" s="1103"/>
      <c r="AJ20" s="1103"/>
      <c r="AK20" s="1104"/>
      <c r="AO20" s="691">
        <f t="shared" si="2"/>
        <v>0</v>
      </c>
    </row>
    <row r="21" spans="1:42" s="449" customFormat="1" ht="36" customHeight="1" x14ac:dyDescent="0.25">
      <c r="A21" s="692">
        <v>16</v>
      </c>
      <c r="B21" s="693" t="s">
        <v>59</v>
      </c>
      <c r="C21" s="694" t="s">
        <v>60</v>
      </c>
      <c r="D21" s="695">
        <v>4859580.66</v>
      </c>
      <c r="E21" s="695">
        <v>398485.61</v>
      </c>
      <c r="F21" s="695">
        <v>126193.59</v>
      </c>
      <c r="G21" s="695">
        <v>5384259.8600000003</v>
      </c>
      <c r="H21" s="695">
        <v>5660797.71</v>
      </c>
      <c r="I21" s="696">
        <f>I14</f>
        <v>1.2</v>
      </c>
      <c r="J21" s="697">
        <f t="shared" si="0"/>
        <v>6792957.25</v>
      </c>
      <c r="K21" s="698"/>
      <c r="L21" s="698"/>
      <c r="M21" s="698"/>
      <c r="N21" s="698"/>
      <c r="O21" s="698">
        <v>562345.21</v>
      </c>
      <c r="P21" s="698">
        <f t="shared" si="3"/>
        <v>562345.21</v>
      </c>
      <c r="Q21" s="698">
        <f t="shared" si="4"/>
        <v>6230612.04</v>
      </c>
      <c r="R21" s="687" t="s">
        <v>139</v>
      </c>
      <c r="S21" s="689" t="s">
        <v>311</v>
      </c>
      <c r="T21" s="699">
        <f t="shared" si="5"/>
        <v>562345.21</v>
      </c>
      <c r="U21" s="364">
        <f>3262429.24*1.0514</f>
        <v>3430118.1</v>
      </c>
      <c r="V21" s="691">
        <f t="shared" si="1"/>
        <v>3992463.31</v>
      </c>
      <c r="W21" s="451"/>
      <c r="X21" s="446"/>
      <c r="Y21" s="443"/>
      <c r="Z21" s="447"/>
      <c r="AA21" s="448"/>
      <c r="AC21" s="449">
        <v>3430118.1</v>
      </c>
      <c r="AD21" s="45">
        <f t="shared" si="6"/>
        <v>0</v>
      </c>
      <c r="AO21" s="691">
        <f t="shared" si="2"/>
        <v>0</v>
      </c>
    </row>
    <row r="22" spans="1:42" s="585" customFormat="1" ht="43.5" customHeight="1" x14ac:dyDescent="0.25">
      <c r="A22" s="681">
        <v>17</v>
      </c>
      <c r="B22" s="682" t="s">
        <v>58</v>
      </c>
      <c r="C22" s="683" t="s">
        <v>297</v>
      </c>
      <c r="D22" s="684">
        <v>4044845.15</v>
      </c>
      <c r="E22" s="684">
        <v>331677.3</v>
      </c>
      <c r="F22" s="684">
        <v>105036.54</v>
      </c>
      <c r="G22" s="684">
        <v>4481558.99</v>
      </c>
      <c r="H22" s="684">
        <v>4711733.74</v>
      </c>
      <c r="I22" s="685">
        <f>I13</f>
        <v>1.2</v>
      </c>
      <c r="J22" s="686">
        <f>ROUND(H22*I22,2)</f>
        <v>5654080.4900000002</v>
      </c>
      <c r="K22" s="687"/>
      <c r="L22" s="687"/>
      <c r="M22" s="687"/>
      <c r="N22" s="687"/>
      <c r="O22" s="687">
        <v>3594854.48</v>
      </c>
      <c r="P22" s="687">
        <f>K22+L22+M22+N22+O22</f>
        <v>3594854.48</v>
      </c>
      <c r="Q22" s="687">
        <f>J22-K22-L22-M22-N22-O22</f>
        <v>2059226.01</v>
      </c>
      <c r="R22" s="687" t="s">
        <v>139</v>
      </c>
      <c r="S22" s="689" t="s">
        <v>311</v>
      </c>
      <c r="T22" s="690">
        <f>P22</f>
        <v>3594854.48</v>
      </c>
      <c r="U22" s="364">
        <f>1011166.15*1.0514</f>
        <v>1063140.0900000001</v>
      </c>
      <c r="V22" s="691">
        <f t="shared" si="1"/>
        <v>4657994.57</v>
      </c>
      <c r="W22" s="582"/>
      <c r="X22" s="111"/>
      <c r="Y22" s="83"/>
      <c r="Z22" s="583"/>
      <c r="AA22" s="584" t="s">
        <v>295</v>
      </c>
      <c r="AO22" s="691">
        <f t="shared" si="2"/>
        <v>0</v>
      </c>
    </row>
    <row r="23" spans="1:42" ht="31.5" x14ac:dyDescent="0.25">
      <c r="A23" s="681">
        <v>18</v>
      </c>
      <c r="B23" s="682" t="s">
        <v>70</v>
      </c>
      <c r="C23" s="683" t="s">
        <v>324</v>
      </c>
      <c r="D23" s="1051">
        <v>5005903.75</v>
      </c>
      <c r="E23" s="1051">
        <v>410484.11</v>
      </c>
      <c r="F23" s="1051">
        <v>129993.31</v>
      </c>
      <c r="G23" s="1051">
        <v>5546381.1699999999</v>
      </c>
      <c r="H23" s="1051">
        <v>5831245.6399999997</v>
      </c>
      <c r="I23" s="1052">
        <f>I12</f>
        <v>1.2</v>
      </c>
      <c r="J23" s="686">
        <f>ROUND(H23*I23,2)</f>
        <v>6997494.7699999996</v>
      </c>
      <c r="K23" s="1053"/>
      <c r="L23" s="1053">
        <v>2298854.48</v>
      </c>
      <c r="M23" s="1053"/>
      <c r="N23" s="1053"/>
      <c r="O23" s="1053"/>
      <c r="P23" s="687">
        <f>K23+L23+M23+N23+O23</f>
        <v>2298854.48</v>
      </c>
      <c r="Q23" s="687">
        <f>J23-K23-L23-M23-N23-O23</f>
        <v>4698640.29</v>
      </c>
      <c r="R23" s="687" t="s">
        <v>139</v>
      </c>
      <c r="S23" s="689" t="s">
        <v>311</v>
      </c>
      <c r="T23" s="690">
        <f>P23</f>
        <v>2298854.48</v>
      </c>
      <c r="U23" s="364">
        <f>18120717.24*1.0514</f>
        <v>19052122.109999999</v>
      </c>
      <c r="V23" s="691">
        <f t="shared" si="1"/>
        <v>21350976.59</v>
      </c>
      <c r="W23" s="1054"/>
      <c r="X23" s="1055"/>
      <c r="Y23" s="1056"/>
      <c r="Z23" s="1057"/>
      <c r="AA23" s="1058" t="s">
        <v>295</v>
      </c>
      <c r="AB23" s="1059"/>
      <c r="AC23" s="1059"/>
      <c r="AD23" s="1059"/>
      <c r="AE23" s="1062"/>
      <c r="AF23" s="1062"/>
      <c r="AG23" s="1062"/>
      <c r="AH23" s="1062"/>
      <c r="AI23" s="1062"/>
      <c r="AJ23" s="1062"/>
      <c r="AO23" s="691">
        <f t="shared" si="2"/>
        <v>0</v>
      </c>
    </row>
    <row r="24" spans="1:42" ht="42.75" customHeight="1" thickBot="1" x14ac:dyDescent="0.3">
      <c r="A24" s="301">
        <v>20</v>
      </c>
      <c r="B24" s="620" t="s">
        <v>71</v>
      </c>
      <c r="C24" s="302" t="s">
        <v>109</v>
      </c>
      <c r="D24" s="621">
        <v>48898423.600000001</v>
      </c>
      <c r="E24" s="621">
        <v>4009670.74</v>
      </c>
      <c r="F24" s="621">
        <v>1269794.26</v>
      </c>
      <c r="G24" s="621">
        <v>54177888.600000001</v>
      </c>
      <c r="H24" s="621">
        <v>56960487.710000001</v>
      </c>
      <c r="I24" s="304">
        <f>I12</f>
        <v>1.2</v>
      </c>
      <c r="J24" s="305">
        <f>ROUND(H24*I24,2)</f>
        <v>68352585.25</v>
      </c>
      <c r="K24" s="622"/>
      <c r="L24" s="622"/>
      <c r="M24" s="622">
        <v>11709977.720000001</v>
      </c>
      <c r="N24" s="622"/>
      <c r="O24" s="622">
        <v>3615838.44</v>
      </c>
      <c r="P24" s="622">
        <f>K24+L24+M24+N24+O24</f>
        <v>15325816.16</v>
      </c>
      <c r="Q24" s="622">
        <f>J24-K24-L24-M24-N24-O24</f>
        <v>53026769.090000004</v>
      </c>
      <c r="R24" s="1079" t="s">
        <v>243</v>
      </c>
      <c r="S24" s="1140" t="s">
        <v>329</v>
      </c>
      <c r="T24" s="624">
        <f>P24</f>
        <v>15325816.16</v>
      </c>
      <c r="U24" s="1105">
        <f>65736645.55*1.0514</f>
        <v>69115509.129999995</v>
      </c>
      <c r="V24" s="1080">
        <f t="shared" si="1"/>
        <v>84441325.290000007</v>
      </c>
      <c r="W24" s="206"/>
      <c r="X24" s="111"/>
      <c r="Y24" s="85"/>
      <c r="Z24" s="209"/>
      <c r="AA24" s="584" t="s">
        <v>295</v>
      </c>
      <c r="AC24" s="36" t="s">
        <v>317</v>
      </c>
      <c r="AE24" s="36">
        <f>67252983*1.0514</f>
        <v>70709786.326199993</v>
      </c>
      <c r="AF24" s="45">
        <f>AE24-U24</f>
        <v>1594277.2</v>
      </c>
      <c r="AO24" s="1080">
        <f>'реестр под ФАКТ суммы с накрут'!U24</f>
        <v>70500515.680000007</v>
      </c>
      <c r="AP24" s="45">
        <f>U24-AO24</f>
        <v>-1385006.55</v>
      </c>
    </row>
    <row r="25" spans="1:42" ht="4.5" customHeight="1" thickTop="1" x14ac:dyDescent="0.25">
      <c r="A25" s="475"/>
      <c r="B25" s="1070"/>
      <c r="C25" s="1071"/>
      <c r="D25" s="1072"/>
      <c r="E25" s="1072"/>
      <c r="F25" s="1072"/>
      <c r="G25" s="1072"/>
      <c r="H25" s="1072"/>
      <c r="I25" s="1073"/>
      <c r="J25" s="1074"/>
      <c r="K25" s="1075"/>
      <c r="L25" s="1075"/>
      <c r="M25" s="1075"/>
      <c r="N25" s="1075"/>
      <c r="O25" s="1075"/>
      <c r="P25" s="1075"/>
      <c r="Q25" s="1075"/>
      <c r="R25" s="1075"/>
      <c r="S25" s="565"/>
      <c r="T25" s="1076"/>
      <c r="U25" s="1077"/>
      <c r="V25" s="1078"/>
      <c r="W25" s="178"/>
      <c r="X25" s="111"/>
      <c r="Y25" s="84"/>
      <c r="Z25" s="233"/>
      <c r="AD25" s="45">
        <f t="shared" si="6"/>
        <v>0</v>
      </c>
      <c r="AO25" s="1078"/>
    </row>
    <row r="26" spans="1:42" ht="32.25" customHeight="1" thickBot="1" x14ac:dyDescent="0.3">
      <c r="A26" s="380"/>
      <c r="B26" s="381"/>
      <c r="C26" s="381"/>
      <c r="D26" s="381"/>
      <c r="E26" s="381"/>
      <c r="F26" s="381"/>
      <c r="G26" s="381"/>
      <c r="H26" s="382"/>
      <c r="I26" s="381"/>
      <c r="J26" s="382"/>
      <c r="K26" s="383"/>
      <c r="L26" s="383"/>
      <c r="M26" s="383"/>
      <c r="N26" s="383"/>
      <c r="O26" s="383"/>
      <c r="P26" s="383"/>
      <c r="Q26" s="383"/>
      <c r="R26" s="383"/>
      <c r="S26" s="383"/>
      <c r="T26" s="1196" t="s">
        <v>272</v>
      </c>
      <c r="U26" s="1197"/>
      <c r="V26" s="605"/>
      <c r="W26" s="605">
        <f>SUM(W9:W17)</f>
        <v>0</v>
      </c>
      <c r="X26" s="605">
        <f>SUM(X9:X17)</f>
        <v>0</v>
      </c>
      <c r="Y26" s="605">
        <f>SUM(Y9:Y17)</f>
        <v>39961110.119999997</v>
      </c>
      <c r="Z26" s="605">
        <f>SUM(Z9:Z17)</f>
        <v>0</v>
      </c>
      <c r="AA26" s="36"/>
      <c r="AC26" s="45"/>
      <c r="AO26" s="605"/>
    </row>
    <row r="27" spans="1:42" s="449" customFormat="1" ht="32.25" customHeight="1" x14ac:dyDescent="0.25">
      <c r="A27" s="658">
        <v>21</v>
      </c>
      <c r="B27" s="659" t="s">
        <v>32</v>
      </c>
      <c r="C27" s="660" t="str">
        <f>ССР!C30</f>
        <v>Восстановительные работы цеха №121/18. АС 3.</v>
      </c>
      <c r="D27" s="661">
        <v>4505948.67</v>
      </c>
      <c r="E27" s="661">
        <v>369487.79</v>
      </c>
      <c r="F27" s="661">
        <v>117010.48</v>
      </c>
      <c r="G27" s="661">
        <v>4992446.9400000004</v>
      </c>
      <c r="H27" s="661">
        <v>5248861.1100000003</v>
      </c>
      <c r="I27" s="662">
        <f>I7</f>
        <v>1.2</v>
      </c>
      <c r="J27" s="663">
        <f>ROUND(H27*I27,2)</f>
        <v>6298633.3300000001</v>
      </c>
      <c r="K27" s="664"/>
      <c r="L27" s="664"/>
      <c r="M27" s="664"/>
      <c r="N27" s="664">
        <v>5245250.92</v>
      </c>
      <c r="O27" s="664"/>
      <c r="P27" s="665">
        <f>K27+L27+M27+N27+O27</f>
        <v>5245250.92</v>
      </c>
      <c r="Q27" s="665">
        <f>J27-K27-L27-M27-N27-O27</f>
        <v>1053382.4099999999</v>
      </c>
      <c r="R27" s="666" t="s">
        <v>168</v>
      </c>
      <c r="S27" s="1049" t="s">
        <v>320</v>
      </c>
      <c r="T27" s="667">
        <f>P27</f>
        <v>5245250.92</v>
      </c>
      <c r="U27" s="668" t="s">
        <v>243</v>
      </c>
      <c r="V27" s="667">
        <f>T27</f>
        <v>5245250.92</v>
      </c>
      <c r="W27" s="445" t="s">
        <v>172</v>
      </c>
      <c r="X27" s="446"/>
      <c r="Y27" s="443"/>
      <c r="Z27" s="447"/>
      <c r="AA27" s="1201" t="s">
        <v>308</v>
      </c>
      <c r="AC27" s="449" t="s">
        <v>310</v>
      </c>
      <c r="AO27" s="667">
        <f>AM27</f>
        <v>0</v>
      </c>
    </row>
    <row r="28" spans="1:42" s="449" customFormat="1" ht="32.25" thickBot="1" x14ac:dyDescent="0.3">
      <c r="A28" s="669">
        <v>22</v>
      </c>
      <c r="B28" s="670" t="s">
        <v>55</v>
      </c>
      <c r="C28" s="671" t="str">
        <f>ССР!C45</f>
        <v>Трубопровод ливневых сточных вод от трансбордера. НВК1</v>
      </c>
      <c r="D28" s="672">
        <v>1758763.66</v>
      </c>
      <c r="E28" s="672">
        <v>144218.62</v>
      </c>
      <c r="F28" s="672">
        <v>45671.57</v>
      </c>
      <c r="G28" s="672">
        <v>1948653.85</v>
      </c>
      <c r="H28" s="672">
        <v>2048737.53</v>
      </c>
      <c r="I28" s="673">
        <f>I19</f>
        <v>1.2</v>
      </c>
      <c r="J28" s="674">
        <f>ROUND(H28*I28,2)</f>
        <v>2458485.04</v>
      </c>
      <c r="K28" s="675"/>
      <c r="L28" s="675"/>
      <c r="M28" s="675"/>
      <c r="N28" s="675"/>
      <c r="O28" s="675">
        <v>505496.99</v>
      </c>
      <c r="P28" s="676">
        <f>K28+L28+M28+N28+O28</f>
        <v>505496.99</v>
      </c>
      <c r="Q28" s="676">
        <f>J28-K28-L28-M28-N28-O28</f>
        <v>1952988.05</v>
      </c>
      <c r="R28" s="677" t="str">
        <f>R27</f>
        <v>ВОРа на доп. не будет</v>
      </c>
      <c r="S28" s="1050" t="s">
        <v>320</v>
      </c>
      <c r="T28" s="678">
        <f>P28</f>
        <v>505496.99</v>
      </c>
      <c r="U28" s="679" t="s">
        <v>243</v>
      </c>
      <c r="V28" s="680">
        <f>T28</f>
        <v>505496.99</v>
      </c>
      <c r="W28" s="451"/>
      <c r="X28" s="446"/>
      <c r="Y28" s="443"/>
      <c r="Z28" s="447"/>
      <c r="AA28" s="1201"/>
      <c r="AC28" s="449" t="s">
        <v>310</v>
      </c>
      <c r="AO28" s="680">
        <f>AM28</f>
        <v>0</v>
      </c>
    </row>
    <row r="29" spans="1:42" ht="35.1" customHeight="1" x14ac:dyDescent="0.25">
      <c r="A29" s="387">
        <v>23</v>
      </c>
      <c r="B29" s="388">
        <v>1</v>
      </c>
      <c r="C29" s="389" t="s">
        <v>175</v>
      </c>
      <c r="D29" s="390"/>
      <c r="E29" s="390"/>
      <c r="F29" s="390"/>
      <c r="G29" s="390"/>
      <c r="H29" s="390"/>
      <c r="I29" s="391"/>
      <c r="J29" s="392"/>
      <c r="K29" s="393"/>
      <c r="L29" s="393"/>
      <c r="M29" s="393"/>
      <c r="N29" s="393"/>
      <c r="O29" s="393"/>
      <c r="P29" s="393">
        <f>T29</f>
        <v>4216719.66</v>
      </c>
      <c r="Q29" s="393"/>
      <c r="R29" s="477" t="s">
        <v>139</v>
      </c>
      <c r="S29" s="394" t="s">
        <v>321</v>
      </c>
      <c r="T29" s="420">
        <v>4216719.66</v>
      </c>
      <c r="U29" s="420">
        <v>0</v>
      </c>
      <c r="V29" s="420">
        <f>T29+U29</f>
        <v>4216719.66</v>
      </c>
      <c r="X29" s="119"/>
      <c r="Y29" s="179"/>
      <c r="Z29" s="179"/>
      <c r="AO29" s="420">
        <f>AM29+AN29</f>
        <v>0</v>
      </c>
    </row>
    <row r="30" spans="1:42" ht="35.1" customHeight="1" thickBot="1" x14ac:dyDescent="0.3">
      <c r="A30" s="513">
        <v>24</v>
      </c>
      <c r="B30" s="479">
        <v>1</v>
      </c>
      <c r="C30" s="480" t="s">
        <v>174</v>
      </c>
      <c r="D30" s="481"/>
      <c r="E30" s="481"/>
      <c r="F30" s="481"/>
      <c r="G30" s="481"/>
      <c r="H30" s="481"/>
      <c r="I30" s="482"/>
      <c r="J30" s="483"/>
      <c r="K30" s="484"/>
      <c r="L30" s="484"/>
      <c r="M30" s="484"/>
      <c r="N30" s="484"/>
      <c r="O30" s="484"/>
      <c r="P30" s="484">
        <f>T30</f>
        <v>2160473.5</v>
      </c>
      <c r="Q30" s="484"/>
      <c r="R30" s="514" t="s">
        <v>139</v>
      </c>
      <c r="S30" s="515" t="s">
        <v>321</v>
      </c>
      <c r="T30" s="485">
        <v>2160473.5</v>
      </c>
      <c r="U30" s="485">
        <v>0</v>
      </c>
      <c r="V30" s="486">
        <f>T30+U30</f>
        <v>2160473.5</v>
      </c>
      <c r="X30" s="117"/>
      <c r="Y30" s="105"/>
      <c r="Z30" s="211"/>
      <c r="AO30" s="486">
        <f>AM30+AN30</f>
        <v>0</v>
      </c>
    </row>
    <row r="31" spans="1:42" ht="31.5" customHeight="1" thickTop="1" thickBot="1" x14ac:dyDescent="0.3">
      <c r="A31" s="516"/>
      <c r="B31" s="517" t="s">
        <v>120</v>
      </c>
      <c r="C31" s="518"/>
      <c r="D31" s="519">
        <f>SUM(D6:D28)</f>
        <v>392033916.06</v>
      </c>
      <c r="E31" s="518"/>
      <c r="F31" s="520"/>
      <c r="G31" s="519">
        <f>SUM(G6:G28)</f>
        <v>434361033.93000001</v>
      </c>
      <c r="H31" s="519">
        <f>SUM(H6:H28)</f>
        <v>456670000.00999999</v>
      </c>
      <c r="I31" s="519"/>
      <c r="J31" s="519">
        <f>SUM(J6:J28)</f>
        <v>548004000</v>
      </c>
      <c r="K31" s="521">
        <f>SUM(K6:K28)</f>
        <v>210417570.36000001</v>
      </c>
      <c r="L31" s="521">
        <f>SUM(L6:L28)+0.01</f>
        <v>79978331.209999993</v>
      </c>
      <c r="M31" s="521">
        <f>SUM(M6:M28)</f>
        <v>58868164.759999998</v>
      </c>
      <c r="N31" s="521">
        <f>SUM(N6:N28)</f>
        <v>5245250.92</v>
      </c>
      <c r="O31" s="521">
        <f>SUM(O6:O28)</f>
        <v>8616444.9800000004</v>
      </c>
      <c r="P31" s="521">
        <f>SUM(P6:P30)+0.01</f>
        <v>369502955.38999999</v>
      </c>
      <c r="Q31" s="521">
        <f>J31-P31</f>
        <v>178501044.61000001</v>
      </c>
      <c r="R31" s="521"/>
      <c r="S31" s="521"/>
      <c r="T31" s="522">
        <f>SUM(T6:T30)</f>
        <v>369502955.38</v>
      </c>
      <c r="U31" s="522">
        <f>SUM(U6:U30)</f>
        <v>180707296.74000001</v>
      </c>
      <c r="V31" s="522">
        <f>SUM(V6:V30)</f>
        <v>550210252.12</v>
      </c>
      <c r="W31" s="177"/>
      <c r="X31" s="115"/>
      <c r="Y31" s="101">
        <f>SUM(Y6:Y28)</f>
        <v>79922220.239999995</v>
      </c>
      <c r="Z31" s="210">
        <f>SUM(Z6:Z28)</f>
        <v>0</v>
      </c>
      <c r="AE31" s="45">
        <f>J31-V31</f>
        <v>-2206252.12</v>
      </c>
      <c r="AO31" s="522">
        <f>SUM(AO6:AO30)</f>
        <v>115905341.52</v>
      </c>
    </row>
    <row r="32" spans="1:42" ht="32.25" customHeight="1" x14ac:dyDescent="0.25">
      <c r="A32" s="498"/>
      <c r="B32" s="499"/>
      <c r="C32" s="499"/>
      <c r="D32" s="499"/>
      <c r="E32" s="499"/>
      <c r="F32" s="499"/>
      <c r="G32" s="499"/>
      <c r="H32" s="500"/>
      <c r="I32" s="499"/>
      <c r="J32" s="500"/>
      <c r="K32" s="501"/>
      <c r="L32" s="501"/>
      <c r="M32" s="501"/>
      <c r="N32" s="501"/>
      <c r="O32" s="501"/>
      <c r="P32" s="501"/>
      <c r="Q32" s="501"/>
      <c r="R32" s="501"/>
      <c r="S32" s="501"/>
      <c r="T32" s="1187" t="s">
        <v>309</v>
      </c>
      <c r="U32" s="1188"/>
      <c r="V32" s="503"/>
      <c r="X32" s="65"/>
      <c r="Y32" s="81"/>
      <c r="Z32" s="81"/>
      <c r="AO32" s="503"/>
    </row>
    <row r="33" spans="1:42" ht="35.1" customHeight="1" x14ac:dyDescent="0.25">
      <c r="A33" s="681">
        <v>25</v>
      </c>
      <c r="B33" s="1032">
        <v>2</v>
      </c>
      <c r="C33" s="683" t="s">
        <v>141</v>
      </c>
      <c r="D33" s="684"/>
      <c r="E33" s="684"/>
      <c r="F33" s="684"/>
      <c r="G33" s="684"/>
      <c r="H33" s="684"/>
      <c r="I33" s="685"/>
      <c r="J33" s="686"/>
      <c r="K33" s="702"/>
      <c r="L33" s="702"/>
      <c r="M33" s="702"/>
      <c r="N33" s="702"/>
      <c r="O33" s="702"/>
      <c r="P33" s="702"/>
      <c r="Q33" s="702"/>
      <c r="R33" s="1033" t="s">
        <v>139</v>
      </c>
      <c r="S33" s="689" t="s">
        <v>311</v>
      </c>
      <c r="T33" s="1034">
        <v>0</v>
      </c>
      <c r="U33" s="1067">
        <f>673388.23*1.0514</f>
        <v>708000.39</v>
      </c>
      <c r="V33" s="1034">
        <f t="shared" ref="V33:V43" si="9">T33+U33</f>
        <v>708000.39</v>
      </c>
      <c r="X33" s="119"/>
      <c r="Y33" s="179"/>
      <c r="Z33" s="179"/>
      <c r="AA33" s="406" t="s">
        <v>280</v>
      </c>
      <c r="AC33" s="36">
        <v>705505</v>
      </c>
      <c r="AD33" s="45">
        <f>U33-AC33</f>
        <v>2495.39</v>
      </c>
      <c r="AO33" s="1034">
        <f t="shared" ref="AO33:AO43" si="10">AM33+AN33</f>
        <v>0</v>
      </c>
    </row>
    <row r="34" spans="1:42" ht="35.1" customHeight="1" x14ac:dyDescent="0.25">
      <c r="A34" s="1031">
        <v>26</v>
      </c>
      <c r="B34" s="1032">
        <v>3</v>
      </c>
      <c r="C34" s="683" t="s">
        <v>142</v>
      </c>
      <c r="D34" s="684"/>
      <c r="E34" s="684"/>
      <c r="F34" s="684"/>
      <c r="G34" s="684"/>
      <c r="H34" s="684"/>
      <c r="I34" s="685"/>
      <c r="J34" s="686"/>
      <c r="K34" s="702"/>
      <c r="L34" s="702"/>
      <c r="M34" s="702"/>
      <c r="N34" s="702"/>
      <c r="O34" s="702"/>
      <c r="P34" s="702"/>
      <c r="Q34" s="702"/>
      <c r="R34" s="1033" t="s">
        <v>139</v>
      </c>
      <c r="S34" s="689" t="str">
        <f>S21</f>
        <v>СОГЛАСОВАНО</v>
      </c>
      <c r="T34" s="1034">
        <v>0</v>
      </c>
      <c r="U34" s="1067">
        <f>81654*1.0514</f>
        <v>85851.02</v>
      </c>
      <c r="V34" s="1034">
        <f t="shared" si="9"/>
        <v>85851.02</v>
      </c>
      <c r="X34" s="119"/>
      <c r="Y34" s="180"/>
      <c r="Z34" s="180"/>
      <c r="AC34" s="36">
        <v>85851.36</v>
      </c>
      <c r="AD34" s="45">
        <f t="shared" ref="AD34:AD41" si="11">U34-AC34</f>
        <v>-0.34</v>
      </c>
      <c r="AO34" s="1034">
        <f t="shared" si="10"/>
        <v>0</v>
      </c>
    </row>
    <row r="35" spans="1:42" ht="35.1" customHeight="1" x14ac:dyDescent="0.25">
      <c r="A35" s="681">
        <v>27</v>
      </c>
      <c r="B35" s="1032">
        <v>4</v>
      </c>
      <c r="C35" s="683" t="s">
        <v>143</v>
      </c>
      <c r="D35" s="684"/>
      <c r="E35" s="684"/>
      <c r="F35" s="684"/>
      <c r="G35" s="684"/>
      <c r="H35" s="684"/>
      <c r="I35" s="685"/>
      <c r="J35" s="686"/>
      <c r="K35" s="702"/>
      <c r="L35" s="702"/>
      <c r="M35" s="702"/>
      <c r="N35" s="702"/>
      <c r="O35" s="702"/>
      <c r="P35" s="702"/>
      <c r="Q35" s="702"/>
      <c r="R35" s="1033" t="s">
        <v>139</v>
      </c>
      <c r="S35" s="689" t="str">
        <f>S34</f>
        <v>СОГЛАСОВАНО</v>
      </c>
      <c r="T35" s="1034">
        <v>0</v>
      </c>
      <c r="U35" s="1067">
        <f>26314.48*1.0514</f>
        <v>27667.040000000001</v>
      </c>
      <c r="V35" s="1034">
        <f t="shared" si="9"/>
        <v>27667.040000000001</v>
      </c>
      <c r="X35" s="119"/>
      <c r="Y35" s="180"/>
      <c r="Z35" s="180"/>
      <c r="AC35" s="36">
        <v>26314.48</v>
      </c>
      <c r="AD35" s="45">
        <f t="shared" si="11"/>
        <v>1352.56</v>
      </c>
      <c r="AO35" s="1034">
        <f t="shared" si="10"/>
        <v>0</v>
      </c>
    </row>
    <row r="36" spans="1:42" ht="35.1" customHeight="1" x14ac:dyDescent="0.25">
      <c r="A36" s="1031">
        <v>28</v>
      </c>
      <c r="B36" s="1032">
        <v>5</v>
      </c>
      <c r="C36" s="683" t="s">
        <v>146</v>
      </c>
      <c r="D36" s="684"/>
      <c r="E36" s="684"/>
      <c r="F36" s="684"/>
      <c r="G36" s="684"/>
      <c r="H36" s="684"/>
      <c r="I36" s="685"/>
      <c r="J36" s="686"/>
      <c r="K36" s="702"/>
      <c r="L36" s="702"/>
      <c r="M36" s="702"/>
      <c r="N36" s="702"/>
      <c r="O36" s="702"/>
      <c r="P36" s="702"/>
      <c r="Q36" s="702"/>
      <c r="R36" s="1033" t="s">
        <v>139</v>
      </c>
      <c r="S36" s="689" t="str">
        <f>S34</f>
        <v>СОГЛАСОВАНО</v>
      </c>
      <c r="T36" s="1034">
        <v>0</v>
      </c>
      <c r="U36" s="1067">
        <f>198699.44*1.0514</f>
        <v>208912.59</v>
      </c>
      <c r="V36" s="1034">
        <f t="shared" si="9"/>
        <v>208912.59</v>
      </c>
      <c r="X36" s="119"/>
      <c r="Y36" s="180"/>
      <c r="Z36" s="180"/>
      <c r="AC36" s="36">
        <v>208912.6</v>
      </c>
      <c r="AD36" s="45">
        <f t="shared" si="11"/>
        <v>-0.01</v>
      </c>
      <c r="AO36" s="1034">
        <f t="shared" si="10"/>
        <v>0</v>
      </c>
    </row>
    <row r="37" spans="1:42" ht="35.1" customHeight="1" x14ac:dyDescent="0.25">
      <c r="A37" s="681">
        <v>29</v>
      </c>
      <c r="B37" s="1032">
        <v>6</v>
      </c>
      <c r="C37" s="683" t="s">
        <v>140</v>
      </c>
      <c r="D37" s="684"/>
      <c r="E37" s="684"/>
      <c r="F37" s="684"/>
      <c r="G37" s="684"/>
      <c r="H37" s="684"/>
      <c r="I37" s="685"/>
      <c r="J37" s="686"/>
      <c r="K37" s="702"/>
      <c r="L37" s="702"/>
      <c r="M37" s="702"/>
      <c r="N37" s="702"/>
      <c r="O37" s="702"/>
      <c r="P37" s="702"/>
      <c r="Q37" s="702"/>
      <c r="R37" s="1041" t="s">
        <v>139</v>
      </c>
      <c r="S37" s="689" t="str">
        <f>S35</f>
        <v>СОГЛАСОВАНО</v>
      </c>
      <c r="T37" s="1063">
        <v>0</v>
      </c>
      <c r="U37" s="1068">
        <f>529403.22*1.0514</f>
        <v>556614.55000000005</v>
      </c>
      <c r="V37" s="1034">
        <f t="shared" si="9"/>
        <v>556614.55000000005</v>
      </c>
      <c r="X37" s="117"/>
      <c r="Y37" s="105"/>
      <c r="Z37" s="211"/>
      <c r="AC37" s="36">
        <v>570651.94999999995</v>
      </c>
      <c r="AD37" s="45">
        <f t="shared" si="11"/>
        <v>-14037.4</v>
      </c>
      <c r="AO37" s="1034">
        <f t="shared" si="10"/>
        <v>0</v>
      </c>
    </row>
    <row r="38" spans="1:42" ht="38.25" customHeight="1" x14ac:dyDescent="0.25">
      <c r="A38" s="681">
        <v>19</v>
      </c>
      <c r="B38" s="682">
        <v>7</v>
      </c>
      <c r="C38" s="683" t="s">
        <v>325</v>
      </c>
      <c r="D38" s="684">
        <v>5005903.75</v>
      </c>
      <c r="E38" s="684">
        <v>410484.11</v>
      </c>
      <c r="F38" s="684">
        <v>129993.31</v>
      </c>
      <c r="G38" s="684">
        <v>5546381.1699999999</v>
      </c>
      <c r="H38" s="684">
        <v>5831245.6399999997</v>
      </c>
      <c r="I38" s="685">
        <f>I13</f>
        <v>1.2</v>
      </c>
      <c r="J38" s="686"/>
      <c r="K38" s="687"/>
      <c r="L38" s="687">
        <v>2298854.48</v>
      </c>
      <c r="M38" s="687"/>
      <c r="N38" s="687"/>
      <c r="O38" s="687"/>
      <c r="P38" s="687"/>
      <c r="Q38" s="687"/>
      <c r="R38" s="688" t="s">
        <v>139</v>
      </c>
      <c r="S38" s="689" t="str">
        <f>S36</f>
        <v>СОГЛАСОВАНО</v>
      </c>
      <c r="T38" s="690">
        <f>P38</f>
        <v>0</v>
      </c>
      <c r="U38" s="1068">
        <f>1083901.64*1.0514</f>
        <v>1139614.18</v>
      </c>
      <c r="V38" s="690">
        <f>T38+U38</f>
        <v>1139614.18</v>
      </c>
      <c r="W38" s="1054"/>
      <c r="X38" s="1055"/>
      <c r="Y38" s="1056"/>
      <c r="Z38" s="1057"/>
      <c r="AA38" s="1058" t="s">
        <v>295</v>
      </c>
      <c r="AB38" s="1059"/>
      <c r="AC38" s="1059"/>
      <c r="AD38" s="1059"/>
      <c r="AE38" s="1062"/>
      <c r="AF38" s="1062"/>
      <c r="AG38" s="1062"/>
      <c r="AH38" s="1062"/>
      <c r="AI38" s="1062"/>
      <c r="AJ38" s="1062"/>
      <c r="AO38" s="690">
        <f>AM38+AN38</f>
        <v>0</v>
      </c>
    </row>
    <row r="39" spans="1:42" ht="46.5" customHeight="1" x14ac:dyDescent="0.25">
      <c r="A39" s="681">
        <v>31</v>
      </c>
      <c r="B39" s="1032">
        <v>8</v>
      </c>
      <c r="C39" s="683" t="s">
        <v>327</v>
      </c>
      <c r="D39" s="684"/>
      <c r="E39" s="684"/>
      <c r="F39" s="684"/>
      <c r="G39" s="684"/>
      <c r="H39" s="684"/>
      <c r="I39" s="685"/>
      <c r="J39" s="686"/>
      <c r="K39" s="702"/>
      <c r="L39" s="702"/>
      <c r="M39" s="702"/>
      <c r="N39" s="702"/>
      <c r="O39" s="702"/>
      <c r="P39" s="702"/>
      <c r="Q39" s="702"/>
      <c r="R39" s="1033"/>
      <c r="S39" s="689" t="str">
        <f>S37</f>
        <v>СОГЛАСОВАНО</v>
      </c>
      <c r="T39" s="1034">
        <v>0</v>
      </c>
      <c r="U39" s="1067">
        <f>749546.64*1.0514</f>
        <v>788073.34</v>
      </c>
      <c r="V39" s="1034">
        <f>T39+U39</f>
        <v>788073.34</v>
      </c>
      <c r="W39" s="189"/>
      <c r="X39" s="1060"/>
      <c r="Y39" s="1045"/>
      <c r="Z39" s="1061"/>
      <c r="AO39" s="1034">
        <f>AM39+AN39</f>
        <v>0</v>
      </c>
    </row>
    <row r="40" spans="1:42" ht="54.75" customHeight="1" x14ac:dyDescent="0.25">
      <c r="A40" s="1031">
        <v>32</v>
      </c>
      <c r="B40" s="1035">
        <v>9</v>
      </c>
      <c r="C40" s="1036" t="s">
        <v>304</v>
      </c>
      <c r="D40" s="1037"/>
      <c r="E40" s="1037"/>
      <c r="F40" s="1037"/>
      <c r="G40" s="1037"/>
      <c r="H40" s="1037"/>
      <c r="I40" s="1038"/>
      <c r="J40" s="1039"/>
      <c r="K40" s="1040"/>
      <c r="L40" s="1040"/>
      <c r="M40" s="1040"/>
      <c r="N40" s="1040"/>
      <c r="O40" s="1040"/>
      <c r="P40" s="1040"/>
      <c r="Q40" s="1040"/>
      <c r="R40" s="1064" t="s">
        <v>139</v>
      </c>
      <c r="S40" s="1065" t="str">
        <f>S37</f>
        <v>СОГЛАСОВАНО</v>
      </c>
      <c r="T40" s="1066">
        <v>0</v>
      </c>
      <c r="U40" s="1069">
        <f>1940817.65*1.0514</f>
        <v>2040575.68</v>
      </c>
      <c r="V40" s="1066">
        <f t="shared" si="9"/>
        <v>2040575.68</v>
      </c>
      <c r="X40" s="119"/>
      <c r="Y40" s="180"/>
      <c r="Z40" s="180"/>
      <c r="AC40" s="36">
        <v>2065078.4</v>
      </c>
      <c r="AD40" s="45">
        <f t="shared" si="11"/>
        <v>-24502.720000000001</v>
      </c>
      <c r="AO40" s="1066">
        <f t="shared" si="10"/>
        <v>0</v>
      </c>
    </row>
    <row r="41" spans="1:42" ht="35.1" customHeight="1" x14ac:dyDescent="0.25">
      <c r="A41" s="681">
        <v>33</v>
      </c>
      <c r="B41" s="1032">
        <v>10</v>
      </c>
      <c r="C41" s="683" t="s">
        <v>303</v>
      </c>
      <c r="D41" s="684"/>
      <c r="E41" s="684"/>
      <c r="F41" s="684"/>
      <c r="G41" s="684"/>
      <c r="H41" s="684"/>
      <c r="I41" s="685"/>
      <c r="J41" s="686"/>
      <c r="K41" s="702"/>
      <c r="L41" s="702"/>
      <c r="M41" s="702"/>
      <c r="N41" s="702"/>
      <c r="O41" s="702"/>
      <c r="P41" s="702"/>
      <c r="Q41" s="702"/>
      <c r="R41" s="1033" t="s">
        <v>139</v>
      </c>
      <c r="S41" s="689" t="str">
        <f>S36</f>
        <v>СОГЛАСОВАНО</v>
      </c>
      <c r="T41" s="1034">
        <v>0</v>
      </c>
      <c r="U41" s="1067">
        <f>54913.66*1.0514</f>
        <v>57736.22</v>
      </c>
      <c r="V41" s="1034">
        <f>T41+U41</f>
        <v>57736.22</v>
      </c>
      <c r="X41" s="119"/>
      <c r="Y41" s="180"/>
      <c r="Z41" s="180"/>
      <c r="AC41" s="36">
        <v>78531</v>
      </c>
      <c r="AD41" s="45">
        <f t="shared" si="11"/>
        <v>-20794.78</v>
      </c>
      <c r="AO41" s="1034">
        <f>AM41+AN41</f>
        <v>0</v>
      </c>
    </row>
    <row r="42" spans="1:42" ht="46.5" customHeight="1" x14ac:dyDescent="0.25">
      <c r="A42" s="1031">
        <v>34</v>
      </c>
      <c r="B42" s="1032">
        <v>11</v>
      </c>
      <c r="C42" s="683" t="s">
        <v>144</v>
      </c>
      <c r="D42" s="684"/>
      <c r="E42" s="684"/>
      <c r="F42" s="684"/>
      <c r="G42" s="684"/>
      <c r="H42" s="684"/>
      <c r="I42" s="685"/>
      <c r="J42" s="686"/>
      <c r="K42" s="702"/>
      <c r="L42" s="702"/>
      <c r="M42" s="702"/>
      <c r="N42" s="702"/>
      <c r="O42" s="702"/>
      <c r="P42" s="702"/>
      <c r="Q42" s="702"/>
      <c r="R42" s="1033" t="s">
        <v>139</v>
      </c>
      <c r="S42" s="689" t="str">
        <f>S37</f>
        <v>СОГЛАСОВАНО</v>
      </c>
      <c r="T42" s="1034">
        <v>0</v>
      </c>
      <c r="U42" s="1067">
        <f>284883.31*1.0514</f>
        <v>299526.31</v>
      </c>
      <c r="V42" s="1034">
        <f t="shared" si="9"/>
        <v>299526.31</v>
      </c>
      <c r="W42" s="189"/>
      <c r="X42" s="182"/>
      <c r="Y42" s="183"/>
      <c r="Z42" s="212"/>
      <c r="AE42" s="36" t="s">
        <v>322</v>
      </c>
      <c r="AO42" s="1034">
        <f t="shared" si="10"/>
        <v>0</v>
      </c>
    </row>
    <row r="43" spans="1:42" ht="35.1" customHeight="1" x14ac:dyDescent="0.25">
      <c r="A43" s="475">
        <v>36</v>
      </c>
      <c r="B43" s="410"/>
      <c r="C43" s="411" t="s">
        <v>149</v>
      </c>
      <c r="D43" s="412"/>
      <c r="E43" s="412"/>
      <c r="F43" s="412"/>
      <c r="G43" s="412"/>
      <c r="H43" s="412"/>
      <c r="I43" s="413"/>
      <c r="J43" s="414"/>
      <c r="K43" s="415"/>
      <c r="L43" s="415"/>
      <c r="M43" s="415"/>
      <c r="N43" s="415"/>
      <c r="O43" s="415"/>
      <c r="P43" s="415"/>
      <c r="Q43" s="415"/>
      <c r="R43" s="1048" t="s">
        <v>139</v>
      </c>
      <c r="S43" s="1048" t="s">
        <v>170</v>
      </c>
      <c r="T43" s="1046"/>
      <c r="U43" s="418">
        <v>4746000</v>
      </c>
      <c r="V43" s="1047">
        <f t="shared" si="9"/>
        <v>4746000</v>
      </c>
      <c r="X43" s="119"/>
      <c r="Y43" s="107"/>
      <c r="Z43" s="213"/>
      <c r="AE43" s="36" t="s">
        <v>323</v>
      </c>
      <c r="AO43" s="1047">
        <f t="shared" si="10"/>
        <v>0</v>
      </c>
    </row>
    <row r="44" spans="1:42" ht="46.5" customHeight="1" thickBot="1" x14ac:dyDescent="0.3">
      <c r="A44" s="1031">
        <v>34</v>
      </c>
      <c r="B44" s="1032">
        <v>13</v>
      </c>
      <c r="C44" s="683" t="s">
        <v>340</v>
      </c>
      <c r="D44" s="684"/>
      <c r="E44" s="684"/>
      <c r="F44" s="684"/>
      <c r="G44" s="684"/>
      <c r="H44" s="684"/>
      <c r="I44" s="685"/>
      <c r="J44" s="686"/>
      <c r="K44" s="702"/>
      <c r="L44" s="702"/>
      <c r="M44" s="702"/>
      <c r="N44" s="702"/>
      <c r="O44" s="702"/>
      <c r="P44" s="702"/>
      <c r="Q44" s="702"/>
      <c r="R44" s="1033" t="s">
        <v>139</v>
      </c>
      <c r="S44" s="689" t="s">
        <v>341</v>
      </c>
      <c r="T44" s="1034">
        <v>0</v>
      </c>
      <c r="U44" s="1067">
        <f>1282679.41*1.0514</f>
        <v>1348609.13</v>
      </c>
      <c r="V44" s="1034">
        <f t="shared" ref="V44" si="12">T44+U44</f>
        <v>1348609.13</v>
      </c>
      <c r="W44" s="189"/>
      <c r="X44" s="182"/>
      <c r="Y44" s="183"/>
      <c r="Z44" s="212"/>
      <c r="AE44" s="36" t="s">
        <v>322</v>
      </c>
      <c r="AO44" s="1034">
        <f>'реестр под ФАКТ суммы с накрут'!V44</f>
        <v>4314448.24</v>
      </c>
      <c r="AP44" s="45">
        <f>U44-AO44</f>
        <v>-2965839.11</v>
      </c>
    </row>
    <row r="45" spans="1:42" ht="35.1" customHeight="1" thickBot="1" x14ac:dyDescent="0.3">
      <c r="A45" s="1088"/>
      <c r="B45" s="1089"/>
      <c r="C45" s="1090"/>
      <c r="D45" s="1091"/>
      <c r="E45" s="1091"/>
      <c r="F45" s="1091"/>
      <c r="G45" s="1091"/>
      <c r="H45" s="1091"/>
      <c r="I45" s="1092"/>
      <c r="J45" s="1093"/>
      <c r="K45" s="1094"/>
      <c r="L45" s="1094"/>
      <c r="M45" s="1094"/>
      <c r="N45" s="1094"/>
      <c r="O45" s="1094"/>
      <c r="P45" s="1094"/>
      <c r="Q45" s="1094"/>
      <c r="R45" s="1095"/>
      <c r="S45" s="1096"/>
      <c r="T45" s="1097"/>
      <c r="U45" s="1098">
        <f>SUM(U33:U44)</f>
        <v>12007180.449999999</v>
      </c>
      <c r="V45" s="1098">
        <f>SUM(V33:V44)</f>
        <v>12007180.449999999</v>
      </c>
      <c r="X45" s="117"/>
      <c r="Y45" s="105"/>
      <c r="Z45" s="211"/>
      <c r="AO45" s="1098">
        <f>SUM(AO33:AO44)</f>
        <v>4314448.24</v>
      </c>
    </row>
    <row r="46" spans="1:42" ht="31.5" customHeight="1" thickTop="1" thickBot="1" x14ac:dyDescent="0.3">
      <c r="A46" s="1081"/>
      <c r="B46" s="1082" t="s">
        <v>153</v>
      </c>
      <c r="C46" s="1083"/>
      <c r="D46" s="1084" t="e">
        <f>D31+#REF!</f>
        <v>#REF!</v>
      </c>
      <c r="E46" s="1083"/>
      <c r="F46" s="1085"/>
      <c r="G46" s="1084">
        <f>SUM(G21:G45)</f>
        <v>516438604.50999999</v>
      </c>
      <c r="H46" s="1084">
        <f>SUM(H21:H45)</f>
        <v>542963109.09000003</v>
      </c>
      <c r="I46" s="1084"/>
      <c r="J46" s="1084">
        <f>J31</f>
        <v>548004000</v>
      </c>
      <c r="K46" s="1084" t="e">
        <f>K31+#REF!</f>
        <v>#REF!</v>
      </c>
      <c r="L46" s="1084" t="e">
        <f>L31+#REF!</f>
        <v>#REF!</v>
      </c>
      <c r="M46" s="1084" t="e">
        <f>M31+#REF!</f>
        <v>#REF!</v>
      </c>
      <c r="N46" s="1084" t="e">
        <f>N31+#REF!</f>
        <v>#REF!</v>
      </c>
      <c r="O46" s="1084" t="e">
        <f>O31+#REF!</f>
        <v>#REF!</v>
      </c>
      <c r="P46" s="1084">
        <f>P31</f>
        <v>369502955.38999999</v>
      </c>
      <c r="Q46" s="1084">
        <f>Q31</f>
        <v>178501044.61000001</v>
      </c>
      <c r="R46" s="1084"/>
      <c r="S46" s="1086"/>
      <c r="T46" s="1087">
        <f>T31</f>
        <v>369502955.38</v>
      </c>
      <c r="U46" s="1087">
        <f>U31+U45</f>
        <v>192714477.19</v>
      </c>
      <c r="V46" s="1087">
        <f>V31+V45</f>
        <v>562217432.57000005</v>
      </c>
      <c r="W46" s="177"/>
      <c r="X46" s="71"/>
      <c r="Y46" s="73" t="e">
        <f>Y31+#REF!</f>
        <v>#REF!</v>
      </c>
      <c r="Z46" s="216" t="e">
        <f>Z31+#REF!</f>
        <v>#REF!</v>
      </c>
      <c r="AA46" s="406">
        <f>V46/1.0514</f>
        <v>534732197.61270702</v>
      </c>
      <c r="AC46" s="45">
        <f>'реестр под ФАКТ до соглас. '!V47</f>
        <v>536062673.99000001</v>
      </c>
      <c r="AD46" s="45">
        <f>V46-AC46</f>
        <v>26154758.579999998</v>
      </c>
      <c r="AE46" s="35">
        <f>J46-V46</f>
        <v>-14213432.57</v>
      </c>
      <c r="AO46" s="1087">
        <f>AO31+AO45</f>
        <v>120219789.76000001</v>
      </c>
    </row>
    <row r="47" spans="1:42" x14ac:dyDescent="0.25">
      <c r="AA47" s="557">
        <f>J46/AA46</f>
        <v>1.0247999999999999</v>
      </c>
    </row>
    <row r="48" spans="1:42" ht="45" customHeight="1" x14ac:dyDescent="0.25">
      <c r="A48" s="82">
        <v>35</v>
      </c>
      <c r="B48" s="41">
        <v>11</v>
      </c>
      <c r="C48" s="42" t="s">
        <v>277</v>
      </c>
      <c r="D48" s="43"/>
      <c r="E48" s="43"/>
      <c r="F48" s="43"/>
      <c r="G48" s="43"/>
      <c r="H48" s="43"/>
      <c r="I48" s="44"/>
      <c r="J48" s="55"/>
      <c r="K48" s="56"/>
      <c r="L48" s="56"/>
      <c r="M48" s="56"/>
      <c r="N48" s="56"/>
      <c r="O48" s="56"/>
      <c r="P48" s="53"/>
      <c r="Q48" s="53"/>
      <c r="R48" s="400" t="s">
        <v>139</v>
      </c>
      <c r="S48" s="190" t="s">
        <v>278</v>
      </c>
      <c r="T48" s="107">
        <v>0</v>
      </c>
      <c r="U48" s="107">
        <v>22184864.98</v>
      </c>
      <c r="V48" s="399">
        <f>T48+U48</f>
        <v>22184864.98</v>
      </c>
      <c r="X48" s="119"/>
      <c r="Y48" s="107"/>
      <c r="Z48" s="213"/>
      <c r="AE48" s="45"/>
      <c r="AO48" s="399">
        <f>AM48+AN48</f>
        <v>0</v>
      </c>
    </row>
    <row r="49" spans="1:41" ht="16.5" thickBot="1" x14ac:dyDescent="0.3"/>
    <row r="50" spans="1:41" ht="31.5" customHeight="1" thickBot="1" x14ac:dyDescent="0.3">
      <c r="A50" s="104"/>
      <c r="B50" s="103" t="s">
        <v>153</v>
      </c>
      <c r="C50" s="70"/>
      <c r="D50" s="71">
        <f>D35+D49</f>
        <v>0</v>
      </c>
      <c r="E50" s="70"/>
      <c r="F50" s="72"/>
      <c r="G50" s="71">
        <f>SUM(G30:G49)</f>
        <v>956346019.61000001</v>
      </c>
      <c r="H50" s="71">
        <f>SUM(H30:H49)</f>
        <v>1005464354.74</v>
      </c>
      <c r="I50" s="71"/>
      <c r="J50" s="71">
        <f t="shared" ref="J50:Q50" si="13">J35+J49</f>
        <v>0</v>
      </c>
      <c r="K50" s="71">
        <f t="shared" si="13"/>
        <v>0</v>
      </c>
      <c r="L50" s="71">
        <f t="shared" si="13"/>
        <v>0</v>
      </c>
      <c r="M50" s="71">
        <f t="shared" si="13"/>
        <v>0</v>
      </c>
      <c r="N50" s="71">
        <f t="shared" si="13"/>
        <v>0</v>
      </c>
      <c r="O50" s="71">
        <f t="shared" si="13"/>
        <v>0</v>
      </c>
      <c r="P50" s="71">
        <f t="shared" si="13"/>
        <v>0</v>
      </c>
      <c r="Q50" s="71">
        <f t="shared" si="13"/>
        <v>0</v>
      </c>
      <c r="R50" s="71"/>
      <c r="S50" s="402"/>
      <c r="T50" s="73">
        <f>T35+T49</f>
        <v>0</v>
      </c>
      <c r="U50" s="73">
        <f>U46+U48</f>
        <v>214899342.16999999</v>
      </c>
      <c r="V50" s="73">
        <f>V46+V48</f>
        <v>584402297.54999995</v>
      </c>
      <c r="W50" s="177"/>
      <c r="X50" s="71"/>
      <c r="Y50" s="73">
        <f>Y35+Y49</f>
        <v>0</v>
      </c>
      <c r="Z50" s="216">
        <f>Z35+Z49</f>
        <v>0</v>
      </c>
      <c r="AO50" s="73">
        <f>AO46+AO48</f>
        <v>120219789.76000001</v>
      </c>
    </row>
    <row r="52" spans="1:41" x14ac:dyDescent="0.25">
      <c r="V52" s="45"/>
      <c r="AO52" s="45"/>
    </row>
    <row r="53" spans="1:41" ht="20.25" x14ac:dyDescent="0.3">
      <c r="T53" s="1042" t="s">
        <v>319</v>
      </c>
      <c r="U53" s="1043"/>
      <c r="V53" s="1042">
        <f>U9+U10+U11+U12+U13+U14+U15+U16+U17+U18+U19+U20+U21+U22+U23+U33+U34+U35+U36+U37+U38+U39+U40+U41+U42+U24</f>
        <v>186619868.06</v>
      </c>
      <c r="AE53" s="36" t="s">
        <v>328</v>
      </c>
      <c r="AO53" s="1042">
        <f>AN9+AN10+AN11+AN12+AN13+AN14+AN15+AN16+AN17+AN18+AN19+AN20+AN21+AN22+AN23+AN33+AN34+AN35+AN36+AN37+AN38+AN39+AN40+AN41+AN42+AN24</f>
        <v>0</v>
      </c>
    </row>
    <row r="54" spans="1:41" hidden="1" x14ac:dyDescent="0.25">
      <c r="T54" s="45"/>
    </row>
    <row r="55" spans="1:41" ht="35.1" hidden="1" customHeight="1" thickBot="1" x14ac:dyDescent="0.3">
      <c r="A55" s="637">
        <v>31</v>
      </c>
      <c r="B55" s="544">
        <v>8</v>
      </c>
      <c r="C55" s="638" t="s">
        <v>250</v>
      </c>
      <c r="D55" s="639"/>
      <c r="E55" s="639"/>
      <c r="F55" s="639"/>
      <c r="G55" s="639"/>
      <c r="H55" s="639"/>
      <c r="I55" s="640"/>
      <c r="J55" s="641"/>
      <c r="K55" s="642"/>
      <c r="L55" s="642"/>
      <c r="M55" s="642"/>
      <c r="N55" s="642"/>
      <c r="O55" s="642"/>
      <c r="P55" s="643"/>
      <c r="Q55" s="643"/>
      <c r="R55" s="644" t="s">
        <v>139</v>
      </c>
      <c r="S55" s="600" t="s">
        <v>298</v>
      </c>
      <c r="T55" s="645">
        <v>0</v>
      </c>
      <c r="U55" s="645">
        <v>107940.55</v>
      </c>
      <c r="V55" s="646">
        <f>T55+U55</f>
        <v>107940.55</v>
      </c>
      <c r="X55" s="119"/>
      <c r="Y55" s="107"/>
      <c r="Z55" s="213"/>
      <c r="AA55" s="1202" t="s">
        <v>300</v>
      </c>
      <c r="AO55" s="646">
        <f>AM55+AN55</f>
        <v>0</v>
      </c>
    </row>
    <row r="56" spans="1:41" ht="35.1" hidden="1" customHeight="1" thickTop="1" x14ac:dyDescent="0.25">
      <c r="A56" s="591">
        <v>28</v>
      </c>
      <c r="B56" s="542">
        <v>7</v>
      </c>
      <c r="C56" s="592" t="s">
        <v>148</v>
      </c>
      <c r="D56" s="593"/>
      <c r="E56" s="593"/>
      <c r="F56" s="593"/>
      <c r="G56" s="593"/>
      <c r="H56" s="593"/>
      <c r="I56" s="594"/>
      <c r="J56" s="595"/>
      <c r="K56" s="596"/>
      <c r="L56" s="596"/>
      <c r="M56" s="596"/>
      <c r="N56" s="596"/>
      <c r="O56" s="596"/>
      <c r="P56" s="596"/>
      <c r="Q56" s="596"/>
      <c r="R56" s="635" t="s">
        <v>139</v>
      </c>
      <c r="S56" s="600" t="str">
        <f>S33</f>
        <v>СОГЛАСОВАНО</v>
      </c>
      <c r="T56" s="636">
        <v>0</v>
      </c>
      <c r="U56" s="636">
        <v>231084.76</v>
      </c>
      <c r="V56" s="598">
        <f>T56+U56</f>
        <v>231084.76</v>
      </c>
      <c r="X56" s="119"/>
      <c r="Y56" s="107"/>
      <c r="Z56" s="213"/>
      <c r="AA56" s="1202"/>
      <c r="AO56" s="598">
        <f>AM56+AN56</f>
        <v>0</v>
      </c>
    </row>
    <row r="57" spans="1:41" ht="52.5" hidden="1" customHeight="1" x14ac:dyDescent="0.25">
      <c r="A57" s="82">
        <v>36</v>
      </c>
      <c r="B57" s="321"/>
      <c r="C57" s="171" t="s">
        <v>151</v>
      </c>
      <c r="D57" s="322"/>
      <c r="E57" s="322"/>
      <c r="F57" s="322"/>
      <c r="G57" s="322"/>
      <c r="H57" s="322"/>
      <c r="I57" s="323"/>
      <c r="J57" s="172"/>
      <c r="K57" s="324"/>
      <c r="L57" s="324"/>
      <c r="M57" s="324"/>
      <c r="N57" s="324"/>
      <c r="O57" s="324"/>
      <c r="P57" s="173"/>
      <c r="Q57" s="173"/>
      <c r="R57" s="404" t="s">
        <v>243</v>
      </c>
      <c r="S57" s="325"/>
      <c r="T57" s="326"/>
      <c r="U57" s="326"/>
      <c r="V57" s="399">
        <f>T57+U57</f>
        <v>0</v>
      </c>
      <c r="X57" s="119"/>
      <c r="Y57" s="107"/>
      <c r="Z57" s="213"/>
      <c r="AA57" s="657" t="s">
        <v>301</v>
      </c>
      <c r="AO57" s="399">
        <f>AM57+AN57</f>
        <v>0</v>
      </c>
    </row>
    <row r="58" spans="1:41" x14ac:dyDescent="0.25">
      <c r="T58" s="45"/>
    </row>
    <row r="59" spans="1:41" x14ac:dyDescent="0.25">
      <c r="V59" s="45"/>
      <c r="AO59" s="45"/>
    </row>
    <row r="69" spans="1:41" s="39" customFormat="1" ht="54.95" customHeight="1" x14ac:dyDescent="0.25">
      <c r="A69" s="46"/>
      <c r="B69" s="47"/>
      <c r="C69" s="46"/>
      <c r="D69" s="48"/>
      <c r="E69" s="46"/>
      <c r="F69" s="49"/>
      <c r="G69" s="48"/>
      <c r="H69" s="48"/>
      <c r="I69" s="48"/>
      <c r="J69" s="48"/>
      <c r="K69" s="50"/>
      <c r="M69" s="35"/>
      <c r="O69" s="35"/>
      <c r="P69" s="36"/>
      <c r="Q69" s="36"/>
      <c r="R69" s="36"/>
      <c r="S69" s="36"/>
      <c r="T69" s="36"/>
      <c r="U69" s="36"/>
      <c r="V69" s="36"/>
      <c r="W69" s="176"/>
      <c r="X69" s="36"/>
      <c r="Y69" s="36"/>
      <c r="Z69" s="36"/>
      <c r="AA69" s="407"/>
      <c r="AO69" s="36"/>
    </row>
    <row r="70" spans="1:41" s="39" customFormat="1" x14ac:dyDescent="0.25">
      <c r="A70" s="36"/>
      <c r="B70" s="36"/>
      <c r="C70" s="36"/>
      <c r="D70" s="45">
        <f>ССР!H58</f>
        <v>392033.92</v>
      </c>
      <c r="E70" s="36"/>
      <c r="F70" s="45"/>
      <c r="G70" s="45">
        <f>ССР!H76</f>
        <v>434361.04</v>
      </c>
      <c r="H70" s="45">
        <f>ССР!H78</f>
        <v>456670</v>
      </c>
      <c r="I70" s="36"/>
      <c r="J70" s="45"/>
      <c r="K70" s="35"/>
      <c r="M70" s="35"/>
      <c r="O70" s="35"/>
      <c r="P70" s="36"/>
      <c r="Q70" s="36"/>
      <c r="R70" s="36"/>
      <c r="S70" s="36"/>
      <c r="T70" s="36"/>
      <c r="U70" s="36"/>
      <c r="V70" s="36"/>
      <c r="W70" s="176"/>
      <c r="X70" s="36"/>
      <c r="Y70" s="36"/>
      <c r="Z70" s="36"/>
      <c r="AA70" s="407"/>
      <c r="AO70" s="36"/>
    </row>
    <row r="71" spans="1:41" s="39" customFormat="1" x14ac:dyDescent="0.25">
      <c r="A71" s="36"/>
      <c r="B71" s="36"/>
      <c r="C71" s="36"/>
      <c r="D71" s="45">
        <f>D31/1000</f>
        <v>392033.92</v>
      </c>
      <c r="E71" s="36"/>
      <c r="F71" s="51"/>
      <c r="G71" s="52">
        <f>G31/1000</f>
        <v>434361.03</v>
      </c>
      <c r="H71" s="52">
        <f>H31/1000</f>
        <v>456670</v>
      </c>
      <c r="I71" s="36"/>
      <c r="J71" s="45"/>
      <c r="K71" s="50"/>
      <c r="M71" s="35"/>
      <c r="O71" s="35"/>
      <c r="P71" s="36"/>
      <c r="Q71" s="36"/>
      <c r="R71" s="36"/>
      <c r="S71" s="36"/>
      <c r="T71" s="36"/>
      <c r="U71" s="36"/>
      <c r="V71" s="36"/>
      <c r="W71" s="176"/>
      <c r="X71" s="36"/>
      <c r="Y71" s="36"/>
      <c r="Z71" s="36"/>
      <c r="AA71" s="407"/>
      <c r="AO71" s="36"/>
    </row>
    <row r="72" spans="1:41" s="39" customFormat="1" x14ac:dyDescent="0.25">
      <c r="A72" s="36"/>
      <c r="B72" s="36"/>
      <c r="C72" s="36"/>
      <c r="D72" s="45"/>
      <c r="E72" s="45"/>
      <c r="F72" s="51"/>
      <c r="G72" s="36"/>
      <c r="H72" s="36"/>
      <c r="I72" s="36"/>
      <c r="J72" s="36"/>
      <c r="M72" s="35"/>
      <c r="O72" s="35"/>
      <c r="P72" s="36"/>
      <c r="Q72" s="36"/>
      <c r="R72" s="36"/>
      <c r="S72" s="36"/>
      <c r="T72" s="36"/>
      <c r="U72" s="36"/>
      <c r="V72" s="36"/>
      <c r="W72" s="176"/>
      <c r="X72" s="36"/>
      <c r="Y72" s="36"/>
      <c r="Z72" s="36"/>
      <c r="AA72" s="407"/>
      <c r="AO72" s="36"/>
    </row>
    <row r="92" spans="1:1" x14ac:dyDescent="0.25">
      <c r="A92" s="36">
        <v>7</v>
      </c>
    </row>
  </sheetData>
  <autoFilter ref="A3:W46" xr:uid="{00000000-0001-0000-0100-000000000000}"/>
  <mergeCells count="13">
    <mergeCell ref="A1:J1"/>
    <mergeCell ref="A3:A4"/>
    <mergeCell ref="B3:B4"/>
    <mergeCell ref="C3:C4"/>
    <mergeCell ref="G3:G4"/>
    <mergeCell ref="H3:H4"/>
    <mergeCell ref="I3:I4"/>
    <mergeCell ref="J3:J4"/>
    <mergeCell ref="T5:U5"/>
    <mergeCell ref="T26:U26"/>
    <mergeCell ref="AA27:AA28"/>
    <mergeCell ref="T32:U32"/>
    <mergeCell ref="AA55:AA56"/>
  </mergeCells>
  <pageMargins left="0.23622047244094491" right="0.23622047244094491" top="0.74803149606299213" bottom="0.74803149606299213" header="0.31496062992125984" footer="0.31496062992125984"/>
  <pageSetup paperSize="9" scale="58" fitToHeight="100" orientation="landscape" r:id="rId1"/>
  <rowBreaks count="2" manualBreakCount="2">
    <brk id="48" max="17" man="1"/>
    <brk id="58" max="9" man="1"/>
  </rowBreaks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203B92-3FC3-4828-989F-225CD127506F}">
  <sheetPr>
    <tabColor rgb="FFFF0000"/>
    <pageSetUpPr fitToPage="1"/>
  </sheetPr>
  <dimension ref="A1:AP92"/>
  <sheetViews>
    <sheetView topLeftCell="B1" zoomScale="55" zoomScaleNormal="55" zoomScaleSheetLayoutView="80" workbookViewId="0">
      <pane ySplit="3" topLeftCell="A18" activePane="bottomLeft" state="frozen"/>
      <selection pane="bottomLeft" activeCell="U19" sqref="U19"/>
    </sheetView>
  </sheetViews>
  <sheetFormatPr defaultColWidth="9.140625" defaultRowHeight="15.75" outlineLevelCol="1" x14ac:dyDescent="0.25"/>
  <cols>
    <col min="1" max="1" width="6.28515625" style="36" customWidth="1"/>
    <col min="2" max="2" width="17" style="36" customWidth="1"/>
    <col min="3" max="3" width="38.85546875" style="36" customWidth="1"/>
    <col min="4" max="4" width="20.5703125" style="36" hidden="1" customWidth="1" outlineLevel="1"/>
    <col min="5" max="5" width="18.85546875" style="36" hidden="1" customWidth="1" outlineLevel="1"/>
    <col min="6" max="6" width="17.5703125" style="36" hidden="1" customWidth="1" outlineLevel="1"/>
    <col min="7" max="7" width="20.7109375" style="36" hidden="1" customWidth="1" outlineLevel="1"/>
    <col min="8" max="8" width="19.5703125" style="36" hidden="1" customWidth="1" outlineLevel="1"/>
    <col min="9" max="9" width="8.5703125" style="36" hidden="1" customWidth="1" outlineLevel="1"/>
    <col min="10" max="10" width="22.28515625" style="36" customWidth="1" collapsed="1"/>
    <col min="11" max="11" width="20.42578125" style="39" hidden="1" customWidth="1" outlineLevel="1"/>
    <col min="12" max="12" width="16.85546875" style="39" hidden="1" customWidth="1" outlineLevel="1"/>
    <col min="13" max="13" width="18.140625" style="35" hidden="1" customWidth="1" outlineLevel="1"/>
    <col min="14" max="14" width="16.85546875" style="39" hidden="1" customWidth="1" outlineLevel="1"/>
    <col min="15" max="15" width="18.140625" style="35" hidden="1" customWidth="1" outlineLevel="1"/>
    <col min="16" max="16" width="18.42578125" style="36" customWidth="1" collapsed="1"/>
    <col min="17" max="17" width="20.28515625" style="36" customWidth="1"/>
    <col min="18" max="18" width="16.85546875" style="36" customWidth="1"/>
    <col min="19" max="19" width="40.85546875" style="36" customWidth="1"/>
    <col min="20" max="20" width="26.140625" style="36" customWidth="1"/>
    <col min="21" max="21" width="26.7109375" style="36" customWidth="1"/>
    <col min="22" max="22" width="31.42578125" style="36" customWidth="1"/>
    <col min="23" max="23" width="3.28515625" style="176" hidden="1" customWidth="1"/>
    <col min="24" max="24" width="27.5703125" style="36" hidden="1" customWidth="1"/>
    <col min="25" max="26" width="19" style="36" hidden="1" customWidth="1"/>
    <col min="27" max="27" width="29.28515625" style="406" hidden="1" customWidth="1"/>
    <col min="28" max="28" width="15" style="36" hidden="1" customWidth="1"/>
    <col min="29" max="29" width="19.28515625" style="36" hidden="1" customWidth="1"/>
    <col min="30" max="30" width="15.7109375" style="36" hidden="1" customWidth="1"/>
    <col min="31" max="31" width="19.85546875" style="36" hidden="1" customWidth="1"/>
    <col min="32" max="32" width="15.28515625" style="36" hidden="1" customWidth="1"/>
    <col min="33" max="40" width="0" style="36" hidden="1" customWidth="1"/>
    <col min="41" max="41" width="18.85546875" style="36" bestFit="1" customWidth="1"/>
    <col min="42" max="42" width="16.5703125" style="36" bestFit="1" customWidth="1"/>
    <col min="43" max="16384" width="9.140625" style="36"/>
  </cols>
  <sheetData>
    <row r="1" spans="1:31" ht="8.25" customHeight="1" x14ac:dyDescent="0.25">
      <c r="A1" s="1189"/>
      <c r="B1" s="1189"/>
      <c r="C1" s="1189"/>
      <c r="D1" s="1189"/>
      <c r="E1" s="1189"/>
      <c r="F1" s="1189"/>
      <c r="G1" s="1189"/>
      <c r="H1" s="1189"/>
      <c r="I1" s="1189"/>
      <c r="J1" s="1189"/>
      <c r="K1" s="1144"/>
      <c r="L1" s="1144"/>
      <c r="N1" s="1144"/>
    </row>
    <row r="2" spans="1:31" ht="5.25" customHeight="1" thickBot="1" x14ac:dyDescent="0.3">
      <c r="A2" s="37"/>
      <c r="B2" s="37"/>
      <c r="C2" s="37"/>
      <c r="D2" s="37"/>
      <c r="E2" s="37"/>
      <c r="F2" s="37"/>
      <c r="G2" s="37"/>
      <c r="H2" s="37"/>
      <c r="I2" s="38"/>
      <c r="J2" s="37"/>
    </row>
    <row r="3" spans="1:31" ht="47.25" customHeight="1" x14ac:dyDescent="0.25">
      <c r="A3" s="1190" t="s">
        <v>111</v>
      </c>
      <c r="B3" s="1192" t="s">
        <v>112</v>
      </c>
      <c r="C3" s="1192" t="s">
        <v>113</v>
      </c>
      <c r="D3" s="1145" t="s">
        <v>114</v>
      </c>
      <c r="E3" s="1145" t="s">
        <v>115</v>
      </c>
      <c r="F3" s="1145" t="s">
        <v>116</v>
      </c>
      <c r="G3" s="1192" t="s">
        <v>117</v>
      </c>
      <c r="H3" s="1194" t="s">
        <v>125</v>
      </c>
      <c r="I3" s="1192" t="s">
        <v>118</v>
      </c>
      <c r="J3" s="1194" t="s">
        <v>244</v>
      </c>
      <c r="K3" s="74" t="s">
        <v>126</v>
      </c>
      <c r="L3" s="74" t="s">
        <v>127</v>
      </c>
      <c r="M3" s="75" t="s">
        <v>128</v>
      </c>
      <c r="N3" s="76" t="s">
        <v>134</v>
      </c>
      <c r="O3" s="77" t="s">
        <v>135</v>
      </c>
      <c r="P3" s="78" t="s">
        <v>136</v>
      </c>
      <c r="Q3" s="78" t="s">
        <v>121</v>
      </c>
      <c r="R3" s="79" t="s">
        <v>137</v>
      </c>
      <c r="S3" s="79" t="s">
        <v>138</v>
      </c>
      <c r="T3" s="80" t="s">
        <v>249</v>
      </c>
      <c r="U3" s="80" t="s">
        <v>276</v>
      </c>
      <c r="V3" s="80" t="s">
        <v>242</v>
      </c>
      <c r="X3" s="79" t="s">
        <v>193</v>
      </c>
      <c r="Y3" s="80" t="s">
        <v>157</v>
      </c>
      <c r="Z3" s="80" t="s">
        <v>137</v>
      </c>
      <c r="AA3" s="80" t="s">
        <v>293</v>
      </c>
    </row>
    <row r="4" spans="1:31" ht="14.25" customHeight="1" x14ac:dyDescent="0.25">
      <c r="A4" s="1191"/>
      <c r="B4" s="1193"/>
      <c r="C4" s="1193"/>
      <c r="D4" s="1146"/>
      <c r="E4" s="1146"/>
      <c r="F4" s="1146"/>
      <c r="G4" s="1193"/>
      <c r="H4" s="1195"/>
      <c r="I4" s="1193"/>
      <c r="J4" s="1195"/>
      <c r="K4" s="54" t="s">
        <v>122</v>
      </c>
      <c r="L4" s="54" t="s">
        <v>123</v>
      </c>
      <c r="M4" s="54" t="s">
        <v>124</v>
      </c>
      <c r="N4" s="54" t="s">
        <v>132</v>
      </c>
      <c r="O4" s="54" t="s">
        <v>133</v>
      </c>
      <c r="P4" s="40"/>
      <c r="Q4" s="40"/>
      <c r="R4" s="65"/>
      <c r="S4" s="65"/>
      <c r="T4" s="81"/>
      <c r="U4" s="81"/>
      <c r="V4" s="81"/>
      <c r="X4" s="65"/>
      <c r="Y4" s="81"/>
      <c r="Z4" s="81"/>
    </row>
    <row r="5" spans="1:31" x14ac:dyDescent="0.25">
      <c r="A5" s="380"/>
      <c r="B5" s="381"/>
      <c r="C5" s="381"/>
      <c r="D5" s="381"/>
      <c r="E5" s="381"/>
      <c r="F5" s="381"/>
      <c r="G5" s="381"/>
      <c r="H5" s="382"/>
      <c r="I5" s="381"/>
      <c r="J5" s="382"/>
      <c r="K5" s="383"/>
      <c r="L5" s="383"/>
      <c r="M5" s="383"/>
      <c r="N5" s="383"/>
      <c r="O5" s="383"/>
      <c r="P5" s="383"/>
      <c r="Q5" s="383"/>
      <c r="R5" s="383"/>
      <c r="S5" s="383"/>
      <c r="T5" s="1196" t="s">
        <v>283</v>
      </c>
      <c r="U5" s="1197"/>
      <c r="V5" s="384"/>
      <c r="X5" s="65"/>
      <c r="Y5" s="81"/>
      <c r="Z5" s="81"/>
    </row>
    <row r="6" spans="1:31" ht="54" customHeight="1" x14ac:dyDescent="0.25">
      <c r="A6" s="301">
        <v>1</v>
      </c>
      <c r="B6" s="620" t="s">
        <v>159</v>
      </c>
      <c r="C6" s="302" t="s">
        <v>26</v>
      </c>
      <c r="D6" s="621">
        <v>48841208.740000002</v>
      </c>
      <c r="E6" s="621">
        <v>4004979.12</v>
      </c>
      <c r="F6" s="621">
        <v>1268308.51</v>
      </c>
      <c r="G6" s="621">
        <v>54114496.369999997</v>
      </c>
      <c r="H6" s="621">
        <v>56893839.630000003</v>
      </c>
      <c r="I6" s="304">
        <v>1.2</v>
      </c>
      <c r="J6" s="305">
        <f t="shared" ref="J6:J21" si="0">ROUND(H6*I6,2)</f>
        <v>68272607.560000002</v>
      </c>
      <c r="K6" s="622">
        <v>65507253.219999999</v>
      </c>
      <c r="L6" s="622">
        <v>360012.73</v>
      </c>
      <c r="M6" s="622"/>
      <c r="N6" s="622"/>
      <c r="O6" s="622"/>
      <c r="P6" s="622">
        <f>K6+L6+M6+N6+O6</f>
        <v>65867265.950000003</v>
      </c>
      <c r="Q6" s="622">
        <f>J6-K6-L6-M6-N6-O6</f>
        <v>2405341.61</v>
      </c>
      <c r="R6" s="622" t="s">
        <v>139</v>
      </c>
      <c r="S6" s="623" t="s">
        <v>158</v>
      </c>
      <c r="T6" s="624">
        <f>P6</f>
        <v>65867265.950000003</v>
      </c>
      <c r="U6" s="624">
        <v>0</v>
      </c>
      <c r="V6" s="625">
        <f t="shared" ref="V6:V24" si="1">T6+U6</f>
        <v>65867265.950000003</v>
      </c>
      <c r="W6" s="177"/>
      <c r="X6" s="111"/>
      <c r="Y6" s="84"/>
      <c r="Z6" s="208"/>
      <c r="AA6" s="604"/>
      <c r="AC6" s="36">
        <v>0</v>
      </c>
      <c r="AD6" s="45">
        <f>U6-AC6</f>
        <v>0</v>
      </c>
    </row>
    <row r="7" spans="1:31" ht="49.5" customHeight="1" x14ac:dyDescent="0.25">
      <c r="A7" s="301">
        <v>2</v>
      </c>
      <c r="B7" s="620" t="s">
        <v>160</v>
      </c>
      <c r="C7" s="302" t="s">
        <v>9</v>
      </c>
      <c r="D7" s="621">
        <v>40054718.460000001</v>
      </c>
      <c r="E7" s="621">
        <v>3284486.91</v>
      </c>
      <c r="F7" s="621">
        <v>1040140.93</v>
      </c>
      <c r="G7" s="621">
        <v>44379346.299999997</v>
      </c>
      <c r="H7" s="621">
        <v>46658688.170000002</v>
      </c>
      <c r="I7" s="304">
        <v>1.2</v>
      </c>
      <c r="J7" s="305">
        <f t="shared" si="0"/>
        <v>55990425.799999997</v>
      </c>
      <c r="K7" s="622">
        <v>54911594.170000002</v>
      </c>
      <c r="L7" s="622"/>
      <c r="M7" s="622"/>
      <c r="N7" s="622"/>
      <c r="O7" s="622"/>
      <c r="P7" s="622">
        <f t="shared" ref="P7:P21" si="2">K7+L7+M7+N7+O7</f>
        <v>54911594.170000002</v>
      </c>
      <c r="Q7" s="622">
        <f t="shared" ref="Q7:Q21" si="3">J7-K7-L7-M7-N7-O7</f>
        <v>1078831.6299999999</v>
      </c>
      <c r="R7" s="622" t="s">
        <v>139</v>
      </c>
      <c r="S7" s="623" t="s">
        <v>158</v>
      </c>
      <c r="T7" s="624">
        <f t="shared" ref="T7:T21" si="4">P7</f>
        <v>54911594.170000002</v>
      </c>
      <c r="U7" s="624">
        <v>0</v>
      </c>
      <c r="V7" s="625">
        <f t="shared" si="1"/>
        <v>54911594.170000002</v>
      </c>
      <c r="X7" s="111"/>
      <c r="Y7" s="84"/>
      <c r="Z7" s="208"/>
      <c r="AA7" s="604"/>
      <c r="AC7" s="36">
        <v>0</v>
      </c>
      <c r="AD7" s="45">
        <f t="shared" ref="AD7:AD25" si="5">U7-AC7</f>
        <v>0</v>
      </c>
    </row>
    <row r="8" spans="1:31" ht="35.1" customHeight="1" x14ac:dyDescent="0.25">
      <c r="A8" s="301">
        <v>3</v>
      </c>
      <c r="B8" s="620" t="s">
        <v>176</v>
      </c>
      <c r="C8" s="302" t="s">
        <v>10</v>
      </c>
      <c r="D8" s="621">
        <v>1177977.71</v>
      </c>
      <c r="E8" s="621">
        <v>96594.17</v>
      </c>
      <c r="F8" s="621">
        <v>30589.73</v>
      </c>
      <c r="G8" s="621">
        <v>1305161.6100000001</v>
      </c>
      <c r="H8" s="621">
        <v>1372195.26</v>
      </c>
      <c r="I8" s="304">
        <f>I6</f>
        <v>1.2</v>
      </c>
      <c r="J8" s="305">
        <f t="shared" si="0"/>
        <v>1646634.31</v>
      </c>
      <c r="K8" s="622"/>
      <c r="L8" s="622"/>
      <c r="M8" s="622">
        <v>1646696.3</v>
      </c>
      <c r="N8" s="622"/>
      <c r="O8" s="622"/>
      <c r="P8" s="622">
        <f t="shared" si="2"/>
        <v>1646696.3</v>
      </c>
      <c r="Q8" s="622">
        <v>0</v>
      </c>
      <c r="R8" s="622" t="s">
        <v>139</v>
      </c>
      <c r="S8" s="623" t="s">
        <v>158</v>
      </c>
      <c r="T8" s="624">
        <f t="shared" si="4"/>
        <v>1646696.3</v>
      </c>
      <c r="U8" s="624">
        <v>0</v>
      </c>
      <c r="V8" s="625">
        <f t="shared" si="1"/>
        <v>1646696.3</v>
      </c>
      <c r="X8" s="111"/>
      <c r="Y8" s="84"/>
      <c r="Z8" s="208"/>
      <c r="AA8" s="604"/>
      <c r="AC8" s="36">
        <v>0</v>
      </c>
      <c r="AD8" s="45">
        <f t="shared" si="5"/>
        <v>0</v>
      </c>
    </row>
    <row r="9" spans="1:31" s="525" customFormat="1" ht="47.25" x14ac:dyDescent="0.25">
      <c r="A9" s="681">
        <v>4</v>
      </c>
      <c r="B9" s="682" t="s">
        <v>177</v>
      </c>
      <c r="C9" s="683" t="s">
        <v>36</v>
      </c>
      <c r="D9" s="684">
        <v>1615223.87</v>
      </c>
      <c r="E9" s="684">
        <v>132448.35999999999</v>
      </c>
      <c r="F9" s="684">
        <v>41944.13</v>
      </c>
      <c r="G9" s="684">
        <v>1789616.36</v>
      </c>
      <c r="H9" s="684">
        <v>1881531.81</v>
      </c>
      <c r="I9" s="685">
        <f>I19</f>
        <v>1.2</v>
      </c>
      <c r="J9" s="686">
        <f t="shared" si="0"/>
        <v>2257838.17</v>
      </c>
      <c r="K9" s="687"/>
      <c r="L9" s="687"/>
      <c r="M9" s="687">
        <v>1627347.05</v>
      </c>
      <c r="N9" s="687"/>
      <c r="O9" s="687"/>
      <c r="P9" s="687">
        <f>K9+L9+M9+N9+O9</f>
        <v>1627347.05</v>
      </c>
      <c r="Q9" s="687">
        <f t="shared" si="3"/>
        <v>630491.12</v>
      </c>
      <c r="R9" s="688" t="s">
        <v>139</v>
      </c>
      <c r="S9" s="689" t="s">
        <v>318</v>
      </c>
      <c r="T9" s="690">
        <f t="shared" si="4"/>
        <v>1627347.05</v>
      </c>
      <c r="U9" s="364">
        <f>381481.1*1.0514</f>
        <v>401089.23</v>
      </c>
      <c r="V9" s="691">
        <f t="shared" si="1"/>
        <v>2028436.28</v>
      </c>
      <c r="W9" s="231"/>
      <c r="X9" s="229" t="s">
        <v>139</v>
      </c>
      <c r="Y9" s="523">
        <f>1447989.61*1.082*1.024*1.0514*1.2</f>
        <v>2024146.22</v>
      </c>
      <c r="Z9" s="524" t="s">
        <v>186</v>
      </c>
      <c r="AA9" s="604">
        <v>2023649.39</v>
      </c>
      <c r="AB9" s="606">
        <f>AA9-V9</f>
        <v>-4786.8900000000003</v>
      </c>
      <c r="AC9" s="525">
        <v>400933.67</v>
      </c>
      <c r="AD9" s="45">
        <f t="shared" si="5"/>
        <v>155.56</v>
      </c>
    </row>
    <row r="10" spans="1:31" ht="31.5" x14ac:dyDescent="0.25">
      <c r="A10" s="681">
        <v>5</v>
      </c>
      <c r="B10" s="682" t="s">
        <v>195</v>
      </c>
      <c r="C10" s="683" t="s">
        <v>313</v>
      </c>
      <c r="D10" s="684">
        <v>475031.03999999998</v>
      </c>
      <c r="E10" s="684">
        <v>38952.550000000003</v>
      </c>
      <c r="F10" s="684">
        <v>12335.61</v>
      </c>
      <c r="G10" s="684">
        <v>526319.19999999995</v>
      </c>
      <c r="H10" s="684">
        <v>553351.18000000005</v>
      </c>
      <c r="I10" s="685">
        <f>I27</f>
        <v>1.2</v>
      </c>
      <c r="J10" s="686">
        <f t="shared" si="0"/>
        <v>664021.42000000004</v>
      </c>
      <c r="K10" s="687"/>
      <c r="L10" s="687"/>
      <c r="M10" s="687"/>
      <c r="N10" s="687"/>
      <c r="O10" s="687"/>
      <c r="P10" s="687">
        <f t="shared" si="2"/>
        <v>0</v>
      </c>
      <c r="Q10" s="687">
        <f t="shared" si="3"/>
        <v>664021.42000000004</v>
      </c>
      <c r="R10" s="688" t="s">
        <v>139</v>
      </c>
      <c r="S10" s="689" t="s">
        <v>311</v>
      </c>
      <c r="T10" s="690">
        <f t="shared" si="4"/>
        <v>0</v>
      </c>
      <c r="U10" s="364">
        <f>328908.08*1.0514+75422.69*1.0514</f>
        <v>425113.37</v>
      </c>
      <c r="V10" s="691">
        <f t="shared" si="1"/>
        <v>425113.37</v>
      </c>
      <c r="W10" s="236"/>
      <c r="X10" s="228" t="s">
        <v>139</v>
      </c>
      <c r="Y10" s="232">
        <f>(235378.05+47139.18)*1.082*1.024*1.0514*1.2</f>
        <v>394931.14</v>
      </c>
      <c r="Z10" s="233" t="s">
        <v>186</v>
      </c>
      <c r="AA10" s="604">
        <v>388509.33</v>
      </c>
      <c r="AB10" s="606">
        <f t="shared" ref="AB10:AB17" si="6">AA10-V10</f>
        <v>-36604.04</v>
      </c>
      <c r="AC10" s="36">
        <v>370254</v>
      </c>
      <c r="AD10" s="45">
        <f t="shared" si="5"/>
        <v>54859.37</v>
      </c>
    </row>
    <row r="11" spans="1:31" ht="31.5" x14ac:dyDescent="0.25">
      <c r="A11" s="681">
        <v>6</v>
      </c>
      <c r="B11" s="682" t="s">
        <v>178</v>
      </c>
      <c r="C11" s="683" t="s">
        <v>312</v>
      </c>
      <c r="D11" s="684">
        <v>2276671.21</v>
      </c>
      <c r="E11" s="684">
        <v>186687.04</v>
      </c>
      <c r="F11" s="684">
        <v>59120.6</v>
      </c>
      <c r="G11" s="684">
        <v>2522478.85</v>
      </c>
      <c r="H11" s="684">
        <v>2652034.42</v>
      </c>
      <c r="I11" s="685">
        <f>I27</f>
        <v>1.2</v>
      </c>
      <c r="J11" s="686">
        <f t="shared" si="0"/>
        <v>3182441.3</v>
      </c>
      <c r="K11" s="687"/>
      <c r="L11" s="687"/>
      <c r="M11" s="687"/>
      <c r="N11" s="687"/>
      <c r="O11" s="687"/>
      <c r="P11" s="687">
        <f t="shared" si="2"/>
        <v>0</v>
      </c>
      <c r="Q11" s="687">
        <f t="shared" si="3"/>
        <v>3182441.3</v>
      </c>
      <c r="R11" s="688" t="s">
        <v>139</v>
      </c>
      <c r="S11" s="689" t="s">
        <v>311</v>
      </c>
      <c r="T11" s="690">
        <f t="shared" si="4"/>
        <v>0</v>
      </c>
      <c r="U11" s="364">
        <f>4303628.36*1.0514+232553.33*1.0514</f>
        <v>4769341.43</v>
      </c>
      <c r="V11" s="691">
        <f t="shared" si="1"/>
        <v>4769341.43</v>
      </c>
      <c r="W11" s="178"/>
      <c r="X11" s="111" t="s">
        <v>139</v>
      </c>
      <c r="Y11" s="84">
        <f>(3206824.35+130942.19)*1.082*1.024*1.0514*1.2</f>
        <v>4665867.41</v>
      </c>
      <c r="Z11" s="233" t="s">
        <v>186</v>
      </c>
      <c r="AA11" s="604">
        <f>'вар НВ (с 0,65 и без упл)'!U11</f>
        <v>4814643</v>
      </c>
      <c r="AB11" s="606">
        <f t="shared" si="6"/>
        <v>45301.57</v>
      </c>
      <c r="AC11" s="45">
        <v>4524834.8600000003</v>
      </c>
      <c r="AD11" s="45">
        <f t="shared" si="5"/>
        <v>244506.57</v>
      </c>
    </row>
    <row r="12" spans="1:31" ht="31.5" x14ac:dyDescent="0.25">
      <c r="A12" s="681">
        <v>7</v>
      </c>
      <c r="B12" s="682" t="s">
        <v>179</v>
      </c>
      <c r="C12" s="683" t="s">
        <v>47</v>
      </c>
      <c r="D12" s="684">
        <v>760016.55</v>
      </c>
      <c r="E12" s="684">
        <v>62321.36</v>
      </c>
      <c r="F12" s="684">
        <v>19736.11</v>
      </c>
      <c r="G12" s="684">
        <v>842074.02</v>
      </c>
      <c r="H12" s="684">
        <v>885323.3</v>
      </c>
      <c r="I12" s="685">
        <f>I20</f>
        <v>1.2</v>
      </c>
      <c r="J12" s="686">
        <f t="shared" si="0"/>
        <v>1062387.96</v>
      </c>
      <c r="K12" s="687"/>
      <c r="L12" s="687"/>
      <c r="M12" s="687"/>
      <c r="N12" s="687"/>
      <c r="O12" s="687"/>
      <c r="P12" s="687">
        <f t="shared" si="2"/>
        <v>0</v>
      </c>
      <c r="Q12" s="687">
        <f t="shared" si="3"/>
        <v>1062387.96</v>
      </c>
      <c r="R12" s="687" t="s">
        <v>139</v>
      </c>
      <c r="S12" s="689" t="s">
        <v>311</v>
      </c>
      <c r="T12" s="690">
        <f t="shared" si="4"/>
        <v>0</v>
      </c>
      <c r="U12" s="364">
        <f>1451570.46*1.0514</f>
        <v>1526181.18</v>
      </c>
      <c r="V12" s="691">
        <f t="shared" si="1"/>
        <v>1526181.18</v>
      </c>
      <c r="W12" s="231"/>
      <c r="X12" s="228" t="s">
        <v>139</v>
      </c>
      <c r="Y12" s="232">
        <f>1047143.73*1.082*1.024*1.0514*1.2</f>
        <v>1463803.34</v>
      </c>
      <c r="Z12" s="233" t="s">
        <v>186</v>
      </c>
      <c r="AA12" s="619">
        <v>1463803.34</v>
      </c>
      <c r="AB12" s="606">
        <f t="shared" si="6"/>
        <v>-62377.84</v>
      </c>
      <c r="AC12" s="36">
        <v>1553260.73</v>
      </c>
      <c r="AD12" s="45">
        <f t="shared" si="5"/>
        <v>-27079.55</v>
      </c>
    </row>
    <row r="13" spans="1:31" ht="31.5" x14ac:dyDescent="0.25">
      <c r="A13" s="681">
        <v>8</v>
      </c>
      <c r="B13" s="682" t="s">
        <v>180</v>
      </c>
      <c r="C13" s="683" t="s">
        <v>49</v>
      </c>
      <c r="D13" s="684">
        <v>10454161.890000001</v>
      </c>
      <c r="E13" s="684">
        <v>857241.27</v>
      </c>
      <c r="F13" s="684">
        <v>271473.68</v>
      </c>
      <c r="G13" s="684">
        <v>11582876.84</v>
      </c>
      <c r="H13" s="684">
        <v>12177778.26</v>
      </c>
      <c r="I13" s="685">
        <f t="shared" ref="I13:I18" si="7">I6</f>
        <v>1.2</v>
      </c>
      <c r="J13" s="686">
        <f t="shared" si="0"/>
        <v>14613333.91</v>
      </c>
      <c r="K13" s="687"/>
      <c r="L13" s="687"/>
      <c r="M13" s="687"/>
      <c r="N13" s="687"/>
      <c r="O13" s="687"/>
      <c r="P13" s="687">
        <f t="shared" si="2"/>
        <v>0</v>
      </c>
      <c r="Q13" s="687">
        <f t="shared" si="3"/>
        <v>14613333.91</v>
      </c>
      <c r="R13" s="687" t="s">
        <v>139</v>
      </c>
      <c r="S13" s="689" t="str">
        <f>S10</f>
        <v>СОГЛАСОВАНО</v>
      </c>
      <c r="T13" s="690">
        <f t="shared" si="4"/>
        <v>0</v>
      </c>
      <c r="U13" s="364">
        <f>18693514.12*1.0514</f>
        <v>19654360.75</v>
      </c>
      <c r="V13" s="691">
        <f t="shared" si="1"/>
        <v>19654360.75</v>
      </c>
      <c r="W13" s="231"/>
      <c r="X13" s="228" t="s">
        <v>139</v>
      </c>
      <c r="Y13" s="232">
        <f>13422525.94*1.082*1.024*1.0514*1.2</f>
        <v>18763363.32</v>
      </c>
      <c r="Z13" s="233" t="s">
        <v>186</v>
      </c>
      <c r="AA13" s="619">
        <f>'вар НВ (с 0,65 и без упл)'!U13</f>
        <v>19308691</v>
      </c>
      <c r="AB13" s="606">
        <f t="shared" si="6"/>
        <v>-345669.75</v>
      </c>
      <c r="AC13" s="36">
        <v>19970832</v>
      </c>
      <c r="AD13" s="701">
        <f t="shared" si="5"/>
        <v>-316471.25</v>
      </c>
    </row>
    <row r="14" spans="1:31" s="525" customFormat="1" ht="31.5" x14ac:dyDescent="0.25">
      <c r="A14" s="681">
        <v>9</v>
      </c>
      <c r="B14" s="682" t="s">
        <v>181</v>
      </c>
      <c r="C14" s="683" t="s">
        <v>52</v>
      </c>
      <c r="D14" s="684">
        <v>9143309.8300000001</v>
      </c>
      <c r="E14" s="684">
        <v>749751.41</v>
      </c>
      <c r="F14" s="684">
        <v>237433.47</v>
      </c>
      <c r="G14" s="684">
        <v>10130494.710000001</v>
      </c>
      <c r="H14" s="684">
        <v>10650801.17</v>
      </c>
      <c r="I14" s="685">
        <f t="shared" si="7"/>
        <v>1.2</v>
      </c>
      <c r="J14" s="686">
        <f t="shared" si="0"/>
        <v>12780961.4</v>
      </c>
      <c r="K14" s="687"/>
      <c r="L14" s="687"/>
      <c r="M14" s="687"/>
      <c r="N14" s="687"/>
      <c r="O14" s="687">
        <v>337909.86</v>
      </c>
      <c r="P14" s="687">
        <f t="shared" si="2"/>
        <v>337909.86</v>
      </c>
      <c r="Q14" s="687">
        <f t="shared" si="3"/>
        <v>12443051.539999999</v>
      </c>
      <c r="R14" s="687" t="s">
        <v>139</v>
      </c>
      <c r="S14" s="689" t="s">
        <v>311</v>
      </c>
      <c r="T14" s="690">
        <f t="shared" si="4"/>
        <v>337909.86</v>
      </c>
      <c r="U14" s="364">
        <f>2088473.11*1.0514</f>
        <v>2195820.63</v>
      </c>
      <c r="V14" s="691">
        <f t="shared" si="1"/>
        <v>2533730.4900000002</v>
      </c>
      <c r="W14" s="178"/>
      <c r="X14" s="175" t="s">
        <v>139</v>
      </c>
      <c r="Y14" s="174">
        <f>1724717.19*1.082*1.024*1.0514*1.2</f>
        <v>2410984</v>
      </c>
      <c r="Z14" s="524" t="s">
        <v>186</v>
      </c>
      <c r="AA14" s="619">
        <f>'вар НВ (с 0,65 и без упл)'!U14</f>
        <v>2202170</v>
      </c>
      <c r="AB14" s="606">
        <f t="shared" si="6"/>
        <v>-331560.49</v>
      </c>
      <c r="AC14" s="525">
        <v>2221220.66</v>
      </c>
      <c r="AD14" s="45">
        <f t="shared" si="5"/>
        <v>-25400.03</v>
      </c>
    </row>
    <row r="15" spans="1:31" s="525" customFormat="1" ht="31.5" x14ac:dyDescent="0.25">
      <c r="A15" s="681">
        <v>10</v>
      </c>
      <c r="B15" s="682" t="s">
        <v>182</v>
      </c>
      <c r="C15" s="683" t="s">
        <v>54</v>
      </c>
      <c r="D15" s="684">
        <v>21996729.18</v>
      </c>
      <c r="E15" s="684">
        <v>1803731.79</v>
      </c>
      <c r="F15" s="684">
        <v>571211.06000000006</v>
      </c>
      <c r="G15" s="684">
        <v>24371672.030000001</v>
      </c>
      <c r="H15" s="684">
        <v>25623411.34</v>
      </c>
      <c r="I15" s="685">
        <f t="shared" si="7"/>
        <v>1.2</v>
      </c>
      <c r="J15" s="686">
        <f t="shared" si="0"/>
        <v>30748093.609999999</v>
      </c>
      <c r="K15" s="687"/>
      <c r="L15" s="687"/>
      <c r="M15" s="687">
        <v>1211400.79</v>
      </c>
      <c r="N15" s="687"/>
      <c r="O15" s="687"/>
      <c r="P15" s="687">
        <f t="shared" si="2"/>
        <v>1211400.79</v>
      </c>
      <c r="Q15" s="687">
        <f t="shared" si="3"/>
        <v>29536692.82</v>
      </c>
      <c r="R15" s="688" t="s">
        <v>139</v>
      </c>
      <c r="S15" s="689" t="s">
        <v>311</v>
      </c>
      <c r="T15" s="690">
        <f t="shared" si="4"/>
        <v>1211400.79</v>
      </c>
      <c r="U15" s="364">
        <f>2857250.86*1.0514</f>
        <v>3004113.55</v>
      </c>
      <c r="V15" s="691">
        <f t="shared" si="1"/>
        <v>4215514.34</v>
      </c>
      <c r="W15" s="178"/>
      <c r="X15" s="175" t="s">
        <v>139</v>
      </c>
      <c r="Y15" s="174">
        <f>2827828.36*1.082*1.024*1.0514*1.2</f>
        <v>3953024.28</v>
      </c>
      <c r="Z15" s="524" t="s">
        <v>186</v>
      </c>
      <c r="AA15" s="619">
        <f>'вар НВ (с 0,65 и без упл)'!V15</f>
        <v>4448059.79</v>
      </c>
      <c r="AB15" s="606">
        <f t="shared" si="6"/>
        <v>232545.45</v>
      </c>
      <c r="AC15" s="525">
        <v>3314342.94</v>
      </c>
      <c r="AD15" s="45">
        <f t="shared" si="5"/>
        <v>-310229.39</v>
      </c>
      <c r="AE15" s="525" t="s">
        <v>326</v>
      </c>
    </row>
    <row r="16" spans="1:31" ht="31.5" x14ac:dyDescent="0.25">
      <c r="A16" s="681">
        <v>11</v>
      </c>
      <c r="B16" s="682" t="s">
        <v>183</v>
      </c>
      <c r="C16" s="683" t="s">
        <v>62</v>
      </c>
      <c r="D16" s="684">
        <v>1890203.39</v>
      </c>
      <c r="E16" s="684">
        <v>154996.68</v>
      </c>
      <c r="F16" s="684">
        <v>49084.800000000003</v>
      </c>
      <c r="G16" s="684">
        <v>2094284.87</v>
      </c>
      <c r="H16" s="684">
        <v>2201848.2200000002</v>
      </c>
      <c r="I16" s="685">
        <f t="shared" si="7"/>
        <v>1.2</v>
      </c>
      <c r="J16" s="686">
        <f t="shared" si="0"/>
        <v>2642217.86</v>
      </c>
      <c r="K16" s="687"/>
      <c r="L16" s="687"/>
      <c r="M16" s="687"/>
      <c r="N16" s="687"/>
      <c r="O16" s="687"/>
      <c r="P16" s="687">
        <f t="shared" si="2"/>
        <v>0</v>
      </c>
      <c r="Q16" s="687">
        <f t="shared" si="3"/>
        <v>2642217.86</v>
      </c>
      <c r="R16" s="687" t="s">
        <v>139</v>
      </c>
      <c r="S16" s="689" t="s">
        <v>311</v>
      </c>
      <c r="T16" s="690">
        <f t="shared" si="4"/>
        <v>0</v>
      </c>
      <c r="U16" s="364">
        <f>2349488.86*1.0514</f>
        <v>2470252.59</v>
      </c>
      <c r="V16" s="691">
        <f t="shared" si="1"/>
        <v>2470252.59</v>
      </c>
      <c r="W16" s="178"/>
      <c r="X16" s="111" t="s">
        <v>139</v>
      </c>
      <c r="Y16" s="84">
        <f>1675854.44*1.082*1.024*1.0514*1.2</f>
        <v>2342678.71</v>
      </c>
      <c r="Z16" s="233" t="s">
        <v>186</v>
      </c>
      <c r="AA16" s="619">
        <f>'вар НВ (с 0,65 и без упл)'!U16</f>
        <v>2387178</v>
      </c>
      <c r="AB16" s="606">
        <f t="shared" si="6"/>
        <v>-83074.59</v>
      </c>
      <c r="AC16" s="36">
        <v>2509941.54</v>
      </c>
      <c r="AD16" s="45">
        <f t="shared" si="5"/>
        <v>-39688.949999999997</v>
      </c>
    </row>
    <row r="17" spans="1:37" ht="31.5" x14ac:dyDescent="0.25">
      <c r="A17" s="681">
        <v>12</v>
      </c>
      <c r="B17" s="682" t="s">
        <v>184</v>
      </c>
      <c r="C17" s="683" t="s">
        <v>64</v>
      </c>
      <c r="D17" s="684">
        <v>4003449.34</v>
      </c>
      <c r="E17" s="684">
        <v>328282.84999999998</v>
      </c>
      <c r="F17" s="684">
        <v>103961.57</v>
      </c>
      <c r="G17" s="684">
        <v>4435693.76</v>
      </c>
      <c r="H17" s="684">
        <v>4663512.8499999996</v>
      </c>
      <c r="I17" s="685">
        <f t="shared" si="7"/>
        <v>1.2</v>
      </c>
      <c r="J17" s="686">
        <f t="shared" si="0"/>
        <v>5596215.4199999999</v>
      </c>
      <c r="K17" s="687"/>
      <c r="L17" s="687"/>
      <c r="M17" s="687"/>
      <c r="N17" s="687"/>
      <c r="O17" s="687"/>
      <c r="P17" s="687">
        <f t="shared" si="2"/>
        <v>0</v>
      </c>
      <c r="Q17" s="687">
        <f t="shared" si="3"/>
        <v>5596215.4199999999</v>
      </c>
      <c r="R17" s="687" t="s">
        <v>139</v>
      </c>
      <c r="S17" s="689" t="s">
        <v>311</v>
      </c>
      <c r="T17" s="690">
        <f t="shared" si="4"/>
        <v>0</v>
      </c>
      <c r="U17" s="364">
        <f>4471850.99*1.0514</f>
        <v>4701704.13</v>
      </c>
      <c r="V17" s="691">
        <f t="shared" si="1"/>
        <v>4701704.13</v>
      </c>
      <c r="W17" s="178"/>
      <c r="X17" s="111" t="s">
        <v>139</v>
      </c>
      <c r="Y17" s="84">
        <f>2820165.03*1.082*1.024*1.0514*1.2</f>
        <v>3942311.7</v>
      </c>
      <c r="Z17" s="233" t="s">
        <v>186</v>
      </c>
      <c r="AA17" s="619">
        <v>3942311.7</v>
      </c>
      <c r="AB17" s="606">
        <f t="shared" si="6"/>
        <v>-759392.43</v>
      </c>
      <c r="AC17" s="36">
        <v>4764781</v>
      </c>
      <c r="AD17" s="45">
        <f t="shared" si="5"/>
        <v>-63076.87</v>
      </c>
    </row>
    <row r="18" spans="1:37" ht="32.25" thickBot="1" x14ac:dyDescent="0.3">
      <c r="A18" s="681">
        <v>13</v>
      </c>
      <c r="B18" s="682" t="s">
        <v>289</v>
      </c>
      <c r="C18" s="683" t="s">
        <v>67</v>
      </c>
      <c r="D18" s="684">
        <v>8291915.46</v>
      </c>
      <c r="E18" s="684">
        <v>679937.07</v>
      </c>
      <c r="F18" s="684">
        <v>215324.46</v>
      </c>
      <c r="G18" s="684">
        <v>9187176.9900000002</v>
      </c>
      <c r="H18" s="684">
        <v>9659034.2599999998</v>
      </c>
      <c r="I18" s="685">
        <f t="shared" si="7"/>
        <v>1.2</v>
      </c>
      <c r="J18" s="686">
        <f t="shared" si="0"/>
        <v>11590841.109999999</v>
      </c>
      <c r="K18" s="702"/>
      <c r="L18" s="702"/>
      <c r="M18" s="702"/>
      <c r="N18" s="702"/>
      <c r="O18" s="702"/>
      <c r="P18" s="687">
        <f t="shared" si="2"/>
        <v>0</v>
      </c>
      <c r="Q18" s="687">
        <f t="shared" si="3"/>
        <v>11590841.109999999</v>
      </c>
      <c r="R18" s="703" t="s">
        <v>139</v>
      </c>
      <c r="S18" s="689" t="str">
        <f>S15</f>
        <v>СОГЛАСОВАНО</v>
      </c>
      <c r="T18" s="690">
        <f t="shared" si="4"/>
        <v>0</v>
      </c>
      <c r="U18" s="364">
        <f>6105289.42*1.0514</f>
        <v>6419101.2999999998</v>
      </c>
      <c r="V18" s="691">
        <f t="shared" si="1"/>
        <v>6419101.2999999998</v>
      </c>
      <c r="W18" s="188"/>
      <c r="X18" s="111"/>
      <c r="Y18" s="84"/>
      <c r="Z18" s="208"/>
      <c r="AA18" s="604"/>
      <c r="AB18" s="526"/>
      <c r="AC18" s="36">
        <v>6207964</v>
      </c>
      <c r="AD18" s="45">
        <f t="shared" si="5"/>
        <v>211137.3</v>
      </c>
    </row>
    <row r="19" spans="1:37" ht="36" customHeight="1" x14ac:dyDescent="0.25">
      <c r="A19" s="301">
        <v>14</v>
      </c>
      <c r="B19" s="626" t="s">
        <v>306</v>
      </c>
      <c r="C19" s="302" t="s">
        <v>11</v>
      </c>
      <c r="D19" s="621">
        <v>161452921.99000001</v>
      </c>
      <c r="E19" s="621">
        <v>13239139.6</v>
      </c>
      <c r="F19" s="621">
        <v>4192609.48</v>
      </c>
      <c r="G19" s="621">
        <v>178884671.06999999</v>
      </c>
      <c r="H19" s="621">
        <v>188072263.84999999</v>
      </c>
      <c r="I19" s="304">
        <f>I6</f>
        <v>1.2</v>
      </c>
      <c r="J19" s="305">
        <f t="shared" si="0"/>
        <v>225686716.62</v>
      </c>
      <c r="K19" s="622">
        <v>89998722.969999999</v>
      </c>
      <c r="L19" s="622">
        <v>66544414.909999996</v>
      </c>
      <c r="M19" s="622">
        <v>42672742.899999999</v>
      </c>
      <c r="N19" s="622"/>
      <c r="O19" s="622"/>
      <c r="P19" s="622">
        <f t="shared" si="2"/>
        <v>199215880.78</v>
      </c>
      <c r="Q19" s="622">
        <f t="shared" si="3"/>
        <v>26470835.84</v>
      </c>
      <c r="R19" s="622" t="s">
        <v>139</v>
      </c>
      <c r="S19" s="1140" t="s">
        <v>329</v>
      </c>
      <c r="T19" s="624">
        <f t="shared" si="4"/>
        <v>199215880.78</v>
      </c>
      <c r="U19" s="1147">
        <f>43185111.13*1.0514</f>
        <v>45404825.840000004</v>
      </c>
      <c r="V19" s="625">
        <f t="shared" si="1"/>
        <v>244620706.62</v>
      </c>
      <c r="X19" s="111"/>
      <c r="Y19" s="84"/>
      <c r="Z19" s="208"/>
      <c r="AA19" s="36"/>
      <c r="AB19" s="45"/>
      <c r="AC19" s="36">
        <v>37091104.509999998</v>
      </c>
      <c r="AD19" s="45">
        <f t="shared" si="5"/>
        <v>8313721.3300000001</v>
      </c>
      <c r="AE19" s="1106">
        <f>43185111*1.0514</f>
        <v>45404825.710000001</v>
      </c>
      <c r="AF19" s="1099" t="s">
        <v>330</v>
      </c>
      <c r="AG19" s="1100"/>
      <c r="AH19" s="1100"/>
      <c r="AI19" s="1100"/>
      <c r="AJ19" s="1100"/>
      <c r="AK19" s="1101"/>
    </row>
    <row r="20" spans="1:37" s="585" customFormat="1" ht="35.25" customHeight="1" thickBot="1" x14ac:dyDescent="0.3">
      <c r="A20" s="681">
        <v>15</v>
      </c>
      <c r="B20" s="1044" t="s">
        <v>307</v>
      </c>
      <c r="C20" s="683" t="s">
        <v>34</v>
      </c>
      <c r="D20" s="684">
        <v>10526911.91</v>
      </c>
      <c r="E20" s="684">
        <v>863206.78</v>
      </c>
      <c r="F20" s="684">
        <v>273362.84999999998</v>
      </c>
      <c r="G20" s="684">
        <v>11663481.539999999</v>
      </c>
      <c r="H20" s="684">
        <v>12262522.85</v>
      </c>
      <c r="I20" s="685">
        <f>I8</f>
        <v>1.2</v>
      </c>
      <c r="J20" s="686">
        <f t="shared" si="0"/>
        <v>14715027.42</v>
      </c>
      <c r="K20" s="687"/>
      <c r="L20" s="687">
        <v>10775049.08</v>
      </c>
      <c r="M20" s="687"/>
      <c r="N20" s="687"/>
      <c r="O20" s="687"/>
      <c r="P20" s="687">
        <f t="shared" si="2"/>
        <v>10775049.08</v>
      </c>
      <c r="Q20" s="687">
        <f t="shared" si="3"/>
        <v>3939978.34</v>
      </c>
      <c r="R20" s="687" t="s">
        <v>139</v>
      </c>
      <c r="S20" s="689" t="s">
        <v>311</v>
      </c>
      <c r="T20" s="690">
        <f t="shared" si="4"/>
        <v>10775049.08</v>
      </c>
      <c r="U20" s="364">
        <f>3431255.45*1.0514</f>
        <v>3607621.98</v>
      </c>
      <c r="V20" s="691">
        <f t="shared" si="1"/>
        <v>14382671.060000001</v>
      </c>
      <c r="W20" s="582"/>
      <c r="X20" s="111"/>
      <c r="Y20" s="83"/>
      <c r="Z20" s="583"/>
      <c r="AA20" s="584"/>
      <c r="AC20" s="585">
        <v>1790752.08</v>
      </c>
      <c r="AD20" s="45">
        <f t="shared" si="5"/>
        <v>1816869.9</v>
      </c>
      <c r="AE20" s="1107">
        <v>40553265.479999997</v>
      </c>
      <c r="AF20" s="1102" t="s">
        <v>331</v>
      </c>
      <c r="AG20" s="1103"/>
      <c r="AH20" s="1103"/>
      <c r="AI20" s="1103"/>
      <c r="AJ20" s="1103"/>
      <c r="AK20" s="1104"/>
    </row>
    <row r="21" spans="1:37" s="449" customFormat="1" ht="36" customHeight="1" x14ac:dyDescent="0.25">
      <c r="A21" s="692">
        <v>16</v>
      </c>
      <c r="B21" s="693" t="s">
        <v>59</v>
      </c>
      <c r="C21" s="694" t="s">
        <v>60</v>
      </c>
      <c r="D21" s="695">
        <v>4859580.66</v>
      </c>
      <c r="E21" s="695">
        <v>398485.61</v>
      </c>
      <c r="F21" s="695">
        <v>126193.59</v>
      </c>
      <c r="G21" s="695">
        <v>5384259.8600000003</v>
      </c>
      <c r="H21" s="695">
        <v>5660797.71</v>
      </c>
      <c r="I21" s="696">
        <f>I14</f>
        <v>1.2</v>
      </c>
      <c r="J21" s="697">
        <f t="shared" si="0"/>
        <v>6792957.25</v>
      </c>
      <c r="K21" s="698"/>
      <c r="L21" s="698"/>
      <c r="M21" s="698"/>
      <c r="N21" s="698"/>
      <c r="O21" s="698">
        <v>562345.21</v>
      </c>
      <c r="P21" s="698">
        <f t="shared" si="2"/>
        <v>562345.21</v>
      </c>
      <c r="Q21" s="698">
        <f t="shared" si="3"/>
        <v>6230612.04</v>
      </c>
      <c r="R21" s="687" t="s">
        <v>139</v>
      </c>
      <c r="S21" s="689" t="s">
        <v>311</v>
      </c>
      <c r="T21" s="699">
        <f t="shared" si="4"/>
        <v>562345.21</v>
      </c>
      <c r="U21" s="364">
        <f>3262429.24*1.0514</f>
        <v>3430118.1</v>
      </c>
      <c r="V21" s="691">
        <f t="shared" si="1"/>
        <v>3992463.31</v>
      </c>
      <c r="W21" s="451"/>
      <c r="X21" s="446"/>
      <c r="Y21" s="443"/>
      <c r="Z21" s="447"/>
      <c r="AA21" s="448"/>
      <c r="AC21" s="449">
        <v>3430118.1</v>
      </c>
      <c r="AD21" s="45">
        <f t="shared" si="5"/>
        <v>0</v>
      </c>
    </row>
    <row r="22" spans="1:37" s="585" customFormat="1" ht="43.5" customHeight="1" x14ac:dyDescent="0.25">
      <c r="A22" s="681">
        <v>17</v>
      </c>
      <c r="B22" s="682" t="s">
        <v>58</v>
      </c>
      <c r="C22" s="683" t="s">
        <v>297</v>
      </c>
      <c r="D22" s="684">
        <v>4044845.15</v>
      </c>
      <c r="E22" s="684">
        <v>331677.3</v>
      </c>
      <c r="F22" s="684">
        <v>105036.54</v>
      </c>
      <c r="G22" s="684">
        <v>4481558.99</v>
      </c>
      <c r="H22" s="684">
        <v>4711733.74</v>
      </c>
      <c r="I22" s="685">
        <f>I13</f>
        <v>1.2</v>
      </c>
      <c r="J22" s="686">
        <f>ROUND(H22*I22,2)</f>
        <v>5654080.4900000002</v>
      </c>
      <c r="K22" s="687"/>
      <c r="L22" s="687"/>
      <c r="M22" s="687"/>
      <c r="N22" s="687"/>
      <c r="O22" s="687">
        <v>3594854.48</v>
      </c>
      <c r="P22" s="687">
        <f>K22+L22+M22+N22+O22</f>
        <v>3594854.48</v>
      </c>
      <c r="Q22" s="687">
        <f>J22-K22-L22-M22-N22-O22</f>
        <v>2059226.01</v>
      </c>
      <c r="R22" s="687" t="s">
        <v>139</v>
      </c>
      <c r="S22" s="689" t="s">
        <v>311</v>
      </c>
      <c r="T22" s="690">
        <f>P22</f>
        <v>3594854.48</v>
      </c>
      <c r="U22" s="364">
        <f>1011166.15*1.0514</f>
        <v>1063140.0900000001</v>
      </c>
      <c r="V22" s="691">
        <f t="shared" si="1"/>
        <v>4657994.57</v>
      </c>
      <c r="W22" s="582"/>
      <c r="X22" s="111"/>
      <c r="Y22" s="83"/>
      <c r="Z22" s="583"/>
      <c r="AA22" s="584" t="s">
        <v>295</v>
      </c>
    </row>
    <row r="23" spans="1:37" ht="31.5" x14ac:dyDescent="0.25">
      <c r="A23" s="681">
        <v>18</v>
      </c>
      <c r="B23" s="682" t="s">
        <v>70</v>
      </c>
      <c r="C23" s="683" t="s">
        <v>324</v>
      </c>
      <c r="D23" s="1051">
        <v>5005903.75</v>
      </c>
      <c r="E23" s="1051">
        <v>410484.11</v>
      </c>
      <c r="F23" s="1051">
        <v>129993.31</v>
      </c>
      <c r="G23" s="1051">
        <v>5546381.1699999999</v>
      </c>
      <c r="H23" s="1051">
        <v>5831245.6399999997</v>
      </c>
      <c r="I23" s="1052">
        <f>I12</f>
        <v>1.2</v>
      </c>
      <c r="J23" s="686">
        <f>ROUND(H23*I23,2)</f>
        <v>6997494.7699999996</v>
      </c>
      <c r="K23" s="1053"/>
      <c r="L23" s="1053">
        <v>2298854.48</v>
      </c>
      <c r="M23" s="1053"/>
      <c r="N23" s="1053"/>
      <c r="O23" s="1053"/>
      <c r="P23" s="687">
        <f>K23+L23+M23+N23+O23</f>
        <v>2298854.48</v>
      </c>
      <c r="Q23" s="687">
        <f>J23-K23-L23-M23-N23-O23</f>
        <v>4698640.29</v>
      </c>
      <c r="R23" s="687" t="s">
        <v>139</v>
      </c>
      <c r="S23" s="689" t="s">
        <v>311</v>
      </c>
      <c r="T23" s="690">
        <f>P23</f>
        <v>2298854.48</v>
      </c>
      <c r="U23" s="364">
        <f>18120717.24*1.0514</f>
        <v>19052122.109999999</v>
      </c>
      <c r="V23" s="691">
        <f t="shared" si="1"/>
        <v>21350976.59</v>
      </c>
      <c r="W23" s="1054"/>
      <c r="X23" s="1055"/>
      <c r="Y23" s="1056"/>
      <c r="Z23" s="1057"/>
      <c r="AA23" s="1058" t="s">
        <v>295</v>
      </c>
      <c r="AB23" s="1059"/>
      <c r="AC23" s="1059"/>
      <c r="AD23" s="1059"/>
      <c r="AE23" s="1062"/>
      <c r="AF23" s="1062"/>
      <c r="AG23" s="1062"/>
      <c r="AH23" s="1062"/>
      <c r="AI23" s="1062"/>
      <c r="AJ23" s="1062"/>
    </row>
    <row r="24" spans="1:37" ht="42.75" customHeight="1" thickBot="1" x14ac:dyDescent="0.3">
      <c r="A24" s="301">
        <v>20</v>
      </c>
      <c r="B24" s="620" t="s">
        <v>71</v>
      </c>
      <c r="C24" s="302" t="s">
        <v>109</v>
      </c>
      <c r="D24" s="621">
        <v>48898423.600000001</v>
      </c>
      <c r="E24" s="621">
        <v>4009670.74</v>
      </c>
      <c r="F24" s="621">
        <v>1269794.26</v>
      </c>
      <c r="G24" s="621">
        <v>54177888.600000001</v>
      </c>
      <c r="H24" s="621">
        <v>56960487.710000001</v>
      </c>
      <c r="I24" s="304">
        <f>I12</f>
        <v>1.2</v>
      </c>
      <c r="J24" s="305">
        <f>ROUND(H24*I24,2)</f>
        <v>68352585.25</v>
      </c>
      <c r="K24" s="622"/>
      <c r="L24" s="622"/>
      <c r="M24" s="622">
        <v>11709977.720000001</v>
      </c>
      <c r="N24" s="622"/>
      <c r="O24" s="622">
        <v>3615838.44</v>
      </c>
      <c r="P24" s="622">
        <f>K24+L24+M24+N24+O24</f>
        <v>15325816.16</v>
      </c>
      <c r="Q24" s="622">
        <f>J24-K24-L24-M24-N24-O24</f>
        <v>53026769.090000004</v>
      </c>
      <c r="R24" s="1079" t="s">
        <v>243</v>
      </c>
      <c r="S24" s="1140" t="s">
        <v>329</v>
      </c>
      <c r="T24" s="624">
        <f>P24</f>
        <v>15325816.16</v>
      </c>
      <c r="U24" s="1147">
        <f>67053943.01*1.0514</f>
        <v>70500515.680000007</v>
      </c>
      <c r="V24" s="1080">
        <f t="shared" si="1"/>
        <v>85826331.840000004</v>
      </c>
      <c r="W24" s="206"/>
      <c r="X24" s="111"/>
      <c r="Y24" s="85"/>
      <c r="Z24" s="209"/>
      <c r="AA24" s="584" t="s">
        <v>295</v>
      </c>
      <c r="AC24" s="36" t="s">
        <v>317</v>
      </c>
      <c r="AE24" s="36">
        <f>67252983*1.0514</f>
        <v>70709786.326199993</v>
      </c>
      <c r="AF24" s="45">
        <f>AE24-U24</f>
        <v>209270.65</v>
      </c>
    </row>
    <row r="25" spans="1:37" ht="4.5" customHeight="1" thickTop="1" x14ac:dyDescent="0.25">
      <c r="A25" s="475"/>
      <c r="B25" s="1070"/>
      <c r="C25" s="1071"/>
      <c r="D25" s="1072"/>
      <c r="E25" s="1072"/>
      <c r="F25" s="1072"/>
      <c r="G25" s="1072"/>
      <c r="H25" s="1072"/>
      <c r="I25" s="1073"/>
      <c r="J25" s="1074"/>
      <c r="K25" s="1075"/>
      <c r="L25" s="1075"/>
      <c r="M25" s="1075"/>
      <c r="N25" s="1075"/>
      <c r="O25" s="1075"/>
      <c r="P25" s="1075"/>
      <c r="Q25" s="1075"/>
      <c r="R25" s="1075"/>
      <c r="S25" s="565"/>
      <c r="T25" s="1076"/>
      <c r="U25" s="1077"/>
      <c r="V25" s="1078"/>
      <c r="W25" s="178"/>
      <c r="X25" s="111"/>
      <c r="Y25" s="84"/>
      <c r="Z25" s="233"/>
      <c r="AD25" s="45">
        <f t="shared" si="5"/>
        <v>0</v>
      </c>
    </row>
    <row r="26" spans="1:37" ht="32.25" customHeight="1" thickBot="1" x14ac:dyDescent="0.3">
      <c r="A26" s="380"/>
      <c r="B26" s="381"/>
      <c r="C26" s="381"/>
      <c r="D26" s="381"/>
      <c r="E26" s="381"/>
      <c r="F26" s="381"/>
      <c r="G26" s="381"/>
      <c r="H26" s="382"/>
      <c r="I26" s="381"/>
      <c r="J26" s="382"/>
      <c r="K26" s="383"/>
      <c r="L26" s="383"/>
      <c r="M26" s="383"/>
      <c r="N26" s="383"/>
      <c r="O26" s="383"/>
      <c r="P26" s="383"/>
      <c r="Q26" s="383"/>
      <c r="R26" s="383"/>
      <c r="S26" s="383"/>
      <c r="T26" s="1196" t="s">
        <v>272</v>
      </c>
      <c r="U26" s="1197"/>
      <c r="V26" s="605"/>
      <c r="W26" s="605">
        <f>SUM(W9:W17)</f>
        <v>0</v>
      </c>
      <c r="X26" s="605">
        <f>SUM(X9:X17)</f>
        <v>0</v>
      </c>
      <c r="Y26" s="605">
        <f>SUM(Y9:Y17)</f>
        <v>39961110.119999997</v>
      </c>
      <c r="Z26" s="605">
        <f>SUM(Z9:Z17)</f>
        <v>0</v>
      </c>
      <c r="AA26" s="36"/>
      <c r="AC26" s="45"/>
    </row>
    <row r="27" spans="1:37" s="449" customFormat="1" ht="32.25" customHeight="1" x14ac:dyDescent="0.25">
      <c r="A27" s="658">
        <v>21</v>
      </c>
      <c r="B27" s="659" t="s">
        <v>32</v>
      </c>
      <c r="C27" s="660" t="str">
        <f>ССР!C30</f>
        <v>Восстановительные работы цеха №121/18. АС 3.</v>
      </c>
      <c r="D27" s="661">
        <v>4505948.67</v>
      </c>
      <c r="E27" s="661">
        <v>369487.79</v>
      </c>
      <c r="F27" s="661">
        <v>117010.48</v>
      </c>
      <c r="G27" s="661">
        <v>4992446.9400000004</v>
      </c>
      <c r="H27" s="661">
        <v>5248861.1100000003</v>
      </c>
      <c r="I27" s="662">
        <f>I7</f>
        <v>1.2</v>
      </c>
      <c r="J27" s="663">
        <f>ROUND(H27*I27,2)</f>
        <v>6298633.3300000001</v>
      </c>
      <c r="K27" s="664"/>
      <c r="L27" s="664"/>
      <c r="M27" s="664"/>
      <c r="N27" s="664">
        <v>5245250.92</v>
      </c>
      <c r="O27" s="664"/>
      <c r="P27" s="665">
        <f>K27+L27+M27+N27+O27</f>
        <v>5245250.92</v>
      </c>
      <c r="Q27" s="665">
        <f>J27-K27-L27-M27-N27-O27</f>
        <v>1053382.4099999999</v>
      </c>
      <c r="R27" s="666" t="s">
        <v>168</v>
      </c>
      <c r="S27" s="1049" t="s">
        <v>320</v>
      </c>
      <c r="T27" s="667">
        <f>P27</f>
        <v>5245250.92</v>
      </c>
      <c r="U27" s="668" t="s">
        <v>243</v>
      </c>
      <c r="V27" s="667">
        <f>T27</f>
        <v>5245250.92</v>
      </c>
      <c r="W27" s="445" t="s">
        <v>172</v>
      </c>
      <c r="X27" s="446"/>
      <c r="Y27" s="443"/>
      <c r="Z27" s="447"/>
      <c r="AA27" s="1201" t="s">
        <v>308</v>
      </c>
      <c r="AC27" s="449" t="s">
        <v>310</v>
      </c>
    </row>
    <row r="28" spans="1:37" s="449" customFormat="1" ht="32.25" thickBot="1" x14ac:dyDescent="0.3">
      <c r="A28" s="669">
        <v>22</v>
      </c>
      <c r="B28" s="670" t="s">
        <v>55</v>
      </c>
      <c r="C28" s="671" t="str">
        <f>ССР!C45</f>
        <v>Трубопровод ливневых сточных вод от трансбордера. НВК1</v>
      </c>
      <c r="D28" s="672">
        <v>1758763.66</v>
      </c>
      <c r="E28" s="672">
        <v>144218.62</v>
      </c>
      <c r="F28" s="672">
        <v>45671.57</v>
      </c>
      <c r="G28" s="672">
        <v>1948653.85</v>
      </c>
      <c r="H28" s="672">
        <v>2048737.53</v>
      </c>
      <c r="I28" s="673">
        <f>I19</f>
        <v>1.2</v>
      </c>
      <c r="J28" s="674">
        <f>ROUND(H28*I28,2)</f>
        <v>2458485.04</v>
      </c>
      <c r="K28" s="675"/>
      <c r="L28" s="675"/>
      <c r="M28" s="675"/>
      <c r="N28" s="675"/>
      <c r="O28" s="675">
        <v>505496.99</v>
      </c>
      <c r="P28" s="676">
        <f>K28+L28+M28+N28+O28</f>
        <v>505496.99</v>
      </c>
      <c r="Q28" s="676">
        <f>J28-K28-L28-M28-N28-O28</f>
        <v>1952988.05</v>
      </c>
      <c r="R28" s="677" t="str">
        <f>R27</f>
        <v>ВОРа на доп. не будет</v>
      </c>
      <c r="S28" s="1050" t="s">
        <v>320</v>
      </c>
      <c r="T28" s="678">
        <f>P28</f>
        <v>505496.99</v>
      </c>
      <c r="U28" s="679" t="s">
        <v>243</v>
      </c>
      <c r="V28" s="680">
        <f>T28</f>
        <v>505496.99</v>
      </c>
      <c r="W28" s="451"/>
      <c r="X28" s="446"/>
      <c r="Y28" s="443"/>
      <c r="Z28" s="447"/>
      <c r="AA28" s="1201"/>
      <c r="AC28" s="449" t="s">
        <v>310</v>
      </c>
    </row>
    <row r="29" spans="1:37" ht="35.1" customHeight="1" x14ac:dyDescent="0.25">
      <c r="A29" s="387">
        <v>23</v>
      </c>
      <c r="B29" s="388">
        <v>1</v>
      </c>
      <c r="C29" s="389" t="s">
        <v>175</v>
      </c>
      <c r="D29" s="390"/>
      <c r="E29" s="390"/>
      <c r="F29" s="390"/>
      <c r="G29" s="390"/>
      <c r="H29" s="390"/>
      <c r="I29" s="391"/>
      <c r="J29" s="392"/>
      <c r="K29" s="393"/>
      <c r="L29" s="393"/>
      <c r="M29" s="393"/>
      <c r="N29" s="393"/>
      <c r="O29" s="393"/>
      <c r="P29" s="393">
        <f>T29</f>
        <v>4216719.66</v>
      </c>
      <c r="Q29" s="393"/>
      <c r="R29" s="477" t="s">
        <v>139</v>
      </c>
      <c r="S29" s="394" t="s">
        <v>321</v>
      </c>
      <c r="T29" s="420">
        <v>4216719.66</v>
      </c>
      <c r="U29" s="420">
        <v>0</v>
      </c>
      <c r="V29" s="420">
        <f>T29+U29</f>
        <v>4216719.66</v>
      </c>
      <c r="X29" s="119"/>
      <c r="Y29" s="179"/>
      <c r="Z29" s="179"/>
    </row>
    <row r="30" spans="1:37" ht="35.1" customHeight="1" thickBot="1" x14ac:dyDescent="0.3">
      <c r="A30" s="513">
        <v>24</v>
      </c>
      <c r="B30" s="479">
        <v>1</v>
      </c>
      <c r="C30" s="480" t="s">
        <v>174</v>
      </c>
      <c r="D30" s="481"/>
      <c r="E30" s="481"/>
      <c r="F30" s="481"/>
      <c r="G30" s="481"/>
      <c r="H30" s="481"/>
      <c r="I30" s="482"/>
      <c r="J30" s="483"/>
      <c r="K30" s="484"/>
      <c r="L30" s="484"/>
      <c r="M30" s="484"/>
      <c r="N30" s="484"/>
      <c r="O30" s="484"/>
      <c r="P30" s="484">
        <f>T30</f>
        <v>2160473.5</v>
      </c>
      <c r="Q30" s="484"/>
      <c r="R30" s="514" t="s">
        <v>139</v>
      </c>
      <c r="S30" s="515" t="s">
        <v>321</v>
      </c>
      <c r="T30" s="485">
        <v>2160473.5</v>
      </c>
      <c r="U30" s="485">
        <v>0</v>
      </c>
      <c r="V30" s="486">
        <f>T30+U30</f>
        <v>2160473.5</v>
      </c>
      <c r="X30" s="117"/>
      <c r="Y30" s="105"/>
      <c r="Z30" s="211"/>
    </row>
    <row r="31" spans="1:37" ht="31.5" customHeight="1" thickTop="1" thickBot="1" x14ac:dyDescent="0.3">
      <c r="A31" s="516"/>
      <c r="B31" s="517" t="s">
        <v>120</v>
      </c>
      <c r="C31" s="518"/>
      <c r="D31" s="519">
        <f>SUM(D6:D28)</f>
        <v>392033916.06</v>
      </c>
      <c r="E31" s="518"/>
      <c r="F31" s="520"/>
      <c r="G31" s="519">
        <f>SUM(G6:G28)</f>
        <v>434361033.93000001</v>
      </c>
      <c r="H31" s="519">
        <f>SUM(H6:H28)</f>
        <v>456670000.00999999</v>
      </c>
      <c r="I31" s="519"/>
      <c r="J31" s="519">
        <f>SUM(J6:J28)</f>
        <v>548004000</v>
      </c>
      <c r="K31" s="521">
        <f>SUM(K6:K28)</f>
        <v>210417570.36000001</v>
      </c>
      <c r="L31" s="521">
        <f>SUM(L6:L28)+0.01</f>
        <v>79978331.209999993</v>
      </c>
      <c r="M31" s="521">
        <f>SUM(M6:M28)</f>
        <v>58868164.759999998</v>
      </c>
      <c r="N31" s="521">
        <f>SUM(N6:N28)</f>
        <v>5245250.92</v>
      </c>
      <c r="O31" s="521">
        <f>SUM(O6:O28)</f>
        <v>8616444.9800000004</v>
      </c>
      <c r="P31" s="521">
        <f>SUM(P6:P30)+0.01</f>
        <v>369502955.38999999</v>
      </c>
      <c r="Q31" s="521">
        <f>J31-P31</f>
        <v>178501044.61000001</v>
      </c>
      <c r="R31" s="521"/>
      <c r="S31" s="521"/>
      <c r="T31" s="522">
        <f>SUM(T6:T30)</f>
        <v>369502955.38</v>
      </c>
      <c r="U31" s="522">
        <f>SUM(U6:U30)</f>
        <v>188625421.96000001</v>
      </c>
      <c r="V31" s="522">
        <f>SUM(V6:V30)</f>
        <v>558128377.34000003</v>
      </c>
      <c r="W31" s="177"/>
      <c r="X31" s="115"/>
      <c r="Y31" s="101">
        <f>SUM(Y6:Y28)</f>
        <v>79922220.239999995</v>
      </c>
      <c r="Z31" s="210">
        <f>SUM(Z6:Z28)</f>
        <v>0</v>
      </c>
      <c r="AE31" s="45">
        <f>J31-V31</f>
        <v>-10124377.34</v>
      </c>
    </row>
    <row r="32" spans="1:37" ht="32.25" customHeight="1" x14ac:dyDescent="0.25">
      <c r="A32" s="498"/>
      <c r="B32" s="499"/>
      <c r="C32" s="499"/>
      <c r="D32" s="499"/>
      <c r="E32" s="499"/>
      <c r="F32" s="499"/>
      <c r="G32" s="499"/>
      <c r="H32" s="500"/>
      <c r="I32" s="499"/>
      <c r="J32" s="500"/>
      <c r="K32" s="501"/>
      <c r="L32" s="501"/>
      <c r="M32" s="501"/>
      <c r="N32" s="501"/>
      <c r="O32" s="501"/>
      <c r="P32" s="501"/>
      <c r="Q32" s="501"/>
      <c r="R32" s="501"/>
      <c r="S32" s="501"/>
      <c r="T32" s="1187" t="s">
        <v>309</v>
      </c>
      <c r="U32" s="1188"/>
      <c r="V32" s="503"/>
      <c r="X32" s="65"/>
      <c r="Y32" s="81"/>
      <c r="Z32" s="81"/>
    </row>
    <row r="33" spans="1:42" ht="35.1" customHeight="1" x14ac:dyDescent="0.25">
      <c r="A33" s="681">
        <v>25</v>
      </c>
      <c r="B33" s="1032">
        <v>2</v>
      </c>
      <c r="C33" s="683" t="s">
        <v>141</v>
      </c>
      <c r="D33" s="684"/>
      <c r="E33" s="684"/>
      <c r="F33" s="684"/>
      <c r="G33" s="684"/>
      <c r="H33" s="684"/>
      <c r="I33" s="685"/>
      <c r="J33" s="686"/>
      <c r="K33" s="702"/>
      <c r="L33" s="702"/>
      <c r="M33" s="702"/>
      <c r="N33" s="702"/>
      <c r="O33" s="702"/>
      <c r="P33" s="702"/>
      <c r="Q33" s="702"/>
      <c r="R33" s="1033" t="s">
        <v>139</v>
      </c>
      <c r="S33" s="689" t="s">
        <v>311</v>
      </c>
      <c r="T33" s="1034">
        <v>0</v>
      </c>
      <c r="U33" s="1067">
        <f>673388.23*1.0514</f>
        <v>708000.39</v>
      </c>
      <c r="V33" s="1034">
        <f t="shared" ref="V33:V44" si="8">T33+U33</f>
        <v>708000.39</v>
      </c>
      <c r="X33" s="119"/>
      <c r="Y33" s="179"/>
      <c r="Z33" s="179"/>
      <c r="AA33" s="406" t="s">
        <v>280</v>
      </c>
      <c r="AC33" s="36">
        <v>705505</v>
      </c>
      <c r="AD33" s="45">
        <f>U33-AC33</f>
        <v>2495.39</v>
      </c>
    </row>
    <row r="34" spans="1:42" ht="35.1" customHeight="1" x14ac:dyDescent="0.25">
      <c r="A34" s="1031">
        <v>26</v>
      </c>
      <c r="B34" s="1032">
        <v>3</v>
      </c>
      <c r="C34" s="683" t="s">
        <v>142</v>
      </c>
      <c r="D34" s="684"/>
      <c r="E34" s="684"/>
      <c r="F34" s="684"/>
      <c r="G34" s="684"/>
      <c r="H34" s="684"/>
      <c r="I34" s="685"/>
      <c r="J34" s="686"/>
      <c r="K34" s="702"/>
      <c r="L34" s="702"/>
      <c r="M34" s="702"/>
      <c r="N34" s="702"/>
      <c r="O34" s="702"/>
      <c r="P34" s="702"/>
      <c r="Q34" s="702"/>
      <c r="R34" s="1033" t="s">
        <v>139</v>
      </c>
      <c r="S34" s="689" t="str">
        <f>S21</f>
        <v>СОГЛАСОВАНО</v>
      </c>
      <c r="T34" s="1034">
        <v>0</v>
      </c>
      <c r="U34" s="1067">
        <f>81654*1.0514</f>
        <v>85851.02</v>
      </c>
      <c r="V34" s="1034">
        <f t="shared" si="8"/>
        <v>85851.02</v>
      </c>
      <c r="X34" s="119"/>
      <c r="Y34" s="180"/>
      <c r="Z34" s="180"/>
      <c r="AC34" s="36">
        <v>85851.36</v>
      </c>
      <c r="AD34" s="45">
        <f t="shared" ref="AD34:AD41" si="9">U34-AC34</f>
        <v>-0.34</v>
      </c>
    </row>
    <row r="35" spans="1:42" ht="35.1" customHeight="1" x14ac:dyDescent="0.25">
      <c r="A35" s="681">
        <v>27</v>
      </c>
      <c r="B35" s="1032">
        <v>4</v>
      </c>
      <c r="C35" s="683" t="s">
        <v>143</v>
      </c>
      <c r="D35" s="684"/>
      <c r="E35" s="684"/>
      <c r="F35" s="684"/>
      <c r="G35" s="684"/>
      <c r="H35" s="684"/>
      <c r="I35" s="685"/>
      <c r="J35" s="686"/>
      <c r="K35" s="702"/>
      <c r="L35" s="702"/>
      <c r="M35" s="702"/>
      <c r="N35" s="702"/>
      <c r="O35" s="702"/>
      <c r="P35" s="702"/>
      <c r="Q35" s="702"/>
      <c r="R35" s="1033" t="s">
        <v>139</v>
      </c>
      <c r="S35" s="689" t="str">
        <f>S34</f>
        <v>СОГЛАСОВАНО</v>
      </c>
      <c r="T35" s="1034">
        <v>0</v>
      </c>
      <c r="U35" s="1067">
        <f>26314.48*1.0514</f>
        <v>27667.040000000001</v>
      </c>
      <c r="V35" s="1034">
        <f t="shared" si="8"/>
        <v>27667.040000000001</v>
      </c>
      <c r="X35" s="119"/>
      <c r="Y35" s="180"/>
      <c r="Z35" s="180"/>
      <c r="AC35" s="36">
        <v>26314.48</v>
      </c>
      <c r="AD35" s="45">
        <f t="shared" si="9"/>
        <v>1352.56</v>
      </c>
    </row>
    <row r="36" spans="1:42" ht="35.1" customHeight="1" x14ac:dyDescent="0.25">
      <c r="A36" s="1031">
        <v>28</v>
      </c>
      <c r="B36" s="1032">
        <v>5</v>
      </c>
      <c r="C36" s="683" t="s">
        <v>146</v>
      </c>
      <c r="D36" s="684"/>
      <c r="E36" s="684"/>
      <c r="F36" s="684"/>
      <c r="G36" s="684"/>
      <c r="H36" s="684"/>
      <c r="I36" s="685"/>
      <c r="J36" s="686"/>
      <c r="K36" s="702"/>
      <c r="L36" s="702"/>
      <c r="M36" s="702"/>
      <c r="N36" s="702"/>
      <c r="O36" s="702"/>
      <c r="P36" s="702"/>
      <c r="Q36" s="702"/>
      <c r="R36" s="1033" t="s">
        <v>139</v>
      </c>
      <c r="S36" s="689" t="str">
        <f>S34</f>
        <v>СОГЛАСОВАНО</v>
      </c>
      <c r="T36" s="1034">
        <v>0</v>
      </c>
      <c r="U36" s="1067">
        <f>198699.44*1.0514</f>
        <v>208912.59</v>
      </c>
      <c r="V36" s="1034">
        <f t="shared" si="8"/>
        <v>208912.59</v>
      </c>
      <c r="X36" s="119"/>
      <c r="Y36" s="180"/>
      <c r="Z36" s="180"/>
      <c r="AC36" s="36">
        <v>208912.6</v>
      </c>
      <c r="AD36" s="45">
        <f t="shared" si="9"/>
        <v>-0.01</v>
      </c>
    </row>
    <row r="37" spans="1:42" ht="35.1" customHeight="1" x14ac:dyDescent="0.25">
      <c r="A37" s="681">
        <v>29</v>
      </c>
      <c r="B37" s="1032">
        <v>6</v>
      </c>
      <c r="C37" s="683" t="s">
        <v>140</v>
      </c>
      <c r="D37" s="684"/>
      <c r="E37" s="684"/>
      <c r="F37" s="684"/>
      <c r="G37" s="684"/>
      <c r="H37" s="684"/>
      <c r="I37" s="685"/>
      <c r="J37" s="686"/>
      <c r="K37" s="702"/>
      <c r="L37" s="702"/>
      <c r="M37" s="702"/>
      <c r="N37" s="702"/>
      <c r="O37" s="702"/>
      <c r="P37" s="702"/>
      <c r="Q37" s="702"/>
      <c r="R37" s="1041" t="s">
        <v>139</v>
      </c>
      <c r="S37" s="689" t="str">
        <f>S35</f>
        <v>СОГЛАСОВАНО</v>
      </c>
      <c r="T37" s="1063">
        <v>0</v>
      </c>
      <c r="U37" s="1068">
        <f>529403.22*1.0514</f>
        <v>556614.55000000005</v>
      </c>
      <c r="V37" s="1034">
        <f t="shared" si="8"/>
        <v>556614.55000000005</v>
      </c>
      <c r="X37" s="117"/>
      <c r="Y37" s="105"/>
      <c r="Z37" s="211"/>
      <c r="AC37" s="36">
        <v>570651.94999999995</v>
      </c>
      <c r="AD37" s="45">
        <f t="shared" si="9"/>
        <v>-14037.4</v>
      </c>
    </row>
    <row r="38" spans="1:42" ht="38.25" customHeight="1" x14ac:dyDescent="0.25">
      <c r="A38" s="681">
        <v>19</v>
      </c>
      <c r="B38" s="682">
        <v>7</v>
      </c>
      <c r="C38" s="683" t="s">
        <v>325</v>
      </c>
      <c r="D38" s="684">
        <v>5005903.75</v>
      </c>
      <c r="E38" s="684">
        <v>410484.11</v>
      </c>
      <c r="F38" s="684">
        <v>129993.31</v>
      </c>
      <c r="G38" s="684">
        <v>5546381.1699999999</v>
      </c>
      <c r="H38" s="684">
        <v>5831245.6399999997</v>
      </c>
      <c r="I38" s="685">
        <f>I13</f>
        <v>1.2</v>
      </c>
      <c r="J38" s="686"/>
      <c r="K38" s="687"/>
      <c r="L38" s="687">
        <v>2298854.48</v>
      </c>
      <c r="M38" s="687"/>
      <c r="N38" s="687"/>
      <c r="O38" s="687"/>
      <c r="P38" s="687"/>
      <c r="Q38" s="687"/>
      <c r="R38" s="688" t="s">
        <v>139</v>
      </c>
      <c r="S38" s="689" t="str">
        <f>S36</f>
        <v>СОГЛАСОВАНО</v>
      </c>
      <c r="T38" s="690">
        <f>P38</f>
        <v>0</v>
      </c>
      <c r="U38" s="1068">
        <f>1083901.64*1.0514</f>
        <v>1139614.18</v>
      </c>
      <c r="V38" s="690">
        <f>T38+U38</f>
        <v>1139614.18</v>
      </c>
      <c r="W38" s="1054"/>
      <c r="X38" s="1055"/>
      <c r="Y38" s="1056"/>
      <c r="Z38" s="1057"/>
      <c r="AA38" s="1058" t="s">
        <v>295</v>
      </c>
      <c r="AB38" s="1059"/>
      <c r="AC38" s="1059"/>
      <c r="AD38" s="1059"/>
      <c r="AE38" s="1062"/>
      <c r="AF38" s="1062"/>
      <c r="AG38" s="1062"/>
      <c r="AH38" s="1062"/>
      <c r="AI38" s="1062"/>
      <c r="AJ38" s="1062"/>
    </row>
    <row r="39" spans="1:42" ht="46.5" customHeight="1" x14ac:dyDescent="0.25">
      <c r="A39" s="681">
        <v>31</v>
      </c>
      <c r="B39" s="1032">
        <v>8</v>
      </c>
      <c r="C39" s="683" t="s">
        <v>327</v>
      </c>
      <c r="D39" s="684"/>
      <c r="E39" s="684"/>
      <c r="F39" s="684"/>
      <c r="G39" s="684"/>
      <c r="H39" s="684"/>
      <c r="I39" s="685"/>
      <c r="J39" s="686"/>
      <c r="K39" s="702"/>
      <c r="L39" s="702"/>
      <c r="M39" s="702"/>
      <c r="N39" s="702"/>
      <c r="O39" s="702"/>
      <c r="P39" s="702"/>
      <c r="Q39" s="702"/>
      <c r="R39" s="1033"/>
      <c r="S39" s="689" t="str">
        <f>S37</f>
        <v>СОГЛАСОВАНО</v>
      </c>
      <c r="T39" s="1034">
        <v>0</v>
      </c>
      <c r="U39" s="1067">
        <f>749546.64*1.0514</f>
        <v>788073.34</v>
      </c>
      <c r="V39" s="1034">
        <f>T39+U39</f>
        <v>788073.34</v>
      </c>
      <c r="W39" s="189"/>
      <c r="X39" s="1060"/>
      <c r="Y39" s="1045"/>
      <c r="Z39" s="1061"/>
    </row>
    <row r="40" spans="1:42" ht="54.75" customHeight="1" x14ac:dyDescent="0.25">
      <c r="A40" s="1031">
        <v>32</v>
      </c>
      <c r="B40" s="1035">
        <v>9</v>
      </c>
      <c r="C40" s="1036" t="s">
        <v>304</v>
      </c>
      <c r="D40" s="1037"/>
      <c r="E40" s="1037"/>
      <c r="F40" s="1037"/>
      <c r="G40" s="1037"/>
      <c r="H40" s="1037"/>
      <c r="I40" s="1038"/>
      <c r="J40" s="1039"/>
      <c r="K40" s="1040"/>
      <c r="L40" s="1040"/>
      <c r="M40" s="1040"/>
      <c r="N40" s="1040"/>
      <c r="O40" s="1040"/>
      <c r="P40" s="1040"/>
      <c r="Q40" s="1040"/>
      <c r="R40" s="1064" t="s">
        <v>139</v>
      </c>
      <c r="S40" s="1065" t="str">
        <f>S37</f>
        <v>СОГЛАСОВАНО</v>
      </c>
      <c r="T40" s="1066">
        <v>0</v>
      </c>
      <c r="U40" s="1069">
        <f>1940817.65*1.0514</f>
        <v>2040575.68</v>
      </c>
      <c r="V40" s="1066">
        <f t="shared" si="8"/>
        <v>2040575.68</v>
      </c>
      <c r="X40" s="119"/>
      <c r="Y40" s="180"/>
      <c r="Z40" s="180"/>
      <c r="AC40" s="36">
        <v>2065078.4</v>
      </c>
      <c r="AD40" s="45">
        <f t="shared" si="9"/>
        <v>-24502.720000000001</v>
      </c>
    </row>
    <row r="41" spans="1:42" ht="35.1" customHeight="1" x14ac:dyDescent="0.25">
      <c r="A41" s="681">
        <v>33</v>
      </c>
      <c r="B41" s="1032">
        <v>10</v>
      </c>
      <c r="C41" s="683" t="s">
        <v>303</v>
      </c>
      <c r="D41" s="684"/>
      <c r="E41" s="684"/>
      <c r="F41" s="684"/>
      <c r="G41" s="684"/>
      <c r="H41" s="684"/>
      <c r="I41" s="685"/>
      <c r="J41" s="686"/>
      <c r="K41" s="702"/>
      <c r="L41" s="702"/>
      <c r="M41" s="702"/>
      <c r="N41" s="702"/>
      <c r="O41" s="702"/>
      <c r="P41" s="702"/>
      <c r="Q41" s="702"/>
      <c r="R41" s="1033" t="s">
        <v>139</v>
      </c>
      <c r="S41" s="689" t="str">
        <f>S36</f>
        <v>СОГЛАСОВАНО</v>
      </c>
      <c r="T41" s="1034">
        <v>0</v>
      </c>
      <c r="U41" s="1067">
        <f>54913.66*1.0514</f>
        <v>57736.22</v>
      </c>
      <c r="V41" s="1034">
        <f>T41+U41</f>
        <v>57736.22</v>
      </c>
      <c r="X41" s="119"/>
      <c r="Y41" s="180"/>
      <c r="Z41" s="180"/>
      <c r="AC41" s="36">
        <v>78531</v>
      </c>
      <c r="AD41" s="45">
        <f t="shared" si="9"/>
        <v>-20794.78</v>
      </c>
    </row>
    <row r="42" spans="1:42" ht="46.5" customHeight="1" x14ac:dyDescent="0.25">
      <c r="A42" s="1031">
        <v>34</v>
      </c>
      <c r="B42" s="1032">
        <v>11</v>
      </c>
      <c r="C42" s="683" t="s">
        <v>144</v>
      </c>
      <c r="D42" s="684"/>
      <c r="E42" s="684"/>
      <c r="F42" s="684"/>
      <c r="G42" s="684"/>
      <c r="H42" s="684"/>
      <c r="I42" s="685"/>
      <c r="J42" s="686"/>
      <c r="K42" s="702"/>
      <c r="L42" s="702"/>
      <c r="M42" s="702"/>
      <c r="N42" s="702"/>
      <c r="O42" s="702"/>
      <c r="P42" s="702"/>
      <c r="Q42" s="702"/>
      <c r="R42" s="1033" t="s">
        <v>139</v>
      </c>
      <c r="S42" s="689" t="str">
        <f>S37</f>
        <v>СОГЛАСОВАНО</v>
      </c>
      <c r="T42" s="1034">
        <v>0</v>
      </c>
      <c r="U42" s="1067">
        <f>284883.31*1.0514</f>
        <v>299526.31</v>
      </c>
      <c r="V42" s="1034">
        <f t="shared" si="8"/>
        <v>299526.31</v>
      </c>
      <c r="W42" s="189"/>
      <c r="X42" s="182"/>
      <c r="Y42" s="183"/>
      <c r="Z42" s="212"/>
      <c r="AE42" s="36" t="s">
        <v>322</v>
      </c>
    </row>
    <row r="43" spans="1:42" ht="35.1" customHeight="1" x14ac:dyDescent="0.25">
      <c r="A43" s="475">
        <v>36</v>
      </c>
      <c r="B43" s="410"/>
      <c r="C43" s="411" t="s">
        <v>149</v>
      </c>
      <c r="D43" s="412"/>
      <c r="E43" s="412"/>
      <c r="F43" s="412"/>
      <c r="G43" s="412"/>
      <c r="H43" s="412"/>
      <c r="I43" s="413"/>
      <c r="J43" s="414"/>
      <c r="K43" s="415"/>
      <c r="L43" s="415"/>
      <c r="M43" s="415"/>
      <c r="N43" s="415"/>
      <c r="O43" s="415"/>
      <c r="P43" s="415"/>
      <c r="Q43" s="415"/>
      <c r="R43" s="1048" t="s">
        <v>139</v>
      </c>
      <c r="S43" s="1048" t="s">
        <v>170</v>
      </c>
      <c r="T43" s="1046"/>
      <c r="U43" s="418">
        <v>4746000</v>
      </c>
      <c r="V43" s="1047">
        <f t="shared" si="8"/>
        <v>4746000</v>
      </c>
      <c r="X43" s="119"/>
      <c r="Y43" s="107"/>
      <c r="Z43" s="213"/>
      <c r="AE43" s="36" t="s">
        <v>323</v>
      </c>
    </row>
    <row r="44" spans="1:42" ht="46.5" customHeight="1" thickBot="1" x14ac:dyDescent="0.3">
      <c r="A44" s="1031">
        <v>34</v>
      </c>
      <c r="B44" s="1032">
        <v>13</v>
      </c>
      <c r="C44" s="683" t="s">
        <v>340</v>
      </c>
      <c r="D44" s="684"/>
      <c r="E44" s="684"/>
      <c r="F44" s="684"/>
      <c r="G44" s="684"/>
      <c r="H44" s="684"/>
      <c r="I44" s="685"/>
      <c r="J44" s="686"/>
      <c r="K44" s="702"/>
      <c r="L44" s="702"/>
      <c r="M44" s="702"/>
      <c r="N44" s="702"/>
      <c r="O44" s="702"/>
      <c r="P44" s="702"/>
      <c r="Q44" s="702"/>
      <c r="R44" s="1033" t="s">
        <v>139</v>
      </c>
      <c r="S44" s="689" t="s">
        <v>341</v>
      </c>
      <c r="T44" s="1034">
        <v>0</v>
      </c>
      <c r="U44" s="1148">
        <f>4103526.95*1.0514</f>
        <v>4314448.24</v>
      </c>
      <c r="V44" s="1034">
        <f t="shared" si="8"/>
        <v>4314448.24</v>
      </c>
      <c r="W44" s="189"/>
      <c r="X44" s="182"/>
      <c r="Y44" s="183"/>
      <c r="Z44" s="212"/>
      <c r="AE44" s="36" t="s">
        <v>322</v>
      </c>
    </row>
    <row r="45" spans="1:42" ht="35.1" customHeight="1" thickBot="1" x14ac:dyDescent="0.3">
      <c r="A45" s="1088"/>
      <c r="B45" s="1089"/>
      <c r="C45" s="1090"/>
      <c r="D45" s="1091"/>
      <c r="E45" s="1091"/>
      <c r="F45" s="1091"/>
      <c r="G45" s="1091"/>
      <c r="H45" s="1091"/>
      <c r="I45" s="1092"/>
      <c r="J45" s="1093"/>
      <c r="K45" s="1094"/>
      <c r="L45" s="1094"/>
      <c r="M45" s="1094"/>
      <c r="N45" s="1094"/>
      <c r="O45" s="1094"/>
      <c r="P45" s="1094"/>
      <c r="Q45" s="1094"/>
      <c r="R45" s="1095"/>
      <c r="S45" s="1096"/>
      <c r="T45" s="1097"/>
      <c r="U45" s="1098">
        <f>SUM(U33:U44)</f>
        <v>14973019.560000001</v>
      </c>
      <c r="V45" s="1098">
        <f>SUM(V33:V44)</f>
        <v>14973019.560000001</v>
      </c>
      <c r="X45" s="117"/>
      <c r="Y45" s="105"/>
      <c r="Z45" s="211"/>
    </row>
    <row r="46" spans="1:42" ht="31.5" customHeight="1" thickTop="1" thickBot="1" x14ac:dyDescent="0.3">
      <c r="A46" s="1081"/>
      <c r="B46" s="1082" t="s">
        <v>153</v>
      </c>
      <c r="C46" s="1083"/>
      <c r="D46" s="1084" t="e">
        <f>D31+#REF!</f>
        <v>#REF!</v>
      </c>
      <c r="E46" s="1083"/>
      <c r="F46" s="1085"/>
      <c r="G46" s="1084">
        <f>SUM(G21:G45)</f>
        <v>516438604.50999999</v>
      </c>
      <c r="H46" s="1084">
        <f>SUM(H21:H45)</f>
        <v>542963109.09000003</v>
      </c>
      <c r="I46" s="1084"/>
      <c r="J46" s="1084">
        <f>J31</f>
        <v>548004000</v>
      </c>
      <c r="K46" s="1084" t="e">
        <f>K31+#REF!</f>
        <v>#REF!</v>
      </c>
      <c r="L46" s="1084" t="e">
        <f>L31+#REF!</f>
        <v>#REF!</v>
      </c>
      <c r="M46" s="1084" t="e">
        <f>M31+#REF!</f>
        <v>#REF!</v>
      </c>
      <c r="N46" s="1084" t="e">
        <f>N31+#REF!</f>
        <v>#REF!</v>
      </c>
      <c r="O46" s="1084" t="e">
        <f>O31+#REF!</f>
        <v>#REF!</v>
      </c>
      <c r="P46" s="1084">
        <f>P31</f>
        <v>369502955.38999999</v>
      </c>
      <c r="Q46" s="1084">
        <f>Q31</f>
        <v>178501044.61000001</v>
      </c>
      <c r="R46" s="1084"/>
      <c r="S46" s="1086"/>
      <c r="T46" s="1087">
        <f>T31</f>
        <v>369502955.38</v>
      </c>
      <c r="U46" s="1087">
        <f>U31+U45</f>
        <v>203598441.52000001</v>
      </c>
      <c r="V46" s="1087">
        <f>V31+V45</f>
        <v>573101396.89999998</v>
      </c>
      <c r="W46" s="177"/>
      <c r="X46" s="71"/>
      <c r="Y46" s="73" t="e">
        <f>Y31+#REF!</f>
        <v>#REF!</v>
      </c>
      <c r="Z46" s="216" t="e">
        <f>Z31+#REF!</f>
        <v>#REF!</v>
      </c>
      <c r="AA46" s="406">
        <f>V46/1.0514</f>
        <v>545084075.42324495</v>
      </c>
      <c r="AC46" s="45">
        <f>'реестр под ФАКТ до соглас. '!V47</f>
        <v>536062673.99000001</v>
      </c>
      <c r="AD46" s="45">
        <f>V46-AC46</f>
        <v>37038722.909999996</v>
      </c>
      <c r="AE46" s="35">
        <f>J46-V46</f>
        <v>-25097396.899999999</v>
      </c>
      <c r="AO46" s="45">
        <f>'реестр под ФАКТ суммы НВ'!V46</f>
        <v>562217432.57000005</v>
      </c>
      <c r="AP46" s="45">
        <f>V46-AO46</f>
        <v>10883964.33</v>
      </c>
    </row>
    <row r="47" spans="1:42" x14ac:dyDescent="0.25">
      <c r="AA47" s="557">
        <f>J46/AA46</f>
        <v>1.0054000000000001</v>
      </c>
    </row>
    <row r="48" spans="1:42" ht="45" customHeight="1" x14ac:dyDescent="0.25">
      <c r="A48" s="82">
        <v>35</v>
      </c>
      <c r="B48" s="41">
        <v>11</v>
      </c>
      <c r="C48" s="42" t="s">
        <v>277</v>
      </c>
      <c r="D48" s="43"/>
      <c r="E48" s="43"/>
      <c r="F48" s="43"/>
      <c r="G48" s="43"/>
      <c r="H48" s="43"/>
      <c r="I48" s="44"/>
      <c r="J48" s="55"/>
      <c r="K48" s="56"/>
      <c r="L48" s="56"/>
      <c r="M48" s="56"/>
      <c r="N48" s="56"/>
      <c r="O48" s="56"/>
      <c r="P48" s="53"/>
      <c r="Q48" s="53"/>
      <c r="R48" s="400" t="s">
        <v>139</v>
      </c>
      <c r="S48" s="190" t="s">
        <v>278</v>
      </c>
      <c r="T48" s="107">
        <v>0</v>
      </c>
      <c r="U48" s="107">
        <v>22184864.98</v>
      </c>
      <c r="V48" s="399">
        <f>T48+U48</f>
        <v>22184864.98</v>
      </c>
      <c r="X48" s="119"/>
      <c r="Y48" s="107"/>
      <c r="Z48" s="213"/>
      <c r="AE48" s="45"/>
    </row>
    <row r="49" spans="1:31" ht="16.5" thickBot="1" x14ac:dyDescent="0.3"/>
    <row r="50" spans="1:31" ht="31.5" customHeight="1" thickBot="1" x14ac:dyDescent="0.3">
      <c r="A50" s="104"/>
      <c r="B50" s="103" t="s">
        <v>153</v>
      </c>
      <c r="C50" s="70"/>
      <c r="D50" s="71">
        <f>D35+D49</f>
        <v>0</v>
      </c>
      <c r="E50" s="70"/>
      <c r="F50" s="72"/>
      <c r="G50" s="71">
        <f>SUM(G30:G49)</f>
        <v>956346019.61000001</v>
      </c>
      <c r="H50" s="71">
        <f>SUM(H30:H49)</f>
        <v>1005464354.74</v>
      </c>
      <c r="I50" s="71"/>
      <c r="J50" s="71">
        <f t="shared" ref="J50:Q50" si="10">J35+J49</f>
        <v>0</v>
      </c>
      <c r="K50" s="71">
        <f t="shared" si="10"/>
        <v>0</v>
      </c>
      <c r="L50" s="71">
        <f t="shared" si="10"/>
        <v>0</v>
      </c>
      <c r="M50" s="71">
        <f t="shared" si="10"/>
        <v>0</v>
      </c>
      <c r="N50" s="71">
        <f t="shared" si="10"/>
        <v>0</v>
      </c>
      <c r="O50" s="71">
        <f t="shared" si="10"/>
        <v>0</v>
      </c>
      <c r="P50" s="71">
        <f t="shared" si="10"/>
        <v>0</v>
      </c>
      <c r="Q50" s="71">
        <f t="shared" si="10"/>
        <v>0</v>
      </c>
      <c r="R50" s="71"/>
      <c r="S50" s="402"/>
      <c r="T50" s="73">
        <f>T35+T49</f>
        <v>0</v>
      </c>
      <c r="U50" s="73">
        <f>U46+U48</f>
        <v>225783306.5</v>
      </c>
      <c r="V50" s="73">
        <f>V46+V48</f>
        <v>595286261.88</v>
      </c>
      <c r="W50" s="177"/>
      <c r="X50" s="71"/>
      <c r="Y50" s="73">
        <f>Y35+Y49</f>
        <v>0</v>
      </c>
      <c r="Z50" s="216">
        <f>Z35+Z49</f>
        <v>0</v>
      </c>
    </row>
    <row r="52" spans="1:31" x14ac:dyDescent="0.25">
      <c r="V52" s="45"/>
    </row>
    <row r="53" spans="1:31" ht="20.25" x14ac:dyDescent="0.3">
      <c r="T53" s="1042" t="s">
        <v>319</v>
      </c>
      <c r="U53" s="1043"/>
      <c r="V53" s="1042">
        <f>U9+U10+U11+U12+U13+U14+U15+U16+U17+U18+U19+U20+U21+U22+U23+U33+U34+U35+U36+U37+U38+U39+U40+U41+U42+U24</f>
        <v>194537993.28</v>
      </c>
      <c r="AE53" s="36" t="s">
        <v>328</v>
      </c>
    </row>
    <row r="54" spans="1:31" hidden="1" x14ac:dyDescent="0.25">
      <c r="T54" s="45"/>
    </row>
    <row r="55" spans="1:31" ht="35.1" hidden="1" customHeight="1" thickBot="1" x14ac:dyDescent="0.3">
      <c r="A55" s="637">
        <v>31</v>
      </c>
      <c r="B55" s="544">
        <v>8</v>
      </c>
      <c r="C55" s="638" t="s">
        <v>250</v>
      </c>
      <c r="D55" s="639"/>
      <c r="E55" s="639"/>
      <c r="F55" s="639"/>
      <c r="G55" s="639"/>
      <c r="H55" s="639"/>
      <c r="I55" s="640"/>
      <c r="J55" s="641"/>
      <c r="K55" s="642"/>
      <c r="L55" s="642"/>
      <c r="M55" s="642"/>
      <c r="N55" s="642"/>
      <c r="O55" s="642"/>
      <c r="P55" s="643"/>
      <c r="Q55" s="643"/>
      <c r="R55" s="644" t="s">
        <v>139</v>
      </c>
      <c r="S55" s="600" t="s">
        <v>298</v>
      </c>
      <c r="T55" s="645">
        <v>0</v>
      </c>
      <c r="U55" s="645">
        <v>107940.55</v>
      </c>
      <c r="V55" s="646">
        <f>T55+U55</f>
        <v>107940.55</v>
      </c>
      <c r="X55" s="119"/>
      <c r="Y55" s="107"/>
      <c r="Z55" s="213"/>
      <c r="AA55" s="1202" t="s">
        <v>300</v>
      </c>
    </row>
    <row r="56" spans="1:31" ht="35.1" hidden="1" customHeight="1" thickTop="1" x14ac:dyDescent="0.25">
      <c r="A56" s="591">
        <v>28</v>
      </c>
      <c r="B56" s="542">
        <v>7</v>
      </c>
      <c r="C56" s="592" t="s">
        <v>148</v>
      </c>
      <c r="D56" s="593"/>
      <c r="E56" s="593"/>
      <c r="F56" s="593"/>
      <c r="G56" s="593"/>
      <c r="H56" s="593"/>
      <c r="I56" s="594"/>
      <c r="J56" s="595"/>
      <c r="K56" s="596"/>
      <c r="L56" s="596"/>
      <c r="M56" s="596"/>
      <c r="N56" s="596"/>
      <c r="O56" s="596"/>
      <c r="P56" s="596"/>
      <c r="Q56" s="596"/>
      <c r="R56" s="635" t="s">
        <v>139</v>
      </c>
      <c r="S56" s="600" t="str">
        <f>S33</f>
        <v>СОГЛАСОВАНО</v>
      </c>
      <c r="T56" s="636">
        <v>0</v>
      </c>
      <c r="U56" s="636">
        <v>231084.76</v>
      </c>
      <c r="V56" s="598">
        <f>T56+U56</f>
        <v>231084.76</v>
      </c>
      <c r="X56" s="119"/>
      <c r="Y56" s="107"/>
      <c r="Z56" s="213"/>
      <c r="AA56" s="1202"/>
    </row>
    <row r="57" spans="1:31" ht="52.5" hidden="1" customHeight="1" x14ac:dyDescent="0.25">
      <c r="A57" s="82">
        <v>36</v>
      </c>
      <c r="B57" s="321"/>
      <c r="C57" s="171" t="s">
        <v>151</v>
      </c>
      <c r="D57" s="322"/>
      <c r="E57" s="322"/>
      <c r="F57" s="322"/>
      <c r="G57" s="322"/>
      <c r="H57" s="322"/>
      <c r="I57" s="323"/>
      <c r="J57" s="172"/>
      <c r="K57" s="324"/>
      <c r="L57" s="324"/>
      <c r="M57" s="324"/>
      <c r="N57" s="324"/>
      <c r="O57" s="324"/>
      <c r="P57" s="173"/>
      <c r="Q57" s="173"/>
      <c r="R57" s="404" t="s">
        <v>243</v>
      </c>
      <c r="S57" s="325"/>
      <c r="T57" s="326"/>
      <c r="U57" s="326"/>
      <c r="V57" s="399">
        <f>T57+U57</f>
        <v>0</v>
      </c>
      <c r="X57" s="119"/>
      <c r="Y57" s="107"/>
      <c r="Z57" s="213"/>
      <c r="AA57" s="657" t="s">
        <v>301</v>
      </c>
    </row>
    <row r="58" spans="1:31" x14ac:dyDescent="0.25">
      <c r="T58" s="45"/>
    </row>
    <row r="59" spans="1:31" x14ac:dyDescent="0.25">
      <c r="V59" s="45"/>
    </row>
    <row r="69" spans="1:27" s="39" customFormat="1" ht="54.95" customHeight="1" x14ac:dyDescent="0.25">
      <c r="A69" s="46"/>
      <c r="B69" s="47"/>
      <c r="C69" s="46"/>
      <c r="D69" s="48"/>
      <c r="E69" s="46"/>
      <c r="F69" s="49"/>
      <c r="G69" s="48"/>
      <c r="H69" s="48"/>
      <c r="I69" s="48"/>
      <c r="J69" s="48"/>
      <c r="K69" s="50"/>
      <c r="M69" s="35"/>
      <c r="O69" s="35"/>
      <c r="P69" s="36"/>
      <c r="Q69" s="36"/>
      <c r="R69" s="36"/>
      <c r="S69" s="36"/>
      <c r="T69" s="36"/>
      <c r="U69" s="36"/>
      <c r="V69" s="36"/>
      <c r="W69" s="176"/>
      <c r="X69" s="36"/>
      <c r="Y69" s="36"/>
      <c r="Z69" s="36"/>
      <c r="AA69" s="407"/>
    </row>
    <row r="70" spans="1:27" s="39" customFormat="1" x14ac:dyDescent="0.25">
      <c r="A70" s="36"/>
      <c r="B70" s="36"/>
      <c r="C70" s="36"/>
      <c r="D70" s="45">
        <f>ССР!H58</f>
        <v>392033.92</v>
      </c>
      <c r="E70" s="36"/>
      <c r="F70" s="45"/>
      <c r="G70" s="45">
        <f>ССР!H76</f>
        <v>434361.04</v>
      </c>
      <c r="H70" s="45">
        <f>ССР!H78</f>
        <v>456670</v>
      </c>
      <c r="I70" s="36"/>
      <c r="J70" s="45"/>
      <c r="K70" s="35"/>
      <c r="M70" s="35"/>
      <c r="O70" s="35"/>
      <c r="P70" s="36"/>
      <c r="Q70" s="36"/>
      <c r="R70" s="36"/>
      <c r="S70" s="36"/>
      <c r="T70" s="36"/>
      <c r="U70" s="36"/>
      <c r="V70" s="36"/>
      <c r="W70" s="176"/>
      <c r="X70" s="36"/>
      <c r="Y70" s="36"/>
      <c r="Z70" s="36"/>
      <c r="AA70" s="407"/>
    </row>
    <row r="71" spans="1:27" s="39" customFormat="1" x14ac:dyDescent="0.25">
      <c r="A71" s="36"/>
      <c r="B71" s="36"/>
      <c r="C71" s="36"/>
      <c r="D71" s="45">
        <f>D31/1000</f>
        <v>392033.92</v>
      </c>
      <c r="E71" s="36"/>
      <c r="F71" s="51"/>
      <c r="G71" s="52">
        <f>G31/1000</f>
        <v>434361.03</v>
      </c>
      <c r="H71" s="52">
        <f>H31/1000</f>
        <v>456670</v>
      </c>
      <c r="I71" s="36"/>
      <c r="J71" s="45"/>
      <c r="K71" s="50"/>
      <c r="M71" s="35"/>
      <c r="O71" s="35"/>
      <c r="P71" s="36"/>
      <c r="Q71" s="36"/>
      <c r="R71" s="36"/>
      <c r="S71" s="36"/>
      <c r="T71" s="36"/>
      <c r="U71" s="36"/>
      <c r="V71" s="36"/>
      <c r="W71" s="176"/>
      <c r="X71" s="36"/>
      <c r="Y71" s="36"/>
      <c r="Z71" s="36"/>
      <c r="AA71" s="407"/>
    </row>
    <row r="72" spans="1:27" s="39" customFormat="1" x14ac:dyDescent="0.25">
      <c r="A72" s="36"/>
      <c r="B72" s="36"/>
      <c r="C72" s="36"/>
      <c r="D72" s="45"/>
      <c r="E72" s="45"/>
      <c r="F72" s="51"/>
      <c r="G72" s="36"/>
      <c r="H72" s="36"/>
      <c r="I72" s="36"/>
      <c r="J72" s="36"/>
      <c r="M72" s="35"/>
      <c r="O72" s="35"/>
      <c r="P72" s="36"/>
      <c r="Q72" s="36"/>
      <c r="R72" s="36"/>
      <c r="S72" s="36"/>
      <c r="T72" s="36"/>
      <c r="U72" s="36"/>
      <c r="V72" s="36"/>
      <c r="W72" s="176"/>
      <c r="X72" s="36"/>
      <c r="Y72" s="36"/>
      <c r="Z72" s="36"/>
      <c r="AA72" s="407"/>
    </row>
    <row r="92" spans="1:1" x14ac:dyDescent="0.25">
      <c r="A92" s="36">
        <v>7</v>
      </c>
    </row>
  </sheetData>
  <autoFilter ref="A3:W46" xr:uid="{00000000-0001-0000-0100-000000000000}"/>
  <mergeCells count="13">
    <mergeCell ref="T5:U5"/>
    <mergeCell ref="T26:U26"/>
    <mergeCell ref="AA27:AA28"/>
    <mergeCell ref="T32:U32"/>
    <mergeCell ref="AA55:AA56"/>
    <mergeCell ref="A1:J1"/>
    <mergeCell ref="A3:A4"/>
    <mergeCell ref="B3:B4"/>
    <mergeCell ref="C3:C4"/>
    <mergeCell ref="G3:G4"/>
    <mergeCell ref="H3:H4"/>
    <mergeCell ref="I3:I4"/>
    <mergeCell ref="J3:J4"/>
  </mergeCells>
  <pageMargins left="0.23622047244094491" right="0.23622047244094491" top="0.74803149606299213" bottom="0.74803149606299213" header="0.31496062992125984" footer="0.31496062992125984"/>
  <pageSetup paperSize="9" scale="58" fitToHeight="100" orientation="landscape" r:id="rId1"/>
  <rowBreaks count="2" manualBreakCount="2">
    <brk id="48" max="17" man="1"/>
    <brk id="58" max="9" man="1"/>
  </rowBreaks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916A07-0CEE-4CC5-B0A2-E3131DC0011A}">
  <sheetPr>
    <tabColor rgb="FFFF0000"/>
    <pageSetUpPr fitToPage="1"/>
  </sheetPr>
  <dimension ref="A1:AK91"/>
  <sheetViews>
    <sheetView zoomScale="70" zoomScaleNormal="70" zoomScaleSheetLayoutView="80" workbookViewId="0">
      <pane ySplit="3" topLeftCell="A46" activePane="bottomLeft" state="frozen"/>
      <selection pane="bottomLeft" activeCell="S24" sqref="S24"/>
    </sheetView>
  </sheetViews>
  <sheetFormatPr defaultColWidth="9.140625" defaultRowHeight="15.75" outlineLevelCol="1" x14ac:dyDescent="0.25"/>
  <cols>
    <col min="1" max="1" width="6.28515625" style="36" customWidth="1"/>
    <col min="2" max="2" width="17" style="36" customWidth="1"/>
    <col min="3" max="3" width="38.85546875" style="36" customWidth="1"/>
    <col min="4" max="4" width="20.5703125" style="36" hidden="1" customWidth="1" outlineLevel="1"/>
    <col min="5" max="5" width="18.85546875" style="36" hidden="1" customWidth="1" outlineLevel="1"/>
    <col min="6" max="6" width="17.5703125" style="36" hidden="1" customWidth="1" outlineLevel="1"/>
    <col min="7" max="7" width="20.7109375" style="36" hidden="1" customWidth="1" outlineLevel="1"/>
    <col min="8" max="8" width="19.5703125" style="36" hidden="1" customWidth="1" outlineLevel="1"/>
    <col min="9" max="9" width="8.5703125" style="36" hidden="1" customWidth="1" outlineLevel="1"/>
    <col min="10" max="10" width="22.28515625" style="36" customWidth="1" collapsed="1"/>
    <col min="11" max="11" width="20.42578125" style="39" hidden="1" customWidth="1" outlineLevel="1"/>
    <col min="12" max="12" width="16.85546875" style="39" hidden="1" customWidth="1" outlineLevel="1"/>
    <col min="13" max="13" width="18.140625" style="35" hidden="1" customWidth="1" outlineLevel="1"/>
    <col min="14" max="14" width="16.85546875" style="39" hidden="1" customWidth="1" outlineLevel="1"/>
    <col min="15" max="15" width="18.140625" style="35" hidden="1" customWidth="1" outlineLevel="1"/>
    <col min="16" max="16" width="18.42578125" style="36" customWidth="1" collapsed="1"/>
    <col min="17" max="17" width="16.7109375" style="36" customWidth="1"/>
    <col min="18" max="18" width="16.85546875" style="36" customWidth="1"/>
    <col min="19" max="19" width="40.85546875" style="36" customWidth="1"/>
    <col min="20" max="20" width="26.140625" style="36" customWidth="1"/>
    <col min="21" max="21" width="26.7109375" style="36" customWidth="1"/>
    <col min="22" max="22" width="31.42578125" style="36" customWidth="1"/>
    <col min="23" max="23" width="3.28515625" style="176" hidden="1" customWidth="1"/>
    <col min="24" max="24" width="27.5703125" style="36" hidden="1" customWidth="1"/>
    <col min="25" max="26" width="19" style="36" hidden="1" customWidth="1"/>
    <col min="27" max="27" width="29.28515625" style="406" hidden="1" customWidth="1"/>
    <col min="28" max="28" width="15" style="36" hidden="1" customWidth="1"/>
    <col min="29" max="29" width="19.28515625" style="36" hidden="1" customWidth="1"/>
    <col min="30" max="30" width="15.7109375" style="36" hidden="1" customWidth="1"/>
    <col min="31" max="31" width="19.85546875" style="36" customWidth="1"/>
    <col min="32" max="32" width="15.28515625" style="36" bestFit="1" customWidth="1"/>
    <col min="33" max="16384" width="9.140625" style="36"/>
  </cols>
  <sheetData>
    <row r="1" spans="1:31" ht="8.25" customHeight="1" x14ac:dyDescent="0.25">
      <c r="A1" s="1189"/>
      <c r="B1" s="1189"/>
      <c r="C1" s="1189"/>
      <c r="D1" s="1189"/>
      <c r="E1" s="1189"/>
      <c r="F1" s="1189"/>
      <c r="G1" s="1189"/>
      <c r="H1" s="1189"/>
      <c r="I1" s="1189"/>
      <c r="J1" s="1189"/>
      <c r="K1" s="654"/>
      <c r="L1" s="654"/>
      <c r="N1" s="654"/>
    </row>
    <row r="2" spans="1:31" ht="5.25" customHeight="1" thickBot="1" x14ac:dyDescent="0.3">
      <c r="A2" s="37"/>
      <c r="B2" s="37"/>
      <c r="C2" s="37"/>
      <c r="D2" s="37"/>
      <c r="E2" s="37"/>
      <c r="F2" s="37"/>
      <c r="G2" s="37"/>
      <c r="H2" s="37"/>
      <c r="I2" s="38"/>
      <c r="J2" s="37"/>
    </row>
    <row r="3" spans="1:31" ht="47.25" customHeight="1" x14ac:dyDescent="0.25">
      <c r="A3" s="1190" t="s">
        <v>111</v>
      </c>
      <c r="B3" s="1192" t="s">
        <v>112</v>
      </c>
      <c r="C3" s="1192" t="s">
        <v>113</v>
      </c>
      <c r="D3" s="655" t="s">
        <v>114</v>
      </c>
      <c r="E3" s="655" t="s">
        <v>115</v>
      </c>
      <c r="F3" s="655" t="s">
        <v>116</v>
      </c>
      <c r="G3" s="1192" t="s">
        <v>117</v>
      </c>
      <c r="H3" s="1194" t="s">
        <v>125</v>
      </c>
      <c r="I3" s="1192" t="s">
        <v>118</v>
      </c>
      <c r="J3" s="1194" t="s">
        <v>244</v>
      </c>
      <c r="K3" s="74" t="s">
        <v>126</v>
      </c>
      <c r="L3" s="74" t="s">
        <v>127</v>
      </c>
      <c r="M3" s="75" t="s">
        <v>128</v>
      </c>
      <c r="N3" s="76" t="s">
        <v>134</v>
      </c>
      <c r="O3" s="77" t="s">
        <v>135</v>
      </c>
      <c r="P3" s="78" t="s">
        <v>136</v>
      </c>
      <c r="Q3" s="78" t="s">
        <v>121</v>
      </c>
      <c r="R3" s="79" t="s">
        <v>137</v>
      </c>
      <c r="S3" s="79" t="s">
        <v>138</v>
      </c>
      <c r="T3" s="80" t="s">
        <v>249</v>
      </c>
      <c r="U3" s="80" t="s">
        <v>276</v>
      </c>
      <c r="V3" s="80" t="s">
        <v>242</v>
      </c>
      <c r="X3" s="79" t="s">
        <v>193</v>
      </c>
      <c r="Y3" s="80" t="s">
        <v>157</v>
      </c>
      <c r="Z3" s="80" t="s">
        <v>137</v>
      </c>
      <c r="AA3" s="80" t="s">
        <v>293</v>
      </c>
    </row>
    <row r="4" spans="1:31" ht="14.25" customHeight="1" x14ac:dyDescent="0.25">
      <c r="A4" s="1191"/>
      <c r="B4" s="1193"/>
      <c r="C4" s="1193"/>
      <c r="D4" s="656"/>
      <c r="E4" s="656"/>
      <c r="F4" s="656"/>
      <c r="G4" s="1193"/>
      <c r="H4" s="1195"/>
      <c r="I4" s="1193"/>
      <c r="J4" s="1195"/>
      <c r="K4" s="54" t="s">
        <v>122</v>
      </c>
      <c r="L4" s="54" t="s">
        <v>123</v>
      </c>
      <c r="M4" s="54" t="s">
        <v>124</v>
      </c>
      <c r="N4" s="54" t="s">
        <v>132</v>
      </c>
      <c r="O4" s="54" t="s">
        <v>133</v>
      </c>
      <c r="P4" s="40"/>
      <c r="Q4" s="40"/>
      <c r="R4" s="65"/>
      <c r="S4" s="65"/>
      <c r="T4" s="81"/>
      <c r="U4" s="81"/>
      <c r="V4" s="81"/>
      <c r="X4" s="65"/>
      <c r="Y4" s="81"/>
      <c r="Z4" s="81"/>
    </row>
    <row r="5" spans="1:31" x14ac:dyDescent="0.25">
      <c r="A5" s="380"/>
      <c r="B5" s="381"/>
      <c r="C5" s="381"/>
      <c r="D5" s="381"/>
      <c r="E5" s="381"/>
      <c r="F5" s="381"/>
      <c r="G5" s="381"/>
      <c r="H5" s="382"/>
      <c r="I5" s="381"/>
      <c r="J5" s="382"/>
      <c r="K5" s="383"/>
      <c r="L5" s="383"/>
      <c r="M5" s="383"/>
      <c r="N5" s="383"/>
      <c r="O5" s="383"/>
      <c r="P5" s="383"/>
      <c r="Q5" s="383"/>
      <c r="R5" s="383"/>
      <c r="S5" s="383"/>
      <c r="T5" s="1196" t="s">
        <v>283</v>
      </c>
      <c r="U5" s="1197"/>
      <c r="V5" s="384"/>
      <c r="X5" s="65"/>
      <c r="Y5" s="81"/>
      <c r="Z5" s="81"/>
    </row>
    <row r="6" spans="1:31" ht="54" customHeight="1" x14ac:dyDescent="0.25">
      <c r="A6" s="301">
        <v>1</v>
      </c>
      <c r="B6" s="620" t="s">
        <v>159</v>
      </c>
      <c r="C6" s="302" t="s">
        <v>26</v>
      </c>
      <c r="D6" s="621">
        <v>48841208.740000002</v>
      </c>
      <c r="E6" s="621">
        <v>4004979.12</v>
      </c>
      <c r="F6" s="621">
        <v>1268308.51</v>
      </c>
      <c r="G6" s="621">
        <v>54114496.369999997</v>
      </c>
      <c r="H6" s="621">
        <v>56893839.630000003</v>
      </c>
      <c r="I6" s="304">
        <v>1.2</v>
      </c>
      <c r="J6" s="305">
        <f t="shared" ref="J6:J15" si="0">ROUND(H6*I6,2)</f>
        <v>68272607.560000002</v>
      </c>
      <c r="K6" s="622">
        <v>65507253.219999999</v>
      </c>
      <c r="L6" s="622">
        <v>360012.73</v>
      </c>
      <c r="M6" s="622"/>
      <c r="N6" s="622"/>
      <c r="O6" s="622"/>
      <c r="P6" s="622">
        <f>K6+L6+M6+N6+O6</f>
        <v>65867265.950000003</v>
      </c>
      <c r="Q6" s="622">
        <f>J6-K6-L6-M6-N6-O6</f>
        <v>2405341.61</v>
      </c>
      <c r="R6" s="622" t="s">
        <v>139</v>
      </c>
      <c r="S6" s="623" t="s">
        <v>158</v>
      </c>
      <c r="T6" s="624">
        <f>P6</f>
        <v>65867265.950000003</v>
      </c>
      <c r="U6" s="624">
        <v>0</v>
      </c>
      <c r="V6" s="625">
        <f t="shared" ref="V6:V18" si="1">T6+U6</f>
        <v>65867265.950000003</v>
      </c>
      <c r="W6" s="177"/>
      <c r="X6" s="111"/>
      <c r="Y6" s="84"/>
      <c r="Z6" s="208"/>
      <c r="AA6" s="604"/>
      <c r="AC6" s="36">
        <v>0</v>
      </c>
      <c r="AD6" s="45">
        <f>U6-AC6</f>
        <v>0</v>
      </c>
    </row>
    <row r="7" spans="1:31" ht="49.5" customHeight="1" x14ac:dyDescent="0.25">
      <c r="A7" s="301">
        <v>2</v>
      </c>
      <c r="B7" s="620" t="s">
        <v>160</v>
      </c>
      <c r="C7" s="302" t="s">
        <v>9</v>
      </c>
      <c r="D7" s="621">
        <v>40054718.460000001</v>
      </c>
      <c r="E7" s="621">
        <v>3284486.91</v>
      </c>
      <c r="F7" s="621">
        <v>1040140.93</v>
      </c>
      <c r="G7" s="621">
        <v>44379346.299999997</v>
      </c>
      <c r="H7" s="621">
        <v>46658688.170000002</v>
      </c>
      <c r="I7" s="304">
        <v>1.2</v>
      </c>
      <c r="J7" s="305">
        <f t="shared" si="0"/>
        <v>55990425.799999997</v>
      </c>
      <c r="K7" s="622">
        <v>54911594.170000002</v>
      </c>
      <c r="L7" s="622"/>
      <c r="M7" s="622"/>
      <c r="N7" s="622"/>
      <c r="O7" s="622"/>
      <c r="P7" s="622">
        <f t="shared" ref="P7:P15" si="2">K7+L7+M7+N7+O7</f>
        <v>54911594.170000002</v>
      </c>
      <c r="Q7" s="622">
        <f t="shared" ref="Q7:Q15" si="3">J7-K7-L7-M7-N7-O7</f>
        <v>1078831.6299999999</v>
      </c>
      <c r="R7" s="622" t="s">
        <v>139</v>
      </c>
      <c r="S7" s="623" t="s">
        <v>158</v>
      </c>
      <c r="T7" s="624">
        <f t="shared" ref="T7:T15" si="4">P7</f>
        <v>54911594.170000002</v>
      </c>
      <c r="U7" s="624">
        <v>0</v>
      </c>
      <c r="V7" s="625">
        <f t="shared" si="1"/>
        <v>54911594.170000002</v>
      </c>
      <c r="X7" s="111"/>
      <c r="Y7" s="84"/>
      <c r="Z7" s="208"/>
      <c r="AA7" s="604"/>
      <c r="AC7" s="36">
        <v>0</v>
      </c>
      <c r="AD7" s="45">
        <f t="shared" ref="AD7:AD25" si="5">U7-AC7</f>
        <v>0</v>
      </c>
    </row>
    <row r="8" spans="1:31" ht="35.1" customHeight="1" x14ac:dyDescent="0.25">
      <c r="A8" s="301">
        <v>3</v>
      </c>
      <c r="B8" s="620" t="s">
        <v>176</v>
      </c>
      <c r="C8" s="302" t="s">
        <v>10</v>
      </c>
      <c r="D8" s="621">
        <v>1177977.71</v>
      </c>
      <c r="E8" s="621">
        <v>96594.17</v>
      </c>
      <c r="F8" s="621">
        <v>30589.73</v>
      </c>
      <c r="G8" s="621">
        <v>1305161.6100000001</v>
      </c>
      <c r="H8" s="621">
        <v>1372195.26</v>
      </c>
      <c r="I8" s="304">
        <f>I6</f>
        <v>1.2</v>
      </c>
      <c r="J8" s="305">
        <f t="shared" si="0"/>
        <v>1646634.31</v>
      </c>
      <c r="K8" s="622"/>
      <c r="L8" s="622"/>
      <c r="M8" s="622">
        <v>1646696.3</v>
      </c>
      <c r="N8" s="622"/>
      <c r="O8" s="622"/>
      <c r="P8" s="622">
        <f t="shared" si="2"/>
        <v>1646696.3</v>
      </c>
      <c r="Q8" s="622">
        <v>0</v>
      </c>
      <c r="R8" s="622" t="s">
        <v>139</v>
      </c>
      <c r="S8" s="623" t="s">
        <v>158</v>
      </c>
      <c r="T8" s="624">
        <f t="shared" si="4"/>
        <v>1646696.3</v>
      </c>
      <c r="U8" s="624">
        <v>0</v>
      </c>
      <c r="V8" s="625">
        <f t="shared" si="1"/>
        <v>1646696.3</v>
      </c>
      <c r="X8" s="111"/>
      <c r="Y8" s="84"/>
      <c r="Z8" s="208"/>
      <c r="AA8" s="604"/>
      <c r="AC8" s="36">
        <v>0</v>
      </c>
      <c r="AD8" s="45">
        <f t="shared" si="5"/>
        <v>0</v>
      </c>
    </row>
    <row r="9" spans="1:31" s="525" customFormat="1" ht="47.25" x14ac:dyDescent="0.25">
      <c r="A9" s="681">
        <v>4</v>
      </c>
      <c r="B9" s="682" t="s">
        <v>177</v>
      </c>
      <c r="C9" s="683" t="s">
        <v>36</v>
      </c>
      <c r="D9" s="684">
        <v>1615223.87</v>
      </c>
      <c r="E9" s="684">
        <v>132448.35999999999</v>
      </c>
      <c r="F9" s="684">
        <v>41944.13</v>
      </c>
      <c r="G9" s="684">
        <v>1789616.36</v>
      </c>
      <c r="H9" s="684">
        <v>1881531.81</v>
      </c>
      <c r="I9" s="685">
        <f>I19</f>
        <v>1.2</v>
      </c>
      <c r="J9" s="686">
        <f t="shared" si="0"/>
        <v>2257838.17</v>
      </c>
      <c r="K9" s="687"/>
      <c r="L9" s="687"/>
      <c r="M9" s="687">
        <v>1627347.05</v>
      </c>
      <c r="N9" s="687"/>
      <c r="O9" s="687"/>
      <c r="P9" s="687">
        <f>K9+L9+M9+N9+O9</f>
        <v>1627347.05</v>
      </c>
      <c r="Q9" s="687">
        <f t="shared" si="3"/>
        <v>630491.12</v>
      </c>
      <c r="R9" s="688" t="s">
        <v>139</v>
      </c>
      <c r="S9" s="689" t="s">
        <v>318</v>
      </c>
      <c r="T9" s="690">
        <f t="shared" si="4"/>
        <v>1627347.05</v>
      </c>
      <c r="U9" s="364">
        <f>381481.1*1.0514</f>
        <v>401089.23</v>
      </c>
      <c r="V9" s="691">
        <f t="shared" si="1"/>
        <v>2028436.28</v>
      </c>
      <c r="W9" s="231"/>
      <c r="X9" s="229" t="s">
        <v>139</v>
      </c>
      <c r="Y9" s="523">
        <f>1447989.61*1.082*1.024*1.0514*1.2</f>
        <v>2024146.22</v>
      </c>
      <c r="Z9" s="524" t="s">
        <v>186</v>
      </c>
      <c r="AA9" s="604">
        <v>2023649.39</v>
      </c>
      <c r="AB9" s="606">
        <f>AA9-V9</f>
        <v>-4786.8900000000003</v>
      </c>
      <c r="AC9" s="525">
        <v>400933.67</v>
      </c>
      <c r="AD9" s="45">
        <f t="shared" si="5"/>
        <v>155.56</v>
      </c>
    </row>
    <row r="10" spans="1:31" ht="31.5" x14ac:dyDescent="0.25">
      <c r="A10" s="681">
        <v>5</v>
      </c>
      <c r="B10" s="682" t="s">
        <v>195</v>
      </c>
      <c r="C10" s="683" t="s">
        <v>313</v>
      </c>
      <c r="D10" s="684">
        <v>475031.03999999998</v>
      </c>
      <c r="E10" s="684">
        <v>38952.550000000003</v>
      </c>
      <c r="F10" s="684">
        <v>12335.61</v>
      </c>
      <c r="G10" s="684">
        <v>526319.19999999995</v>
      </c>
      <c r="H10" s="684">
        <v>553351.18000000005</v>
      </c>
      <c r="I10" s="685">
        <f>I27</f>
        <v>1.2</v>
      </c>
      <c r="J10" s="686">
        <f t="shared" si="0"/>
        <v>664021.42000000004</v>
      </c>
      <c r="K10" s="687"/>
      <c r="L10" s="687"/>
      <c r="M10" s="687"/>
      <c r="N10" s="687"/>
      <c r="O10" s="687"/>
      <c r="P10" s="687">
        <f t="shared" si="2"/>
        <v>0</v>
      </c>
      <c r="Q10" s="687">
        <f t="shared" si="3"/>
        <v>664021.42000000004</v>
      </c>
      <c r="R10" s="688" t="s">
        <v>139</v>
      </c>
      <c r="S10" s="689" t="s">
        <v>311</v>
      </c>
      <c r="T10" s="690">
        <f t="shared" si="4"/>
        <v>0</v>
      </c>
      <c r="U10" s="364">
        <f>328908.08*1.0514+75422.69*1.0514</f>
        <v>425113.37</v>
      </c>
      <c r="V10" s="691">
        <f t="shared" si="1"/>
        <v>425113.37</v>
      </c>
      <c r="W10" s="236"/>
      <c r="X10" s="228" t="s">
        <v>139</v>
      </c>
      <c r="Y10" s="232">
        <f>(235378.05+47139.18)*1.082*1.024*1.0514*1.2</f>
        <v>394931.14</v>
      </c>
      <c r="Z10" s="233" t="s">
        <v>186</v>
      </c>
      <c r="AA10" s="604">
        <v>388509.33</v>
      </c>
      <c r="AB10" s="606">
        <f t="shared" ref="AB10:AB17" si="6">AA10-V10</f>
        <v>-36604.04</v>
      </c>
      <c r="AC10" s="36">
        <v>370254</v>
      </c>
      <c r="AD10" s="45">
        <f t="shared" si="5"/>
        <v>54859.37</v>
      </c>
    </row>
    <row r="11" spans="1:31" ht="31.5" x14ac:dyDescent="0.25">
      <c r="A11" s="681">
        <v>6</v>
      </c>
      <c r="B11" s="682" t="s">
        <v>178</v>
      </c>
      <c r="C11" s="683" t="s">
        <v>312</v>
      </c>
      <c r="D11" s="684">
        <v>2276671.21</v>
      </c>
      <c r="E11" s="684">
        <v>186687.04</v>
      </c>
      <c r="F11" s="684">
        <v>59120.6</v>
      </c>
      <c r="G11" s="684">
        <v>2522478.85</v>
      </c>
      <c r="H11" s="684">
        <v>2652034.42</v>
      </c>
      <c r="I11" s="685">
        <f>I27</f>
        <v>1.2</v>
      </c>
      <c r="J11" s="686">
        <f t="shared" si="0"/>
        <v>3182441.3</v>
      </c>
      <c r="K11" s="687"/>
      <c r="L11" s="687"/>
      <c r="M11" s="687"/>
      <c r="N11" s="687"/>
      <c r="O11" s="687"/>
      <c r="P11" s="687">
        <f t="shared" si="2"/>
        <v>0</v>
      </c>
      <c r="Q11" s="687">
        <f t="shared" si="3"/>
        <v>3182441.3</v>
      </c>
      <c r="R11" s="688" t="s">
        <v>139</v>
      </c>
      <c r="S11" s="689" t="s">
        <v>311</v>
      </c>
      <c r="T11" s="690">
        <f t="shared" si="4"/>
        <v>0</v>
      </c>
      <c r="U11" s="364">
        <f>4303628.36*1.0514+232553.33*1.0514</f>
        <v>4769341.43</v>
      </c>
      <c r="V11" s="691">
        <f t="shared" si="1"/>
        <v>4769341.43</v>
      </c>
      <c r="W11" s="178"/>
      <c r="X11" s="111" t="s">
        <v>139</v>
      </c>
      <c r="Y11" s="84">
        <f>(3206824.35+130942.19)*1.082*1.024*1.0514*1.2</f>
        <v>4665867.41</v>
      </c>
      <c r="Z11" s="233" t="s">
        <v>186</v>
      </c>
      <c r="AA11" s="604">
        <f>'вар НВ (с 0,65 и без упл)'!U11</f>
        <v>4814643</v>
      </c>
      <c r="AB11" s="606">
        <f t="shared" si="6"/>
        <v>45301.57</v>
      </c>
      <c r="AC11" s="45">
        <v>4524834.8600000003</v>
      </c>
      <c r="AD11" s="45">
        <f t="shared" si="5"/>
        <v>244506.57</v>
      </c>
    </row>
    <row r="12" spans="1:31" ht="31.5" x14ac:dyDescent="0.25">
      <c r="A12" s="681">
        <v>7</v>
      </c>
      <c r="B12" s="682" t="s">
        <v>179</v>
      </c>
      <c r="C12" s="683" t="s">
        <v>47</v>
      </c>
      <c r="D12" s="684">
        <v>760016.55</v>
      </c>
      <c r="E12" s="684">
        <v>62321.36</v>
      </c>
      <c r="F12" s="684">
        <v>19736.11</v>
      </c>
      <c r="G12" s="684">
        <v>842074.02</v>
      </c>
      <c r="H12" s="684">
        <v>885323.3</v>
      </c>
      <c r="I12" s="685">
        <f>I20</f>
        <v>1.2</v>
      </c>
      <c r="J12" s="686">
        <f t="shared" si="0"/>
        <v>1062387.96</v>
      </c>
      <c r="K12" s="687"/>
      <c r="L12" s="687"/>
      <c r="M12" s="687"/>
      <c r="N12" s="687"/>
      <c r="O12" s="687"/>
      <c r="P12" s="687">
        <f t="shared" si="2"/>
        <v>0</v>
      </c>
      <c r="Q12" s="687">
        <f t="shared" si="3"/>
        <v>1062387.96</v>
      </c>
      <c r="R12" s="687" t="s">
        <v>139</v>
      </c>
      <c r="S12" s="689" t="s">
        <v>311</v>
      </c>
      <c r="T12" s="690">
        <f t="shared" si="4"/>
        <v>0</v>
      </c>
      <c r="U12" s="364">
        <f>1451570.46*1.0514</f>
        <v>1526181.18</v>
      </c>
      <c r="V12" s="691">
        <f t="shared" si="1"/>
        <v>1526181.18</v>
      </c>
      <c r="W12" s="231"/>
      <c r="X12" s="228" t="s">
        <v>139</v>
      </c>
      <c r="Y12" s="232">
        <f>1047143.73*1.082*1.024*1.0514*1.2</f>
        <v>1463803.34</v>
      </c>
      <c r="Z12" s="233" t="s">
        <v>186</v>
      </c>
      <c r="AA12" s="619">
        <v>1463803.34</v>
      </c>
      <c r="AB12" s="606">
        <f t="shared" si="6"/>
        <v>-62377.84</v>
      </c>
      <c r="AC12" s="36">
        <v>1553260.73</v>
      </c>
      <c r="AD12" s="45">
        <f t="shared" si="5"/>
        <v>-27079.55</v>
      </c>
    </row>
    <row r="13" spans="1:31" ht="31.5" x14ac:dyDescent="0.25">
      <c r="A13" s="681">
        <v>8</v>
      </c>
      <c r="B13" s="682" t="s">
        <v>180</v>
      </c>
      <c r="C13" s="683" t="s">
        <v>49</v>
      </c>
      <c r="D13" s="684">
        <v>10454161.890000001</v>
      </c>
      <c r="E13" s="684">
        <v>857241.27</v>
      </c>
      <c r="F13" s="684">
        <v>271473.68</v>
      </c>
      <c r="G13" s="684">
        <v>11582876.84</v>
      </c>
      <c r="H13" s="684">
        <v>12177778.26</v>
      </c>
      <c r="I13" s="685">
        <f t="shared" ref="I13:I18" si="7">I6</f>
        <v>1.2</v>
      </c>
      <c r="J13" s="686">
        <f t="shared" si="0"/>
        <v>14613333.91</v>
      </c>
      <c r="K13" s="687"/>
      <c r="L13" s="687"/>
      <c r="M13" s="687"/>
      <c r="N13" s="687"/>
      <c r="O13" s="687"/>
      <c r="P13" s="687">
        <f t="shared" si="2"/>
        <v>0</v>
      </c>
      <c r="Q13" s="687">
        <f t="shared" si="3"/>
        <v>14613333.91</v>
      </c>
      <c r="R13" s="687" t="s">
        <v>139</v>
      </c>
      <c r="S13" s="689" t="str">
        <f>S10</f>
        <v>СОГЛАСОВАНО</v>
      </c>
      <c r="T13" s="690">
        <f t="shared" si="4"/>
        <v>0</v>
      </c>
      <c r="U13" s="364">
        <f>18693514.12*1.0514</f>
        <v>19654360.75</v>
      </c>
      <c r="V13" s="691">
        <f t="shared" si="1"/>
        <v>19654360.75</v>
      </c>
      <c r="W13" s="231"/>
      <c r="X13" s="228" t="s">
        <v>139</v>
      </c>
      <c r="Y13" s="232">
        <f>13422525.94*1.082*1.024*1.0514*1.2</f>
        <v>18763363.32</v>
      </c>
      <c r="Z13" s="233" t="s">
        <v>186</v>
      </c>
      <c r="AA13" s="619">
        <f>'вар НВ (с 0,65 и без упл)'!U13</f>
        <v>19308691</v>
      </c>
      <c r="AB13" s="606">
        <f t="shared" si="6"/>
        <v>-345669.75</v>
      </c>
      <c r="AC13" s="36">
        <v>19970832</v>
      </c>
      <c r="AD13" s="701">
        <f t="shared" si="5"/>
        <v>-316471.25</v>
      </c>
    </row>
    <row r="14" spans="1:31" s="525" customFormat="1" ht="31.5" x14ac:dyDescent="0.25">
      <c r="A14" s="681">
        <v>9</v>
      </c>
      <c r="B14" s="682" t="s">
        <v>181</v>
      </c>
      <c r="C14" s="683" t="s">
        <v>52</v>
      </c>
      <c r="D14" s="684">
        <v>9143309.8300000001</v>
      </c>
      <c r="E14" s="684">
        <v>749751.41</v>
      </c>
      <c r="F14" s="684">
        <v>237433.47</v>
      </c>
      <c r="G14" s="684">
        <v>10130494.710000001</v>
      </c>
      <c r="H14" s="684">
        <v>10650801.17</v>
      </c>
      <c r="I14" s="685">
        <f t="shared" si="7"/>
        <v>1.2</v>
      </c>
      <c r="J14" s="686">
        <f t="shared" si="0"/>
        <v>12780961.4</v>
      </c>
      <c r="K14" s="687"/>
      <c r="L14" s="687"/>
      <c r="M14" s="687"/>
      <c r="N14" s="687"/>
      <c r="O14" s="687">
        <v>337909.86</v>
      </c>
      <c r="P14" s="687">
        <f t="shared" si="2"/>
        <v>337909.86</v>
      </c>
      <c r="Q14" s="687">
        <f t="shared" si="3"/>
        <v>12443051.539999999</v>
      </c>
      <c r="R14" s="687" t="s">
        <v>139</v>
      </c>
      <c r="S14" s="689" t="s">
        <v>311</v>
      </c>
      <c r="T14" s="690">
        <f t="shared" si="4"/>
        <v>337909.86</v>
      </c>
      <c r="U14" s="364">
        <f>2088473.11*1.0514</f>
        <v>2195820.63</v>
      </c>
      <c r="V14" s="691">
        <f t="shared" si="1"/>
        <v>2533730.4900000002</v>
      </c>
      <c r="W14" s="178"/>
      <c r="X14" s="175" t="s">
        <v>139</v>
      </c>
      <c r="Y14" s="174">
        <f>1724717.19*1.082*1.024*1.0514*1.2</f>
        <v>2410984</v>
      </c>
      <c r="Z14" s="524" t="s">
        <v>186</v>
      </c>
      <c r="AA14" s="619">
        <f>'вар НВ (с 0,65 и без упл)'!U14</f>
        <v>2202170</v>
      </c>
      <c r="AB14" s="606">
        <f t="shared" si="6"/>
        <v>-331560.49</v>
      </c>
      <c r="AC14" s="525">
        <v>2221220.66</v>
      </c>
      <c r="AD14" s="45">
        <f t="shared" si="5"/>
        <v>-25400.03</v>
      </c>
    </row>
    <row r="15" spans="1:31" s="525" customFormat="1" ht="31.5" x14ac:dyDescent="0.25">
      <c r="A15" s="681">
        <v>10</v>
      </c>
      <c r="B15" s="682" t="s">
        <v>182</v>
      </c>
      <c r="C15" s="683" t="s">
        <v>54</v>
      </c>
      <c r="D15" s="684">
        <v>21996729.18</v>
      </c>
      <c r="E15" s="684">
        <v>1803731.79</v>
      </c>
      <c r="F15" s="684">
        <v>571211.06000000006</v>
      </c>
      <c r="G15" s="684">
        <v>24371672.030000001</v>
      </c>
      <c r="H15" s="684">
        <v>25623411.34</v>
      </c>
      <c r="I15" s="685">
        <f t="shared" si="7"/>
        <v>1.2</v>
      </c>
      <c r="J15" s="686">
        <f t="shared" si="0"/>
        <v>30748093.609999999</v>
      </c>
      <c r="K15" s="687"/>
      <c r="L15" s="687"/>
      <c r="M15" s="687">
        <v>1211400.79</v>
      </c>
      <c r="N15" s="687"/>
      <c r="O15" s="687"/>
      <c r="P15" s="687">
        <f t="shared" si="2"/>
        <v>1211400.79</v>
      </c>
      <c r="Q15" s="687">
        <f t="shared" si="3"/>
        <v>29536692.82</v>
      </c>
      <c r="R15" s="688" t="s">
        <v>139</v>
      </c>
      <c r="S15" s="689" t="s">
        <v>311</v>
      </c>
      <c r="T15" s="690">
        <f t="shared" si="4"/>
        <v>1211400.79</v>
      </c>
      <c r="U15" s="364">
        <f>2857250.86*1.0514</f>
        <v>3004113.55</v>
      </c>
      <c r="V15" s="691">
        <f t="shared" si="1"/>
        <v>4215514.34</v>
      </c>
      <c r="W15" s="178"/>
      <c r="X15" s="175" t="s">
        <v>139</v>
      </c>
      <c r="Y15" s="174">
        <f>2827828.36*1.082*1.024*1.0514*1.2</f>
        <v>3953024.28</v>
      </c>
      <c r="Z15" s="524" t="s">
        <v>186</v>
      </c>
      <c r="AA15" s="619">
        <f>'вар НВ (с 0,65 и без упл)'!V15</f>
        <v>4448059.79</v>
      </c>
      <c r="AB15" s="606">
        <f t="shared" si="6"/>
        <v>232545.45</v>
      </c>
      <c r="AC15" s="525">
        <v>3314342.94</v>
      </c>
      <c r="AD15" s="45">
        <f t="shared" si="5"/>
        <v>-310229.39</v>
      </c>
      <c r="AE15" s="525" t="s">
        <v>326</v>
      </c>
    </row>
    <row r="16" spans="1:31" ht="31.5" x14ac:dyDescent="0.25">
      <c r="A16" s="681">
        <v>11</v>
      </c>
      <c r="B16" s="682" t="s">
        <v>183</v>
      </c>
      <c r="C16" s="683" t="s">
        <v>62</v>
      </c>
      <c r="D16" s="684">
        <v>1890203.39</v>
      </c>
      <c r="E16" s="684">
        <v>154996.68</v>
      </c>
      <c r="F16" s="684">
        <v>49084.800000000003</v>
      </c>
      <c r="G16" s="684">
        <v>2094284.87</v>
      </c>
      <c r="H16" s="684">
        <v>2201848.2200000002</v>
      </c>
      <c r="I16" s="685">
        <f t="shared" si="7"/>
        <v>1.2</v>
      </c>
      <c r="J16" s="686">
        <f t="shared" ref="J16:J21" si="8">ROUND(H16*I16,2)</f>
        <v>2642217.86</v>
      </c>
      <c r="K16" s="687"/>
      <c r="L16" s="687"/>
      <c r="M16" s="687"/>
      <c r="N16" s="687"/>
      <c r="O16" s="687"/>
      <c r="P16" s="687">
        <f t="shared" ref="P16:P21" si="9">K16+L16+M16+N16+O16</f>
        <v>0</v>
      </c>
      <c r="Q16" s="687">
        <f t="shared" ref="Q16:Q21" si="10">J16-K16-L16-M16-N16-O16</f>
        <v>2642217.86</v>
      </c>
      <c r="R16" s="687" t="s">
        <v>139</v>
      </c>
      <c r="S16" s="689" t="s">
        <v>311</v>
      </c>
      <c r="T16" s="690">
        <f t="shared" ref="T16:T21" si="11">P16</f>
        <v>0</v>
      </c>
      <c r="U16" s="364">
        <f>2349488.86*1.0514</f>
        <v>2470252.59</v>
      </c>
      <c r="V16" s="691">
        <f t="shared" si="1"/>
        <v>2470252.59</v>
      </c>
      <c r="W16" s="178"/>
      <c r="X16" s="111" t="s">
        <v>139</v>
      </c>
      <c r="Y16" s="84">
        <f>1675854.44*1.082*1.024*1.0514*1.2</f>
        <v>2342678.71</v>
      </c>
      <c r="Z16" s="233" t="s">
        <v>186</v>
      </c>
      <c r="AA16" s="619">
        <f>'вар НВ (с 0,65 и без упл)'!U16</f>
        <v>2387178</v>
      </c>
      <c r="AB16" s="606">
        <f t="shared" si="6"/>
        <v>-83074.59</v>
      </c>
      <c r="AC16" s="36">
        <v>2509941.54</v>
      </c>
      <c r="AD16" s="45">
        <f t="shared" si="5"/>
        <v>-39688.949999999997</v>
      </c>
    </row>
    <row r="17" spans="1:37" ht="31.5" x14ac:dyDescent="0.25">
      <c r="A17" s="681">
        <v>12</v>
      </c>
      <c r="B17" s="682" t="s">
        <v>184</v>
      </c>
      <c r="C17" s="683" t="s">
        <v>64</v>
      </c>
      <c r="D17" s="684">
        <v>4003449.34</v>
      </c>
      <c r="E17" s="684">
        <v>328282.84999999998</v>
      </c>
      <c r="F17" s="684">
        <v>103961.57</v>
      </c>
      <c r="G17" s="684">
        <v>4435693.76</v>
      </c>
      <c r="H17" s="684">
        <v>4663512.8499999996</v>
      </c>
      <c r="I17" s="685">
        <f t="shared" si="7"/>
        <v>1.2</v>
      </c>
      <c r="J17" s="686">
        <f t="shared" si="8"/>
        <v>5596215.4199999999</v>
      </c>
      <c r="K17" s="687"/>
      <c r="L17" s="687"/>
      <c r="M17" s="687"/>
      <c r="N17" s="687"/>
      <c r="O17" s="687"/>
      <c r="P17" s="687">
        <f t="shared" si="9"/>
        <v>0</v>
      </c>
      <c r="Q17" s="687">
        <f t="shared" si="10"/>
        <v>5596215.4199999999</v>
      </c>
      <c r="R17" s="687" t="s">
        <v>139</v>
      </c>
      <c r="S17" s="689" t="s">
        <v>311</v>
      </c>
      <c r="T17" s="690">
        <f t="shared" si="11"/>
        <v>0</v>
      </c>
      <c r="U17" s="364">
        <f>4471850.99*1.0514</f>
        <v>4701704.13</v>
      </c>
      <c r="V17" s="691">
        <f t="shared" si="1"/>
        <v>4701704.13</v>
      </c>
      <c r="W17" s="178"/>
      <c r="X17" s="111" t="s">
        <v>139</v>
      </c>
      <c r="Y17" s="84">
        <f>2820165.03*1.082*1.024*1.0514*1.2</f>
        <v>3942311.7</v>
      </c>
      <c r="Z17" s="233" t="s">
        <v>186</v>
      </c>
      <c r="AA17" s="619">
        <v>3942311.7</v>
      </c>
      <c r="AB17" s="606">
        <f t="shared" si="6"/>
        <v>-759392.43</v>
      </c>
      <c r="AC17" s="36">
        <v>4764781</v>
      </c>
      <c r="AD17" s="45">
        <f t="shared" si="5"/>
        <v>-63076.87</v>
      </c>
    </row>
    <row r="18" spans="1:37" ht="32.25" thickBot="1" x14ac:dyDescent="0.3">
      <c r="A18" s="681">
        <v>13</v>
      </c>
      <c r="B18" s="682" t="s">
        <v>289</v>
      </c>
      <c r="C18" s="683" t="s">
        <v>67</v>
      </c>
      <c r="D18" s="684">
        <v>8291915.46</v>
      </c>
      <c r="E18" s="684">
        <v>679937.07</v>
      </c>
      <c r="F18" s="684">
        <v>215324.46</v>
      </c>
      <c r="G18" s="684">
        <v>9187176.9900000002</v>
      </c>
      <c r="H18" s="684">
        <v>9659034.2599999998</v>
      </c>
      <c r="I18" s="685">
        <f t="shared" si="7"/>
        <v>1.2</v>
      </c>
      <c r="J18" s="686">
        <f t="shared" si="8"/>
        <v>11590841.109999999</v>
      </c>
      <c r="K18" s="702"/>
      <c r="L18" s="702"/>
      <c r="M18" s="702"/>
      <c r="N18" s="702"/>
      <c r="O18" s="702"/>
      <c r="P18" s="687">
        <f t="shared" si="9"/>
        <v>0</v>
      </c>
      <c r="Q18" s="687">
        <f t="shared" si="10"/>
        <v>11590841.109999999</v>
      </c>
      <c r="R18" s="703" t="s">
        <v>139</v>
      </c>
      <c r="S18" s="689" t="str">
        <f>S15</f>
        <v>СОГЛАСОВАНО</v>
      </c>
      <c r="T18" s="690">
        <f t="shared" si="11"/>
        <v>0</v>
      </c>
      <c r="U18" s="364">
        <f>6105289.42*1.0514</f>
        <v>6419101.2999999998</v>
      </c>
      <c r="V18" s="691">
        <f t="shared" si="1"/>
        <v>6419101.2999999998</v>
      </c>
      <c r="W18" s="188"/>
      <c r="X18" s="111"/>
      <c r="Y18" s="84"/>
      <c r="Z18" s="208"/>
      <c r="AA18" s="604"/>
      <c r="AB18" s="526"/>
      <c r="AC18" s="36">
        <v>6207964</v>
      </c>
      <c r="AD18" s="45">
        <f t="shared" si="5"/>
        <v>211137.3</v>
      </c>
    </row>
    <row r="19" spans="1:37" ht="36" customHeight="1" x14ac:dyDescent="0.25">
      <c r="A19" s="301">
        <v>14</v>
      </c>
      <c r="B19" s="626" t="s">
        <v>306</v>
      </c>
      <c r="C19" s="302" t="s">
        <v>11</v>
      </c>
      <c r="D19" s="621">
        <v>161452921.99000001</v>
      </c>
      <c r="E19" s="621">
        <v>13239139.6</v>
      </c>
      <c r="F19" s="621">
        <v>4192609.48</v>
      </c>
      <c r="G19" s="621">
        <v>178884671.06999999</v>
      </c>
      <c r="H19" s="621">
        <v>188072263.84999999</v>
      </c>
      <c r="I19" s="304">
        <f>I6</f>
        <v>1.2</v>
      </c>
      <c r="J19" s="305">
        <f t="shared" si="8"/>
        <v>225686716.62</v>
      </c>
      <c r="K19" s="622">
        <v>89998722.969999999</v>
      </c>
      <c r="L19" s="622">
        <v>66544414.909999996</v>
      </c>
      <c r="M19" s="622">
        <v>42672742.899999999</v>
      </c>
      <c r="N19" s="622"/>
      <c r="O19" s="622"/>
      <c r="P19" s="622">
        <f t="shared" si="9"/>
        <v>199215880.78</v>
      </c>
      <c r="Q19" s="622">
        <f t="shared" si="10"/>
        <v>26470835.84</v>
      </c>
      <c r="R19" s="622" t="s">
        <v>139</v>
      </c>
      <c r="S19" s="1140" t="s">
        <v>329</v>
      </c>
      <c r="T19" s="624">
        <f t="shared" si="11"/>
        <v>199215880.78</v>
      </c>
      <c r="U19" s="1105">
        <f>37091104.51</f>
        <v>37091104.509999998</v>
      </c>
      <c r="V19" s="625">
        <f t="shared" ref="V19:V24" si="12">T19+U19</f>
        <v>236306985.28999999</v>
      </c>
      <c r="X19" s="111"/>
      <c r="Y19" s="84"/>
      <c r="Z19" s="208"/>
      <c r="AA19" s="36"/>
      <c r="AB19" s="45"/>
      <c r="AC19" s="36">
        <v>37091104.509999998</v>
      </c>
      <c r="AD19" s="45">
        <f t="shared" si="5"/>
        <v>0</v>
      </c>
      <c r="AE19" s="1106">
        <v>47086384.18</v>
      </c>
      <c r="AF19" s="1099" t="s">
        <v>330</v>
      </c>
      <c r="AG19" s="1100"/>
      <c r="AH19" s="1100"/>
      <c r="AI19" s="1100"/>
      <c r="AJ19" s="1100"/>
      <c r="AK19" s="1101"/>
    </row>
    <row r="20" spans="1:37" s="585" customFormat="1" ht="35.25" customHeight="1" thickBot="1" x14ac:dyDescent="0.3">
      <c r="A20" s="681">
        <v>15</v>
      </c>
      <c r="B20" s="1044" t="s">
        <v>307</v>
      </c>
      <c r="C20" s="683" t="s">
        <v>34</v>
      </c>
      <c r="D20" s="684">
        <v>10526911.91</v>
      </c>
      <c r="E20" s="684">
        <v>863206.78</v>
      </c>
      <c r="F20" s="684">
        <v>273362.84999999998</v>
      </c>
      <c r="G20" s="684">
        <v>11663481.539999999</v>
      </c>
      <c r="H20" s="684">
        <v>12262522.85</v>
      </c>
      <c r="I20" s="685">
        <f>I8</f>
        <v>1.2</v>
      </c>
      <c r="J20" s="686">
        <f t="shared" si="8"/>
        <v>14715027.42</v>
      </c>
      <c r="K20" s="687"/>
      <c r="L20" s="687">
        <v>10775049.08</v>
      </c>
      <c r="M20" s="687"/>
      <c r="N20" s="687"/>
      <c r="O20" s="687"/>
      <c r="P20" s="687">
        <f t="shared" si="9"/>
        <v>10775049.08</v>
      </c>
      <c r="Q20" s="687">
        <f t="shared" si="10"/>
        <v>3939978.34</v>
      </c>
      <c r="R20" s="687" t="s">
        <v>139</v>
      </c>
      <c r="S20" s="689" t="s">
        <v>311</v>
      </c>
      <c r="T20" s="690">
        <f t="shared" si="11"/>
        <v>10775049.08</v>
      </c>
      <c r="U20" s="364">
        <f>3431255.45*1.0514</f>
        <v>3607621.98</v>
      </c>
      <c r="V20" s="691">
        <f t="shared" si="12"/>
        <v>14382671.060000001</v>
      </c>
      <c r="W20" s="582"/>
      <c r="X20" s="111"/>
      <c r="Y20" s="83"/>
      <c r="Z20" s="583"/>
      <c r="AA20" s="584"/>
      <c r="AC20" s="585">
        <v>1790752.08</v>
      </c>
      <c r="AD20" s="45">
        <f t="shared" si="5"/>
        <v>1816869.9</v>
      </c>
      <c r="AE20" s="1107">
        <v>40553265.479999997</v>
      </c>
      <c r="AF20" s="1102" t="s">
        <v>331</v>
      </c>
      <c r="AG20" s="1103"/>
      <c r="AH20" s="1103"/>
      <c r="AI20" s="1103"/>
      <c r="AJ20" s="1103"/>
      <c r="AK20" s="1104"/>
    </row>
    <row r="21" spans="1:37" s="449" customFormat="1" ht="36" customHeight="1" x14ac:dyDescent="0.25">
      <c r="A21" s="692">
        <v>16</v>
      </c>
      <c r="B21" s="693" t="s">
        <v>59</v>
      </c>
      <c r="C21" s="694" t="s">
        <v>60</v>
      </c>
      <c r="D21" s="695">
        <v>4859580.66</v>
      </c>
      <c r="E21" s="695">
        <v>398485.61</v>
      </c>
      <c r="F21" s="695">
        <v>126193.59</v>
      </c>
      <c r="G21" s="695">
        <v>5384259.8600000003</v>
      </c>
      <c r="H21" s="695">
        <v>5660797.71</v>
      </c>
      <c r="I21" s="696">
        <f>I14</f>
        <v>1.2</v>
      </c>
      <c r="J21" s="697">
        <f t="shared" si="8"/>
        <v>6792957.25</v>
      </c>
      <c r="K21" s="698"/>
      <c r="L21" s="698"/>
      <c r="M21" s="698"/>
      <c r="N21" s="698"/>
      <c r="O21" s="698">
        <v>562345.21</v>
      </c>
      <c r="P21" s="698">
        <f t="shared" si="9"/>
        <v>562345.21</v>
      </c>
      <c r="Q21" s="698">
        <f t="shared" si="10"/>
        <v>6230612.04</v>
      </c>
      <c r="R21" s="687" t="s">
        <v>139</v>
      </c>
      <c r="S21" s="689" t="s">
        <v>311</v>
      </c>
      <c r="T21" s="699">
        <f t="shared" si="11"/>
        <v>562345.21</v>
      </c>
      <c r="U21" s="364">
        <f>3262429.24*1.0514</f>
        <v>3430118.1</v>
      </c>
      <c r="V21" s="691">
        <f t="shared" si="12"/>
        <v>3992463.31</v>
      </c>
      <c r="W21" s="451"/>
      <c r="X21" s="446"/>
      <c r="Y21" s="443"/>
      <c r="Z21" s="447"/>
      <c r="AA21" s="448"/>
      <c r="AC21" s="449">
        <v>3430118.1</v>
      </c>
      <c r="AD21" s="45">
        <f t="shared" si="5"/>
        <v>0</v>
      </c>
    </row>
    <row r="22" spans="1:37" s="585" customFormat="1" ht="43.5" customHeight="1" x14ac:dyDescent="0.25">
      <c r="A22" s="681">
        <v>17</v>
      </c>
      <c r="B22" s="682" t="s">
        <v>58</v>
      </c>
      <c r="C22" s="683" t="s">
        <v>297</v>
      </c>
      <c r="D22" s="684">
        <v>4044845.15</v>
      </c>
      <c r="E22" s="684">
        <v>331677.3</v>
      </c>
      <c r="F22" s="684">
        <v>105036.54</v>
      </c>
      <c r="G22" s="684">
        <v>4481558.99</v>
      </c>
      <c r="H22" s="684">
        <v>4711733.74</v>
      </c>
      <c r="I22" s="685">
        <f>I13</f>
        <v>1.2</v>
      </c>
      <c r="J22" s="686">
        <f>ROUND(H22*I22,2)</f>
        <v>5654080.4900000002</v>
      </c>
      <c r="K22" s="687"/>
      <c r="L22" s="687"/>
      <c r="M22" s="687"/>
      <c r="N22" s="687"/>
      <c r="O22" s="687">
        <v>3594854.48</v>
      </c>
      <c r="P22" s="687">
        <f>K22+L22+M22+N22+O22</f>
        <v>3594854.48</v>
      </c>
      <c r="Q22" s="687">
        <f>J22-K22-L22-M22-N22-O22</f>
        <v>2059226.01</v>
      </c>
      <c r="R22" s="687" t="s">
        <v>139</v>
      </c>
      <c r="S22" s="689" t="s">
        <v>311</v>
      </c>
      <c r="T22" s="690">
        <f>P22</f>
        <v>3594854.48</v>
      </c>
      <c r="U22" s="364">
        <f>1011166.15*1.0514</f>
        <v>1063140.0900000001</v>
      </c>
      <c r="V22" s="691">
        <f t="shared" si="12"/>
        <v>4657994.57</v>
      </c>
      <c r="W22" s="582"/>
      <c r="X22" s="111"/>
      <c r="Y22" s="83"/>
      <c r="Z22" s="583"/>
      <c r="AA22" s="584" t="s">
        <v>295</v>
      </c>
    </row>
    <row r="23" spans="1:37" ht="31.5" x14ac:dyDescent="0.25">
      <c r="A23" s="681">
        <v>18</v>
      </c>
      <c r="B23" s="682" t="s">
        <v>70</v>
      </c>
      <c r="C23" s="683" t="s">
        <v>324</v>
      </c>
      <c r="D23" s="1051">
        <v>5005903.75</v>
      </c>
      <c r="E23" s="1051">
        <v>410484.11</v>
      </c>
      <c r="F23" s="1051">
        <v>129993.31</v>
      </c>
      <c r="G23" s="1051">
        <v>5546381.1699999999</v>
      </c>
      <c r="H23" s="1051">
        <v>5831245.6399999997</v>
      </c>
      <c r="I23" s="1052">
        <f>I12</f>
        <v>1.2</v>
      </c>
      <c r="J23" s="686">
        <f>ROUND(H23*I23,2)</f>
        <v>6997494.7699999996</v>
      </c>
      <c r="K23" s="1053"/>
      <c r="L23" s="1053">
        <v>2298854.48</v>
      </c>
      <c r="M23" s="1053"/>
      <c r="N23" s="1053"/>
      <c r="O23" s="1053"/>
      <c r="P23" s="687">
        <f>K23+L23+M23+N23+O23</f>
        <v>2298854.48</v>
      </c>
      <c r="Q23" s="687">
        <f>J23-K23-L23-M23-N23-O23</f>
        <v>4698640.29</v>
      </c>
      <c r="R23" s="687" t="s">
        <v>139</v>
      </c>
      <c r="S23" s="689" t="s">
        <v>311</v>
      </c>
      <c r="T23" s="690">
        <f>P23</f>
        <v>2298854.48</v>
      </c>
      <c r="U23" s="364">
        <f>18120717.24*1.0514</f>
        <v>19052122.109999999</v>
      </c>
      <c r="V23" s="691">
        <f t="shared" si="12"/>
        <v>21350976.59</v>
      </c>
      <c r="W23" s="1054"/>
      <c r="X23" s="1055"/>
      <c r="Y23" s="1056"/>
      <c r="Z23" s="1057"/>
      <c r="AA23" s="1058" t="s">
        <v>295</v>
      </c>
      <c r="AB23" s="1059"/>
      <c r="AC23" s="1059"/>
      <c r="AD23" s="1059"/>
      <c r="AE23" s="1062"/>
      <c r="AF23" s="1062"/>
      <c r="AG23" s="1062"/>
      <c r="AH23" s="1062"/>
      <c r="AI23" s="1062"/>
      <c r="AJ23" s="1062"/>
    </row>
    <row r="24" spans="1:37" ht="42.75" customHeight="1" thickBot="1" x14ac:dyDescent="0.3">
      <c r="A24" s="301">
        <v>20</v>
      </c>
      <c r="B24" s="620" t="s">
        <v>71</v>
      </c>
      <c r="C24" s="302" t="s">
        <v>109</v>
      </c>
      <c r="D24" s="621">
        <v>48898423.600000001</v>
      </c>
      <c r="E24" s="621">
        <v>4009670.74</v>
      </c>
      <c r="F24" s="621">
        <v>1269794.26</v>
      </c>
      <c r="G24" s="621">
        <v>54177888.600000001</v>
      </c>
      <c r="H24" s="621">
        <v>56960487.710000001</v>
      </c>
      <c r="I24" s="304">
        <f>I12</f>
        <v>1.2</v>
      </c>
      <c r="J24" s="305">
        <f>ROUND(H24*I24,2)</f>
        <v>68352585.25</v>
      </c>
      <c r="K24" s="622"/>
      <c r="L24" s="622"/>
      <c r="M24" s="622">
        <v>11709977.720000001</v>
      </c>
      <c r="N24" s="622"/>
      <c r="O24" s="622">
        <v>3615838.44</v>
      </c>
      <c r="P24" s="622">
        <f>K24+L24+M24+N24+O24</f>
        <v>15325816.16</v>
      </c>
      <c r="Q24" s="622">
        <f>J24-K24-L24-M24-N24-O24</f>
        <v>53026769.090000004</v>
      </c>
      <c r="R24" s="1079" t="s">
        <v>243</v>
      </c>
      <c r="S24" s="1140" t="s">
        <v>329</v>
      </c>
      <c r="T24" s="624">
        <f>P24</f>
        <v>15325816.16</v>
      </c>
      <c r="U24" s="364">
        <f>66677764.27*1.0514</f>
        <v>70105001.349999994</v>
      </c>
      <c r="V24" s="1080">
        <f t="shared" si="12"/>
        <v>85430817.510000005</v>
      </c>
      <c r="W24" s="206"/>
      <c r="X24" s="111"/>
      <c r="Y24" s="85"/>
      <c r="Z24" s="209"/>
      <c r="AA24" s="584" t="s">
        <v>295</v>
      </c>
      <c r="AC24" s="36" t="s">
        <v>317</v>
      </c>
      <c r="AE24" s="36">
        <f>67252983*1.0514</f>
        <v>70709786.326199993</v>
      </c>
      <c r="AF24" s="45">
        <f>AE24-U24</f>
        <v>604784.98</v>
      </c>
    </row>
    <row r="25" spans="1:37" ht="4.5" customHeight="1" thickTop="1" x14ac:dyDescent="0.25">
      <c r="A25" s="475"/>
      <c r="B25" s="1070"/>
      <c r="C25" s="1071"/>
      <c r="D25" s="1072"/>
      <c r="E25" s="1072"/>
      <c r="F25" s="1072"/>
      <c r="G25" s="1072"/>
      <c r="H25" s="1072"/>
      <c r="I25" s="1073"/>
      <c r="J25" s="1074"/>
      <c r="K25" s="1075"/>
      <c r="L25" s="1075"/>
      <c r="M25" s="1075"/>
      <c r="N25" s="1075"/>
      <c r="O25" s="1075"/>
      <c r="P25" s="1075"/>
      <c r="Q25" s="1075"/>
      <c r="R25" s="1075"/>
      <c r="S25" s="565"/>
      <c r="T25" s="1076"/>
      <c r="U25" s="1077"/>
      <c r="V25" s="1078"/>
      <c r="W25" s="178"/>
      <c r="X25" s="111"/>
      <c r="Y25" s="84"/>
      <c r="Z25" s="233"/>
      <c r="AD25" s="45">
        <f t="shared" si="5"/>
        <v>0</v>
      </c>
    </row>
    <row r="26" spans="1:37" ht="32.25" customHeight="1" thickBot="1" x14ac:dyDescent="0.3">
      <c r="A26" s="380"/>
      <c r="B26" s="381"/>
      <c r="C26" s="381"/>
      <c r="D26" s="381"/>
      <c r="E26" s="381"/>
      <c r="F26" s="381"/>
      <c r="G26" s="381"/>
      <c r="H26" s="382"/>
      <c r="I26" s="381"/>
      <c r="J26" s="382"/>
      <c r="K26" s="383"/>
      <c r="L26" s="383"/>
      <c r="M26" s="383"/>
      <c r="N26" s="383"/>
      <c r="O26" s="383"/>
      <c r="P26" s="383"/>
      <c r="Q26" s="383"/>
      <c r="R26" s="383"/>
      <c r="S26" s="383"/>
      <c r="T26" s="1196" t="s">
        <v>272</v>
      </c>
      <c r="U26" s="1197"/>
      <c r="V26" s="605"/>
      <c r="W26" s="605">
        <f>SUM(W9:W17)</f>
        <v>0</v>
      </c>
      <c r="X26" s="605">
        <f>SUM(X9:X17)</f>
        <v>0</v>
      </c>
      <c r="Y26" s="605">
        <f>SUM(Y9:Y17)</f>
        <v>39961110.119999997</v>
      </c>
      <c r="Z26" s="605">
        <f>SUM(Z9:Z17)</f>
        <v>0</v>
      </c>
      <c r="AA26" s="36"/>
      <c r="AC26" s="45"/>
    </row>
    <row r="27" spans="1:37" s="449" customFormat="1" ht="32.25" customHeight="1" x14ac:dyDescent="0.25">
      <c r="A27" s="658">
        <v>21</v>
      </c>
      <c r="B27" s="659" t="s">
        <v>32</v>
      </c>
      <c r="C27" s="660" t="str">
        <f>ССР!C30</f>
        <v>Восстановительные работы цеха №121/18. АС 3.</v>
      </c>
      <c r="D27" s="661">
        <v>4505948.67</v>
      </c>
      <c r="E27" s="661">
        <v>369487.79</v>
      </c>
      <c r="F27" s="661">
        <v>117010.48</v>
      </c>
      <c r="G27" s="661">
        <v>4992446.9400000004</v>
      </c>
      <c r="H27" s="661">
        <v>5248861.1100000003</v>
      </c>
      <c r="I27" s="662">
        <f>I7</f>
        <v>1.2</v>
      </c>
      <c r="J27" s="663">
        <f>ROUND(H27*I27,2)</f>
        <v>6298633.3300000001</v>
      </c>
      <c r="K27" s="664"/>
      <c r="L27" s="664"/>
      <c r="M27" s="664"/>
      <c r="N27" s="664">
        <v>5245250.92</v>
      </c>
      <c r="O27" s="664"/>
      <c r="P27" s="665">
        <f>K27+L27+M27+N27+O27</f>
        <v>5245250.92</v>
      </c>
      <c r="Q27" s="665">
        <f>J27-K27-L27-M27-N27-O27</f>
        <v>1053382.4099999999</v>
      </c>
      <c r="R27" s="666" t="s">
        <v>168</v>
      </c>
      <c r="S27" s="1049" t="s">
        <v>320</v>
      </c>
      <c r="T27" s="667">
        <f>P27</f>
        <v>5245250.92</v>
      </c>
      <c r="U27" s="668" t="s">
        <v>243</v>
      </c>
      <c r="V27" s="667">
        <f>T27</f>
        <v>5245250.92</v>
      </c>
      <c r="W27" s="445" t="s">
        <v>172</v>
      </c>
      <c r="X27" s="446"/>
      <c r="Y27" s="443"/>
      <c r="Z27" s="447"/>
      <c r="AA27" s="1201" t="s">
        <v>308</v>
      </c>
      <c r="AC27" s="449" t="s">
        <v>310</v>
      </c>
    </row>
    <row r="28" spans="1:37" s="449" customFormat="1" ht="32.25" thickBot="1" x14ac:dyDescent="0.3">
      <c r="A28" s="669">
        <v>22</v>
      </c>
      <c r="B28" s="670" t="s">
        <v>55</v>
      </c>
      <c r="C28" s="671" t="str">
        <f>ССР!C45</f>
        <v>Трубопровод ливневых сточных вод от трансбордера. НВК1</v>
      </c>
      <c r="D28" s="672">
        <v>1758763.66</v>
      </c>
      <c r="E28" s="672">
        <v>144218.62</v>
      </c>
      <c r="F28" s="672">
        <v>45671.57</v>
      </c>
      <c r="G28" s="672">
        <v>1948653.85</v>
      </c>
      <c r="H28" s="672">
        <v>2048737.53</v>
      </c>
      <c r="I28" s="673">
        <f>I19</f>
        <v>1.2</v>
      </c>
      <c r="J28" s="674">
        <f>ROUND(H28*I28,2)</f>
        <v>2458485.04</v>
      </c>
      <c r="K28" s="675"/>
      <c r="L28" s="675"/>
      <c r="M28" s="675"/>
      <c r="N28" s="675"/>
      <c r="O28" s="675">
        <v>505496.99</v>
      </c>
      <c r="P28" s="676">
        <f>K28+L28+M28+N28+O28</f>
        <v>505496.99</v>
      </c>
      <c r="Q28" s="676">
        <f>J28-K28-L28-M28-N28-O28</f>
        <v>1952988.05</v>
      </c>
      <c r="R28" s="677" t="str">
        <f>R27</f>
        <v>ВОРа на доп. не будет</v>
      </c>
      <c r="S28" s="1050" t="s">
        <v>320</v>
      </c>
      <c r="T28" s="678">
        <f>P28</f>
        <v>505496.99</v>
      </c>
      <c r="U28" s="679" t="s">
        <v>243</v>
      </c>
      <c r="V28" s="680">
        <f>T28</f>
        <v>505496.99</v>
      </c>
      <c r="W28" s="451"/>
      <c r="X28" s="446"/>
      <c r="Y28" s="443"/>
      <c r="Z28" s="447"/>
      <c r="AA28" s="1201"/>
      <c r="AC28" s="449" t="s">
        <v>310</v>
      </c>
    </row>
    <row r="29" spans="1:37" ht="35.1" customHeight="1" x14ac:dyDescent="0.25">
      <c r="A29" s="387">
        <v>23</v>
      </c>
      <c r="B29" s="388">
        <v>1</v>
      </c>
      <c r="C29" s="389" t="s">
        <v>175</v>
      </c>
      <c r="D29" s="390"/>
      <c r="E29" s="390"/>
      <c r="F29" s="390"/>
      <c r="G29" s="390"/>
      <c r="H29" s="390"/>
      <c r="I29" s="391"/>
      <c r="J29" s="392"/>
      <c r="K29" s="393"/>
      <c r="L29" s="393"/>
      <c r="M29" s="393"/>
      <c r="N29" s="393"/>
      <c r="O29" s="393"/>
      <c r="P29" s="393">
        <f>T29</f>
        <v>4216719.66</v>
      </c>
      <c r="Q29" s="393"/>
      <c r="R29" s="477" t="s">
        <v>139</v>
      </c>
      <c r="S29" s="394" t="s">
        <v>321</v>
      </c>
      <c r="T29" s="420">
        <v>4216719.66</v>
      </c>
      <c r="U29" s="420">
        <v>0</v>
      </c>
      <c r="V29" s="420">
        <f>T29+U29</f>
        <v>4216719.66</v>
      </c>
      <c r="X29" s="119"/>
      <c r="Y29" s="179"/>
      <c r="Z29" s="179"/>
    </row>
    <row r="30" spans="1:37" ht="35.1" customHeight="1" thickBot="1" x14ac:dyDescent="0.3">
      <c r="A30" s="513">
        <v>24</v>
      </c>
      <c r="B30" s="479">
        <v>1</v>
      </c>
      <c r="C30" s="480" t="s">
        <v>174</v>
      </c>
      <c r="D30" s="481"/>
      <c r="E30" s="481"/>
      <c r="F30" s="481"/>
      <c r="G30" s="481"/>
      <c r="H30" s="481"/>
      <c r="I30" s="482"/>
      <c r="J30" s="483"/>
      <c r="K30" s="484"/>
      <c r="L30" s="484"/>
      <c r="M30" s="484"/>
      <c r="N30" s="484"/>
      <c r="O30" s="484"/>
      <c r="P30" s="484">
        <f>T30</f>
        <v>2160473.5</v>
      </c>
      <c r="Q30" s="484"/>
      <c r="R30" s="514" t="s">
        <v>139</v>
      </c>
      <c r="S30" s="515" t="s">
        <v>321</v>
      </c>
      <c r="T30" s="485">
        <v>2160473.5</v>
      </c>
      <c r="U30" s="485">
        <v>0</v>
      </c>
      <c r="V30" s="486">
        <f>T30+U30</f>
        <v>2160473.5</v>
      </c>
      <c r="X30" s="117"/>
      <c r="Y30" s="105"/>
      <c r="Z30" s="211"/>
    </row>
    <row r="31" spans="1:37" ht="31.5" customHeight="1" thickTop="1" thickBot="1" x14ac:dyDescent="0.3">
      <c r="A31" s="516"/>
      <c r="B31" s="517" t="s">
        <v>120</v>
      </c>
      <c r="C31" s="518"/>
      <c r="D31" s="519">
        <f>SUM(D6:D28)</f>
        <v>392033916.06</v>
      </c>
      <c r="E31" s="518"/>
      <c r="F31" s="520"/>
      <c r="G31" s="519">
        <f>SUM(G6:G28)</f>
        <v>434361033.93000001</v>
      </c>
      <c r="H31" s="519">
        <f>SUM(H6:H28)</f>
        <v>456670000.00999999</v>
      </c>
      <c r="I31" s="519"/>
      <c r="J31" s="519">
        <f>SUM(J6:J28)</f>
        <v>548004000</v>
      </c>
      <c r="K31" s="521">
        <f>SUM(K6:K28)</f>
        <v>210417570.36000001</v>
      </c>
      <c r="L31" s="521">
        <f>SUM(L6:L28)+0.01</f>
        <v>79978331.209999993</v>
      </c>
      <c r="M31" s="521">
        <f>SUM(M6:M28)</f>
        <v>58868164.759999998</v>
      </c>
      <c r="N31" s="521">
        <f>SUM(N6:N28)</f>
        <v>5245250.92</v>
      </c>
      <c r="O31" s="521">
        <f>SUM(O6:O28)</f>
        <v>8616444.9800000004</v>
      </c>
      <c r="P31" s="521">
        <f>SUM(P6:P30)+0.01</f>
        <v>369502955.38999999</v>
      </c>
      <c r="Q31" s="521">
        <f>J31-P31</f>
        <v>178501044.61000001</v>
      </c>
      <c r="R31" s="521"/>
      <c r="S31" s="521"/>
      <c r="T31" s="522">
        <f>SUM(T6:T30)</f>
        <v>369502955.38</v>
      </c>
      <c r="U31" s="522">
        <f>SUM(U6:U30)</f>
        <v>179916186.30000001</v>
      </c>
      <c r="V31" s="522">
        <f>SUM(V6:V30)</f>
        <v>549419141.67999995</v>
      </c>
      <c r="W31" s="177"/>
      <c r="X31" s="115"/>
      <c r="Y31" s="101">
        <f>SUM(Y6:Y28)</f>
        <v>79922220.239999995</v>
      </c>
      <c r="Z31" s="210">
        <f>SUM(Z6:Z28)</f>
        <v>0</v>
      </c>
      <c r="AE31" s="45">
        <f>J31-V31</f>
        <v>-1415141.68</v>
      </c>
    </row>
    <row r="32" spans="1:37" ht="32.25" customHeight="1" x14ac:dyDescent="0.25">
      <c r="A32" s="498"/>
      <c r="B32" s="499"/>
      <c r="C32" s="499"/>
      <c r="D32" s="499"/>
      <c r="E32" s="499"/>
      <c r="F32" s="499"/>
      <c r="G32" s="499"/>
      <c r="H32" s="500"/>
      <c r="I32" s="499"/>
      <c r="J32" s="500"/>
      <c r="K32" s="501"/>
      <c r="L32" s="501"/>
      <c r="M32" s="501"/>
      <c r="N32" s="501"/>
      <c r="O32" s="501"/>
      <c r="P32" s="501"/>
      <c r="Q32" s="501"/>
      <c r="R32" s="501"/>
      <c r="S32" s="501"/>
      <c r="T32" s="1187" t="s">
        <v>309</v>
      </c>
      <c r="U32" s="1188"/>
      <c r="V32" s="503"/>
      <c r="X32" s="65"/>
      <c r="Y32" s="81"/>
      <c r="Z32" s="81"/>
    </row>
    <row r="33" spans="1:36" ht="35.1" customHeight="1" x14ac:dyDescent="0.25">
      <c r="A33" s="681">
        <v>25</v>
      </c>
      <c r="B33" s="1032">
        <v>2</v>
      </c>
      <c r="C33" s="683" t="s">
        <v>141</v>
      </c>
      <c r="D33" s="684"/>
      <c r="E33" s="684"/>
      <c r="F33" s="684"/>
      <c r="G33" s="684"/>
      <c r="H33" s="684"/>
      <c r="I33" s="685"/>
      <c r="J33" s="686"/>
      <c r="K33" s="702"/>
      <c r="L33" s="702"/>
      <c r="M33" s="702"/>
      <c r="N33" s="702"/>
      <c r="O33" s="702"/>
      <c r="P33" s="702"/>
      <c r="Q33" s="702"/>
      <c r="R33" s="1033" t="s">
        <v>139</v>
      </c>
      <c r="S33" s="689" t="s">
        <v>311</v>
      </c>
      <c r="T33" s="1034">
        <v>0</v>
      </c>
      <c r="U33" s="1067">
        <f>673388.23*1.0514</f>
        <v>708000.39</v>
      </c>
      <c r="V33" s="1034">
        <f t="shared" ref="V33:V43" si="13">T33+U33</f>
        <v>708000.39</v>
      </c>
      <c r="X33" s="119"/>
      <c r="Y33" s="179"/>
      <c r="Z33" s="179"/>
      <c r="AA33" s="406" t="s">
        <v>280</v>
      </c>
      <c r="AC33" s="36">
        <v>705505</v>
      </c>
      <c r="AD33" s="45">
        <f>U33-AC33</f>
        <v>2495.39</v>
      </c>
    </row>
    <row r="34" spans="1:36" ht="35.1" customHeight="1" x14ac:dyDescent="0.25">
      <c r="A34" s="1031">
        <v>26</v>
      </c>
      <c r="B34" s="1032">
        <v>3</v>
      </c>
      <c r="C34" s="683" t="s">
        <v>142</v>
      </c>
      <c r="D34" s="684"/>
      <c r="E34" s="684"/>
      <c r="F34" s="684"/>
      <c r="G34" s="684"/>
      <c r="H34" s="684"/>
      <c r="I34" s="685"/>
      <c r="J34" s="686"/>
      <c r="K34" s="702"/>
      <c r="L34" s="702"/>
      <c r="M34" s="702"/>
      <c r="N34" s="702"/>
      <c r="O34" s="702"/>
      <c r="P34" s="702"/>
      <c r="Q34" s="702"/>
      <c r="R34" s="1033" t="s">
        <v>139</v>
      </c>
      <c r="S34" s="689" t="str">
        <f>S21</f>
        <v>СОГЛАСОВАНО</v>
      </c>
      <c r="T34" s="1034">
        <v>0</v>
      </c>
      <c r="U34" s="1067">
        <f>81654*1.0514</f>
        <v>85851.02</v>
      </c>
      <c r="V34" s="1034">
        <f t="shared" si="13"/>
        <v>85851.02</v>
      </c>
      <c r="X34" s="119"/>
      <c r="Y34" s="180"/>
      <c r="Z34" s="180"/>
      <c r="AC34" s="36">
        <v>85851.36</v>
      </c>
      <c r="AD34" s="45">
        <f t="shared" ref="AD34:AD41" si="14">U34-AC34</f>
        <v>-0.34</v>
      </c>
    </row>
    <row r="35" spans="1:36" ht="35.1" customHeight="1" x14ac:dyDescent="0.25">
      <c r="A35" s="681">
        <v>27</v>
      </c>
      <c r="B35" s="1032">
        <v>4</v>
      </c>
      <c r="C35" s="683" t="s">
        <v>143</v>
      </c>
      <c r="D35" s="684"/>
      <c r="E35" s="684"/>
      <c r="F35" s="684"/>
      <c r="G35" s="684"/>
      <c r="H35" s="684"/>
      <c r="I35" s="685"/>
      <c r="J35" s="686"/>
      <c r="K35" s="702"/>
      <c r="L35" s="702"/>
      <c r="M35" s="702"/>
      <c r="N35" s="702"/>
      <c r="O35" s="702"/>
      <c r="P35" s="702"/>
      <c r="Q35" s="702"/>
      <c r="R35" s="1033" t="s">
        <v>139</v>
      </c>
      <c r="S35" s="689" t="str">
        <f>S34</f>
        <v>СОГЛАСОВАНО</v>
      </c>
      <c r="T35" s="1034">
        <v>0</v>
      </c>
      <c r="U35" s="1067">
        <f>26314.48*1.0514</f>
        <v>27667.040000000001</v>
      </c>
      <c r="V35" s="1034">
        <f t="shared" si="13"/>
        <v>27667.040000000001</v>
      </c>
      <c r="X35" s="119"/>
      <c r="Y35" s="180"/>
      <c r="Z35" s="180"/>
      <c r="AC35" s="36">
        <v>26314.48</v>
      </c>
      <c r="AD35" s="45">
        <f t="shared" si="14"/>
        <v>1352.56</v>
      </c>
    </row>
    <row r="36" spans="1:36" ht="35.1" customHeight="1" x14ac:dyDescent="0.25">
      <c r="A36" s="1031">
        <v>28</v>
      </c>
      <c r="B36" s="1032">
        <v>5</v>
      </c>
      <c r="C36" s="683" t="s">
        <v>146</v>
      </c>
      <c r="D36" s="684"/>
      <c r="E36" s="684"/>
      <c r="F36" s="684"/>
      <c r="G36" s="684"/>
      <c r="H36" s="684"/>
      <c r="I36" s="685"/>
      <c r="J36" s="686"/>
      <c r="K36" s="702"/>
      <c r="L36" s="702"/>
      <c r="M36" s="702"/>
      <c r="N36" s="702"/>
      <c r="O36" s="702"/>
      <c r="P36" s="702"/>
      <c r="Q36" s="702"/>
      <c r="R36" s="1033" t="s">
        <v>139</v>
      </c>
      <c r="S36" s="689" t="str">
        <f>S34</f>
        <v>СОГЛАСОВАНО</v>
      </c>
      <c r="T36" s="1034">
        <v>0</v>
      </c>
      <c r="U36" s="1067">
        <f>198699.44*1.0514</f>
        <v>208912.59</v>
      </c>
      <c r="V36" s="1034">
        <f t="shared" si="13"/>
        <v>208912.59</v>
      </c>
      <c r="X36" s="119"/>
      <c r="Y36" s="180"/>
      <c r="Z36" s="180"/>
      <c r="AC36" s="36">
        <v>208912.6</v>
      </c>
      <c r="AD36" s="45">
        <f t="shared" si="14"/>
        <v>-0.01</v>
      </c>
    </row>
    <row r="37" spans="1:36" ht="35.1" customHeight="1" x14ac:dyDescent="0.25">
      <c r="A37" s="681">
        <v>29</v>
      </c>
      <c r="B37" s="1032">
        <v>6</v>
      </c>
      <c r="C37" s="683" t="s">
        <v>140</v>
      </c>
      <c r="D37" s="684"/>
      <c r="E37" s="684"/>
      <c r="F37" s="684"/>
      <c r="G37" s="684"/>
      <c r="H37" s="684"/>
      <c r="I37" s="685"/>
      <c r="J37" s="686"/>
      <c r="K37" s="702"/>
      <c r="L37" s="702"/>
      <c r="M37" s="702"/>
      <c r="N37" s="702"/>
      <c r="O37" s="702"/>
      <c r="P37" s="702"/>
      <c r="Q37" s="702"/>
      <c r="R37" s="1041" t="s">
        <v>139</v>
      </c>
      <c r="S37" s="689" t="str">
        <f>S35</f>
        <v>СОГЛАСОВАНО</v>
      </c>
      <c r="T37" s="1063">
        <v>0</v>
      </c>
      <c r="U37" s="1068">
        <f>529403.22*1.0514</f>
        <v>556614.55000000005</v>
      </c>
      <c r="V37" s="1034">
        <f t="shared" si="13"/>
        <v>556614.55000000005</v>
      </c>
      <c r="X37" s="117"/>
      <c r="Y37" s="105"/>
      <c r="Z37" s="211"/>
      <c r="AC37" s="36">
        <v>570651.94999999995</v>
      </c>
      <c r="AD37" s="45">
        <f t="shared" si="14"/>
        <v>-14037.4</v>
      </c>
    </row>
    <row r="38" spans="1:36" ht="38.25" customHeight="1" x14ac:dyDescent="0.25">
      <c r="A38" s="681">
        <v>19</v>
      </c>
      <c r="B38" s="682">
        <v>7</v>
      </c>
      <c r="C38" s="683" t="s">
        <v>325</v>
      </c>
      <c r="D38" s="684">
        <v>5005903.75</v>
      </c>
      <c r="E38" s="684">
        <v>410484.11</v>
      </c>
      <c r="F38" s="684">
        <v>129993.31</v>
      </c>
      <c r="G38" s="684">
        <v>5546381.1699999999</v>
      </c>
      <c r="H38" s="684">
        <v>5831245.6399999997</v>
      </c>
      <c r="I38" s="685">
        <f>I13</f>
        <v>1.2</v>
      </c>
      <c r="J38" s="686"/>
      <c r="K38" s="687"/>
      <c r="L38" s="687">
        <v>2298854.48</v>
      </c>
      <c r="M38" s="687"/>
      <c r="N38" s="687"/>
      <c r="O38" s="687"/>
      <c r="P38" s="687"/>
      <c r="Q38" s="687"/>
      <c r="R38" s="688" t="s">
        <v>139</v>
      </c>
      <c r="S38" s="689" t="str">
        <f>S36</f>
        <v>СОГЛАСОВАНО</v>
      </c>
      <c r="T38" s="690">
        <f>P38</f>
        <v>0</v>
      </c>
      <c r="U38" s="1068">
        <f>1083901.64*1.0514</f>
        <v>1139614.18</v>
      </c>
      <c r="V38" s="690">
        <f>T38+U38</f>
        <v>1139614.18</v>
      </c>
      <c r="W38" s="1054"/>
      <c r="X38" s="1055"/>
      <c r="Y38" s="1056"/>
      <c r="Z38" s="1057"/>
      <c r="AA38" s="1058" t="s">
        <v>295</v>
      </c>
      <c r="AB38" s="1059"/>
      <c r="AC38" s="1059"/>
      <c r="AD38" s="1059"/>
      <c r="AE38" s="1062"/>
      <c r="AF38" s="1062"/>
      <c r="AG38" s="1062"/>
      <c r="AH38" s="1062"/>
      <c r="AI38" s="1062"/>
      <c r="AJ38" s="1062"/>
    </row>
    <row r="39" spans="1:36" ht="46.5" customHeight="1" x14ac:dyDescent="0.25">
      <c r="A39" s="681">
        <v>31</v>
      </c>
      <c r="B39" s="1032">
        <v>8</v>
      </c>
      <c r="C39" s="683" t="s">
        <v>327</v>
      </c>
      <c r="D39" s="684"/>
      <c r="E39" s="684"/>
      <c r="F39" s="684"/>
      <c r="G39" s="684"/>
      <c r="H39" s="684"/>
      <c r="I39" s="685"/>
      <c r="J39" s="686"/>
      <c r="K39" s="702"/>
      <c r="L39" s="702"/>
      <c r="M39" s="702"/>
      <c r="N39" s="702"/>
      <c r="O39" s="702"/>
      <c r="P39" s="702"/>
      <c r="Q39" s="702"/>
      <c r="R39" s="1033"/>
      <c r="S39" s="689" t="str">
        <f>S37</f>
        <v>СОГЛАСОВАНО</v>
      </c>
      <c r="T39" s="1034">
        <v>0</v>
      </c>
      <c r="U39" s="1067">
        <f>749546.64*1.0514</f>
        <v>788073.34</v>
      </c>
      <c r="V39" s="1034">
        <f>T39+U39</f>
        <v>788073.34</v>
      </c>
      <c r="W39" s="189"/>
      <c r="X39" s="1060"/>
      <c r="Y39" s="1045"/>
      <c r="Z39" s="1061"/>
    </row>
    <row r="40" spans="1:36" ht="54.75" customHeight="1" x14ac:dyDescent="0.25">
      <c r="A40" s="1031">
        <v>32</v>
      </c>
      <c r="B40" s="1035">
        <v>9</v>
      </c>
      <c r="C40" s="1036" t="s">
        <v>304</v>
      </c>
      <c r="D40" s="1037"/>
      <c r="E40" s="1037"/>
      <c r="F40" s="1037"/>
      <c r="G40" s="1037"/>
      <c r="H40" s="1037"/>
      <c r="I40" s="1038"/>
      <c r="J40" s="1039"/>
      <c r="K40" s="1040"/>
      <c r="L40" s="1040"/>
      <c r="M40" s="1040"/>
      <c r="N40" s="1040"/>
      <c r="O40" s="1040"/>
      <c r="P40" s="1040"/>
      <c r="Q40" s="1040"/>
      <c r="R40" s="1064" t="s">
        <v>139</v>
      </c>
      <c r="S40" s="1065" t="str">
        <f>S37</f>
        <v>СОГЛАСОВАНО</v>
      </c>
      <c r="T40" s="1066">
        <v>0</v>
      </c>
      <c r="U40" s="1069">
        <f>1940817.65*1.0514</f>
        <v>2040575.68</v>
      </c>
      <c r="V40" s="1066">
        <f t="shared" si="13"/>
        <v>2040575.68</v>
      </c>
      <c r="X40" s="119"/>
      <c r="Y40" s="180"/>
      <c r="Z40" s="180"/>
      <c r="AC40" s="36">
        <v>2065078.4</v>
      </c>
      <c r="AD40" s="45">
        <f t="shared" si="14"/>
        <v>-24502.720000000001</v>
      </c>
    </row>
    <row r="41" spans="1:36" ht="35.1" customHeight="1" x14ac:dyDescent="0.25">
      <c r="A41" s="681">
        <v>33</v>
      </c>
      <c r="B41" s="1032">
        <v>10</v>
      </c>
      <c r="C41" s="683" t="s">
        <v>303</v>
      </c>
      <c r="D41" s="684"/>
      <c r="E41" s="684"/>
      <c r="F41" s="684"/>
      <c r="G41" s="684"/>
      <c r="H41" s="684"/>
      <c r="I41" s="685"/>
      <c r="J41" s="686"/>
      <c r="K41" s="702"/>
      <c r="L41" s="702"/>
      <c r="M41" s="702"/>
      <c r="N41" s="702"/>
      <c r="O41" s="702"/>
      <c r="P41" s="702"/>
      <c r="Q41" s="702"/>
      <c r="R41" s="1033" t="s">
        <v>139</v>
      </c>
      <c r="S41" s="689" t="str">
        <f>S36</f>
        <v>СОГЛАСОВАНО</v>
      </c>
      <c r="T41" s="1034">
        <v>0</v>
      </c>
      <c r="U41" s="1067">
        <f>54913.66*1.0514</f>
        <v>57736.22</v>
      </c>
      <c r="V41" s="1034">
        <f>T41+U41</f>
        <v>57736.22</v>
      </c>
      <c r="X41" s="119"/>
      <c r="Y41" s="180"/>
      <c r="Z41" s="180"/>
      <c r="AC41" s="36">
        <v>78531</v>
      </c>
      <c r="AD41" s="45">
        <f t="shared" si="14"/>
        <v>-20794.78</v>
      </c>
    </row>
    <row r="42" spans="1:36" ht="46.5" customHeight="1" x14ac:dyDescent="0.25">
      <c r="A42" s="1031">
        <v>34</v>
      </c>
      <c r="B42" s="1032">
        <v>11</v>
      </c>
      <c r="C42" s="683" t="s">
        <v>144</v>
      </c>
      <c r="D42" s="684"/>
      <c r="E42" s="684"/>
      <c r="F42" s="684"/>
      <c r="G42" s="684"/>
      <c r="H42" s="684"/>
      <c r="I42" s="685"/>
      <c r="J42" s="686"/>
      <c r="K42" s="702"/>
      <c r="L42" s="702"/>
      <c r="M42" s="702"/>
      <c r="N42" s="702"/>
      <c r="O42" s="702"/>
      <c r="P42" s="702"/>
      <c r="Q42" s="702"/>
      <c r="R42" s="1033" t="s">
        <v>139</v>
      </c>
      <c r="S42" s="689" t="str">
        <f>S37</f>
        <v>СОГЛАСОВАНО</v>
      </c>
      <c r="T42" s="1034">
        <v>0</v>
      </c>
      <c r="U42" s="1067">
        <f>284883.31*1.0514</f>
        <v>299526.31</v>
      </c>
      <c r="V42" s="1034">
        <f t="shared" si="13"/>
        <v>299526.31</v>
      </c>
      <c r="W42" s="189"/>
      <c r="X42" s="182"/>
      <c r="Y42" s="183"/>
      <c r="Z42" s="212"/>
      <c r="AE42" s="36" t="s">
        <v>322</v>
      </c>
    </row>
    <row r="43" spans="1:36" ht="35.1" customHeight="1" thickBot="1" x14ac:dyDescent="0.3">
      <c r="A43" s="475">
        <v>36</v>
      </c>
      <c r="B43" s="410"/>
      <c r="C43" s="411" t="s">
        <v>149</v>
      </c>
      <c r="D43" s="412"/>
      <c r="E43" s="412"/>
      <c r="F43" s="412"/>
      <c r="G43" s="412"/>
      <c r="H43" s="412"/>
      <c r="I43" s="413"/>
      <c r="J43" s="414"/>
      <c r="K43" s="415"/>
      <c r="L43" s="415"/>
      <c r="M43" s="415"/>
      <c r="N43" s="415"/>
      <c r="O43" s="415"/>
      <c r="P43" s="415"/>
      <c r="Q43" s="415"/>
      <c r="R43" s="1048" t="s">
        <v>139</v>
      </c>
      <c r="S43" s="1048" t="s">
        <v>170</v>
      </c>
      <c r="T43" s="1046"/>
      <c r="U43" s="418">
        <v>4746000</v>
      </c>
      <c r="V43" s="1047">
        <f t="shared" si="13"/>
        <v>4746000</v>
      </c>
      <c r="X43" s="119"/>
      <c r="Y43" s="107"/>
      <c r="Z43" s="213"/>
      <c r="AE43" s="36" t="s">
        <v>323</v>
      </c>
    </row>
    <row r="44" spans="1:36" ht="35.1" customHeight="1" thickBot="1" x14ac:dyDescent="0.3">
      <c r="A44" s="1088"/>
      <c r="B44" s="1089"/>
      <c r="C44" s="1090"/>
      <c r="D44" s="1091"/>
      <c r="E44" s="1091"/>
      <c r="F44" s="1091"/>
      <c r="G44" s="1091"/>
      <c r="H44" s="1091"/>
      <c r="I44" s="1092"/>
      <c r="J44" s="1093"/>
      <c r="K44" s="1094"/>
      <c r="L44" s="1094"/>
      <c r="M44" s="1094"/>
      <c r="N44" s="1094"/>
      <c r="O44" s="1094"/>
      <c r="P44" s="1094"/>
      <c r="Q44" s="1094"/>
      <c r="R44" s="1095"/>
      <c r="S44" s="1096"/>
      <c r="T44" s="1097"/>
      <c r="U44" s="1098">
        <f>SUM(U33:U43)</f>
        <v>10658571.32</v>
      </c>
      <c r="V44" s="1098">
        <f>SUM(V33:V43)</f>
        <v>10658571.32</v>
      </c>
      <c r="X44" s="117"/>
      <c r="Y44" s="105"/>
      <c r="Z44" s="211"/>
    </row>
    <row r="45" spans="1:36" ht="31.5" customHeight="1" thickTop="1" thickBot="1" x14ac:dyDescent="0.3">
      <c r="A45" s="1081"/>
      <c r="B45" s="1082" t="s">
        <v>153</v>
      </c>
      <c r="C45" s="1083"/>
      <c r="D45" s="1084" t="e">
        <f>D31+#REF!</f>
        <v>#REF!</v>
      </c>
      <c r="E45" s="1083"/>
      <c r="F45" s="1085"/>
      <c r="G45" s="1084">
        <f>SUM(G21:G44)</f>
        <v>516438604.50999999</v>
      </c>
      <c r="H45" s="1084">
        <f>SUM(H21:H44)</f>
        <v>542963109.09000003</v>
      </c>
      <c r="I45" s="1084"/>
      <c r="J45" s="1084">
        <f>J31</f>
        <v>548004000</v>
      </c>
      <c r="K45" s="1084" t="e">
        <f>K31+#REF!</f>
        <v>#REF!</v>
      </c>
      <c r="L45" s="1084" t="e">
        <f>L31+#REF!</f>
        <v>#REF!</v>
      </c>
      <c r="M45" s="1084" t="e">
        <f>M31+#REF!</f>
        <v>#REF!</v>
      </c>
      <c r="N45" s="1084" t="e">
        <f>N31+#REF!</f>
        <v>#REF!</v>
      </c>
      <c r="O45" s="1084" t="e">
        <f>O31+#REF!</f>
        <v>#REF!</v>
      </c>
      <c r="P45" s="1084">
        <f>P31</f>
        <v>369502955.38999999</v>
      </c>
      <c r="Q45" s="1084">
        <f>Q31</f>
        <v>178501044.61000001</v>
      </c>
      <c r="R45" s="1084"/>
      <c r="S45" s="1086"/>
      <c r="T45" s="1087">
        <f>T31</f>
        <v>369502955.38</v>
      </c>
      <c r="U45" s="1087">
        <f>U31+U44</f>
        <v>190574757.62</v>
      </c>
      <c r="V45" s="1087">
        <f>V31+V44</f>
        <v>560077713</v>
      </c>
      <c r="W45" s="177"/>
      <c r="X45" s="71"/>
      <c r="Y45" s="73" t="e">
        <f>Y31+#REF!</f>
        <v>#REF!</v>
      </c>
      <c r="Z45" s="216" t="e">
        <f>Z31+#REF!</f>
        <v>#REF!</v>
      </c>
      <c r="AA45" s="406">
        <f>V45/1.0514</f>
        <v>532697082.93703598</v>
      </c>
      <c r="AC45" s="45">
        <f>'реестр под ФАКТ до соглас. '!V47</f>
        <v>536062673.99000001</v>
      </c>
      <c r="AD45" s="45">
        <f>V45-AC45</f>
        <v>24015039.010000002</v>
      </c>
      <c r="AE45" s="35">
        <f>J45-V45</f>
        <v>-12073713</v>
      </c>
    </row>
    <row r="46" spans="1:36" x14ac:dyDescent="0.25">
      <c r="AA46" s="557">
        <f>J45/AA45</f>
        <v>1.0286999999999999</v>
      </c>
    </row>
    <row r="47" spans="1:36" ht="45" customHeight="1" x14ac:dyDescent="0.25">
      <c r="A47" s="82">
        <v>35</v>
      </c>
      <c r="B47" s="41">
        <v>11</v>
      </c>
      <c r="C47" s="42" t="s">
        <v>277</v>
      </c>
      <c r="D47" s="43"/>
      <c r="E47" s="43"/>
      <c r="F47" s="43"/>
      <c r="G47" s="43"/>
      <c r="H47" s="43"/>
      <c r="I47" s="44"/>
      <c r="J47" s="55"/>
      <c r="K47" s="56"/>
      <c r="L47" s="56"/>
      <c r="M47" s="56"/>
      <c r="N47" s="56"/>
      <c r="O47" s="56"/>
      <c r="P47" s="53"/>
      <c r="Q47" s="53"/>
      <c r="R47" s="400" t="s">
        <v>139</v>
      </c>
      <c r="S47" s="190" t="s">
        <v>278</v>
      </c>
      <c r="T47" s="107">
        <v>0</v>
      </c>
      <c r="U47" s="107">
        <v>22184864.98</v>
      </c>
      <c r="V47" s="399">
        <f>T47+U47</f>
        <v>22184864.98</v>
      </c>
      <c r="X47" s="119"/>
      <c r="Y47" s="107"/>
      <c r="Z47" s="213"/>
      <c r="AE47" s="45"/>
    </row>
    <row r="48" spans="1:36" ht="16.5" thickBot="1" x14ac:dyDescent="0.3"/>
    <row r="49" spans="1:31" ht="31.5" customHeight="1" thickBot="1" x14ac:dyDescent="0.3">
      <c r="A49" s="104"/>
      <c r="B49" s="103" t="s">
        <v>153</v>
      </c>
      <c r="C49" s="70"/>
      <c r="D49" s="71">
        <f>D35+D48</f>
        <v>0</v>
      </c>
      <c r="E49" s="70"/>
      <c r="F49" s="72"/>
      <c r="G49" s="71">
        <f>SUM(G30:G48)</f>
        <v>956346019.61000001</v>
      </c>
      <c r="H49" s="71">
        <f>SUM(H30:H48)</f>
        <v>1005464354.74</v>
      </c>
      <c r="I49" s="71"/>
      <c r="J49" s="71">
        <f t="shared" ref="J49:Q49" si="15">J35+J48</f>
        <v>0</v>
      </c>
      <c r="K49" s="71">
        <f t="shared" si="15"/>
        <v>0</v>
      </c>
      <c r="L49" s="71">
        <f t="shared" si="15"/>
        <v>0</v>
      </c>
      <c r="M49" s="71">
        <f t="shared" si="15"/>
        <v>0</v>
      </c>
      <c r="N49" s="71">
        <f t="shared" si="15"/>
        <v>0</v>
      </c>
      <c r="O49" s="71">
        <f t="shared" si="15"/>
        <v>0</v>
      </c>
      <c r="P49" s="71">
        <f t="shared" si="15"/>
        <v>0</v>
      </c>
      <c r="Q49" s="71">
        <f t="shared" si="15"/>
        <v>0</v>
      </c>
      <c r="R49" s="71"/>
      <c r="S49" s="402"/>
      <c r="T49" s="73">
        <f>T35+T48</f>
        <v>0</v>
      </c>
      <c r="U49" s="73">
        <f>U45+U47</f>
        <v>212759622.59999999</v>
      </c>
      <c r="V49" s="73">
        <f>V45+V47</f>
        <v>582262577.98000002</v>
      </c>
      <c r="W49" s="177"/>
      <c r="X49" s="71"/>
      <c r="Y49" s="73">
        <f>Y35+Y48</f>
        <v>0</v>
      </c>
      <c r="Z49" s="216">
        <f>Z35+Z48</f>
        <v>0</v>
      </c>
    </row>
    <row r="51" spans="1:31" x14ac:dyDescent="0.25">
      <c r="V51" s="45"/>
    </row>
    <row r="52" spans="1:31" ht="20.25" x14ac:dyDescent="0.3">
      <c r="T52" s="1042" t="s">
        <v>319</v>
      </c>
      <c r="U52" s="1043"/>
      <c r="V52" s="1042">
        <f>U9+U10+U11+U12+U13+U14+U15+U16+U17+U18+U19+U20+U21+U22+U23+U33+U34+U35+U36+U37+U38+U39+U40+U41+U42+U24</f>
        <v>185828757.62</v>
      </c>
      <c r="AE52" s="36" t="s">
        <v>328</v>
      </c>
    </row>
    <row r="53" spans="1:31" hidden="1" x14ac:dyDescent="0.25">
      <c r="T53" s="45"/>
    </row>
    <row r="54" spans="1:31" ht="35.1" hidden="1" customHeight="1" thickBot="1" x14ac:dyDescent="0.3">
      <c r="A54" s="637">
        <v>31</v>
      </c>
      <c r="B54" s="544">
        <v>8</v>
      </c>
      <c r="C54" s="638" t="s">
        <v>250</v>
      </c>
      <c r="D54" s="639"/>
      <c r="E54" s="639"/>
      <c r="F54" s="639"/>
      <c r="G54" s="639"/>
      <c r="H54" s="639"/>
      <c r="I54" s="640"/>
      <c r="J54" s="641"/>
      <c r="K54" s="642"/>
      <c r="L54" s="642"/>
      <c r="M54" s="642"/>
      <c r="N54" s="642"/>
      <c r="O54" s="642"/>
      <c r="P54" s="643"/>
      <c r="Q54" s="643"/>
      <c r="R54" s="644" t="s">
        <v>139</v>
      </c>
      <c r="S54" s="600" t="s">
        <v>298</v>
      </c>
      <c r="T54" s="645">
        <v>0</v>
      </c>
      <c r="U54" s="645">
        <v>107940.55</v>
      </c>
      <c r="V54" s="646">
        <f>T54+U54</f>
        <v>107940.55</v>
      </c>
      <c r="X54" s="119"/>
      <c r="Y54" s="107"/>
      <c r="Z54" s="213"/>
      <c r="AA54" s="1202" t="s">
        <v>300</v>
      </c>
    </row>
    <row r="55" spans="1:31" ht="35.1" hidden="1" customHeight="1" thickTop="1" x14ac:dyDescent="0.25">
      <c r="A55" s="591">
        <v>28</v>
      </c>
      <c r="B55" s="542">
        <v>7</v>
      </c>
      <c r="C55" s="592" t="s">
        <v>148</v>
      </c>
      <c r="D55" s="593"/>
      <c r="E55" s="593"/>
      <c r="F55" s="593"/>
      <c r="G55" s="593"/>
      <c r="H55" s="593"/>
      <c r="I55" s="594"/>
      <c r="J55" s="595"/>
      <c r="K55" s="596"/>
      <c r="L55" s="596"/>
      <c r="M55" s="596"/>
      <c r="N55" s="596"/>
      <c r="O55" s="596"/>
      <c r="P55" s="596"/>
      <c r="Q55" s="596"/>
      <c r="R55" s="635" t="s">
        <v>139</v>
      </c>
      <c r="S55" s="600" t="str">
        <f>S33</f>
        <v>СОГЛАСОВАНО</v>
      </c>
      <c r="T55" s="636">
        <v>0</v>
      </c>
      <c r="U55" s="636">
        <v>231084.76</v>
      </c>
      <c r="V55" s="598">
        <f>T55+U55</f>
        <v>231084.76</v>
      </c>
      <c r="X55" s="119"/>
      <c r="Y55" s="107"/>
      <c r="Z55" s="213"/>
      <c r="AA55" s="1202"/>
    </row>
    <row r="56" spans="1:31" ht="52.5" hidden="1" customHeight="1" x14ac:dyDescent="0.25">
      <c r="A56" s="82">
        <v>36</v>
      </c>
      <c r="B56" s="321"/>
      <c r="C56" s="171" t="s">
        <v>151</v>
      </c>
      <c r="D56" s="322"/>
      <c r="E56" s="322"/>
      <c r="F56" s="322"/>
      <c r="G56" s="322"/>
      <c r="H56" s="322"/>
      <c r="I56" s="323"/>
      <c r="J56" s="172"/>
      <c r="K56" s="324"/>
      <c r="L56" s="324"/>
      <c r="M56" s="324"/>
      <c r="N56" s="324"/>
      <c r="O56" s="324"/>
      <c r="P56" s="173"/>
      <c r="Q56" s="173"/>
      <c r="R56" s="404" t="s">
        <v>243</v>
      </c>
      <c r="S56" s="325"/>
      <c r="T56" s="326"/>
      <c r="U56" s="326"/>
      <c r="V56" s="399">
        <f>T56+U56</f>
        <v>0</v>
      </c>
      <c r="X56" s="119"/>
      <c r="Y56" s="107"/>
      <c r="Z56" s="213"/>
      <c r="AA56" s="657" t="s">
        <v>301</v>
      </c>
    </row>
    <row r="57" spans="1:31" x14ac:dyDescent="0.25">
      <c r="T57" s="45"/>
    </row>
    <row r="58" spans="1:31" x14ac:dyDescent="0.25">
      <c r="V58" s="45"/>
    </row>
    <row r="68" spans="1:27" s="39" customFormat="1" ht="54.95" customHeight="1" x14ac:dyDescent="0.25">
      <c r="A68" s="46"/>
      <c r="B68" s="47"/>
      <c r="C68" s="46"/>
      <c r="D68" s="48"/>
      <c r="E68" s="46"/>
      <c r="F68" s="49"/>
      <c r="G68" s="48"/>
      <c r="H68" s="48"/>
      <c r="I68" s="48"/>
      <c r="J68" s="48"/>
      <c r="K68" s="50"/>
      <c r="M68" s="35"/>
      <c r="O68" s="35"/>
      <c r="P68" s="36"/>
      <c r="Q68" s="36"/>
      <c r="R68" s="36"/>
      <c r="S68" s="36"/>
      <c r="T68" s="36"/>
      <c r="U68" s="36"/>
      <c r="V68" s="36"/>
      <c r="W68" s="176"/>
      <c r="X68" s="36"/>
      <c r="Y68" s="36"/>
      <c r="Z68" s="36"/>
      <c r="AA68" s="407"/>
    </row>
    <row r="69" spans="1:27" s="39" customFormat="1" x14ac:dyDescent="0.25">
      <c r="A69" s="36"/>
      <c r="B69" s="36"/>
      <c r="C69" s="36"/>
      <c r="D69" s="45">
        <f>ССР!H58</f>
        <v>392033.92</v>
      </c>
      <c r="E69" s="36"/>
      <c r="F69" s="45"/>
      <c r="G69" s="45">
        <f>ССР!H76</f>
        <v>434361.04</v>
      </c>
      <c r="H69" s="45">
        <f>ССР!H78</f>
        <v>456670</v>
      </c>
      <c r="I69" s="36"/>
      <c r="J69" s="45"/>
      <c r="K69" s="35"/>
      <c r="M69" s="35"/>
      <c r="O69" s="35"/>
      <c r="P69" s="36"/>
      <c r="Q69" s="36"/>
      <c r="R69" s="36"/>
      <c r="S69" s="36"/>
      <c r="T69" s="36"/>
      <c r="U69" s="36"/>
      <c r="V69" s="36"/>
      <c r="W69" s="176"/>
      <c r="X69" s="36"/>
      <c r="Y69" s="36"/>
      <c r="Z69" s="36"/>
      <c r="AA69" s="407"/>
    </row>
    <row r="70" spans="1:27" s="39" customFormat="1" x14ac:dyDescent="0.25">
      <c r="A70" s="36"/>
      <c r="B70" s="36"/>
      <c r="C70" s="36"/>
      <c r="D70" s="45">
        <f>D31/1000</f>
        <v>392033.92</v>
      </c>
      <c r="E70" s="36"/>
      <c r="F70" s="51"/>
      <c r="G70" s="52">
        <f>G31/1000</f>
        <v>434361.03</v>
      </c>
      <c r="H70" s="52">
        <f>H31/1000</f>
        <v>456670</v>
      </c>
      <c r="I70" s="36"/>
      <c r="J70" s="45"/>
      <c r="K70" s="50"/>
      <c r="M70" s="35"/>
      <c r="O70" s="35"/>
      <c r="P70" s="36"/>
      <c r="Q70" s="36"/>
      <c r="R70" s="36"/>
      <c r="S70" s="36"/>
      <c r="T70" s="36"/>
      <c r="U70" s="36"/>
      <c r="V70" s="36"/>
      <c r="W70" s="176"/>
      <c r="X70" s="36"/>
      <c r="Y70" s="36"/>
      <c r="Z70" s="36"/>
      <c r="AA70" s="407"/>
    </row>
    <row r="71" spans="1:27" s="39" customFormat="1" x14ac:dyDescent="0.25">
      <c r="A71" s="36"/>
      <c r="B71" s="36"/>
      <c r="C71" s="36"/>
      <c r="D71" s="45"/>
      <c r="E71" s="45"/>
      <c r="F71" s="51"/>
      <c r="G71" s="36"/>
      <c r="H71" s="36"/>
      <c r="I71" s="36"/>
      <c r="J71" s="36"/>
      <c r="M71" s="35"/>
      <c r="O71" s="35"/>
      <c r="P71" s="36"/>
      <c r="Q71" s="36"/>
      <c r="R71" s="36"/>
      <c r="S71" s="36"/>
      <c r="T71" s="36"/>
      <c r="U71" s="36"/>
      <c r="V71" s="36"/>
      <c r="W71" s="176"/>
      <c r="X71" s="36"/>
      <c r="Y71" s="36"/>
      <c r="Z71" s="36"/>
      <c r="AA71" s="407"/>
    </row>
    <row r="91" spans="1:1" x14ac:dyDescent="0.25">
      <c r="A91" s="36">
        <v>7</v>
      </c>
    </row>
  </sheetData>
  <autoFilter ref="A3:W45" xr:uid="{00000000-0001-0000-0100-000000000000}"/>
  <mergeCells count="13">
    <mergeCell ref="A1:J1"/>
    <mergeCell ref="A3:A4"/>
    <mergeCell ref="B3:B4"/>
    <mergeCell ref="C3:C4"/>
    <mergeCell ref="G3:G4"/>
    <mergeCell ref="H3:H4"/>
    <mergeCell ref="I3:I4"/>
    <mergeCell ref="J3:J4"/>
    <mergeCell ref="T5:U5"/>
    <mergeCell ref="T26:U26"/>
    <mergeCell ref="T32:U32"/>
    <mergeCell ref="AA54:AA55"/>
    <mergeCell ref="AA27:AA28"/>
  </mergeCells>
  <phoneticPr fontId="82" type="noConversion"/>
  <pageMargins left="0.23622047244094491" right="0.23622047244094491" top="0.74803149606299213" bottom="0.74803149606299213" header="0.31496062992125984" footer="0.31496062992125984"/>
  <pageSetup paperSize="9" scale="58" fitToHeight="100" orientation="landscape" r:id="rId1"/>
  <rowBreaks count="2" manualBreakCount="2">
    <brk id="47" max="17" man="1"/>
    <brk id="57" max="9" man="1"/>
  </rowBreaks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6F229D-F7DF-4CA5-B117-A461BC101E9C}">
  <sheetPr>
    <tabColor rgb="FFFF0000"/>
    <pageSetUpPr fitToPage="1"/>
  </sheetPr>
  <dimension ref="A1:AC90"/>
  <sheetViews>
    <sheetView zoomScale="80" zoomScaleNormal="80" zoomScaleSheetLayoutView="80" workbookViewId="0">
      <pane ySplit="3" topLeftCell="A38" activePane="bottomLeft" state="frozen"/>
      <selection pane="bottomLeft" activeCell="J37" sqref="J37"/>
    </sheetView>
  </sheetViews>
  <sheetFormatPr defaultColWidth="9.140625" defaultRowHeight="15.75" outlineLevelCol="1" x14ac:dyDescent="0.25"/>
  <cols>
    <col min="1" max="1" width="6.28515625" style="705" customWidth="1"/>
    <col min="2" max="2" width="16.140625" style="705" customWidth="1"/>
    <col min="3" max="3" width="38.85546875" style="705" customWidth="1"/>
    <col min="4" max="4" width="20.5703125" style="705" hidden="1" customWidth="1" outlineLevel="1"/>
    <col min="5" max="5" width="18.85546875" style="705" hidden="1" customWidth="1" outlineLevel="1"/>
    <col min="6" max="6" width="17.5703125" style="705" hidden="1" customWidth="1" outlineLevel="1"/>
    <col min="7" max="7" width="20.7109375" style="705" hidden="1" customWidth="1" outlineLevel="1"/>
    <col min="8" max="8" width="19.5703125" style="705" hidden="1" customWidth="1" outlineLevel="1"/>
    <col min="9" max="9" width="8.5703125" style="705" hidden="1" customWidth="1" outlineLevel="1"/>
    <col min="10" max="10" width="22.28515625" style="705" customWidth="1" collapsed="1"/>
    <col min="11" max="11" width="20.42578125" style="708" hidden="1" customWidth="1" outlineLevel="1"/>
    <col min="12" max="12" width="16.85546875" style="708" hidden="1" customWidth="1" outlineLevel="1"/>
    <col min="13" max="13" width="18.140625" style="704" hidden="1" customWidth="1" outlineLevel="1"/>
    <col min="14" max="14" width="16.85546875" style="708" hidden="1" customWidth="1" outlineLevel="1"/>
    <col min="15" max="15" width="18.140625" style="704" hidden="1" customWidth="1" outlineLevel="1"/>
    <col min="16" max="16" width="18.42578125" style="705" customWidth="1" collapsed="1"/>
    <col min="17" max="17" width="16.7109375" style="705" customWidth="1"/>
    <col min="18" max="18" width="16.85546875" style="705" customWidth="1"/>
    <col min="19" max="19" width="40.85546875" style="705" customWidth="1"/>
    <col min="20" max="20" width="26.140625" style="705" customWidth="1"/>
    <col min="21" max="21" width="26.7109375" style="705" customWidth="1"/>
    <col min="22" max="22" width="31.42578125" style="705" customWidth="1"/>
    <col min="23" max="23" width="3.28515625" style="706" hidden="1" customWidth="1"/>
    <col min="24" max="24" width="27.5703125" style="705" hidden="1" customWidth="1"/>
    <col min="25" max="26" width="19" style="705" hidden="1" customWidth="1"/>
    <col min="27" max="27" width="29.28515625" style="707" hidden="1" customWidth="1"/>
    <col min="28" max="28" width="15" style="705" hidden="1" customWidth="1"/>
    <col min="29" max="29" width="19.28515625" style="705" customWidth="1"/>
    <col min="30" max="16384" width="9.140625" style="705"/>
  </cols>
  <sheetData>
    <row r="1" spans="1:28" ht="8.25" customHeight="1" x14ac:dyDescent="0.25">
      <c r="A1" s="1189"/>
      <c r="B1" s="1189"/>
      <c r="C1" s="1189"/>
      <c r="D1" s="1189"/>
      <c r="E1" s="1189"/>
      <c r="F1" s="1189"/>
      <c r="G1" s="1189"/>
      <c r="H1" s="1189"/>
      <c r="I1" s="1189"/>
      <c r="J1" s="1189"/>
      <c r="K1" s="700"/>
      <c r="L1" s="700"/>
      <c r="N1" s="700"/>
    </row>
    <row r="2" spans="1:28" ht="5.25" customHeight="1" thickBot="1" x14ac:dyDescent="0.3">
      <c r="A2" s="37"/>
      <c r="B2" s="37"/>
      <c r="C2" s="37"/>
      <c r="D2" s="37"/>
      <c r="E2" s="37"/>
      <c r="F2" s="37"/>
      <c r="G2" s="37"/>
      <c r="H2" s="37"/>
      <c r="I2" s="38"/>
      <c r="J2" s="37"/>
    </row>
    <row r="3" spans="1:28" ht="47.25" customHeight="1" x14ac:dyDescent="0.25">
      <c r="A3" s="1204" t="s">
        <v>111</v>
      </c>
      <c r="B3" s="1206" t="s">
        <v>112</v>
      </c>
      <c r="C3" s="1206" t="s">
        <v>113</v>
      </c>
      <c r="D3" s="709" t="s">
        <v>114</v>
      </c>
      <c r="E3" s="709" t="s">
        <v>115</v>
      </c>
      <c r="F3" s="709" t="s">
        <v>116</v>
      </c>
      <c r="G3" s="1206" t="s">
        <v>117</v>
      </c>
      <c r="H3" s="1208" t="s">
        <v>125</v>
      </c>
      <c r="I3" s="1206" t="s">
        <v>118</v>
      </c>
      <c r="J3" s="1208" t="s">
        <v>244</v>
      </c>
      <c r="K3" s="710" t="s">
        <v>126</v>
      </c>
      <c r="L3" s="710" t="s">
        <v>127</v>
      </c>
      <c r="M3" s="711" t="s">
        <v>128</v>
      </c>
      <c r="N3" s="712" t="s">
        <v>134</v>
      </c>
      <c r="O3" s="713" t="s">
        <v>135</v>
      </c>
      <c r="P3" s="714" t="s">
        <v>136</v>
      </c>
      <c r="Q3" s="714" t="s">
        <v>121</v>
      </c>
      <c r="R3" s="715" t="s">
        <v>137</v>
      </c>
      <c r="S3" s="715" t="s">
        <v>138</v>
      </c>
      <c r="T3" s="716" t="s">
        <v>249</v>
      </c>
      <c r="U3" s="716" t="s">
        <v>276</v>
      </c>
      <c r="V3" s="716" t="s">
        <v>242</v>
      </c>
      <c r="X3" s="715" t="s">
        <v>193</v>
      </c>
      <c r="Y3" s="716" t="s">
        <v>157</v>
      </c>
      <c r="Z3" s="716" t="s">
        <v>137</v>
      </c>
      <c r="AA3" s="716" t="s">
        <v>293</v>
      </c>
    </row>
    <row r="4" spans="1:28" ht="14.25" customHeight="1" x14ac:dyDescent="0.25">
      <c r="A4" s="1205"/>
      <c r="B4" s="1207"/>
      <c r="C4" s="1207"/>
      <c r="D4" s="717"/>
      <c r="E4" s="717"/>
      <c r="F4" s="717"/>
      <c r="G4" s="1207"/>
      <c r="H4" s="1209"/>
      <c r="I4" s="1207"/>
      <c r="J4" s="1209"/>
      <c r="K4" s="718" t="s">
        <v>122</v>
      </c>
      <c r="L4" s="718" t="s">
        <v>123</v>
      </c>
      <c r="M4" s="718" t="s">
        <v>124</v>
      </c>
      <c r="N4" s="718" t="s">
        <v>132</v>
      </c>
      <c r="O4" s="718" t="s">
        <v>133</v>
      </c>
      <c r="P4" s="719"/>
      <c r="Q4" s="719"/>
      <c r="R4" s="720"/>
      <c r="S4" s="720"/>
      <c r="T4" s="721"/>
      <c r="U4" s="721"/>
      <c r="V4" s="721"/>
      <c r="X4" s="720"/>
      <c r="Y4" s="721"/>
      <c r="Z4" s="721"/>
    </row>
    <row r="5" spans="1:28" x14ac:dyDescent="0.25">
      <c r="A5" s="722"/>
      <c r="B5" s="723"/>
      <c r="C5" s="723"/>
      <c r="D5" s="723"/>
      <c r="E5" s="723"/>
      <c r="F5" s="723"/>
      <c r="G5" s="723"/>
      <c r="H5" s="724"/>
      <c r="I5" s="723"/>
      <c r="J5" s="724"/>
      <c r="K5" s="725"/>
      <c r="L5" s="725"/>
      <c r="M5" s="725"/>
      <c r="N5" s="725"/>
      <c r="O5" s="725"/>
      <c r="P5" s="725"/>
      <c r="Q5" s="725"/>
      <c r="R5" s="725"/>
      <c r="S5" s="725"/>
      <c r="T5" s="1210" t="s">
        <v>283</v>
      </c>
      <c r="U5" s="1211"/>
      <c r="V5" s="726"/>
      <c r="X5" s="720"/>
      <c r="Y5" s="721"/>
      <c r="Z5" s="721"/>
    </row>
    <row r="6" spans="1:28" ht="54" customHeight="1" x14ac:dyDescent="0.25">
      <c r="A6" s="727">
        <v>1</v>
      </c>
      <c r="B6" s="728" t="s">
        <v>159</v>
      </c>
      <c r="C6" s="729" t="str">
        <f>ССР!C24</f>
        <v>Выполнение работ по ликвидации объектов по трассе ж.д. путей, подготовке трассы ж.д. путей.</v>
      </c>
      <c r="D6" s="730">
        <v>48841208.740000002</v>
      </c>
      <c r="E6" s="730">
        <v>4004979.12</v>
      </c>
      <c r="F6" s="730">
        <v>1268308.51</v>
      </c>
      <c r="G6" s="730">
        <v>54114496.369999997</v>
      </c>
      <c r="H6" s="730">
        <v>56893839.630000003</v>
      </c>
      <c r="I6" s="731">
        <v>1.2</v>
      </c>
      <c r="J6" s="732">
        <f>ROUND(H6*I6,2)</f>
        <v>68272607.560000002</v>
      </c>
      <c r="K6" s="733">
        <v>65507253.219999999</v>
      </c>
      <c r="L6" s="733">
        <v>360012.73</v>
      </c>
      <c r="M6" s="733"/>
      <c r="N6" s="733"/>
      <c r="O6" s="733"/>
      <c r="P6" s="733">
        <f>K6+L6+M6+N6+O6</f>
        <v>65867265.950000003</v>
      </c>
      <c r="Q6" s="733">
        <f>J6-K6-L6-M6-N6-O6</f>
        <v>2405341.61</v>
      </c>
      <c r="R6" s="733" t="s">
        <v>139</v>
      </c>
      <c r="S6" s="734" t="s">
        <v>158</v>
      </c>
      <c r="T6" s="735">
        <f>P6</f>
        <v>65867265.950000003</v>
      </c>
      <c r="U6" s="735">
        <v>0</v>
      </c>
      <c r="V6" s="736">
        <f t="shared" ref="V6:V18" si="0">T6+U6</f>
        <v>65867265.950000003</v>
      </c>
      <c r="W6" s="737"/>
      <c r="X6" s="738"/>
      <c r="Y6" s="739"/>
      <c r="Z6" s="740"/>
      <c r="AA6" s="741"/>
    </row>
    <row r="7" spans="1:28" ht="49.5" customHeight="1" x14ac:dyDescent="0.25">
      <c r="A7" s="727">
        <v>2</v>
      </c>
      <c r="B7" s="728" t="s">
        <v>160</v>
      </c>
      <c r="C7" s="729" t="str">
        <f>ССР!C25</f>
        <v>Выполнение работ по ликвидации объекта капитального строительства</v>
      </c>
      <c r="D7" s="730">
        <v>40054718.460000001</v>
      </c>
      <c r="E7" s="730">
        <v>3284486.91</v>
      </c>
      <c r="F7" s="730">
        <v>1040140.93</v>
      </c>
      <c r="G7" s="730">
        <v>44379346.299999997</v>
      </c>
      <c r="H7" s="730">
        <v>46658688.170000002</v>
      </c>
      <c r="I7" s="731">
        <v>1.2</v>
      </c>
      <c r="J7" s="732">
        <f t="shared" ref="J7:J24" si="1">ROUND(H7*I7,2)</f>
        <v>55990425.799999997</v>
      </c>
      <c r="K7" s="733">
        <v>54911594.170000002</v>
      </c>
      <c r="L7" s="733"/>
      <c r="M7" s="733"/>
      <c r="N7" s="733"/>
      <c r="O7" s="733"/>
      <c r="P7" s="733">
        <f t="shared" ref="P7:P24" si="2">K7+L7+M7+N7+O7</f>
        <v>54911594.170000002</v>
      </c>
      <c r="Q7" s="733">
        <f t="shared" ref="Q7:Q24" si="3">J7-K7-L7-M7-N7-O7</f>
        <v>1078831.6299999999</v>
      </c>
      <c r="R7" s="733" t="s">
        <v>139</v>
      </c>
      <c r="S7" s="734" t="s">
        <v>158</v>
      </c>
      <c r="T7" s="735">
        <f t="shared" ref="T7:T24" si="4">P7</f>
        <v>54911594.170000002</v>
      </c>
      <c r="U7" s="735">
        <v>0</v>
      </c>
      <c r="V7" s="736">
        <f t="shared" si="0"/>
        <v>54911594.170000002</v>
      </c>
      <c r="X7" s="738"/>
      <c r="Y7" s="739"/>
      <c r="Z7" s="740"/>
      <c r="AA7" s="741"/>
    </row>
    <row r="8" spans="1:28" ht="35.1" customHeight="1" x14ac:dyDescent="0.25">
      <c r="A8" s="727">
        <v>3</v>
      </c>
      <c r="B8" s="728" t="s">
        <v>176</v>
      </c>
      <c r="C8" s="729" t="str">
        <f>ССР!C26</f>
        <v>Демонтаж сетей и систем  инженерного обоспечения.</v>
      </c>
      <c r="D8" s="730">
        <v>1177977.71</v>
      </c>
      <c r="E8" s="730">
        <v>96594.17</v>
      </c>
      <c r="F8" s="730">
        <v>30589.73</v>
      </c>
      <c r="G8" s="730">
        <v>1305161.6100000001</v>
      </c>
      <c r="H8" s="730">
        <v>1372195.26</v>
      </c>
      <c r="I8" s="731">
        <f>I6</f>
        <v>1.2</v>
      </c>
      <c r="J8" s="732">
        <f>ROUND(H8*I8,2)</f>
        <v>1646634.31</v>
      </c>
      <c r="K8" s="733"/>
      <c r="L8" s="733"/>
      <c r="M8" s="733">
        <v>1646696.3</v>
      </c>
      <c r="N8" s="733"/>
      <c r="O8" s="733"/>
      <c r="P8" s="733">
        <f t="shared" si="2"/>
        <v>1646696.3</v>
      </c>
      <c r="Q8" s="733">
        <v>0</v>
      </c>
      <c r="R8" s="733" t="s">
        <v>139</v>
      </c>
      <c r="S8" s="734" t="s">
        <v>158</v>
      </c>
      <c r="T8" s="735">
        <f t="shared" si="4"/>
        <v>1646696.3</v>
      </c>
      <c r="U8" s="735">
        <v>0</v>
      </c>
      <c r="V8" s="736">
        <f t="shared" si="0"/>
        <v>1646696.3</v>
      </c>
      <c r="X8" s="738"/>
      <c r="Y8" s="739"/>
      <c r="Z8" s="740"/>
      <c r="AA8" s="741"/>
    </row>
    <row r="9" spans="1:28" s="759" customFormat="1" ht="47.25" x14ac:dyDescent="0.25">
      <c r="A9" s="742">
        <v>4</v>
      </c>
      <c r="B9" s="743" t="s">
        <v>177</v>
      </c>
      <c r="C9" s="744" t="str">
        <f>ССР!C32</f>
        <v>Трансбордер. Архитектурно-строительные решения. Часть 2. АС2 .</v>
      </c>
      <c r="D9" s="745">
        <v>1615223.87</v>
      </c>
      <c r="E9" s="745">
        <v>132448.35999999999</v>
      </c>
      <c r="F9" s="745">
        <v>41944.13</v>
      </c>
      <c r="G9" s="745">
        <v>1789616.36</v>
      </c>
      <c r="H9" s="745">
        <v>1881531.81</v>
      </c>
      <c r="I9" s="746">
        <f>I19</f>
        <v>1.2</v>
      </c>
      <c r="J9" s="747">
        <f t="shared" si="1"/>
        <v>2257838.17</v>
      </c>
      <c r="K9" s="748"/>
      <c r="L9" s="748"/>
      <c r="M9" s="748">
        <v>1627347.05</v>
      </c>
      <c r="N9" s="748"/>
      <c r="O9" s="748"/>
      <c r="P9" s="748">
        <f>K9+L9+M9+N9+O9</f>
        <v>1627347.05</v>
      </c>
      <c r="Q9" s="748">
        <f t="shared" si="3"/>
        <v>630491.12</v>
      </c>
      <c r="R9" s="749" t="s">
        <v>139</v>
      </c>
      <c r="S9" s="750" t="str">
        <f>S10</f>
        <v>ВОР подписан, смета отправлена на проверку 21.06</v>
      </c>
      <c r="T9" s="751">
        <f t="shared" si="4"/>
        <v>1627347.05</v>
      </c>
      <c r="U9" s="752">
        <v>400933.67</v>
      </c>
      <c r="V9" s="753">
        <f t="shared" si="0"/>
        <v>2028280.72</v>
      </c>
      <c r="W9" s="754"/>
      <c r="X9" s="755" t="s">
        <v>139</v>
      </c>
      <c r="Y9" s="756">
        <f>1447989.61*1.082*1.024*1.0514*1.2</f>
        <v>2024146.22</v>
      </c>
      <c r="Z9" s="757" t="s">
        <v>186</v>
      </c>
      <c r="AA9" s="741">
        <v>2023649.39</v>
      </c>
      <c r="AB9" s="758">
        <f>AA9-V9</f>
        <v>-4631.33</v>
      </c>
    </row>
    <row r="10" spans="1:28" ht="31.5" x14ac:dyDescent="0.25">
      <c r="A10" s="742">
        <v>5</v>
      </c>
      <c r="B10" s="743" t="s">
        <v>195</v>
      </c>
      <c r="C10" s="744" t="str">
        <f>ССР!C35</f>
        <v>Электроснабжение. ЭС 1.</v>
      </c>
      <c r="D10" s="745">
        <v>475031.03999999998</v>
      </c>
      <c r="E10" s="745">
        <v>38952.550000000003</v>
      </c>
      <c r="F10" s="745">
        <v>12335.61</v>
      </c>
      <c r="G10" s="745">
        <v>526319.19999999995</v>
      </c>
      <c r="H10" s="745">
        <v>553351.18000000005</v>
      </c>
      <c r="I10" s="746">
        <f>I27</f>
        <v>1.2</v>
      </c>
      <c r="J10" s="747">
        <f t="shared" si="1"/>
        <v>664021.42000000004</v>
      </c>
      <c r="K10" s="748"/>
      <c r="L10" s="748"/>
      <c r="M10" s="748"/>
      <c r="N10" s="748"/>
      <c r="O10" s="748"/>
      <c r="P10" s="748">
        <f t="shared" si="2"/>
        <v>0</v>
      </c>
      <c r="Q10" s="748">
        <f t="shared" si="3"/>
        <v>664021.42000000004</v>
      </c>
      <c r="R10" s="749" t="s">
        <v>139</v>
      </c>
      <c r="S10" s="750" t="s">
        <v>299</v>
      </c>
      <c r="T10" s="751">
        <f t="shared" si="4"/>
        <v>0</v>
      </c>
      <c r="U10" s="752">
        <v>370254</v>
      </c>
      <c r="V10" s="753">
        <f t="shared" si="0"/>
        <v>370254</v>
      </c>
      <c r="W10" s="760"/>
      <c r="X10" s="761" t="s">
        <v>139</v>
      </c>
      <c r="Y10" s="762">
        <f>(235378.05+47139.18)*1.082*1.024*1.0514*1.2</f>
        <v>394931.14</v>
      </c>
      <c r="Z10" s="763" t="s">
        <v>186</v>
      </c>
      <c r="AA10" s="741">
        <v>388509.33</v>
      </c>
      <c r="AB10" s="758">
        <f t="shared" ref="AB10:AB17" si="5">AA10-V10</f>
        <v>18255.330000000002</v>
      </c>
    </row>
    <row r="11" spans="1:28" ht="31.5" x14ac:dyDescent="0.25">
      <c r="A11" s="742">
        <v>6</v>
      </c>
      <c r="B11" s="743" t="s">
        <v>178</v>
      </c>
      <c r="C11" s="744" t="str">
        <f>ССР!C36</f>
        <v>Переустройство кабельных линий.ЭС2</v>
      </c>
      <c r="D11" s="745">
        <v>2276671.21</v>
      </c>
      <c r="E11" s="745">
        <v>186687.04</v>
      </c>
      <c r="F11" s="745">
        <v>59120.6</v>
      </c>
      <c r="G11" s="745">
        <v>2522478.85</v>
      </c>
      <c r="H11" s="745">
        <v>2652034.42</v>
      </c>
      <c r="I11" s="746">
        <f>I27</f>
        <v>1.2</v>
      </c>
      <c r="J11" s="747">
        <f t="shared" si="1"/>
        <v>3182441.3</v>
      </c>
      <c r="K11" s="748"/>
      <c r="L11" s="748"/>
      <c r="M11" s="748"/>
      <c r="N11" s="748"/>
      <c r="O11" s="748"/>
      <c r="P11" s="748">
        <f t="shared" si="2"/>
        <v>0</v>
      </c>
      <c r="Q11" s="748">
        <f t="shared" si="3"/>
        <v>3182441.3</v>
      </c>
      <c r="R11" s="749" t="s">
        <v>139</v>
      </c>
      <c r="S11" s="750" t="str">
        <f>S10</f>
        <v>ВОР подписан, смета отправлена на проверку 21.06</v>
      </c>
      <c r="T11" s="751">
        <f t="shared" si="4"/>
        <v>0</v>
      </c>
      <c r="U11" s="752">
        <v>4582694</v>
      </c>
      <c r="V11" s="753">
        <f t="shared" si="0"/>
        <v>4582694</v>
      </c>
      <c r="W11" s="764"/>
      <c r="X11" s="738" t="s">
        <v>139</v>
      </c>
      <c r="Y11" s="739">
        <f>(3206824.35+130942.19)*1.082*1.024*1.0514*1.2</f>
        <v>4665867.41</v>
      </c>
      <c r="Z11" s="763" t="s">
        <v>186</v>
      </c>
      <c r="AA11" s="741">
        <f>'вар НВ (с 0,65 и без упл)'!U11</f>
        <v>4814643</v>
      </c>
      <c r="AB11" s="758">
        <f t="shared" si="5"/>
        <v>231949</v>
      </c>
    </row>
    <row r="12" spans="1:28" ht="31.5" x14ac:dyDescent="0.25">
      <c r="A12" s="742">
        <v>7</v>
      </c>
      <c r="B12" s="743" t="s">
        <v>179</v>
      </c>
      <c r="C12" s="744" t="str">
        <f>ССР!C40</f>
        <v>Переустройство хозпитьевого водопровода.НВК2</v>
      </c>
      <c r="D12" s="745">
        <v>760016.55</v>
      </c>
      <c r="E12" s="745">
        <v>62321.36</v>
      </c>
      <c r="F12" s="745">
        <v>19736.11</v>
      </c>
      <c r="G12" s="745">
        <v>842074.02</v>
      </c>
      <c r="H12" s="745">
        <v>885323.3</v>
      </c>
      <c r="I12" s="746">
        <f>I20</f>
        <v>1.2</v>
      </c>
      <c r="J12" s="747">
        <f t="shared" si="1"/>
        <v>1062387.96</v>
      </c>
      <c r="K12" s="748"/>
      <c r="L12" s="748"/>
      <c r="M12" s="748"/>
      <c r="N12" s="748"/>
      <c r="O12" s="748"/>
      <c r="P12" s="748">
        <f t="shared" si="2"/>
        <v>0</v>
      </c>
      <c r="Q12" s="748">
        <f t="shared" si="3"/>
        <v>1062387.96</v>
      </c>
      <c r="R12" s="748" t="s">
        <v>139</v>
      </c>
      <c r="S12" s="750" t="str">
        <f>S10</f>
        <v>ВОР подписан, смета отправлена на проверку 21.06</v>
      </c>
      <c r="T12" s="751">
        <f t="shared" si="4"/>
        <v>0</v>
      </c>
      <c r="U12" s="752">
        <v>1553260.73</v>
      </c>
      <c r="V12" s="753">
        <f t="shared" si="0"/>
        <v>1553260.73</v>
      </c>
      <c r="W12" s="754"/>
      <c r="X12" s="761" t="s">
        <v>139</v>
      </c>
      <c r="Y12" s="762">
        <f>1047143.73*1.082*1.024*1.0514*1.2</f>
        <v>1463803.34</v>
      </c>
      <c r="Z12" s="763" t="s">
        <v>186</v>
      </c>
      <c r="AA12" s="765">
        <v>1463803.34</v>
      </c>
      <c r="AB12" s="758">
        <f t="shared" si="5"/>
        <v>-89457.39</v>
      </c>
    </row>
    <row r="13" spans="1:28" ht="31.5" x14ac:dyDescent="0.25">
      <c r="A13" s="742">
        <v>8</v>
      </c>
      <c r="B13" s="743" t="s">
        <v>180</v>
      </c>
      <c r="C13" s="744" t="str">
        <f>ССР!C41</f>
        <v>Переустройство хозпитьевого водопровода.НВК3</v>
      </c>
      <c r="D13" s="745">
        <v>10454161.890000001</v>
      </c>
      <c r="E13" s="745">
        <v>857241.27</v>
      </c>
      <c r="F13" s="745">
        <v>271473.68</v>
      </c>
      <c r="G13" s="745">
        <v>11582876.84</v>
      </c>
      <c r="H13" s="745">
        <v>12177778.26</v>
      </c>
      <c r="I13" s="746">
        <f t="shared" ref="I13:I18" si="6">I6</f>
        <v>1.2</v>
      </c>
      <c r="J13" s="747">
        <f t="shared" si="1"/>
        <v>14613333.91</v>
      </c>
      <c r="K13" s="748"/>
      <c r="L13" s="748"/>
      <c r="M13" s="748"/>
      <c r="N13" s="748"/>
      <c r="O13" s="748"/>
      <c r="P13" s="748">
        <f t="shared" si="2"/>
        <v>0</v>
      </c>
      <c r="Q13" s="748">
        <f t="shared" si="3"/>
        <v>14613333.91</v>
      </c>
      <c r="R13" s="748" t="s">
        <v>139</v>
      </c>
      <c r="S13" s="750" t="str">
        <f>S10</f>
        <v>ВОР подписан, смета отправлена на проверку 21.06</v>
      </c>
      <c r="T13" s="751">
        <f t="shared" si="4"/>
        <v>0</v>
      </c>
      <c r="U13" s="752">
        <v>19970832</v>
      </c>
      <c r="V13" s="753">
        <f t="shared" si="0"/>
        <v>19970832</v>
      </c>
      <c r="W13" s="754"/>
      <c r="X13" s="761" t="s">
        <v>139</v>
      </c>
      <c r="Y13" s="762">
        <f>13422525.94*1.082*1.024*1.0514*1.2</f>
        <v>18763363.32</v>
      </c>
      <c r="Z13" s="763" t="s">
        <v>186</v>
      </c>
      <c r="AA13" s="765">
        <f>'вар НВ (с 0,65 и без упл)'!U13</f>
        <v>19308691</v>
      </c>
      <c r="AB13" s="758">
        <f t="shared" si="5"/>
        <v>-662141</v>
      </c>
    </row>
    <row r="14" spans="1:28" s="759" customFormat="1" ht="31.5" x14ac:dyDescent="0.25">
      <c r="A14" s="742">
        <v>9</v>
      </c>
      <c r="B14" s="743" t="s">
        <v>181</v>
      </c>
      <c r="C14" s="744" t="str">
        <f>ССР!C43</f>
        <v>Переустройство хозяйственно-бытовой канализации.НВК4</v>
      </c>
      <c r="D14" s="745">
        <v>9143309.8300000001</v>
      </c>
      <c r="E14" s="745">
        <v>749751.41</v>
      </c>
      <c r="F14" s="745">
        <v>237433.47</v>
      </c>
      <c r="G14" s="745">
        <v>10130494.710000001</v>
      </c>
      <c r="H14" s="745">
        <v>10650801.17</v>
      </c>
      <c r="I14" s="746">
        <f t="shared" si="6"/>
        <v>1.2</v>
      </c>
      <c r="J14" s="747">
        <f t="shared" si="1"/>
        <v>12780961.4</v>
      </c>
      <c r="K14" s="748"/>
      <c r="L14" s="748"/>
      <c r="M14" s="748"/>
      <c r="N14" s="748"/>
      <c r="O14" s="748">
        <v>337909.86</v>
      </c>
      <c r="P14" s="748">
        <f t="shared" si="2"/>
        <v>337909.86</v>
      </c>
      <c r="Q14" s="748">
        <f t="shared" si="3"/>
        <v>12443051.539999999</v>
      </c>
      <c r="R14" s="748" t="s">
        <v>139</v>
      </c>
      <c r="S14" s="750" t="str">
        <f>S10</f>
        <v>ВОР подписан, смета отправлена на проверку 21.06</v>
      </c>
      <c r="T14" s="751">
        <f t="shared" si="4"/>
        <v>337909.86</v>
      </c>
      <c r="U14" s="752">
        <v>2221220.66</v>
      </c>
      <c r="V14" s="753">
        <f t="shared" si="0"/>
        <v>2559130.52</v>
      </c>
      <c r="W14" s="764"/>
      <c r="X14" s="766" t="s">
        <v>139</v>
      </c>
      <c r="Y14" s="767">
        <f>1724717.19*1.082*1.024*1.0514*1.2</f>
        <v>2410984</v>
      </c>
      <c r="Z14" s="757" t="s">
        <v>186</v>
      </c>
      <c r="AA14" s="765">
        <f>'вар НВ (с 0,65 и без упл)'!U14</f>
        <v>2202170</v>
      </c>
      <c r="AB14" s="758">
        <f t="shared" si="5"/>
        <v>-356960.52</v>
      </c>
    </row>
    <row r="15" spans="1:28" s="759" customFormat="1" ht="31.5" x14ac:dyDescent="0.25">
      <c r="A15" s="742">
        <v>10</v>
      </c>
      <c r="B15" s="743" t="s">
        <v>182</v>
      </c>
      <c r="C15" s="744" t="str">
        <f>ССР!C44</f>
        <v>Переустройство ливневой канализации.НВК5.</v>
      </c>
      <c r="D15" s="745">
        <v>21996729.18</v>
      </c>
      <c r="E15" s="745">
        <v>1803731.79</v>
      </c>
      <c r="F15" s="745">
        <v>571211.06000000006</v>
      </c>
      <c r="G15" s="745">
        <v>24371672.030000001</v>
      </c>
      <c r="H15" s="745">
        <v>25623411.34</v>
      </c>
      <c r="I15" s="746">
        <f t="shared" si="6"/>
        <v>1.2</v>
      </c>
      <c r="J15" s="747">
        <f t="shared" si="1"/>
        <v>30748093.609999999</v>
      </c>
      <c r="K15" s="748"/>
      <c r="L15" s="748"/>
      <c r="M15" s="748">
        <v>1211400.79</v>
      </c>
      <c r="N15" s="748"/>
      <c r="O15" s="748"/>
      <c r="P15" s="748">
        <f t="shared" si="2"/>
        <v>1211400.79</v>
      </c>
      <c r="Q15" s="748">
        <f t="shared" si="3"/>
        <v>29536692.82</v>
      </c>
      <c r="R15" s="749" t="s">
        <v>139</v>
      </c>
      <c r="S15" s="750" t="str">
        <f>S10</f>
        <v>ВОР подписан, смета отправлена на проверку 21.06</v>
      </c>
      <c r="T15" s="751">
        <f t="shared" si="4"/>
        <v>1211400.79</v>
      </c>
      <c r="U15" s="752">
        <v>3314342.94</v>
      </c>
      <c r="V15" s="753">
        <f t="shared" si="0"/>
        <v>4525743.7300000004</v>
      </c>
      <c r="W15" s="764"/>
      <c r="X15" s="766" t="s">
        <v>139</v>
      </c>
      <c r="Y15" s="767">
        <f>2827828.36*1.082*1.024*1.0514*1.2</f>
        <v>3953024.28</v>
      </c>
      <c r="Z15" s="757" t="s">
        <v>186</v>
      </c>
      <c r="AA15" s="765">
        <f>'вар НВ (с 0,65 и без упл)'!V15</f>
        <v>4448059.79</v>
      </c>
      <c r="AB15" s="758">
        <f t="shared" si="5"/>
        <v>-77683.94</v>
      </c>
    </row>
    <row r="16" spans="1:28" ht="31.5" x14ac:dyDescent="0.25">
      <c r="A16" s="742">
        <v>11</v>
      </c>
      <c r="B16" s="743" t="s">
        <v>183</v>
      </c>
      <c r="C16" s="744" t="str">
        <f>ССР!C49</f>
        <v>Теплоснабжение. Переустройство трубопровода.ТС2</v>
      </c>
      <c r="D16" s="745">
        <v>1890203.39</v>
      </c>
      <c r="E16" s="745">
        <v>154996.68</v>
      </c>
      <c r="F16" s="745">
        <v>49084.800000000003</v>
      </c>
      <c r="G16" s="745">
        <v>2094284.87</v>
      </c>
      <c r="H16" s="745">
        <v>2201848.2200000002</v>
      </c>
      <c r="I16" s="746">
        <f t="shared" si="6"/>
        <v>1.2</v>
      </c>
      <c r="J16" s="747">
        <f t="shared" si="1"/>
        <v>2642217.86</v>
      </c>
      <c r="K16" s="748"/>
      <c r="L16" s="748"/>
      <c r="M16" s="748"/>
      <c r="N16" s="748"/>
      <c r="O16" s="748"/>
      <c r="P16" s="748">
        <f t="shared" si="2"/>
        <v>0</v>
      </c>
      <c r="Q16" s="748">
        <f t="shared" si="3"/>
        <v>2642217.86</v>
      </c>
      <c r="R16" s="748" t="s">
        <v>139</v>
      </c>
      <c r="S16" s="750" t="str">
        <f>S10</f>
        <v>ВОР подписан, смета отправлена на проверку 21.06</v>
      </c>
      <c r="T16" s="751">
        <f t="shared" si="4"/>
        <v>0</v>
      </c>
      <c r="U16" s="752">
        <v>2509941.54</v>
      </c>
      <c r="V16" s="753">
        <f t="shared" si="0"/>
        <v>2509941.54</v>
      </c>
      <c r="W16" s="764"/>
      <c r="X16" s="738" t="s">
        <v>139</v>
      </c>
      <c r="Y16" s="739">
        <f>1675854.44*1.082*1.024*1.0514*1.2</f>
        <v>2342678.71</v>
      </c>
      <c r="Z16" s="763" t="s">
        <v>186</v>
      </c>
      <c r="AA16" s="765">
        <f>'вар НВ (с 0,65 и без упл)'!U16</f>
        <v>2387178</v>
      </c>
      <c r="AB16" s="758">
        <f t="shared" si="5"/>
        <v>-122763.54</v>
      </c>
    </row>
    <row r="17" spans="1:29" ht="31.5" x14ac:dyDescent="0.25">
      <c r="A17" s="742">
        <v>12</v>
      </c>
      <c r="B17" s="743" t="s">
        <v>184</v>
      </c>
      <c r="C17" s="744" t="str">
        <f>ССР!C50</f>
        <v>Теплоснабжение. Переустройство трубопровода.ТС3</v>
      </c>
      <c r="D17" s="745">
        <v>4003449.34</v>
      </c>
      <c r="E17" s="745">
        <v>328282.84999999998</v>
      </c>
      <c r="F17" s="745">
        <v>103961.57</v>
      </c>
      <c r="G17" s="745">
        <v>4435693.76</v>
      </c>
      <c r="H17" s="745">
        <v>4663512.8499999996</v>
      </c>
      <c r="I17" s="746">
        <f t="shared" si="6"/>
        <v>1.2</v>
      </c>
      <c r="J17" s="747">
        <f t="shared" si="1"/>
        <v>5596215.4199999999</v>
      </c>
      <c r="K17" s="748"/>
      <c r="L17" s="748"/>
      <c r="M17" s="748"/>
      <c r="N17" s="748"/>
      <c r="O17" s="748"/>
      <c r="P17" s="748">
        <f t="shared" si="2"/>
        <v>0</v>
      </c>
      <c r="Q17" s="748">
        <f t="shared" si="3"/>
        <v>5596215.4199999999</v>
      </c>
      <c r="R17" s="748" t="s">
        <v>139</v>
      </c>
      <c r="S17" s="750" t="str">
        <f>S10</f>
        <v>ВОР подписан, смета отправлена на проверку 21.06</v>
      </c>
      <c r="T17" s="751">
        <f t="shared" si="4"/>
        <v>0</v>
      </c>
      <c r="U17" s="752">
        <v>4764781</v>
      </c>
      <c r="V17" s="753">
        <f t="shared" si="0"/>
        <v>4764781</v>
      </c>
      <c r="W17" s="764"/>
      <c r="X17" s="738" t="s">
        <v>139</v>
      </c>
      <c r="Y17" s="739">
        <f>2820165.03*1.082*1.024*1.0514*1.2</f>
        <v>3942311.7</v>
      </c>
      <c r="Z17" s="763" t="s">
        <v>186</v>
      </c>
      <c r="AA17" s="765">
        <v>3942311.7</v>
      </c>
      <c r="AB17" s="758">
        <f t="shared" si="5"/>
        <v>-822469.3</v>
      </c>
    </row>
    <row r="18" spans="1:29" ht="31.5" x14ac:dyDescent="0.25">
      <c r="A18" s="742">
        <v>13</v>
      </c>
      <c r="B18" s="743" t="s">
        <v>289</v>
      </c>
      <c r="C18" s="744" t="str">
        <f>ССР!C52</f>
        <v>Наружные газопроводы. Вынос газопровода среднего давления.</v>
      </c>
      <c r="D18" s="745">
        <v>8291915.46</v>
      </c>
      <c r="E18" s="745">
        <v>679937.07</v>
      </c>
      <c r="F18" s="745">
        <v>215324.46</v>
      </c>
      <c r="G18" s="745">
        <v>9187176.9900000002</v>
      </c>
      <c r="H18" s="745">
        <v>9659034.2599999998</v>
      </c>
      <c r="I18" s="746">
        <f t="shared" si="6"/>
        <v>1.2</v>
      </c>
      <c r="J18" s="747">
        <f t="shared" si="1"/>
        <v>11590841.109999999</v>
      </c>
      <c r="K18" s="768"/>
      <c r="L18" s="768"/>
      <c r="M18" s="768"/>
      <c r="N18" s="768"/>
      <c r="O18" s="768"/>
      <c r="P18" s="748">
        <f t="shared" si="2"/>
        <v>0</v>
      </c>
      <c r="Q18" s="748">
        <f t="shared" si="3"/>
        <v>11590841.109999999</v>
      </c>
      <c r="R18" s="769" t="s">
        <v>139</v>
      </c>
      <c r="S18" s="750" t="str">
        <f>S10</f>
        <v>ВОР подписан, смета отправлена на проверку 21.06</v>
      </c>
      <c r="T18" s="751">
        <f t="shared" si="4"/>
        <v>0</v>
      </c>
      <c r="U18" s="752">
        <v>6207964</v>
      </c>
      <c r="V18" s="753">
        <f t="shared" si="0"/>
        <v>6207964</v>
      </c>
      <c r="W18" s="770"/>
      <c r="X18" s="738"/>
      <c r="Y18" s="739"/>
      <c r="Z18" s="740"/>
      <c r="AA18" s="741"/>
      <c r="AB18" s="771"/>
    </row>
    <row r="19" spans="1:29" ht="31.5" x14ac:dyDescent="0.25">
      <c r="A19" s="742">
        <v>14</v>
      </c>
      <c r="B19" s="772" t="s">
        <v>306</v>
      </c>
      <c r="C19" s="744" t="str">
        <f>ССР!C29</f>
        <v>Верхнее строение пути</v>
      </c>
      <c r="D19" s="745">
        <v>161452921.99000001</v>
      </c>
      <c r="E19" s="745">
        <v>13239139.6</v>
      </c>
      <c r="F19" s="745">
        <v>4192609.48</v>
      </c>
      <c r="G19" s="745">
        <v>178884671.06999999</v>
      </c>
      <c r="H19" s="745">
        <v>188072263.84999999</v>
      </c>
      <c r="I19" s="746">
        <f>I6</f>
        <v>1.2</v>
      </c>
      <c r="J19" s="747">
        <f t="shared" si="1"/>
        <v>225686716.62</v>
      </c>
      <c r="K19" s="748">
        <v>89998722.969999999</v>
      </c>
      <c r="L19" s="748">
        <v>66544414.909999996</v>
      </c>
      <c r="M19" s="748">
        <v>42672742.899999999</v>
      </c>
      <c r="N19" s="748"/>
      <c r="O19" s="748"/>
      <c r="P19" s="748">
        <f t="shared" si="2"/>
        <v>199215880.78</v>
      </c>
      <c r="Q19" s="748">
        <f t="shared" si="3"/>
        <v>26470835.84</v>
      </c>
      <c r="R19" s="748" t="s">
        <v>139</v>
      </c>
      <c r="S19" s="773" t="s">
        <v>314</v>
      </c>
      <c r="T19" s="751">
        <f t="shared" si="4"/>
        <v>199215880.78</v>
      </c>
      <c r="U19" s="752">
        <v>37091104.509999998</v>
      </c>
      <c r="V19" s="753">
        <f>T19+U19</f>
        <v>236306985.28999999</v>
      </c>
      <c r="X19" s="738"/>
      <c r="Y19" s="739"/>
      <c r="Z19" s="740"/>
      <c r="AA19" s="705"/>
      <c r="AB19" s="774"/>
    </row>
    <row r="20" spans="1:29" s="779" customFormat="1" ht="35.25" customHeight="1" x14ac:dyDescent="0.25">
      <c r="A20" s="742">
        <v>16</v>
      </c>
      <c r="B20" s="772" t="s">
        <v>307</v>
      </c>
      <c r="C20" s="744" t="str">
        <f>ССР!C31</f>
        <v>Архитектурно-строительные решения. Часть 1.АС1</v>
      </c>
      <c r="D20" s="745">
        <v>10526911.91</v>
      </c>
      <c r="E20" s="745">
        <v>863206.78</v>
      </c>
      <c r="F20" s="745">
        <v>273362.84999999998</v>
      </c>
      <c r="G20" s="745">
        <v>11663481.539999999</v>
      </c>
      <c r="H20" s="745">
        <v>12262522.85</v>
      </c>
      <c r="I20" s="746">
        <f>I8</f>
        <v>1.2</v>
      </c>
      <c r="J20" s="747">
        <f t="shared" si="1"/>
        <v>14715027.42</v>
      </c>
      <c r="K20" s="748"/>
      <c r="L20" s="748">
        <v>10775049.08</v>
      </c>
      <c r="M20" s="748"/>
      <c r="N20" s="748"/>
      <c r="O20" s="748"/>
      <c r="P20" s="748">
        <f t="shared" si="2"/>
        <v>10775049.08</v>
      </c>
      <c r="Q20" s="748">
        <f t="shared" si="3"/>
        <v>3939978.34</v>
      </c>
      <c r="R20" s="748" t="s">
        <v>139</v>
      </c>
      <c r="S20" s="750" t="str">
        <f>S39</f>
        <v>ВОР подписан, смета отправлена на проверку 28.06</v>
      </c>
      <c r="T20" s="751">
        <f t="shared" si="4"/>
        <v>10775049.08</v>
      </c>
      <c r="U20" s="752">
        <v>1790752.08</v>
      </c>
      <c r="V20" s="753">
        <f>T20+U20</f>
        <v>12565801.16</v>
      </c>
      <c r="W20" s="775"/>
      <c r="X20" s="738"/>
      <c r="Y20" s="776"/>
      <c r="Z20" s="777"/>
      <c r="AA20" s="778"/>
    </row>
    <row r="21" spans="1:29" s="797" customFormat="1" ht="36" customHeight="1" x14ac:dyDescent="0.25">
      <c r="A21" s="780">
        <v>19</v>
      </c>
      <c r="B21" s="781" t="s">
        <v>59</v>
      </c>
      <c r="C21" s="782" t="str">
        <f>ССР!C48</f>
        <v>Архитектурно-строительные решения. Эстакада для ТС1. АС 4</v>
      </c>
      <c r="D21" s="783">
        <v>4859580.66</v>
      </c>
      <c r="E21" s="783">
        <v>398485.61</v>
      </c>
      <c r="F21" s="783">
        <v>126193.59</v>
      </c>
      <c r="G21" s="783">
        <v>5384259.8600000003</v>
      </c>
      <c r="H21" s="783">
        <v>5660797.71</v>
      </c>
      <c r="I21" s="784">
        <f>I14</f>
        <v>1.2</v>
      </c>
      <c r="J21" s="785">
        <f t="shared" si="1"/>
        <v>6792957.25</v>
      </c>
      <c r="K21" s="786"/>
      <c r="L21" s="786"/>
      <c r="M21" s="786"/>
      <c r="N21" s="786"/>
      <c r="O21" s="786">
        <v>562345.21</v>
      </c>
      <c r="P21" s="786">
        <f t="shared" si="2"/>
        <v>562345.21</v>
      </c>
      <c r="Q21" s="786">
        <f t="shared" si="3"/>
        <v>6230612.04</v>
      </c>
      <c r="R21" s="787" t="s">
        <v>139</v>
      </c>
      <c r="S21" s="788" t="s">
        <v>311</v>
      </c>
      <c r="T21" s="789">
        <f t="shared" si="4"/>
        <v>562345.21</v>
      </c>
      <c r="U21" s="790">
        <v>3430118.1</v>
      </c>
      <c r="V21" s="791">
        <f>T21+U21</f>
        <v>3992463.31</v>
      </c>
      <c r="W21" s="792"/>
      <c r="X21" s="793"/>
      <c r="Y21" s="794"/>
      <c r="Z21" s="795"/>
      <c r="AA21" s="796"/>
    </row>
    <row r="22" spans="1:29" ht="4.5" customHeight="1" x14ac:dyDescent="0.25">
      <c r="A22" s="798"/>
      <c r="B22" s="799"/>
      <c r="C22" s="800"/>
      <c r="D22" s="801"/>
      <c r="E22" s="801"/>
      <c r="F22" s="801"/>
      <c r="G22" s="801"/>
      <c r="H22" s="801"/>
      <c r="I22" s="802"/>
      <c r="J22" s="803"/>
      <c r="K22" s="804"/>
      <c r="L22" s="804"/>
      <c r="M22" s="804"/>
      <c r="N22" s="804"/>
      <c r="O22" s="804"/>
      <c r="P22" s="804"/>
      <c r="Q22" s="804"/>
      <c r="R22" s="804"/>
      <c r="S22" s="805"/>
      <c r="T22" s="806"/>
      <c r="U22" s="807"/>
      <c r="V22" s="808"/>
      <c r="W22" s="764"/>
      <c r="X22" s="738"/>
      <c r="Y22" s="739"/>
      <c r="Z22" s="763"/>
    </row>
    <row r="23" spans="1:29" ht="32.25" customHeight="1" x14ac:dyDescent="0.25">
      <c r="A23" s="722"/>
      <c r="B23" s="723"/>
      <c r="C23" s="723"/>
      <c r="D23" s="723"/>
      <c r="E23" s="723"/>
      <c r="F23" s="723"/>
      <c r="G23" s="723"/>
      <c r="H23" s="724"/>
      <c r="I23" s="723"/>
      <c r="J23" s="724"/>
      <c r="K23" s="725"/>
      <c r="L23" s="725"/>
      <c r="M23" s="725"/>
      <c r="N23" s="725"/>
      <c r="O23" s="725"/>
      <c r="P23" s="725"/>
      <c r="Q23" s="725"/>
      <c r="R23" s="725"/>
      <c r="S23" s="725"/>
      <c r="T23" s="1210" t="s">
        <v>272</v>
      </c>
      <c r="U23" s="1211"/>
      <c r="V23" s="809"/>
      <c r="W23" s="809">
        <f>SUM(W9:W17)</f>
        <v>0</v>
      </c>
      <c r="X23" s="809">
        <f>SUM(X9:X17)</f>
        <v>0</v>
      </c>
      <c r="Y23" s="809">
        <f>SUM(Y9:Y17)</f>
        <v>39961110.119999997</v>
      </c>
      <c r="Z23" s="809">
        <f>SUM(Z9:Z17)</f>
        <v>0</v>
      </c>
      <c r="AA23" s="705"/>
    </row>
    <row r="24" spans="1:29" s="779" customFormat="1" ht="43.5" customHeight="1" x14ac:dyDescent="0.25">
      <c r="A24" s="810">
        <v>18</v>
      </c>
      <c r="B24" s="811" t="s">
        <v>58</v>
      </c>
      <c r="C24" s="812" t="s">
        <v>297</v>
      </c>
      <c r="D24" s="813">
        <v>4044845.15</v>
      </c>
      <c r="E24" s="813">
        <v>331677.3</v>
      </c>
      <c r="F24" s="813">
        <v>105036.54</v>
      </c>
      <c r="G24" s="813">
        <v>4481558.99</v>
      </c>
      <c r="H24" s="813">
        <v>4711733.74</v>
      </c>
      <c r="I24" s="814">
        <f>I13</f>
        <v>1.2</v>
      </c>
      <c r="J24" s="815">
        <f t="shared" si="1"/>
        <v>5654080.4900000002</v>
      </c>
      <c r="K24" s="816"/>
      <c r="L24" s="816"/>
      <c r="M24" s="816"/>
      <c r="N24" s="816"/>
      <c r="O24" s="816">
        <v>3594854.48</v>
      </c>
      <c r="P24" s="816">
        <f t="shared" si="2"/>
        <v>3594854.48</v>
      </c>
      <c r="Q24" s="816">
        <f t="shared" si="3"/>
        <v>2059226.01</v>
      </c>
      <c r="R24" s="816" t="s">
        <v>169</v>
      </c>
      <c r="S24" s="817" t="s">
        <v>247</v>
      </c>
      <c r="T24" s="818">
        <f t="shared" si="4"/>
        <v>3594854.48</v>
      </c>
      <c r="U24" s="819">
        <f>Q24</f>
        <v>2059226.01</v>
      </c>
      <c r="V24" s="818">
        <f>T24+U24</f>
        <v>5654080.4900000002</v>
      </c>
      <c r="W24" s="775"/>
      <c r="X24" s="738"/>
      <c r="Y24" s="776"/>
      <c r="Z24" s="777"/>
      <c r="AA24" s="778" t="s">
        <v>295</v>
      </c>
    </row>
    <row r="25" spans="1:29" ht="31.5" x14ac:dyDescent="0.25">
      <c r="A25" s="810">
        <v>20</v>
      </c>
      <c r="B25" s="811" t="s">
        <v>70</v>
      </c>
      <c r="C25" s="812" t="s">
        <v>8</v>
      </c>
      <c r="D25" s="813">
        <v>5005903.75</v>
      </c>
      <c r="E25" s="813">
        <v>410484.11</v>
      </c>
      <c r="F25" s="813">
        <v>129993.31</v>
      </c>
      <c r="G25" s="813">
        <v>5546381.1699999999</v>
      </c>
      <c r="H25" s="813">
        <v>5831245.6399999997</v>
      </c>
      <c r="I25" s="814">
        <f>I12</f>
        <v>1.2</v>
      </c>
      <c r="J25" s="815">
        <f>ROUND(H25*I25,2)</f>
        <v>6997494.7699999996</v>
      </c>
      <c r="K25" s="816"/>
      <c r="L25" s="816">
        <v>2298854.48</v>
      </c>
      <c r="M25" s="816"/>
      <c r="N25" s="816"/>
      <c r="O25" s="816"/>
      <c r="P25" s="816">
        <f>K25+L25+M25+N25+O25</f>
        <v>2298854.48</v>
      </c>
      <c r="Q25" s="816">
        <f>J25-K25-L25-M25-N25-O25</f>
        <v>4698640.29</v>
      </c>
      <c r="R25" s="820" t="str">
        <f>R24</f>
        <v>ждем ВОР</v>
      </c>
      <c r="S25" s="817" t="s">
        <v>247</v>
      </c>
      <c r="T25" s="818">
        <f>P25</f>
        <v>2298854.48</v>
      </c>
      <c r="U25" s="819">
        <f>Q25</f>
        <v>4698640.29</v>
      </c>
      <c r="V25" s="818">
        <f>T25+U25</f>
        <v>6997494.7699999996</v>
      </c>
      <c r="W25" s="821"/>
      <c r="X25" s="738"/>
      <c r="Y25" s="739"/>
      <c r="Z25" s="740"/>
      <c r="AA25" s="778" t="s">
        <v>295</v>
      </c>
    </row>
    <row r="26" spans="1:29" ht="33" customHeight="1" thickBot="1" x14ac:dyDescent="0.3">
      <c r="A26" s="822">
        <v>21</v>
      </c>
      <c r="B26" s="823" t="s">
        <v>71</v>
      </c>
      <c r="C26" s="824" t="s">
        <v>109</v>
      </c>
      <c r="D26" s="825">
        <v>48898423.600000001</v>
      </c>
      <c r="E26" s="825">
        <v>4009670.74</v>
      </c>
      <c r="F26" s="825">
        <v>1269794.26</v>
      </c>
      <c r="G26" s="825">
        <v>54177888.600000001</v>
      </c>
      <c r="H26" s="825">
        <v>56960487.710000001</v>
      </c>
      <c r="I26" s="826">
        <f>I16</f>
        <v>1.2</v>
      </c>
      <c r="J26" s="827">
        <f>ROUND(H26*I26,2)</f>
        <v>68352585.25</v>
      </c>
      <c r="K26" s="828"/>
      <c r="L26" s="828"/>
      <c r="M26" s="828">
        <v>11709977.720000001</v>
      </c>
      <c r="N26" s="828"/>
      <c r="O26" s="828">
        <v>3615838.44</v>
      </c>
      <c r="P26" s="828">
        <f>K26+L26+M26+N26+O26</f>
        <v>15325816.16</v>
      </c>
      <c r="Q26" s="828">
        <f>J26-K26-L26-M26-N26-O26</f>
        <v>53026769.090000004</v>
      </c>
      <c r="R26" s="829" t="str">
        <f>R24</f>
        <v>ждем ВОР</v>
      </c>
      <c r="S26" s="830" t="s">
        <v>247</v>
      </c>
      <c r="T26" s="831">
        <f>P26</f>
        <v>15325816.16</v>
      </c>
      <c r="U26" s="832">
        <f>Q26</f>
        <v>53026769.090000004</v>
      </c>
      <c r="V26" s="833">
        <f>T26+U26</f>
        <v>68352585.25</v>
      </c>
      <c r="W26" s="821"/>
      <c r="X26" s="738"/>
      <c r="Y26" s="834"/>
      <c r="Z26" s="835"/>
      <c r="AA26" s="778" t="s">
        <v>295</v>
      </c>
    </row>
    <row r="27" spans="1:29" s="797" customFormat="1" ht="32.25" customHeight="1" thickTop="1" x14ac:dyDescent="0.25">
      <c r="A27" s="836">
        <v>15</v>
      </c>
      <c r="B27" s="837" t="s">
        <v>32</v>
      </c>
      <c r="C27" s="838" t="str">
        <f>ССР!C30</f>
        <v>Восстановительные работы цеха №121/18. АС 3.</v>
      </c>
      <c r="D27" s="839">
        <v>4505948.67</v>
      </c>
      <c r="E27" s="839">
        <v>369487.79</v>
      </c>
      <c r="F27" s="839">
        <v>117010.48</v>
      </c>
      <c r="G27" s="839">
        <v>4992446.9400000004</v>
      </c>
      <c r="H27" s="839">
        <v>5248861.1100000003</v>
      </c>
      <c r="I27" s="840">
        <f>I7</f>
        <v>1.2</v>
      </c>
      <c r="J27" s="841">
        <f>ROUND(H27*I27,2)</f>
        <v>6298633.3300000001</v>
      </c>
      <c r="K27" s="842"/>
      <c r="L27" s="842"/>
      <c r="M27" s="842"/>
      <c r="N27" s="842">
        <v>5245250.92</v>
      </c>
      <c r="O27" s="842"/>
      <c r="P27" s="843">
        <f>K27+L27+M27+N27+O27</f>
        <v>5245250.92</v>
      </c>
      <c r="Q27" s="843">
        <f>J27-K27-L27-M27-N27-O27</f>
        <v>1053382.4099999999</v>
      </c>
      <c r="R27" s="844" t="s">
        <v>168</v>
      </c>
      <c r="S27" s="845" t="s">
        <v>189</v>
      </c>
      <c r="T27" s="846">
        <f>P27</f>
        <v>5245250.92</v>
      </c>
      <c r="U27" s="847" t="s">
        <v>243</v>
      </c>
      <c r="V27" s="846">
        <f>T27</f>
        <v>5245250.92</v>
      </c>
      <c r="W27" s="848" t="s">
        <v>172</v>
      </c>
      <c r="X27" s="793"/>
      <c r="Y27" s="794"/>
      <c r="Z27" s="795"/>
      <c r="AA27" s="1212" t="s">
        <v>308</v>
      </c>
      <c r="AC27" s="797" t="s">
        <v>310</v>
      </c>
    </row>
    <row r="28" spans="1:29" s="797" customFormat="1" ht="32.25" thickBot="1" x14ac:dyDescent="0.3">
      <c r="A28" s="849">
        <v>17</v>
      </c>
      <c r="B28" s="850" t="s">
        <v>55</v>
      </c>
      <c r="C28" s="851" t="str">
        <f>ССР!C45</f>
        <v>Трубопровод ливневых сточных вод от трансбордера. НВК1</v>
      </c>
      <c r="D28" s="852">
        <v>1758763.66</v>
      </c>
      <c r="E28" s="852">
        <v>144218.62</v>
      </c>
      <c r="F28" s="852">
        <v>45671.57</v>
      </c>
      <c r="G28" s="852">
        <v>1948653.85</v>
      </c>
      <c r="H28" s="852">
        <v>2048737.53</v>
      </c>
      <c r="I28" s="853">
        <f>I19</f>
        <v>1.2</v>
      </c>
      <c r="J28" s="854">
        <f>ROUND(H28*I28,2)</f>
        <v>2458485.04</v>
      </c>
      <c r="K28" s="855"/>
      <c r="L28" s="855"/>
      <c r="M28" s="855"/>
      <c r="N28" s="855"/>
      <c r="O28" s="855">
        <v>505496.99</v>
      </c>
      <c r="P28" s="856">
        <f>K28+L28+M28+N28+O28</f>
        <v>505496.99</v>
      </c>
      <c r="Q28" s="856">
        <f>J28-K28-L28-M28-N28-O28</f>
        <v>1952988.05</v>
      </c>
      <c r="R28" s="857" t="str">
        <f>R27</f>
        <v>ВОРа на доп. не будет</v>
      </c>
      <c r="S28" s="858" t="s">
        <v>251</v>
      </c>
      <c r="T28" s="859">
        <f>P28</f>
        <v>505496.99</v>
      </c>
      <c r="U28" s="860" t="s">
        <v>243</v>
      </c>
      <c r="V28" s="861">
        <f>T28</f>
        <v>505496.99</v>
      </c>
      <c r="W28" s="792"/>
      <c r="X28" s="793"/>
      <c r="Y28" s="794"/>
      <c r="Z28" s="795"/>
      <c r="AA28" s="1212"/>
      <c r="AC28" s="797" t="s">
        <v>310</v>
      </c>
    </row>
    <row r="29" spans="1:29" ht="35.1" customHeight="1" x14ac:dyDescent="0.25">
      <c r="A29" s="862">
        <v>22</v>
      </c>
      <c r="B29" s="863">
        <v>1</v>
      </c>
      <c r="C29" s="864" t="s">
        <v>175</v>
      </c>
      <c r="D29" s="865"/>
      <c r="E29" s="865"/>
      <c r="F29" s="865"/>
      <c r="G29" s="865"/>
      <c r="H29" s="865"/>
      <c r="I29" s="866"/>
      <c r="J29" s="867"/>
      <c r="K29" s="868"/>
      <c r="L29" s="868"/>
      <c r="M29" s="868"/>
      <c r="N29" s="868"/>
      <c r="O29" s="868"/>
      <c r="P29" s="868">
        <f>T29</f>
        <v>4216719.66</v>
      </c>
      <c r="Q29" s="868"/>
      <c r="R29" s="869" t="s">
        <v>139</v>
      </c>
      <c r="S29" s="870" t="s">
        <v>139</v>
      </c>
      <c r="T29" s="871">
        <v>4216719.66</v>
      </c>
      <c r="U29" s="871">
        <v>0</v>
      </c>
      <c r="V29" s="871">
        <f>T29+U29</f>
        <v>4216719.66</v>
      </c>
      <c r="X29" s="872"/>
      <c r="Y29" s="873"/>
      <c r="Z29" s="873"/>
    </row>
    <row r="30" spans="1:29" ht="35.1" customHeight="1" thickBot="1" x14ac:dyDescent="0.3">
      <c r="A30" s="874">
        <v>23</v>
      </c>
      <c r="B30" s="875">
        <v>1</v>
      </c>
      <c r="C30" s="876" t="s">
        <v>174</v>
      </c>
      <c r="D30" s="877"/>
      <c r="E30" s="877"/>
      <c r="F30" s="877"/>
      <c r="G30" s="877"/>
      <c r="H30" s="877"/>
      <c r="I30" s="878"/>
      <c r="J30" s="879"/>
      <c r="K30" s="880"/>
      <c r="L30" s="880"/>
      <c r="M30" s="880"/>
      <c r="N30" s="880"/>
      <c r="O30" s="880"/>
      <c r="P30" s="880">
        <f>T30</f>
        <v>2160473.5</v>
      </c>
      <c r="Q30" s="880"/>
      <c r="R30" s="881" t="s">
        <v>139</v>
      </c>
      <c r="S30" s="882" t="s">
        <v>139</v>
      </c>
      <c r="T30" s="883">
        <v>2160473.5</v>
      </c>
      <c r="U30" s="883">
        <v>0</v>
      </c>
      <c r="V30" s="884">
        <f>T30+U30</f>
        <v>2160473.5</v>
      </c>
      <c r="X30" s="885"/>
      <c r="Y30" s="886"/>
      <c r="Z30" s="887"/>
    </row>
    <row r="31" spans="1:29" ht="31.5" customHeight="1" thickTop="1" thickBot="1" x14ac:dyDescent="0.3">
      <c r="A31" s="888"/>
      <c r="B31" s="889" t="s">
        <v>120</v>
      </c>
      <c r="C31" s="890"/>
      <c r="D31" s="891">
        <f>SUM(D6:D28)</f>
        <v>392033916.06</v>
      </c>
      <c r="E31" s="890"/>
      <c r="F31" s="892"/>
      <c r="G31" s="891">
        <f>SUM(G6:G28)</f>
        <v>434361033.93000001</v>
      </c>
      <c r="H31" s="891">
        <f>SUM(H6:H28)</f>
        <v>456670000.00999999</v>
      </c>
      <c r="I31" s="891"/>
      <c r="J31" s="891">
        <f>SUM(J6:J28)</f>
        <v>548004000</v>
      </c>
      <c r="K31" s="893">
        <f>SUM(K6:K28)</f>
        <v>210417570.36000001</v>
      </c>
      <c r="L31" s="893">
        <f>SUM(L6:L28)+0.01</f>
        <v>79978331.209999993</v>
      </c>
      <c r="M31" s="893">
        <f>SUM(M6:M28)</f>
        <v>58868164.759999998</v>
      </c>
      <c r="N31" s="893">
        <f>SUM(N6:N28)</f>
        <v>5245250.92</v>
      </c>
      <c r="O31" s="893">
        <f>SUM(O6:O28)</f>
        <v>8616444.9800000004</v>
      </c>
      <c r="P31" s="893">
        <f>SUM(P6:P30)+0.01</f>
        <v>369502955.38999999</v>
      </c>
      <c r="Q31" s="893">
        <f>J31-P31</f>
        <v>178501044.61000001</v>
      </c>
      <c r="R31" s="893"/>
      <c r="S31" s="893"/>
      <c r="T31" s="894">
        <f>SUM(T6:T30)</f>
        <v>369502955.38</v>
      </c>
      <c r="U31" s="894">
        <f>SUM(U6:U30)</f>
        <v>147992834.62</v>
      </c>
      <c r="V31" s="894">
        <f>SUM(V6:V30)</f>
        <v>517495790</v>
      </c>
      <c r="W31" s="737"/>
      <c r="X31" s="895"/>
      <c r="Y31" s="896">
        <f>SUM(Y6:Y28)</f>
        <v>79922220.239999995</v>
      </c>
      <c r="Z31" s="897">
        <f>SUM(Z6:Z28)</f>
        <v>0</v>
      </c>
    </row>
    <row r="32" spans="1:29" ht="32.25" customHeight="1" x14ac:dyDescent="0.25">
      <c r="A32" s="898"/>
      <c r="B32" s="899"/>
      <c r="C32" s="899"/>
      <c r="D32" s="899"/>
      <c r="E32" s="899"/>
      <c r="F32" s="899"/>
      <c r="G32" s="899"/>
      <c r="H32" s="900"/>
      <c r="I32" s="899"/>
      <c r="J32" s="900"/>
      <c r="K32" s="901"/>
      <c r="L32" s="901"/>
      <c r="M32" s="901"/>
      <c r="N32" s="901"/>
      <c r="O32" s="901"/>
      <c r="P32" s="901"/>
      <c r="Q32" s="901"/>
      <c r="R32" s="901"/>
      <c r="S32" s="901"/>
      <c r="T32" s="1213" t="s">
        <v>309</v>
      </c>
      <c r="U32" s="1214"/>
      <c r="V32" s="902"/>
      <c r="X32" s="720"/>
      <c r="Y32" s="721"/>
      <c r="Z32" s="721"/>
    </row>
    <row r="33" spans="1:27" ht="35.1" customHeight="1" x14ac:dyDescent="0.25">
      <c r="A33" s="742">
        <v>24</v>
      </c>
      <c r="B33" s="903">
        <v>2</v>
      </c>
      <c r="C33" s="744" t="s">
        <v>141</v>
      </c>
      <c r="D33" s="745"/>
      <c r="E33" s="745"/>
      <c r="F33" s="745"/>
      <c r="G33" s="745"/>
      <c r="H33" s="745"/>
      <c r="I33" s="746"/>
      <c r="J33" s="747"/>
      <c r="K33" s="768"/>
      <c r="L33" s="768"/>
      <c r="M33" s="768"/>
      <c r="N33" s="768"/>
      <c r="O33" s="768"/>
      <c r="P33" s="768"/>
      <c r="Q33" s="768"/>
      <c r="R33" s="904" t="s">
        <v>139</v>
      </c>
      <c r="S33" s="750" t="s">
        <v>299</v>
      </c>
      <c r="T33" s="905">
        <v>0</v>
      </c>
      <c r="U33" s="905">
        <v>705505</v>
      </c>
      <c r="V33" s="905">
        <f t="shared" ref="V33:V42" si="7">T33+U33</f>
        <v>705505</v>
      </c>
      <c r="X33" s="872"/>
      <c r="Y33" s="873"/>
      <c r="Z33" s="873"/>
      <c r="AA33" s="707" t="s">
        <v>280</v>
      </c>
    </row>
    <row r="34" spans="1:27" ht="35.1" customHeight="1" x14ac:dyDescent="0.25">
      <c r="A34" s="906">
        <v>25</v>
      </c>
      <c r="B34" s="903">
        <v>3</v>
      </c>
      <c r="C34" s="744" t="s">
        <v>142</v>
      </c>
      <c r="D34" s="745"/>
      <c r="E34" s="745"/>
      <c r="F34" s="745"/>
      <c r="G34" s="745"/>
      <c r="H34" s="745"/>
      <c r="I34" s="746"/>
      <c r="J34" s="747"/>
      <c r="K34" s="768"/>
      <c r="L34" s="768"/>
      <c r="M34" s="768"/>
      <c r="N34" s="768"/>
      <c r="O34" s="768"/>
      <c r="P34" s="768"/>
      <c r="Q34" s="768"/>
      <c r="R34" s="904" t="s">
        <v>139</v>
      </c>
      <c r="S34" s="750" t="str">
        <f>S33</f>
        <v>ВОР подписан, смета отправлена на проверку 21.06</v>
      </c>
      <c r="T34" s="905">
        <v>0</v>
      </c>
      <c r="U34" s="905">
        <v>85851.36</v>
      </c>
      <c r="V34" s="905">
        <f t="shared" si="7"/>
        <v>85851.36</v>
      </c>
      <c r="X34" s="872"/>
      <c r="Y34" s="907"/>
      <c r="Z34" s="907"/>
    </row>
    <row r="35" spans="1:27" ht="35.1" customHeight="1" x14ac:dyDescent="0.25">
      <c r="A35" s="742">
        <v>26</v>
      </c>
      <c r="B35" s="903">
        <v>4</v>
      </c>
      <c r="C35" s="744" t="s">
        <v>143</v>
      </c>
      <c r="D35" s="745"/>
      <c r="E35" s="745"/>
      <c r="F35" s="745"/>
      <c r="G35" s="745"/>
      <c r="H35" s="745"/>
      <c r="I35" s="746"/>
      <c r="J35" s="747"/>
      <c r="K35" s="768"/>
      <c r="L35" s="768"/>
      <c r="M35" s="768"/>
      <c r="N35" s="768"/>
      <c r="O35" s="768"/>
      <c r="P35" s="768"/>
      <c r="Q35" s="768"/>
      <c r="R35" s="904" t="s">
        <v>139</v>
      </c>
      <c r="S35" s="750" t="str">
        <f>S33</f>
        <v>ВОР подписан, смета отправлена на проверку 21.06</v>
      </c>
      <c r="T35" s="905">
        <v>0</v>
      </c>
      <c r="U35" s="905">
        <v>26314.48</v>
      </c>
      <c r="V35" s="905">
        <f t="shared" si="7"/>
        <v>26314.48</v>
      </c>
      <c r="X35" s="872"/>
      <c r="Y35" s="907"/>
      <c r="Z35" s="907"/>
    </row>
    <row r="36" spans="1:27" ht="35.1" customHeight="1" x14ac:dyDescent="0.25">
      <c r="A36" s="906">
        <v>27</v>
      </c>
      <c r="B36" s="903">
        <v>5</v>
      </c>
      <c r="C36" s="744" t="s">
        <v>146</v>
      </c>
      <c r="D36" s="745"/>
      <c r="E36" s="745"/>
      <c r="F36" s="745"/>
      <c r="G36" s="745"/>
      <c r="H36" s="745"/>
      <c r="I36" s="746"/>
      <c r="J36" s="747"/>
      <c r="K36" s="768"/>
      <c r="L36" s="768"/>
      <c r="M36" s="768"/>
      <c r="N36" s="768"/>
      <c r="O36" s="768"/>
      <c r="P36" s="768"/>
      <c r="Q36" s="768"/>
      <c r="R36" s="904" t="s">
        <v>139</v>
      </c>
      <c r="S36" s="750" t="str">
        <f>S33</f>
        <v>ВОР подписан, смета отправлена на проверку 21.06</v>
      </c>
      <c r="T36" s="905">
        <v>0</v>
      </c>
      <c r="U36" s="905">
        <v>208912.6</v>
      </c>
      <c r="V36" s="905">
        <f t="shared" si="7"/>
        <v>208912.6</v>
      </c>
      <c r="X36" s="872"/>
      <c r="Y36" s="907"/>
      <c r="Z36" s="907"/>
    </row>
    <row r="37" spans="1:27" ht="35.1" customHeight="1" thickBot="1" x14ac:dyDescent="0.3">
      <c r="A37" s="742">
        <v>29</v>
      </c>
      <c r="B37" s="908">
        <v>6</v>
      </c>
      <c r="C37" s="909" t="s">
        <v>140</v>
      </c>
      <c r="D37" s="910"/>
      <c r="E37" s="910"/>
      <c r="F37" s="910"/>
      <c r="G37" s="910"/>
      <c r="H37" s="910"/>
      <c r="I37" s="911"/>
      <c r="J37" s="912"/>
      <c r="K37" s="913"/>
      <c r="L37" s="913"/>
      <c r="M37" s="913"/>
      <c r="N37" s="913"/>
      <c r="O37" s="913"/>
      <c r="P37" s="913"/>
      <c r="Q37" s="913"/>
      <c r="R37" s="914" t="s">
        <v>139</v>
      </c>
      <c r="S37" s="915" t="str">
        <f>S33</f>
        <v>ВОР подписан, смета отправлена на проверку 21.06</v>
      </c>
      <c r="T37" s="916">
        <v>0</v>
      </c>
      <c r="U37" s="916">
        <v>570651.94999999995</v>
      </c>
      <c r="V37" s="905">
        <f t="shared" si="7"/>
        <v>570651.94999999995</v>
      </c>
      <c r="X37" s="885"/>
      <c r="Y37" s="886"/>
      <c r="Z37" s="887"/>
    </row>
    <row r="38" spans="1:27" ht="54.75" customHeight="1" thickTop="1" thickBot="1" x14ac:dyDescent="0.3">
      <c r="A38" s="917">
        <v>32</v>
      </c>
      <c r="B38" s="918">
        <v>9</v>
      </c>
      <c r="C38" s="919" t="s">
        <v>304</v>
      </c>
      <c r="D38" s="920"/>
      <c r="E38" s="920"/>
      <c r="F38" s="920"/>
      <c r="G38" s="920"/>
      <c r="H38" s="920"/>
      <c r="I38" s="921"/>
      <c r="J38" s="922"/>
      <c r="K38" s="923"/>
      <c r="L38" s="923"/>
      <c r="M38" s="923"/>
      <c r="N38" s="923"/>
      <c r="O38" s="923"/>
      <c r="P38" s="923"/>
      <c r="Q38" s="923"/>
      <c r="R38" s="924" t="s">
        <v>139</v>
      </c>
      <c r="S38" s="925" t="s">
        <v>302</v>
      </c>
      <c r="T38" s="926">
        <v>0</v>
      </c>
      <c r="U38" s="926">
        <v>2065078.4</v>
      </c>
      <c r="V38" s="926">
        <f t="shared" si="7"/>
        <v>2065078.4</v>
      </c>
      <c r="X38" s="872"/>
      <c r="Y38" s="907"/>
      <c r="Z38" s="907"/>
    </row>
    <row r="39" spans="1:27" ht="35.1" customHeight="1" thickTop="1" thickBot="1" x14ac:dyDescent="0.3">
      <c r="A39" s="917">
        <v>32</v>
      </c>
      <c r="B39" s="918">
        <v>10</v>
      </c>
      <c r="C39" s="919" t="s">
        <v>303</v>
      </c>
      <c r="D39" s="920"/>
      <c r="E39" s="920"/>
      <c r="F39" s="920"/>
      <c r="G39" s="920"/>
      <c r="H39" s="920"/>
      <c r="I39" s="921"/>
      <c r="J39" s="922"/>
      <c r="K39" s="923"/>
      <c r="L39" s="923"/>
      <c r="M39" s="923"/>
      <c r="N39" s="923"/>
      <c r="O39" s="923"/>
      <c r="P39" s="923"/>
      <c r="Q39" s="923"/>
      <c r="R39" s="924" t="s">
        <v>139</v>
      </c>
      <c r="S39" s="925" t="s">
        <v>305</v>
      </c>
      <c r="T39" s="926">
        <v>0</v>
      </c>
      <c r="U39" s="926">
        <v>78531</v>
      </c>
      <c r="V39" s="926">
        <f t="shared" si="7"/>
        <v>78531</v>
      </c>
      <c r="X39" s="872"/>
      <c r="Y39" s="907"/>
      <c r="Z39" s="907"/>
    </row>
    <row r="40" spans="1:27" ht="46.5" customHeight="1" thickTop="1" x14ac:dyDescent="0.25">
      <c r="A40" s="927">
        <v>33</v>
      </c>
      <c r="B40" s="928">
        <v>10</v>
      </c>
      <c r="C40" s="929" t="s">
        <v>144</v>
      </c>
      <c r="D40" s="930"/>
      <c r="E40" s="930"/>
      <c r="F40" s="930"/>
      <c r="G40" s="930"/>
      <c r="H40" s="930"/>
      <c r="I40" s="931"/>
      <c r="J40" s="932"/>
      <c r="K40" s="933"/>
      <c r="L40" s="933"/>
      <c r="M40" s="933"/>
      <c r="N40" s="933"/>
      <c r="O40" s="933"/>
      <c r="P40" s="934"/>
      <c r="Q40" s="934"/>
      <c r="R40" s="935" t="s">
        <v>139</v>
      </c>
      <c r="S40" s="936" t="s">
        <v>315</v>
      </c>
      <c r="T40" s="937">
        <v>0</v>
      </c>
      <c r="U40" s="937">
        <v>389490.94</v>
      </c>
      <c r="V40" s="938">
        <f t="shared" si="7"/>
        <v>389490.94</v>
      </c>
      <c r="W40" s="939"/>
      <c r="X40" s="940"/>
      <c r="Y40" s="941"/>
      <c r="Z40" s="942"/>
    </row>
    <row r="41" spans="1:27" ht="50.25" customHeight="1" thickBot="1" x14ac:dyDescent="0.3">
      <c r="A41" s="943">
        <v>30</v>
      </c>
      <c r="B41" s="944"/>
      <c r="C41" s="945" t="s">
        <v>279</v>
      </c>
      <c r="D41" s="946"/>
      <c r="E41" s="946"/>
      <c r="F41" s="946"/>
      <c r="G41" s="946"/>
      <c r="H41" s="946"/>
      <c r="I41" s="947"/>
      <c r="J41" s="948"/>
      <c r="K41" s="949"/>
      <c r="L41" s="949"/>
      <c r="M41" s="949"/>
      <c r="N41" s="949"/>
      <c r="O41" s="949"/>
      <c r="P41" s="949"/>
      <c r="Q41" s="949"/>
      <c r="R41" s="950" t="s">
        <v>255</v>
      </c>
      <c r="S41" s="951" t="s">
        <v>316</v>
      </c>
      <c r="T41" s="952">
        <v>0</v>
      </c>
      <c r="U41" s="952">
        <v>9690548.2599999998</v>
      </c>
      <c r="V41" s="953">
        <f t="shared" si="7"/>
        <v>9690548.2599999998</v>
      </c>
      <c r="X41" s="885"/>
      <c r="Y41" s="886"/>
      <c r="Z41" s="887"/>
    </row>
    <row r="42" spans="1:27" ht="35.1" customHeight="1" thickTop="1" thickBot="1" x14ac:dyDescent="0.3">
      <c r="A42" s="954">
        <v>34</v>
      </c>
      <c r="B42" s="955"/>
      <c r="C42" s="956" t="s">
        <v>149</v>
      </c>
      <c r="D42" s="957"/>
      <c r="E42" s="957"/>
      <c r="F42" s="957"/>
      <c r="G42" s="957"/>
      <c r="H42" s="957"/>
      <c r="I42" s="958"/>
      <c r="J42" s="959"/>
      <c r="K42" s="960"/>
      <c r="L42" s="960"/>
      <c r="M42" s="960"/>
      <c r="N42" s="960"/>
      <c r="O42" s="960"/>
      <c r="P42" s="961"/>
      <c r="Q42" s="961"/>
      <c r="R42" s="962" t="s">
        <v>139</v>
      </c>
      <c r="S42" s="962" t="s">
        <v>170</v>
      </c>
      <c r="T42" s="963"/>
      <c r="U42" s="963">
        <v>4746000</v>
      </c>
      <c r="V42" s="964">
        <f t="shared" si="7"/>
        <v>4746000</v>
      </c>
      <c r="X42" s="872"/>
      <c r="Y42" s="965"/>
      <c r="Z42" s="966"/>
    </row>
    <row r="43" spans="1:27" ht="35.1" customHeight="1" thickBot="1" x14ac:dyDescent="0.3">
      <c r="A43" s="967"/>
      <c r="B43" s="968"/>
      <c r="C43" s="969"/>
      <c r="D43" s="970"/>
      <c r="E43" s="970"/>
      <c r="F43" s="970"/>
      <c r="G43" s="970"/>
      <c r="H43" s="970"/>
      <c r="I43" s="971"/>
      <c r="J43" s="972"/>
      <c r="K43" s="973"/>
      <c r="L43" s="973"/>
      <c r="M43" s="973"/>
      <c r="N43" s="973"/>
      <c r="O43" s="973"/>
      <c r="P43" s="973"/>
      <c r="Q43" s="973"/>
      <c r="R43" s="974"/>
      <c r="S43" s="975"/>
      <c r="T43" s="976"/>
      <c r="U43" s="977">
        <f>SUM(U33:U42)</f>
        <v>18566883.989999998</v>
      </c>
      <c r="V43" s="977">
        <f>SUM(V33:V42)</f>
        <v>18566883.989999998</v>
      </c>
      <c r="X43" s="885"/>
      <c r="Y43" s="886"/>
      <c r="Z43" s="887"/>
    </row>
    <row r="44" spans="1:27" ht="33" customHeight="1" x14ac:dyDescent="0.25">
      <c r="A44" s="898"/>
      <c r="B44" s="899"/>
      <c r="C44" s="899"/>
      <c r="D44" s="899"/>
      <c r="E44" s="899"/>
      <c r="F44" s="899"/>
      <c r="G44" s="899"/>
      <c r="H44" s="900"/>
      <c r="I44" s="899"/>
      <c r="J44" s="900"/>
      <c r="K44" s="901"/>
      <c r="L44" s="901"/>
      <c r="M44" s="901"/>
      <c r="N44" s="901"/>
      <c r="O44" s="901"/>
      <c r="P44" s="901"/>
      <c r="Q44" s="901"/>
      <c r="R44" s="901"/>
      <c r="S44" s="978"/>
      <c r="T44" s="1213" t="s">
        <v>253</v>
      </c>
      <c r="U44" s="1214"/>
      <c r="V44" s="902"/>
      <c r="X44" s="720"/>
      <c r="Y44" s="721"/>
      <c r="Z44" s="721"/>
    </row>
    <row r="45" spans="1:27" ht="40.5" customHeight="1" thickBot="1" x14ac:dyDescent="0.3">
      <c r="A45" s="979">
        <v>37</v>
      </c>
      <c r="B45" s="980"/>
      <c r="C45" s="981" t="s">
        <v>152</v>
      </c>
      <c r="D45" s="982"/>
      <c r="E45" s="982"/>
      <c r="F45" s="982"/>
      <c r="G45" s="982"/>
      <c r="H45" s="982"/>
      <c r="I45" s="983"/>
      <c r="J45" s="984"/>
      <c r="K45" s="985"/>
      <c r="L45" s="985"/>
      <c r="M45" s="985"/>
      <c r="N45" s="985"/>
      <c r="O45" s="985"/>
      <c r="P45" s="986"/>
      <c r="Q45" s="986"/>
      <c r="R45" s="987" t="s">
        <v>243</v>
      </c>
      <c r="S45" s="988"/>
      <c r="T45" s="989"/>
      <c r="U45" s="989"/>
      <c r="V45" s="990">
        <f>T45+U45</f>
        <v>0</v>
      </c>
      <c r="X45" s="991"/>
      <c r="Y45" s="992"/>
      <c r="Z45" s="993"/>
    </row>
    <row r="46" spans="1:27" ht="31.5" customHeight="1" thickTop="1" thickBot="1" x14ac:dyDescent="0.3">
      <c r="A46" s="994"/>
      <c r="B46" s="995" t="s">
        <v>120</v>
      </c>
      <c r="C46" s="996"/>
      <c r="D46" s="997">
        <f t="shared" ref="D46:J46" si="8">SUM(D33:D45)</f>
        <v>0</v>
      </c>
      <c r="E46" s="997">
        <f t="shared" si="8"/>
        <v>0</v>
      </c>
      <c r="F46" s="997">
        <f t="shared" si="8"/>
        <v>0</v>
      </c>
      <c r="G46" s="997">
        <f t="shared" si="8"/>
        <v>0</v>
      </c>
      <c r="H46" s="997">
        <f t="shared" si="8"/>
        <v>0</v>
      </c>
      <c r="I46" s="997">
        <f t="shared" si="8"/>
        <v>0</v>
      </c>
      <c r="J46" s="997">
        <f t="shared" si="8"/>
        <v>0</v>
      </c>
      <c r="K46" s="998"/>
      <c r="L46" s="998"/>
      <c r="M46" s="998"/>
      <c r="N46" s="998"/>
      <c r="O46" s="998"/>
      <c r="P46" s="998"/>
      <c r="Q46" s="998"/>
      <c r="R46" s="998"/>
      <c r="S46" s="999"/>
      <c r="T46" s="1000">
        <f>SUM(T33:T45)</f>
        <v>0</v>
      </c>
      <c r="U46" s="1000">
        <f>SUM(U33:U45)-U43</f>
        <v>18566883.989999998</v>
      </c>
      <c r="V46" s="1000">
        <f>SUM(V33:V45)-V43</f>
        <v>18566883.989999998</v>
      </c>
      <c r="W46" s="737"/>
      <c r="X46" s="998"/>
      <c r="Y46" s="1000">
        <f>SUM(Y33:Y45)</f>
        <v>0</v>
      </c>
      <c r="Z46" s="1001">
        <f>SUM(Z33:Z45)</f>
        <v>0</v>
      </c>
    </row>
    <row r="47" spans="1:27" ht="31.5" customHeight="1" thickBot="1" x14ac:dyDescent="0.3">
      <c r="A47" s="1002"/>
      <c r="B47" s="968" t="s">
        <v>153</v>
      </c>
      <c r="C47" s="1003"/>
      <c r="D47" s="1004">
        <f>D31+D46</f>
        <v>392033916.06</v>
      </c>
      <c r="E47" s="1003"/>
      <c r="F47" s="1005"/>
      <c r="G47" s="1004">
        <f>SUM(G21:G46)</f>
        <v>510892223.33999997</v>
      </c>
      <c r="H47" s="1004">
        <f>SUM(H21:H46)</f>
        <v>537131863.45000005</v>
      </c>
      <c r="I47" s="1004"/>
      <c r="J47" s="1004">
        <f t="shared" ref="J47:Q47" si="9">J31+J46</f>
        <v>548004000</v>
      </c>
      <c r="K47" s="1004">
        <f t="shared" si="9"/>
        <v>210417570.36000001</v>
      </c>
      <c r="L47" s="1004">
        <f t="shared" si="9"/>
        <v>79978331.209999993</v>
      </c>
      <c r="M47" s="1004">
        <f t="shared" si="9"/>
        <v>58868164.759999998</v>
      </c>
      <c r="N47" s="1004">
        <f t="shared" si="9"/>
        <v>5245250.92</v>
      </c>
      <c r="O47" s="1004">
        <f t="shared" si="9"/>
        <v>8616444.9800000004</v>
      </c>
      <c r="P47" s="1004">
        <f t="shared" si="9"/>
        <v>369502955.38999999</v>
      </c>
      <c r="Q47" s="1004">
        <f t="shared" si="9"/>
        <v>178501044.61000001</v>
      </c>
      <c r="R47" s="1004"/>
      <c r="S47" s="1006"/>
      <c r="T47" s="977">
        <f>T31+T46</f>
        <v>369502955.38</v>
      </c>
      <c r="U47" s="977">
        <f>U31+U46</f>
        <v>166559718.61000001</v>
      </c>
      <c r="V47" s="977">
        <f>V31+V46</f>
        <v>536062673.99000001</v>
      </c>
      <c r="W47" s="737"/>
      <c r="X47" s="1004"/>
      <c r="Y47" s="977">
        <f>Y31+Y46</f>
        <v>79922220.239999995</v>
      </c>
      <c r="Z47" s="1007">
        <f>Z31+Z46</f>
        <v>0</v>
      </c>
      <c r="AA47" s="707">
        <f>V47/1.0514</f>
        <v>509856071.89461702</v>
      </c>
    </row>
    <row r="48" spans="1:27" x14ac:dyDescent="0.25">
      <c r="AA48" s="1008">
        <f>J47/AA47</f>
        <v>1.0748</v>
      </c>
    </row>
    <row r="50" spans="1:27" x14ac:dyDescent="0.25">
      <c r="V50" s="774"/>
    </row>
    <row r="51" spans="1:27" x14ac:dyDescent="0.25">
      <c r="T51" s="774"/>
      <c r="V51" s="774"/>
    </row>
    <row r="52" spans="1:27" hidden="1" x14ac:dyDescent="0.25">
      <c r="T52" s="774"/>
    </row>
    <row r="53" spans="1:27" ht="35.1" hidden="1" customHeight="1" thickBot="1" x14ac:dyDescent="0.3">
      <c r="A53" s="1009">
        <v>31</v>
      </c>
      <c r="B53" s="1010">
        <v>8</v>
      </c>
      <c r="C53" s="1011" t="s">
        <v>250</v>
      </c>
      <c r="D53" s="1012"/>
      <c r="E53" s="1012"/>
      <c r="F53" s="1012"/>
      <c r="G53" s="1012"/>
      <c r="H53" s="1012"/>
      <c r="I53" s="1013"/>
      <c r="J53" s="1014"/>
      <c r="K53" s="1015"/>
      <c r="L53" s="1015"/>
      <c r="M53" s="1015"/>
      <c r="N53" s="1015"/>
      <c r="O53" s="1015"/>
      <c r="P53" s="1016"/>
      <c r="Q53" s="1016"/>
      <c r="R53" s="1017" t="s">
        <v>139</v>
      </c>
      <c r="S53" s="750" t="s">
        <v>298</v>
      </c>
      <c r="T53" s="1018">
        <v>0</v>
      </c>
      <c r="U53" s="1018">
        <v>107940.55</v>
      </c>
      <c r="V53" s="1019">
        <f>T53+U53</f>
        <v>107940.55</v>
      </c>
      <c r="X53" s="872"/>
      <c r="Y53" s="965"/>
      <c r="Z53" s="966"/>
      <c r="AA53" s="1203" t="s">
        <v>300</v>
      </c>
    </row>
    <row r="54" spans="1:27" ht="35.1" hidden="1" customHeight="1" thickTop="1" x14ac:dyDescent="0.25">
      <c r="A54" s="742">
        <v>28</v>
      </c>
      <c r="B54" s="903">
        <v>7</v>
      </c>
      <c r="C54" s="744" t="s">
        <v>148</v>
      </c>
      <c r="D54" s="745"/>
      <c r="E54" s="745"/>
      <c r="F54" s="745"/>
      <c r="G54" s="745"/>
      <c r="H54" s="745"/>
      <c r="I54" s="746"/>
      <c r="J54" s="747"/>
      <c r="K54" s="768"/>
      <c r="L54" s="768"/>
      <c r="M54" s="768"/>
      <c r="N54" s="768"/>
      <c r="O54" s="768"/>
      <c r="P54" s="768"/>
      <c r="Q54" s="768"/>
      <c r="R54" s="1020" t="s">
        <v>139</v>
      </c>
      <c r="S54" s="750" t="str">
        <f>S33</f>
        <v>ВОР подписан, смета отправлена на проверку 21.06</v>
      </c>
      <c r="T54" s="1021">
        <v>0</v>
      </c>
      <c r="U54" s="1021">
        <v>231084.76</v>
      </c>
      <c r="V54" s="905">
        <f>T54+U54</f>
        <v>231084.76</v>
      </c>
      <c r="X54" s="872"/>
      <c r="Y54" s="965"/>
      <c r="Z54" s="966"/>
      <c r="AA54" s="1203"/>
    </row>
    <row r="55" spans="1:27" ht="52.5" hidden="1" customHeight="1" x14ac:dyDescent="0.25">
      <c r="A55" s="954">
        <v>36</v>
      </c>
      <c r="B55" s="955"/>
      <c r="C55" s="956" t="s">
        <v>151</v>
      </c>
      <c r="D55" s="957"/>
      <c r="E55" s="957"/>
      <c r="F55" s="957"/>
      <c r="G55" s="957"/>
      <c r="H55" s="957"/>
      <c r="I55" s="958"/>
      <c r="J55" s="959"/>
      <c r="K55" s="960"/>
      <c r="L55" s="960"/>
      <c r="M55" s="960"/>
      <c r="N55" s="960"/>
      <c r="O55" s="960"/>
      <c r="P55" s="961"/>
      <c r="Q55" s="961"/>
      <c r="R55" s="1022" t="s">
        <v>243</v>
      </c>
      <c r="S55" s="1023"/>
      <c r="T55" s="963"/>
      <c r="U55" s="963"/>
      <c r="V55" s="964">
        <f>T55+U55</f>
        <v>0</v>
      </c>
      <c r="X55" s="872"/>
      <c r="Y55" s="965"/>
      <c r="Z55" s="966"/>
      <c r="AA55" s="1024" t="s">
        <v>301</v>
      </c>
    </row>
    <row r="56" spans="1:27" x14ac:dyDescent="0.25">
      <c r="T56" s="774"/>
    </row>
    <row r="57" spans="1:27" x14ac:dyDescent="0.25">
      <c r="V57" s="774"/>
    </row>
    <row r="67" spans="1:27" s="708" customFormat="1" ht="54.95" customHeight="1" x14ac:dyDescent="0.25">
      <c r="A67" s="705"/>
      <c r="B67" s="1025"/>
      <c r="C67" s="705"/>
      <c r="D67" s="1026"/>
      <c r="E67" s="705"/>
      <c r="F67" s="1027"/>
      <c r="G67" s="1026"/>
      <c r="H67" s="1026"/>
      <c r="I67" s="1026"/>
      <c r="J67" s="1026"/>
      <c r="K67" s="1026"/>
      <c r="M67" s="704"/>
      <c r="O67" s="704"/>
      <c r="P67" s="705"/>
      <c r="Q67" s="705"/>
      <c r="R67" s="705"/>
      <c r="S67" s="705"/>
      <c r="T67" s="705"/>
      <c r="U67" s="705"/>
      <c r="V67" s="705"/>
      <c r="W67" s="706"/>
      <c r="X67" s="705"/>
      <c r="Y67" s="705"/>
      <c r="Z67" s="705"/>
      <c r="AA67" s="1028"/>
    </row>
    <row r="68" spans="1:27" s="708" customFormat="1" x14ac:dyDescent="0.25">
      <c r="A68" s="705"/>
      <c r="B68" s="705"/>
      <c r="C68" s="705"/>
      <c r="D68" s="774">
        <f>ССР!H58</f>
        <v>392033.92</v>
      </c>
      <c r="E68" s="705"/>
      <c r="F68" s="774"/>
      <c r="G68" s="774">
        <f>ССР!H76</f>
        <v>434361.04</v>
      </c>
      <c r="H68" s="774">
        <f>ССР!H78</f>
        <v>456670</v>
      </c>
      <c r="I68" s="705"/>
      <c r="J68" s="774"/>
      <c r="K68" s="704"/>
      <c r="M68" s="704"/>
      <c r="O68" s="704"/>
      <c r="P68" s="705"/>
      <c r="Q68" s="705"/>
      <c r="R68" s="705"/>
      <c r="S68" s="705"/>
      <c r="T68" s="705"/>
      <c r="U68" s="705"/>
      <c r="V68" s="705"/>
      <c r="W68" s="706"/>
      <c r="X68" s="705"/>
      <c r="Y68" s="705"/>
      <c r="Z68" s="705"/>
      <c r="AA68" s="1028"/>
    </row>
    <row r="69" spans="1:27" s="708" customFormat="1" x14ac:dyDescent="0.25">
      <c r="A69" s="705"/>
      <c r="B69" s="705"/>
      <c r="C69" s="705"/>
      <c r="D69" s="774">
        <f>D31/1000</f>
        <v>392033.92</v>
      </c>
      <c r="E69" s="705"/>
      <c r="F69" s="1029"/>
      <c r="G69" s="1030">
        <f>G31/1000</f>
        <v>434361.03</v>
      </c>
      <c r="H69" s="1030">
        <f>H31/1000</f>
        <v>456670</v>
      </c>
      <c r="I69" s="705"/>
      <c r="J69" s="774"/>
      <c r="K69" s="1026"/>
      <c r="M69" s="704"/>
      <c r="O69" s="704"/>
      <c r="P69" s="705"/>
      <c r="Q69" s="705"/>
      <c r="R69" s="705"/>
      <c r="S69" s="705"/>
      <c r="T69" s="705"/>
      <c r="U69" s="705"/>
      <c r="V69" s="705"/>
      <c r="W69" s="706"/>
      <c r="X69" s="705"/>
      <c r="Y69" s="705"/>
      <c r="Z69" s="705"/>
      <c r="AA69" s="1028"/>
    </row>
    <row r="70" spans="1:27" s="708" customFormat="1" x14ac:dyDescent="0.25">
      <c r="A70" s="705"/>
      <c r="B70" s="705"/>
      <c r="C70" s="705"/>
      <c r="D70" s="774"/>
      <c r="E70" s="774"/>
      <c r="F70" s="1029"/>
      <c r="G70" s="705"/>
      <c r="H70" s="705"/>
      <c r="I70" s="705"/>
      <c r="J70" s="705"/>
      <c r="M70" s="704"/>
      <c r="O70" s="704"/>
      <c r="P70" s="705"/>
      <c r="Q70" s="705"/>
      <c r="R70" s="705"/>
      <c r="S70" s="705"/>
      <c r="T70" s="705"/>
      <c r="U70" s="705"/>
      <c r="V70" s="705"/>
      <c r="W70" s="706"/>
      <c r="X70" s="705"/>
      <c r="Y70" s="705"/>
      <c r="Z70" s="705"/>
      <c r="AA70" s="1028"/>
    </row>
    <row r="90" spans="1:1" x14ac:dyDescent="0.25">
      <c r="A90" s="705">
        <v>7</v>
      </c>
    </row>
  </sheetData>
  <autoFilter ref="A3:W47" xr:uid="{00000000-0001-0000-0100-000000000000}"/>
  <mergeCells count="14">
    <mergeCell ref="AA53:AA54"/>
    <mergeCell ref="A1:J1"/>
    <mergeCell ref="A3:A4"/>
    <mergeCell ref="B3:B4"/>
    <mergeCell ref="C3:C4"/>
    <mergeCell ref="G3:G4"/>
    <mergeCell ref="H3:H4"/>
    <mergeCell ref="I3:I4"/>
    <mergeCell ref="J3:J4"/>
    <mergeCell ref="T5:U5"/>
    <mergeCell ref="T23:U23"/>
    <mergeCell ref="AA27:AA28"/>
    <mergeCell ref="T32:U32"/>
    <mergeCell ref="T44:U44"/>
  </mergeCells>
  <pageMargins left="0.23622047244094491" right="0.23622047244094491" top="0.74803149606299213" bottom="0.74803149606299213" header="0.31496062992125984" footer="0.31496062992125984"/>
  <pageSetup paperSize="9" scale="58" fitToHeight="100" orientation="landscape" r:id="rId1"/>
  <rowBreaks count="1" manualBreakCount="1">
    <brk id="56" max="9" man="1"/>
  </rowBreaks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54EB5B-18CE-4F4A-9031-562029E5C5B4}">
  <sheetPr>
    <tabColor rgb="FFFFFF00"/>
    <pageSetUpPr fitToPage="1"/>
  </sheetPr>
  <dimension ref="A1:G93"/>
  <sheetViews>
    <sheetView tabSelected="1" zoomScale="70" zoomScaleNormal="70" zoomScaleSheetLayoutView="80" workbookViewId="0">
      <pane ySplit="3" topLeftCell="A36" activePane="bottomLeft" state="frozen"/>
      <selection pane="bottomLeft" activeCell="E44" sqref="E44"/>
    </sheetView>
  </sheetViews>
  <sheetFormatPr defaultColWidth="9.140625" defaultRowHeight="15.75" x14ac:dyDescent="0.25"/>
  <cols>
    <col min="1" max="1" width="6.28515625" style="36" customWidth="1"/>
    <col min="2" max="2" width="17" style="36" customWidth="1"/>
    <col min="3" max="3" width="38.85546875" style="36" customWidth="1"/>
    <col min="4" max="4" width="26.140625" style="36" customWidth="1"/>
    <col min="5" max="5" width="26.7109375" style="36" customWidth="1"/>
    <col min="6" max="6" width="31.42578125" style="36" customWidth="1"/>
    <col min="7" max="16384" width="9.140625" style="36"/>
  </cols>
  <sheetData>
    <row r="1" spans="1:6" ht="8.25" customHeight="1" x14ac:dyDescent="0.25">
      <c r="A1" s="1189"/>
      <c r="B1" s="1189"/>
      <c r="C1" s="1189"/>
    </row>
    <row r="2" spans="1:6" ht="5.25" customHeight="1" thickBot="1" x14ac:dyDescent="0.3">
      <c r="A2" s="37"/>
      <c r="B2" s="37"/>
      <c r="C2" s="37"/>
    </row>
    <row r="3" spans="1:6" ht="47.25" customHeight="1" x14ac:dyDescent="0.25">
      <c r="A3" s="1190" t="s">
        <v>111</v>
      </c>
      <c r="B3" s="1192" t="s">
        <v>112</v>
      </c>
      <c r="C3" s="1192" t="s">
        <v>113</v>
      </c>
      <c r="D3" s="80" t="s">
        <v>334</v>
      </c>
      <c r="E3" s="80" t="s">
        <v>333</v>
      </c>
      <c r="F3" s="80" t="s">
        <v>332</v>
      </c>
    </row>
    <row r="4" spans="1:6" ht="14.25" customHeight="1" x14ac:dyDescent="0.25">
      <c r="A4" s="1191"/>
      <c r="B4" s="1193"/>
      <c r="C4" s="1193"/>
      <c r="D4" s="81"/>
      <c r="E4" s="81"/>
      <c r="F4" s="81"/>
    </row>
    <row r="5" spans="1:6" x14ac:dyDescent="0.25">
      <c r="A5" s="380"/>
      <c r="B5" s="381"/>
      <c r="C5" s="381"/>
      <c r="D5" s="1196" t="s">
        <v>283</v>
      </c>
      <c r="E5" s="1197"/>
      <c r="F5" s="384"/>
    </row>
    <row r="6" spans="1:6" ht="54" customHeight="1" x14ac:dyDescent="0.25">
      <c r="A6" s="217">
        <v>1</v>
      </c>
      <c r="B6" s="245" t="s">
        <v>159</v>
      </c>
      <c r="C6" s="219" t="s">
        <v>26</v>
      </c>
      <c r="D6" s="247">
        <f>239.36+79.2+67.2+41.28+1876.05+990.69+249.39+76.8</f>
        <v>3619.97</v>
      </c>
      <c r="E6" s="247">
        <v>0</v>
      </c>
      <c r="F6" s="248">
        <f>D6+E6</f>
        <v>3619.97</v>
      </c>
    </row>
    <row r="7" spans="1:6" ht="49.5" customHeight="1" x14ac:dyDescent="0.25">
      <c r="A7" s="217">
        <v>2</v>
      </c>
      <c r="B7" s="245" t="s">
        <v>160</v>
      </c>
      <c r="C7" s="219" t="s">
        <v>9</v>
      </c>
      <c r="D7" s="247">
        <f>294.26+112.49+44.72+21.06+82.64+4.45+208.35+179.99+354+173.39</f>
        <v>1475.35</v>
      </c>
      <c r="E7" s="247">
        <v>0</v>
      </c>
      <c r="F7" s="248">
        <f t="shared" ref="F7:F24" si="0">D7+E7</f>
        <v>1475.35</v>
      </c>
    </row>
    <row r="8" spans="1:6" ht="35.1" customHeight="1" x14ac:dyDescent="0.25">
      <c r="A8" s="217">
        <v>3</v>
      </c>
      <c r="B8" s="245" t="s">
        <v>176</v>
      </c>
      <c r="C8" s="219" t="s">
        <v>10</v>
      </c>
      <c r="D8" s="247">
        <v>0</v>
      </c>
      <c r="E8" s="247">
        <v>0</v>
      </c>
      <c r="F8" s="248">
        <f t="shared" si="0"/>
        <v>0</v>
      </c>
    </row>
    <row r="9" spans="1:6" s="525" customFormat="1" ht="47.25" x14ac:dyDescent="0.25">
      <c r="A9" s="217">
        <v>4</v>
      </c>
      <c r="B9" s="245" t="s">
        <v>177</v>
      </c>
      <c r="C9" s="219" t="s">
        <v>36</v>
      </c>
      <c r="D9" s="247">
        <v>29.1</v>
      </c>
      <c r="E9" s="247">
        <v>6.27</v>
      </c>
      <c r="F9" s="248">
        <f t="shared" si="0"/>
        <v>35.369999999999997</v>
      </c>
    </row>
    <row r="10" spans="1:6" ht="27.75" customHeight="1" x14ac:dyDescent="0.25">
      <c r="A10" s="217">
        <v>5</v>
      </c>
      <c r="B10" s="245" t="s">
        <v>195</v>
      </c>
      <c r="C10" s="219" t="s">
        <v>313</v>
      </c>
      <c r="D10" s="247">
        <v>0</v>
      </c>
      <c r="E10" s="247">
        <v>0</v>
      </c>
      <c r="F10" s="248">
        <f t="shared" si="0"/>
        <v>0</v>
      </c>
    </row>
    <row r="11" spans="1:6" ht="31.5" x14ac:dyDescent="0.25">
      <c r="A11" s="217">
        <v>6</v>
      </c>
      <c r="B11" s="245" t="s">
        <v>178</v>
      </c>
      <c r="C11" s="219" t="s">
        <v>312</v>
      </c>
      <c r="D11" s="247">
        <v>0</v>
      </c>
      <c r="E11" s="247">
        <v>209.38</v>
      </c>
      <c r="F11" s="248">
        <f t="shared" si="0"/>
        <v>209.38</v>
      </c>
    </row>
    <row r="12" spans="1:6" ht="31.5" x14ac:dyDescent="0.25">
      <c r="A12" s="217">
        <v>7</v>
      </c>
      <c r="B12" s="245" t="s">
        <v>179</v>
      </c>
      <c r="C12" s="219" t="s">
        <v>47</v>
      </c>
      <c r="D12" s="247">
        <v>0</v>
      </c>
      <c r="E12" s="247">
        <v>125.39</v>
      </c>
      <c r="F12" s="248">
        <f t="shared" si="0"/>
        <v>125.39</v>
      </c>
    </row>
    <row r="13" spans="1:6" ht="31.5" x14ac:dyDescent="0.25">
      <c r="A13" s="217">
        <v>8</v>
      </c>
      <c r="B13" s="245" t="s">
        <v>180</v>
      </c>
      <c r="C13" s="219" t="s">
        <v>49</v>
      </c>
      <c r="D13" s="247">
        <v>0</v>
      </c>
      <c r="E13" s="247">
        <v>1278.1500000000001</v>
      </c>
      <c r="F13" s="248">
        <f t="shared" si="0"/>
        <v>1278.1500000000001</v>
      </c>
    </row>
    <row r="14" spans="1:6" s="525" customFormat="1" ht="31.5" x14ac:dyDescent="0.25">
      <c r="A14" s="217">
        <v>9</v>
      </c>
      <c r="B14" s="245" t="s">
        <v>181</v>
      </c>
      <c r="C14" s="219" t="s">
        <v>52</v>
      </c>
      <c r="D14" s="247">
        <f>29.24+0.29</f>
        <v>29.53</v>
      </c>
      <c r="E14" s="247">
        <v>116.4</v>
      </c>
      <c r="F14" s="248">
        <f t="shared" si="0"/>
        <v>145.93</v>
      </c>
    </row>
    <row r="15" spans="1:6" s="525" customFormat="1" ht="31.5" x14ac:dyDescent="0.25">
      <c r="A15" s="217">
        <v>10</v>
      </c>
      <c r="B15" s="245" t="s">
        <v>182</v>
      </c>
      <c r="C15" s="219" t="s">
        <v>54</v>
      </c>
      <c r="D15" s="247">
        <v>104.9</v>
      </c>
      <c r="E15" s="247">
        <v>161.75</v>
      </c>
      <c r="F15" s="248">
        <f t="shared" si="0"/>
        <v>266.64999999999998</v>
      </c>
    </row>
    <row r="16" spans="1:6" ht="31.5" x14ac:dyDescent="0.25">
      <c r="A16" s="217">
        <v>11</v>
      </c>
      <c r="B16" s="245" t="s">
        <v>183</v>
      </c>
      <c r="C16" s="219" t="s">
        <v>62</v>
      </c>
      <c r="D16" s="247">
        <v>0</v>
      </c>
      <c r="E16" s="247">
        <v>137.49</v>
      </c>
      <c r="F16" s="248">
        <f t="shared" si="0"/>
        <v>137.49</v>
      </c>
    </row>
    <row r="17" spans="1:7" ht="31.5" x14ac:dyDescent="0.25">
      <c r="A17" s="217">
        <v>12</v>
      </c>
      <c r="B17" s="245" t="s">
        <v>184</v>
      </c>
      <c r="C17" s="219" t="s">
        <v>64</v>
      </c>
      <c r="D17" s="247">
        <v>0</v>
      </c>
      <c r="E17" s="247">
        <v>220.61</v>
      </c>
      <c r="F17" s="248">
        <f t="shared" si="0"/>
        <v>220.61</v>
      </c>
    </row>
    <row r="18" spans="1:7" ht="31.5" x14ac:dyDescent="0.25">
      <c r="A18" s="217">
        <v>13</v>
      </c>
      <c r="B18" s="245" t="s">
        <v>289</v>
      </c>
      <c r="C18" s="219" t="s">
        <v>337</v>
      </c>
      <c r="D18" s="247">
        <v>0</v>
      </c>
      <c r="E18" s="247">
        <v>243.87</v>
      </c>
      <c r="F18" s="248">
        <f t="shared" si="0"/>
        <v>243.87</v>
      </c>
    </row>
    <row r="19" spans="1:7" ht="27.75" customHeight="1" x14ac:dyDescent="0.25">
      <c r="A19" s="217">
        <v>14</v>
      </c>
      <c r="B19" s="372" t="s">
        <v>306</v>
      </c>
      <c r="C19" s="219" t="s">
        <v>336</v>
      </c>
      <c r="D19" s="247">
        <f>7782.36+49.2</f>
        <v>7831.56</v>
      </c>
      <c r="E19" s="247">
        <v>1905.74</v>
      </c>
      <c r="F19" s="1138">
        <f t="shared" si="0"/>
        <v>9737.2999999999993</v>
      </c>
      <c r="G19" s="36" t="s">
        <v>338</v>
      </c>
    </row>
    <row r="20" spans="1:7" s="585" customFormat="1" ht="35.25" customHeight="1" x14ac:dyDescent="0.25">
      <c r="A20" s="217">
        <v>15</v>
      </c>
      <c r="B20" s="372" t="s">
        <v>307</v>
      </c>
      <c r="C20" s="219" t="s">
        <v>34</v>
      </c>
      <c r="D20" s="247">
        <v>1090</v>
      </c>
      <c r="E20" s="247">
        <v>29.88</v>
      </c>
      <c r="F20" s="248">
        <f t="shared" si="0"/>
        <v>1119.8800000000001</v>
      </c>
    </row>
    <row r="21" spans="1:7" s="449" customFormat="1" ht="36" customHeight="1" x14ac:dyDescent="0.25">
      <c r="A21" s="1108">
        <v>16</v>
      </c>
      <c r="B21" s="1109" t="s">
        <v>59</v>
      </c>
      <c r="C21" s="1110" t="s">
        <v>60</v>
      </c>
      <c r="D21" s="1111">
        <f>13.32+22.85</f>
        <v>36.17</v>
      </c>
      <c r="E21" s="247">
        <v>0</v>
      </c>
      <c r="F21" s="248">
        <f t="shared" si="0"/>
        <v>36.17</v>
      </c>
    </row>
    <row r="22" spans="1:7" s="585" customFormat="1" ht="43.5" customHeight="1" x14ac:dyDescent="0.25">
      <c r="A22" s="217">
        <v>17</v>
      </c>
      <c r="B22" s="245" t="s">
        <v>58</v>
      </c>
      <c r="C22" s="219" t="s">
        <v>297</v>
      </c>
      <c r="D22" s="247">
        <v>91.79</v>
      </c>
      <c r="E22" s="247">
        <v>69.849999999999994</v>
      </c>
      <c r="F22" s="248">
        <f t="shared" si="0"/>
        <v>161.63999999999999</v>
      </c>
    </row>
    <row r="23" spans="1:7" ht="31.5" x14ac:dyDescent="0.25">
      <c r="A23" s="217">
        <v>18</v>
      </c>
      <c r="B23" s="245" t="s">
        <v>70</v>
      </c>
      <c r="C23" s="219" t="s">
        <v>324</v>
      </c>
      <c r="D23" s="247">
        <v>1109</v>
      </c>
      <c r="E23" s="247">
        <v>2217.23</v>
      </c>
      <c r="F23" s="248">
        <f t="shared" si="0"/>
        <v>3326.23</v>
      </c>
    </row>
    <row r="24" spans="1:7" ht="42.75" customHeight="1" x14ac:dyDescent="0.25">
      <c r="A24" s="217">
        <v>20</v>
      </c>
      <c r="B24" s="245" t="s">
        <v>71</v>
      </c>
      <c r="C24" s="219" t="s">
        <v>109</v>
      </c>
      <c r="D24" s="247">
        <v>1951.95</v>
      </c>
      <c r="E24" s="247">
        <v>1405.97</v>
      </c>
      <c r="F24" s="1138">
        <f t="shared" si="0"/>
        <v>3357.92</v>
      </c>
      <c r="G24" s="36" t="s">
        <v>338</v>
      </c>
    </row>
    <row r="25" spans="1:7" ht="4.5" customHeight="1" thickBot="1" x14ac:dyDescent="0.3">
      <c r="A25" s="475"/>
      <c r="B25" s="1070"/>
      <c r="C25" s="1071"/>
      <c r="D25" s="1076"/>
      <c r="E25" s="1077"/>
      <c r="F25" s="1077"/>
    </row>
    <row r="26" spans="1:7" s="449" customFormat="1" ht="32.25" customHeight="1" x14ac:dyDescent="0.25">
      <c r="A26" s="1127">
        <v>21</v>
      </c>
      <c r="B26" s="1128" t="s">
        <v>32</v>
      </c>
      <c r="C26" s="1129" t="s">
        <v>12</v>
      </c>
      <c r="D26" s="1125">
        <v>8.59</v>
      </c>
      <c r="E26" s="1133">
        <v>0</v>
      </c>
      <c r="F26" s="1134">
        <f>D26+E26</f>
        <v>8.59</v>
      </c>
    </row>
    <row r="27" spans="1:7" s="449" customFormat="1" ht="32.25" thickBot="1" x14ac:dyDescent="0.3">
      <c r="A27" s="1130">
        <v>22</v>
      </c>
      <c r="B27" s="1131" t="s">
        <v>55</v>
      </c>
      <c r="C27" s="1132" t="s">
        <v>56</v>
      </c>
      <c r="D27" s="1126">
        <v>33</v>
      </c>
      <c r="E27" s="1135">
        <v>0</v>
      </c>
      <c r="F27" s="1136">
        <f>D27+E27</f>
        <v>33</v>
      </c>
    </row>
    <row r="28" spans="1:7" ht="35.1" customHeight="1" x14ac:dyDescent="0.25">
      <c r="A28" s="458">
        <v>23</v>
      </c>
      <c r="B28" s="463">
        <v>1</v>
      </c>
      <c r="C28" s="464" t="s">
        <v>175</v>
      </c>
      <c r="D28" s="1112">
        <v>0</v>
      </c>
      <c r="E28" s="1112">
        <v>0</v>
      </c>
      <c r="F28" s="1137">
        <f t="shared" ref="F28:F29" si="1">D28+E28</f>
        <v>0</v>
      </c>
    </row>
    <row r="29" spans="1:7" ht="35.1" customHeight="1" thickBot="1" x14ac:dyDescent="0.3">
      <c r="A29" s="1108">
        <v>24</v>
      </c>
      <c r="B29" s="1113">
        <v>1</v>
      </c>
      <c r="C29" s="1110" t="s">
        <v>174</v>
      </c>
      <c r="D29" s="1111">
        <f>107.6+418.5</f>
        <v>526.1</v>
      </c>
      <c r="E29" s="1111">
        <v>0</v>
      </c>
      <c r="F29" s="1136">
        <f t="shared" si="1"/>
        <v>526.1</v>
      </c>
    </row>
    <row r="30" spans="1:7" ht="31.5" customHeight="1" thickBot="1" x14ac:dyDescent="0.3">
      <c r="A30" s="1116"/>
      <c r="B30" s="1117" t="s">
        <v>120</v>
      </c>
      <c r="C30" s="1118"/>
      <c r="D30" s="1119">
        <f>SUM(D6:D29)</f>
        <v>17937.009999999998</v>
      </c>
      <c r="E30" s="1119">
        <f>SUM(E6:E29)</f>
        <v>8127.98</v>
      </c>
      <c r="F30" s="1119">
        <f>SUM(F6:F29)</f>
        <v>26064.99</v>
      </c>
    </row>
    <row r="31" spans="1:7" ht="32.25" customHeight="1" x14ac:dyDescent="0.25">
      <c r="A31" s="498"/>
      <c r="B31" s="499"/>
      <c r="C31" s="499"/>
      <c r="D31" s="1187" t="s">
        <v>335</v>
      </c>
      <c r="E31" s="1188"/>
      <c r="F31" s="503"/>
    </row>
    <row r="32" spans="1:7" ht="35.1" customHeight="1" x14ac:dyDescent="0.25">
      <c r="A32" s="217">
        <v>25</v>
      </c>
      <c r="B32" s="218">
        <v>2</v>
      </c>
      <c r="C32" s="219" t="s">
        <v>141</v>
      </c>
      <c r="D32" s="462">
        <v>0</v>
      </c>
      <c r="E32" s="462">
        <v>20.8</v>
      </c>
      <c r="F32" s="1114">
        <f>D32+E32</f>
        <v>20.8</v>
      </c>
    </row>
    <row r="33" spans="1:7" ht="35.1" customHeight="1" x14ac:dyDescent="0.25">
      <c r="A33" s="458">
        <v>26</v>
      </c>
      <c r="B33" s="218">
        <v>3</v>
      </c>
      <c r="C33" s="219" t="s">
        <v>142</v>
      </c>
      <c r="D33" s="462">
        <v>0</v>
      </c>
      <c r="E33" s="462">
        <v>0</v>
      </c>
      <c r="F33" s="1114">
        <f t="shared" ref="F33:F42" si="2">D33+E33</f>
        <v>0</v>
      </c>
    </row>
    <row r="34" spans="1:7" ht="35.1" customHeight="1" x14ac:dyDescent="0.25">
      <c r="A34" s="217">
        <v>27</v>
      </c>
      <c r="B34" s="218">
        <v>4</v>
      </c>
      <c r="C34" s="219" t="s">
        <v>143</v>
      </c>
      <c r="D34" s="462">
        <v>0</v>
      </c>
      <c r="E34" s="462">
        <v>0</v>
      </c>
      <c r="F34" s="1114">
        <f t="shared" si="2"/>
        <v>0</v>
      </c>
    </row>
    <row r="35" spans="1:7" ht="35.1" customHeight="1" x14ac:dyDescent="0.25">
      <c r="A35" s="458">
        <v>28</v>
      </c>
      <c r="B35" s="218">
        <v>5</v>
      </c>
      <c r="C35" s="219" t="s">
        <v>146</v>
      </c>
      <c r="D35" s="462">
        <v>0</v>
      </c>
      <c r="E35" s="462">
        <v>22.8</v>
      </c>
      <c r="F35" s="1114">
        <f t="shared" si="2"/>
        <v>22.8</v>
      </c>
    </row>
    <row r="36" spans="1:7" ht="35.1" customHeight="1" x14ac:dyDescent="0.25">
      <c r="A36" s="217">
        <v>29</v>
      </c>
      <c r="B36" s="218">
        <v>6</v>
      </c>
      <c r="C36" s="219" t="s">
        <v>140</v>
      </c>
      <c r="D36" s="530">
        <v>0</v>
      </c>
      <c r="E36" s="530">
        <v>37.97</v>
      </c>
      <c r="F36" s="1114">
        <f t="shared" si="2"/>
        <v>37.97</v>
      </c>
    </row>
    <row r="37" spans="1:7" ht="38.25" customHeight="1" x14ac:dyDescent="0.25">
      <c r="A37" s="217">
        <v>19</v>
      </c>
      <c r="B37" s="245">
        <v>7</v>
      </c>
      <c r="C37" s="219" t="s">
        <v>325</v>
      </c>
      <c r="D37" s="247">
        <v>0</v>
      </c>
      <c r="E37" s="530">
        <v>55.49</v>
      </c>
      <c r="F37" s="1114">
        <f t="shared" si="2"/>
        <v>55.49</v>
      </c>
    </row>
    <row r="38" spans="1:7" ht="46.5" customHeight="1" x14ac:dyDescent="0.25">
      <c r="A38" s="217">
        <v>31</v>
      </c>
      <c r="B38" s="218">
        <v>8</v>
      </c>
      <c r="C38" s="219" t="s">
        <v>327</v>
      </c>
      <c r="D38" s="462">
        <v>0</v>
      </c>
      <c r="E38" s="462">
        <v>29.86</v>
      </c>
      <c r="F38" s="1114">
        <f t="shared" si="2"/>
        <v>29.86</v>
      </c>
    </row>
    <row r="39" spans="1:7" ht="54.75" customHeight="1" x14ac:dyDescent="0.25">
      <c r="A39" s="458">
        <v>32</v>
      </c>
      <c r="B39" s="463">
        <v>9</v>
      </c>
      <c r="C39" s="464" t="s">
        <v>145</v>
      </c>
      <c r="D39" s="1112">
        <v>0</v>
      </c>
      <c r="E39" s="1112">
        <v>0</v>
      </c>
      <c r="F39" s="1114">
        <f t="shared" si="2"/>
        <v>0</v>
      </c>
    </row>
    <row r="40" spans="1:7" ht="35.1" customHeight="1" x14ac:dyDescent="0.25">
      <c r="A40" s="217">
        <v>33</v>
      </c>
      <c r="B40" s="218">
        <v>10</v>
      </c>
      <c r="C40" s="219" t="s">
        <v>303</v>
      </c>
      <c r="D40" s="462">
        <v>0</v>
      </c>
      <c r="E40" s="462">
        <v>0</v>
      </c>
      <c r="F40" s="1114">
        <f t="shared" si="2"/>
        <v>0</v>
      </c>
    </row>
    <row r="41" spans="1:7" ht="46.5" customHeight="1" x14ac:dyDescent="0.25">
      <c r="A41" s="458">
        <v>34</v>
      </c>
      <c r="B41" s="218">
        <v>11</v>
      </c>
      <c r="C41" s="219" t="s">
        <v>144</v>
      </c>
      <c r="D41" s="462">
        <v>0</v>
      </c>
      <c r="E41" s="462">
        <v>0</v>
      </c>
      <c r="F41" s="1114">
        <f t="shared" si="2"/>
        <v>0</v>
      </c>
    </row>
    <row r="42" spans="1:7" ht="35.1" customHeight="1" thickBot="1" x14ac:dyDescent="0.3">
      <c r="A42" s="421">
        <v>36</v>
      </c>
      <c r="B42" s="374"/>
      <c r="C42" s="375" t="s">
        <v>149</v>
      </c>
      <c r="D42" s="533">
        <v>0</v>
      </c>
      <c r="E42" s="533">
        <v>3.16</v>
      </c>
      <c r="F42" s="1139">
        <f t="shared" si="2"/>
        <v>3.16</v>
      </c>
      <c r="G42" s="36" t="s">
        <v>338</v>
      </c>
    </row>
    <row r="43" spans="1:7" ht="31.5" customHeight="1" thickTop="1" thickBot="1" x14ac:dyDescent="0.3">
      <c r="A43" s="1120"/>
      <c r="B43" s="1121" t="s">
        <v>120</v>
      </c>
      <c r="C43" s="1122"/>
      <c r="D43" s="1123">
        <f>SUM(D32:D42)</f>
        <v>0</v>
      </c>
      <c r="E43" s="1123">
        <f t="shared" ref="E43:F43" si="3">SUM(E32:E42)</f>
        <v>170.08</v>
      </c>
      <c r="F43" s="1123">
        <f t="shared" si="3"/>
        <v>170.08</v>
      </c>
    </row>
    <row r="44" spans="1:7" ht="31.5" customHeight="1" thickBot="1" x14ac:dyDescent="0.3">
      <c r="A44" s="104"/>
      <c r="B44" s="103" t="s">
        <v>153</v>
      </c>
      <c r="C44" s="70"/>
      <c r="D44" s="73">
        <f>D30+D43</f>
        <v>17937.009999999998</v>
      </c>
      <c r="E44" s="73">
        <f t="shared" ref="E44:F44" si="4">E30+E43</f>
        <v>8298.06</v>
      </c>
      <c r="F44" s="73">
        <f t="shared" si="4"/>
        <v>26235.07</v>
      </c>
    </row>
    <row r="45" spans="1:7" ht="31.5" customHeight="1" x14ac:dyDescent="0.25">
      <c r="D45" s="45"/>
      <c r="E45" s="45"/>
      <c r="F45" s="45"/>
    </row>
    <row r="46" spans="1:7" ht="31.5" customHeight="1" x14ac:dyDescent="0.25"/>
    <row r="47" spans="1:7" ht="31.5" customHeight="1" x14ac:dyDescent="0.25"/>
    <row r="49" spans="1:7" ht="45" customHeight="1" x14ac:dyDescent="0.25">
      <c r="A49" s="217">
        <v>35</v>
      </c>
      <c r="B49" s="218">
        <v>11</v>
      </c>
      <c r="C49" s="219" t="s">
        <v>277</v>
      </c>
      <c r="D49" s="530">
        <v>0</v>
      </c>
      <c r="E49" s="530">
        <v>621.79999999999995</v>
      </c>
      <c r="F49" s="462">
        <f>E49</f>
        <v>621.79999999999995</v>
      </c>
    </row>
    <row r="50" spans="1:7" ht="16.5" thickBot="1" x14ac:dyDescent="0.3">
      <c r="A50" s="1115"/>
      <c r="B50" s="1115"/>
      <c r="C50" s="1115"/>
      <c r="D50" s="1115"/>
      <c r="E50" s="1115"/>
      <c r="F50" s="1115"/>
    </row>
    <row r="51" spans="1:7" ht="31.5" customHeight="1" thickBot="1" x14ac:dyDescent="0.3">
      <c r="A51" s="1124"/>
      <c r="B51" s="1117" t="s">
        <v>153</v>
      </c>
      <c r="C51" s="1118"/>
      <c r="D51" s="1119">
        <f>D30+D43+D49</f>
        <v>17937.009999999998</v>
      </c>
      <c r="E51" s="1119">
        <f t="shared" ref="E51:F51" si="5">E30+E43+E49</f>
        <v>8919.86</v>
      </c>
      <c r="F51" s="1119">
        <f t="shared" si="5"/>
        <v>26856.87</v>
      </c>
      <c r="G51" s="36" t="s">
        <v>339</v>
      </c>
    </row>
    <row r="55" spans="1:7" hidden="1" x14ac:dyDescent="0.25"/>
    <row r="56" spans="1:7" ht="35.1" hidden="1" customHeight="1" x14ac:dyDescent="0.25">
      <c r="A56" s="36">
        <v>31</v>
      </c>
      <c r="B56" s="36">
        <v>8</v>
      </c>
      <c r="C56" s="36" t="s">
        <v>250</v>
      </c>
      <c r="D56" s="36">
        <v>0</v>
      </c>
      <c r="E56" s="36">
        <v>107940.55</v>
      </c>
      <c r="F56" s="36">
        <v>107940.55</v>
      </c>
    </row>
    <row r="57" spans="1:7" ht="35.1" hidden="1" customHeight="1" x14ac:dyDescent="0.25">
      <c r="A57" s="36">
        <v>28</v>
      </c>
      <c r="B57" s="36">
        <v>7</v>
      </c>
      <c r="C57" s="36" t="s">
        <v>148</v>
      </c>
      <c r="D57" s="36">
        <v>0</v>
      </c>
      <c r="E57" s="36">
        <v>231084.76</v>
      </c>
      <c r="F57" s="36">
        <v>231084.76</v>
      </c>
    </row>
    <row r="58" spans="1:7" ht="52.5" hidden="1" customHeight="1" x14ac:dyDescent="0.25">
      <c r="A58" s="36">
        <v>36</v>
      </c>
      <c r="C58" s="36" t="s">
        <v>151</v>
      </c>
      <c r="F58" s="36">
        <v>0</v>
      </c>
    </row>
    <row r="70" spans="1:6" s="39" customFormat="1" ht="54.95" customHeight="1" x14ac:dyDescent="0.25">
      <c r="A70" s="36"/>
      <c r="B70" s="36"/>
      <c r="C70" s="36"/>
      <c r="D70" s="36"/>
      <c r="E70" s="36"/>
      <c r="F70" s="36"/>
    </row>
    <row r="71" spans="1:6" s="39" customFormat="1" x14ac:dyDescent="0.25">
      <c r="A71" s="36"/>
      <c r="B71" s="36"/>
      <c r="C71" s="36"/>
      <c r="D71" s="36"/>
      <c r="E71" s="36"/>
      <c r="F71" s="36"/>
    </row>
    <row r="72" spans="1:6" s="39" customFormat="1" x14ac:dyDescent="0.25">
      <c r="A72" s="36"/>
      <c r="B72" s="36"/>
      <c r="C72" s="36"/>
      <c r="D72" s="36"/>
      <c r="E72" s="36"/>
      <c r="F72" s="36"/>
    </row>
    <row r="73" spans="1:6" s="39" customFormat="1" x14ac:dyDescent="0.25">
      <c r="A73" s="36"/>
      <c r="B73" s="36"/>
      <c r="C73" s="36"/>
      <c r="D73" s="36"/>
      <c r="E73" s="36"/>
      <c r="F73" s="36"/>
    </row>
    <row r="93" spans="1:1" x14ac:dyDescent="0.25">
      <c r="A93" s="36">
        <v>7</v>
      </c>
    </row>
  </sheetData>
  <autoFilter ref="A3:F43" xr:uid="{00000000-0001-0000-0100-000000000000}"/>
  <mergeCells count="6">
    <mergeCell ref="D5:E5"/>
    <mergeCell ref="D31:E31"/>
    <mergeCell ref="A1:C1"/>
    <mergeCell ref="A3:A4"/>
    <mergeCell ref="B3:B4"/>
    <mergeCell ref="C3:C4"/>
  </mergeCells>
  <pageMargins left="0.23622047244094491" right="0.23622047244094491" top="0.74803149606299213" bottom="0.74803149606299213" header="0.31496062992125984" footer="0.31496062992125984"/>
  <pageSetup paperSize="9" scale="58" fitToHeight="100" orientation="landscape" r:id="rId1"/>
  <rowBreaks count="2" manualBreakCount="2">
    <brk id="49" max="17" man="1"/>
    <brk id="59" max="9" man="1"/>
  </rowBreaks>
  <ignoredErrors>
    <ignoredError sqref="F6" evalError="1"/>
  </ignoredErrors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4097C6-937A-4C5F-9DD3-D00F77DCA840}">
  <sheetPr>
    <pageSetUpPr fitToPage="1"/>
  </sheetPr>
  <dimension ref="A1:AB92"/>
  <sheetViews>
    <sheetView zoomScale="70" zoomScaleNormal="70" zoomScaleSheetLayoutView="80" workbookViewId="0">
      <pane ySplit="3" topLeftCell="A31" activePane="bottomLeft" state="frozen"/>
      <selection pane="bottomLeft" activeCell="S48" sqref="S48"/>
    </sheetView>
  </sheetViews>
  <sheetFormatPr defaultColWidth="9.140625" defaultRowHeight="15.75" outlineLevelCol="1" x14ac:dyDescent="0.25"/>
  <cols>
    <col min="1" max="1" width="6.28515625" style="36" customWidth="1"/>
    <col min="2" max="2" width="16.140625" style="36" customWidth="1"/>
    <col min="3" max="3" width="35.140625" style="36" customWidth="1"/>
    <col min="4" max="4" width="20.5703125" style="36" hidden="1" customWidth="1" outlineLevel="1"/>
    <col min="5" max="5" width="18.85546875" style="36" hidden="1" customWidth="1" outlineLevel="1"/>
    <col min="6" max="6" width="17.5703125" style="36" hidden="1" customWidth="1" outlineLevel="1"/>
    <col min="7" max="7" width="20.7109375" style="36" hidden="1" customWidth="1" outlineLevel="1"/>
    <col min="8" max="8" width="19.5703125" style="36" hidden="1" customWidth="1" outlineLevel="1"/>
    <col min="9" max="9" width="8.5703125" style="36" hidden="1" customWidth="1" outlineLevel="1"/>
    <col min="10" max="10" width="22.28515625" style="36" customWidth="1" collapsed="1"/>
    <col min="11" max="11" width="20.42578125" style="39" hidden="1" customWidth="1" outlineLevel="1"/>
    <col min="12" max="12" width="16.85546875" style="39" hidden="1" customWidth="1" outlineLevel="1"/>
    <col min="13" max="13" width="18.140625" style="35" hidden="1" customWidth="1" outlineLevel="1"/>
    <col min="14" max="14" width="16.85546875" style="39" hidden="1" customWidth="1" outlineLevel="1"/>
    <col min="15" max="15" width="18.140625" style="35" hidden="1" customWidth="1" outlineLevel="1"/>
    <col min="16" max="16" width="18.42578125" style="36" customWidth="1" collapsed="1"/>
    <col min="17" max="17" width="16.7109375" style="36" customWidth="1"/>
    <col min="18" max="18" width="16.85546875" style="36" customWidth="1"/>
    <col min="19" max="19" width="40.85546875" style="36" customWidth="1"/>
    <col min="20" max="20" width="26.140625" style="36" customWidth="1"/>
    <col min="21" max="21" width="26.7109375" style="36" customWidth="1"/>
    <col min="22" max="22" width="31.42578125" style="36" customWidth="1"/>
    <col min="23" max="23" width="3.28515625" style="176" hidden="1" customWidth="1"/>
    <col min="24" max="24" width="27.5703125" style="36" hidden="1" customWidth="1"/>
    <col min="25" max="26" width="19" style="36" hidden="1" customWidth="1"/>
    <col min="27" max="27" width="29.28515625" style="406" bestFit="1" customWidth="1"/>
    <col min="28" max="28" width="15" style="36" customWidth="1"/>
    <col min="29" max="29" width="19.28515625" style="36" customWidth="1"/>
    <col min="30" max="16384" width="9.140625" style="36"/>
  </cols>
  <sheetData>
    <row r="1" spans="1:28" ht="8.25" customHeight="1" x14ac:dyDescent="0.25">
      <c r="A1" s="1189"/>
      <c r="B1" s="1189"/>
      <c r="C1" s="1189"/>
      <c r="D1" s="1189"/>
      <c r="E1" s="1189"/>
      <c r="F1" s="1189"/>
      <c r="G1" s="1189"/>
      <c r="H1" s="1189"/>
      <c r="I1" s="1189"/>
      <c r="J1" s="1189"/>
      <c r="K1" s="587"/>
      <c r="L1" s="587"/>
      <c r="N1" s="587"/>
    </row>
    <row r="2" spans="1:28" ht="5.25" customHeight="1" thickBot="1" x14ac:dyDescent="0.3">
      <c r="A2" s="37"/>
      <c r="B2" s="37"/>
      <c r="C2" s="37"/>
      <c r="D2" s="37"/>
      <c r="E2" s="37"/>
      <c r="F2" s="37"/>
      <c r="G2" s="37"/>
      <c r="H2" s="37"/>
      <c r="I2" s="38"/>
      <c r="J2" s="37"/>
    </row>
    <row r="3" spans="1:28" ht="47.25" customHeight="1" x14ac:dyDescent="0.25">
      <c r="A3" s="1190" t="s">
        <v>111</v>
      </c>
      <c r="B3" s="1192" t="s">
        <v>112</v>
      </c>
      <c r="C3" s="1192" t="s">
        <v>113</v>
      </c>
      <c r="D3" s="588" t="s">
        <v>114</v>
      </c>
      <c r="E3" s="588" t="s">
        <v>115</v>
      </c>
      <c r="F3" s="588" t="s">
        <v>116</v>
      </c>
      <c r="G3" s="1192" t="s">
        <v>117</v>
      </c>
      <c r="H3" s="1194" t="s">
        <v>125</v>
      </c>
      <c r="I3" s="1192" t="s">
        <v>118</v>
      </c>
      <c r="J3" s="1194" t="s">
        <v>244</v>
      </c>
      <c r="K3" s="74" t="s">
        <v>126</v>
      </c>
      <c r="L3" s="74" t="s">
        <v>127</v>
      </c>
      <c r="M3" s="75" t="s">
        <v>128</v>
      </c>
      <c r="N3" s="76" t="s">
        <v>134</v>
      </c>
      <c r="O3" s="77" t="s">
        <v>135</v>
      </c>
      <c r="P3" s="78" t="s">
        <v>136</v>
      </c>
      <c r="Q3" s="78" t="s">
        <v>121</v>
      </c>
      <c r="R3" s="79" t="s">
        <v>137</v>
      </c>
      <c r="S3" s="79" t="s">
        <v>138</v>
      </c>
      <c r="T3" s="80" t="s">
        <v>249</v>
      </c>
      <c r="U3" s="80" t="s">
        <v>276</v>
      </c>
      <c r="V3" s="80" t="s">
        <v>242</v>
      </c>
      <c r="X3" s="79" t="s">
        <v>193</v>
      </c>
      <c r="Y3" s="80" t="s">
        <v>157</v>
      </c>
      <c r="Z3" s="80" t="s">
        <v>137</v>
      </c>
      <c r="AA3" s="80" t="s">
        <v>293</v>
      </c>
    </row>
    <row r="4" spans="1:28" ht="14.25" customHeight="1" x14ac:dyDescent="0.25">
      <c r="A4" s="1191"/>
      <c r="B4" s="1193"/>
      <c r="C4" s="1193"/>
      <c r="D4" s="589"/>
      <c r="E4" s="589"/>
      <c r="F4" s="589"/>
      <c r="G4" s="1193"/>
      <c r="H4" s="1195"/>
      <c r="I4" s="1193"/>
      <c r="J4" s="1195"/>
      <c r="K4" s="54" t="s">
        <v>122</v>
      </c>
      <c r="L4" s="54" t="s">
        <v>123</v>
      </c>
      <c r="M4" s="54" t="s">
        <v>124</v>
      </c>
      <c r="N4" s="54" t="s">
        <v>132</v>
      </c>
      <c r="O4" s="54" t="s">
        <v>133</v>
      </c>
      <c r="P4" s="40"/>
      <c r="Q4" s="40"/>
      <c r="R4" s="65"/>
      <c r="S4" s="65"/>
      <c r="T4" s="81"/>
      <c r="U4" s="81"/>
      <c r="V4" s="81"/>
      <c r="X4" s="65"/>
      <c r="Y4" s="81"/>
      <c r="Z4" s="81"/>
    </row>
    <row r="5" spans="1:28" x14ac:dyDescent="0.25">
      <c r="A5" s="380"/>
      <c r="B5" s="381"/>
      <c r="C5" s="381"/>
      <c r="D5" s="381"/>
      <c r="E5" s="381"/>
      <c r="F5" s="381"/>
      <c r="G5" s="381"/>
      <c r="H5" s="382"/>
      <c r="I5" s="381"/>
      <c r="J5" s="382"/>
      <c r="K5" s="383"/>
      <c r="L5" s="383"/>
      <c r="M5" s="383"/>
      <c r="N5" s="383"/>
      <c r="O5" s="383"/>
      <c r="P5" s="383"/>
      <c r="Q5" s="383"/>
      <c r="R5" s="383"/>
      <c r="S5" s="383"/>
      <c r="T5" s="1196" t="s">
        <v>283</v>
      </c>
      <c r="U5" s="1197"/>
      <c r="V5" s="384"/>
      <c r="X5" s="65"/>
      <c r="Y5" s="81"/>
      <c r="Z5" s="81"/>
    </row>
    <row r="6" spans="1:28" ht="54" customHeight="1" x14ac:dyDescent="0.25">
      <c r="A6" s="301">
        <v>1</v>
      </c>
      <c r="B6" s="620" t="s">
        <v>159</v>
      </c>
      <c r="C6" s="302" t="str">
        <f>ССР!C24</f>
        <v>Выполнение работ по ликвидации объектов по трассе ж.д. путей, подготовке трассы ж.д. путей.</v>
      </c>
      <c r="D6" s="621">
        <v>48841208.740000002</v>
      </c>
      <c r="E6" s="621">
        <v>4004979.12</v>
      </c>
      <c r="F6" s="621">
        <v>1268308.51</v>
      </c>
      <c r="G6" s="621">
        <v>54114496.369999997</v>
      </c>
      <c r="H6" s="621">
        <v>56893839.630000003</v>
      </c>
      <c r="I6" s="304">
        <v>1.2</v>
      </c>
      <c r="J6" s="305">
        <f>ROUND(H6*I6,2)</f>
        <v>68272607.560000002</v>
      </c>
      <c r="K6" s="622">
        <v>65507253.219999999</v>
      </c>
      <c r="L6" s="622">
        <v>360012.73</v>
      </c>
      <c r="M6" s="622"/>
      <c r="N6" s="622"/>
      <c r="O6" s="622"/>
      <c r="P6" s="622">
        <f>K6+L6+M6+N6+O6</f>
        <v>65867265.950000003</v>
      </c>
      <c r="Q6" s="622">
        <f>J6-K6-L6-M6-N6-O6</f>
        <v>2405341.61</v>
      </c>
      <c r="R6" s="622" t="s">
        <v>139</v>
      </c>
      <c r="S6" s="623" t="s">
        <v>158</v>
      </c>
      <c r="T6" s="624">
        <f>P6</f>
        <v>65867265.950000003</v>
      </c>
      <c r="U6" s="624">
        <v>0</v>
      </c>
      <c r="V6" s="625">
        <f t="shared" ref="V6:V13" si="0">T6+U6</f>
        <v>65867265.950000003</v>
      </c>
      <c r="W6" s="177"/>
      <c r="X6" s="111"/>
      <c r="Y6" s="84"/>
      <c r="Z6" s="208"/>
      <c r="AA6" s="604"/>
    </row>
    <row r="7" spans="1:28" ht="49.5" customHeight="1" x14ac:dyDescent="0.25">
      <c r="A7" s="301">
        <v>2</v>
      </c>
      <c r="B7" s="620" t="s">
        <v>160</v>
      </c>
      <c r="C7" s="302" t="str">
        <f>ССР!C25</f>
        <v>Выполнение работ по ликвидации объекта капитального строительства</v>
      </c>
      <c r="D7" s="621">
        <v>40054718.460000001</v>
      </c>
      <c r="E7" s="621">
        <v>3284486.91</v>
      </c>
      <c r="F7" s="621">
        <v>1040140.93</v>
      </c>
      <c r="G7" s="621">
        <v>44379346.299999997</v>
      </c>
      <c r="H7" s="621">
        <v>46658688.170000002</v>
      </c>
      <c r="I7" s="304">
        <v>1.2</v>
      </c>
      <c r="J7" s="305">
        <f t="shared" ref="J7:J28" si="1">ROUND(H7*I7,2)</f>
        <v>55990425.799999997</v>
      </c>
      <c r="K7" s="622">
        <v>54911594.170000002</v>
      </c>
      <c r="L7" s="622"/>
      <c r="M7" s="622"/>
      <c r="N7" s="622"/>
      <c r="O7" s="622"/>
      <c r="P7" s="622">
        <f t="shared" ref="P7:P28" si="2">K7+L7+M7+N7+O7</f>
        <v>54911594.170000002</v>
      </c>
      <c r="Q7" s="622">
        <f t="shared" ref="Q7:Q28" si="3">J7-K7-L7-M7-N7-O7</f>
        <v>1078831.6299999999</v>
      </c>
      <c r="R7" s="622" t="s">
        <v>139</v>
      </c>
      <c r="S7" s="623" t="s">
        <v>158</v>
      </c>
      <c r="T7" s="624">
        <f t="shared" ref="T7:T28" si="4">P7</f>
        <v>54911594.170000002</v>
      </c>
      <c r="U7" s="624">
        <v>0</v>
      </c>
      <c r="V7" s="625">
        <f t="shared" si="0"/>
        <v>54911594.170000002</v>
      </c>
      <c r="X7" s="111"/>
      <c r="Y7" s="84"/>
      <c r="Z7" s="208"/>
      <c r="AA7" s="604"/>
    </row>
    <row r="8" spans="1:28" ht="35.1" customHeight="1" x14ac:dyDescent="0.25">
      <c r="A8" s="301">
        <v>3</v>
      </c>
      <c r="B8" s="620" t="s">
        <v>176</v>
      </c>
      <c r="C8" s="302" t="str">
        <f>ССР!C26</f>
        <v>Демонтаж сетей и систем  инженерного обоспечения.</v>
      </c>
      <c r="D8" s="621">
        <v>1177977.71</v>
      </c>
      <c r="E8" s="621">
        <v>96594.17</v>
      </c>
      <c r="F8" s="621">
        <v>30589.73</v>
      </c>
      <c r="G8" s="621">
        <v>1305161.6100000001</v>
      </c>
      <c r="H8" s="621">
        <v>1372195.26</v>
      </c>
      <c r="I8" s="304">
        <f>I6</f>
        <v>1.2</v>
      </c>
      <c r="J8" s="305">
        <f>ROUND(H8*I8,2)</f>
        <v>1646634.31</v>
      </c>
      <c r="K8" s="622"/>
      <c r="L8" s="622"/>
      <c r="M8" s="622">
        <v>1646696.3</v>
      </c>
      <c r="N8" s="622"/>
      <c r="O8" s="622"/>
      <c r="P8" s="622">
        <f t="shared" si="2"/>
        <v>1646696.3</v>
      </c>
      <c r="Q8" s="622">
        <v>0</v>
      </c>
      <c r="R8" s="622" t="s">
        <v>139</v>
      </c>
      <c r="S8" s="623" t="s">
        <v>158</v>
      </c>
      <c r="T8" s="624">
        <f t="shared" si="4"/>
        <v>1646696.3</v>
      </c>
      <c r="U8" s="624">
        <v>0</v>
      </c>
      <c r="V8" s="625">
        <f t="shared" si="0"/>
        <v>1646696.3</v>
      </c>
      <c r="X8" s="111"/>
      <c r="Y8" s="84"/>
      <c r="Z8" s="208"/>
      <c r="AA8" s="604"/>
    </row>
    <row r="9" spans="1:28" s="525" customFormat="1" ht="54.75" customHeight="1" x14ac:dyDescent="0.25">
      <c r="A9" s="591">
        <v>4</v>
      </c>
      <c r="B9" s="647" t="s">
        <v>177</v>
      </c>
      <c r="C9" s="592" t="str">
        <f>ССР!C32</f>
        <v>Трансбордер. Архитектурно-строительные решения. Часть 2. АС2 .</v>
      </c>
      <c r="D9" s="593">
        <v>1615223.87</v>
      </c>
      <c r="E9" s="593">
        <v>132448.35999999999</v>
      </c>
      <c r="F9" s="593">
        <v>41944.13</v>
      </c>
      <c r="G9" s="593">
        <v>1789616.36</v>
      </c>
      <c r="H9" s="593">
        <v>1881531.81</v>
      </c>
      <c r="I9" s="594">
        <f>I19</f>
        <v>1.2</v>
      </c>
      <c r="J9" s="595">
        <f t="shared" si="1"/>
        <v>2257838.17</v>
      </c>
      <c r="K9" s="648"/>
      <c r="L9" s="648"/>
      <c r="M9" s="648">
        <v>1627347.05</v>
      </c>
      <c r="N9" s="648"/>
      <c r="O9" s="648"/>
      <c r="P9" s="648">
        <f>K9+L9+M9+N9+O9</f>
        <v>1627347.05</v>
      </c>
      <c r="Q9" s="648">
        <f t="shared" si="3"/>
        <v>630491.12</v>
      </c>
      <c r="R9" s="649" t="s">
        <v>139</v>
      </c>
      <c r="S9" s="600" t="str">
        <f>S10</f>
        <v>ВОР подписан, смета отправлена на проверку 21.06</v>
      </c>
      <c r="T9" s="650">
        <f t="shared" si="4"/>
        <v>1627347.05</v>
      </c>
      <c r="U9" s="651">
        <v>400933.67</v>
      </c>
      <c r="V9" s="652">
        <f t="shared" si="0"/>
        <v>2028280.72</v>
      </c>
      <c r="W9" s="231"/>
      <c r="X9" s="229" t="s">
        <v>139</v>
      </c>
      <c r="Y9" s="523">
        <f>1447989.61*1.082*1.024*1.0514*1.2</f>
        <v>2024146.22</v>
      </c>
      <c r="Z9" s="524" t="s">
        <v>186</v>
      </c>
      <c r="AA9" s="604">
        <v>2023649.39</v>
      </c>
      <c r="AB9" s="606">
        <f>AA9-V9</f>
        <v>-4631.33</v>
      </c>
    </row>
    <row r="10" spans="1:28" ht="58.5" customHeight="1" x14ac:dyDescent="0.25">
      <c r="A10" s="591">
        <v>5</v>
      </c>
      <c r="B10" s="647" t="s">
        <v>195</v>
      </c>
      <c r="C10" s="592" t="str">
        <f>ССР!C35</f>
        <v>Электроснабжение. ЭС 1.</v>
      </c>
      <c r="D10" s="593">
        <v>475031.03999999998</v>
      </c>
      <c r="E10" s="593">
        <v>38952.550000000003</v>
      </c>
      <c r="F10" s="593">
        <v>12335.61</v>
      </c>
      <c r="G10" s="593">
        <v>526319.19999999995</v>
      </c>
      <c r="H10" s="593">
        <v>553351.18000000005</v>
      </c>
      <c r="I10" s="594">
        <f>I22</f>
        <v>1.2</v>
      </c>
      <c r="J10" s="595">
        <f t="shared" si="1"/>
        <v>664021.42000000004</v>
      </c>
      <c r="K10" s="648"/>
      <c r="L10" s="648"/>
      <c r="M10" s="648"/>
      <c r="N10" s="648"/>
      <c r="O10" s="648"/>
      <c r="P10" s="648">
        <f t="shared" si="2"/>
        <v>0</v>
      </c>
      <c r="Q10" s="648">
        <f t="shared" si="3"/>
        <v>664021.42000000004</v>
      </c>
      <c r="R10" s="649" t="s">
        <v>139</v>
      </c>
      <c r="S10" s="600" t="s">
        <v>299</v>
      </c>
      <c r="T10" s="650">
        <f t="shared" si="4"/>
        <v>0</v>
      </c>
      <c r="U10" s="651">
        <v>370254</v>
      </c>
      <c r="V10" s="652">
        <f t="shared" si="0"/>
        <v>370254</v>
      </c>
      <c r="W10" s="236"/>
      <c r="X10" s="228" t="s">
        <v>139</v>
      </c>
      <c r="Y10" s="232">
        <f>(235378.05+47139.18)*1.082*1.024*1.0514*1.2</f>
        <v>394931.14</v>
      </c>
      <c r="Z10" s="233" t="s">
        <v>186</v>
      </c>
      <c r="AA10" s="604">
        <v>388509.33</v>
      </c>
      <c r="AB10" s="606">
        <f t="shared" ref="AB10:AB17" si="5">AA10-V10</f>
        <v>18255.330000000002</v>
      </c>
    </row>
    <row r="11" spans="1:28" ht="58.5" customHeight="1" x14ac:dyDescent="0.25">
      <c r="A11" s="591">
        <v>6</v>
      </c>
      <c r="B11" s="647" t="s">
        <v>178</v>
      </c>
      <c r="C11" s="592" t="str">
        <f>ССР!C36</f>
        <v>Переустройство кабельных линий.ЭС2</v>
      </c>
      <c r="D11" s="593">
        <v>2276671.21</v>
      </c>
      <c r="E11" s="593">
        <v>186687.04</v>
      </c>
      <c r="F11" s="593">
        <v>59120.6</v>
      </c>
      <c r="G11" s="593">
        <v>2522478.85</v>
      </c>
      <c r="H11" s="593">
        <v>2652034.42</v>
      </c>
      <c r="I11" s="594">
        <f>I22</f>
        <v>1.2</v>
      </c>
      <c r="J11" s="595">
        <f t="shared" si="1"/>
        <v>3182441.3</v>
      </c>
      <c r="K11" s="648"/>
      <c r="L11" s="648"/>
      <c r="M11" s="648"/>
      <c r="N11" s="648"/>
      <c r="O11" s="648"/>
      <c r="P11" s="648">
        <f t="shared" si="2"/>
        <v>0</v>
      </c>
      <c r="Q11" s="648">
        <f t="shared" si="3"/>
        <v>3182441.3</v>
      </c>
      <c r="R11" s="649" t="s">
        <v>139</v>
      </c>
      <c r="S11" s="600" t="str">
        <f>S10</f>
        <v>ВОР подписан, смета отправлена на проверку 21.06</v>
      </c>
      <c r="T11" s="650">
        <f t="shared" si="4"/>
        <v>0</v>
      </c>
      <c r="U11" s="651">
        <v>4582694</v>
      </c>
      <c r="V11" s="652">
        <f t="shared" si="0"/>
        <v>4582694</v>
      </c>
      <c r="W11" s="178"/>
      <c r="X11" s="111" t="s">
        <v>139</v>
      </c>
      <c r="Y11" s="84">
        <f>(3206824.35+130942.19)*1.082*1.024*1.0514*1.2</f>
        <v>4665867.41</v>
      </c>
      <c r="Z11" s="233" t="s">
        <v>186</v>
      </c>
      <c r="AA11" s="604">
        <f>'вар НВ (с 0,65 и без упл)'!U11</f>
        <v>4814643</v>
      </c>
      <c r="AB11" s="606">
        <f t="shared" si="5"/>
        <v>231949</v>
      </c>
    </row>
    <row r="12" spans="1:28" ht="58.5" customHeight="1" x14ac:dyDescent="0.25">
      <c r="A12" s="591">
        <v>7</v>
      </c>
      <c r="B12" s="647" t="s">
        <v>179</v>
      </c>
      <c r="C12" s="592" t="str">
        <f>ССР!C40</f>
        <v>Переустройство хозпитьевого водопровода.НВК2</v>
      </c>
      <c r="D12" s="593">
        <v>760016.55</v>
      </c>
      <c r="E12" s="593">
        <v>62321.36</v>
      </c>
      <c r="F12" s="593">
        <v>19736.11</v>
      </c>
      <c r="G12" s="593">
        <v>842074.02</v>
      </c>
      <c r="H12" s="593">
        <v>885323.3</v>
      </c>
      <c r="I12" s="594">
        <f>I23</f>
        <v>1.2</v>
      </c>
      <c r="J12" s="595">
        <f t="shared" si="1"/>
        <v>1062387.96</v>
      </c>
      <c r="K12" s="648"/>
      <c r="L12" s="648"/>
      <c r="M12" s="648"/>
      <c r="N12" s="648"/>
      <c r="O12" s="648"/>
      <c r="P12" s="648">
        <f t="shared" si="2"/>
        <v>0</v>
      </c>
      <c r="Q12" s="648">
        <f t="shared" si="3"/>
        <v>1062387.96</v>
      </c>
      <c r="R12" s="648" t="s">
        <v>139</v>
      </c>
      <c r="S12" s="600" t="str">
        <f>S10</f>
        <v>ВОР подписан, смета отправлена на проверку 21.06</v>
      </c>
      <c r="T12" s="650">
        <f t="shared" si="4"/>
        <v>0</v>
      </c>
      <c r="U12" s="651">
        <v>1553260.73</v>
      </c>
      <c r="V12" s="652">
        <f t="shared" si="0"/>
        <v>1553260.73</v>
      </c>
      <c r="W12" s="231"/>
      <c r="X12" s="228" t="s">
        <v>139</v>
      </c>
      <c r="Y12" s="232">
        <f>1047143.73*1.082*1.024*1.0514*1.2</f>
        <v>1463803.34</v>
      </c>
      <c r="Z12" s="233" t="s">
        <v>186</v>
      </c>
      <c r="AA12" s="619">
        <v>1463803.34</v>
      </c>
      <c r="AB12" s="606">
        <f t="shared" si="5"/>
        <v>-89457.39</v>
      </c>
    </row>
    <row r="13" spans="1:28" ht="58.5" customHeight="1" x14ac:dyDescent="0.25">
      <c r="A13" s="591">
        <v>8</v>
      </c>
      <c r="B13" s="647" t="s">
        <v>180</v>
      </c>
      <c r="C13" s="592" t="str">
        <f>ССР!C41</f>
        <v>Переустройство хозпитьевого водопровода.НВК3</v>
      </c>
      <c r="D13" s="593">
        <v>10454161.890000001</v>
      </c>
      <c r="E13" s="593">
        <v>857241.27</v>
      </c>
      <c r="F13" s="593">
        <v>271473.68</v>
      </c>
      <c r="G13" s="593">
        <v>11582876.84</v>
      </c>
      <c r="H13" s="593">
        <v>12177778.26</v>
      </c>
      <c r="I13" s="594">
        <f t="shared" ref="I13:I18" si="6">I6</f>
        <v>1.2</v>
      </c>
      <c r="J13" s="595">
        <f t="shared" si="1"/>
        <v>14613333.91</v>
      </c>
      <c r="K13" s="648"/>
      <c r="L13" s="648"/>
      <c r="M13" s="648"/>
      <c r="N13" s="648"/>
      <c r="O13" s="648"/>
      <c r="P13" s="648">
        <f t="shared" si="2"/>
        <v>0</v>
      </c>
      <c r="Q13" s="648">
        <f t="shared" si="3"/>
        <v>14613333.91</v>
      </c>
      <c r="R13" s="648" t="s">
        <v>139</v>
      </c>
      <c r="S13" s="600" t="str">
        <f>S10</f>
        <v>ВОР подписан, смета отправлена на проверку 21.06</v>
      </c>
      <c r="T13" s="650">
        <f t="shared" si="4"/>
        <v>0</v>
      </c>
      <c r="U13" s="651">
        <v>19970832</v>
      </c>
      <c r="V13" s="652">
        <f t="shared" si="0"/>
        <v>19970832</v>
      </c>
      <c r="W13" s="231"/>
      <c r="X13" s="228" t="s">
        <v>139</v>
      </c>
      <c r="Y13" s="232">
        <f>13422525.94*1.082*1.024*1.0514*1.2</f>
        <v>18763363.32</v>
      </c>
      <c r="Z13" s="233" t="s">
        <v>186</v>
      </c>
      <c r="AA13" s="619">
        <f>'вар НВ (с 0,65 и без упл)'!U13</f>
        <v>19308691</v>
      </c>
      <c r="AB13" s="606">
        <f t="shared" si="5"/>
        <v>-662141</v>
      </c>
    </row>
    <row r="14" spans="1:28" s="525" customFormat="1" ht="58.5" customHeight="1" x14ac:dyDescent="0.25">
      <c r="A14" s="591">
        <v>9</v>
      </c>
      <c r="B14" s="647" t="s">
        <v>181</v>
      </c>
      <c r="C14" s="592" t="str">
        <f>ССР!C43</f>
        <v>Переустройство хозяйственно-бытовой канализации.НВК4</v>
      </c>
      <c r="D14" s="593">
        <v>9143309.8300000001</v>
      </c>
      <c r="E14" s="593">
        <v>749751.41</v>
      </c>
      <c r="F14" s="593">
        <v>237433.47</v>
      </c>
      <c r="G14" s="593">
        <v>10130494.710000001</v>
      </c>
      <c r="H14" s="593">
        <v>10650801.17</v>
      </c>
      <c r="I14" s="594">
        <f t="shared" si="6"/>
        <v>1.2</v>
      </c>
      <c r="J14" s="595">
        <f t="shared" si="1"/>
        <v>12780961.4</v>
      </c>
      <c r="K14" s="648"/>
      <c r="L14" s="648"/>
      <c r="M14" s="648"/>
      <c r="N14" s="648"/>
      <c r="O14" s="648">
        <v>337909.86</v>
      </c>
      <c r="P14" s="648">
        <f t="shared" si="2"/>
        <v>337909.86</v>
      </c>
      <c r="Q14" s="648">
        <f t="shared" si="3"/>
        <v>12443051.539999999</v>
      </c>
      <c r="R14" s="648" t="s">
        <v>139</v>
      </c>
      <c r="S14" s="600" t="str">
        <f>S10</f>
        <v>ВОР подписан, смета отправлена на проверку 21.06</v>
      </c>
      <c r="T14" s="650">
        <f t="shared" si="4"/>
        <v>337909.86</v>
      </c>
      <c r="U14" s="651">
        <v>2221220.66</v>
      </c>
      <c r="V14" s="652">
        <f t="shared" ref="V14:V19" si="7">T14+U14</f>
        <v>2559130.52</v>
      </c>
      <c r="W14" s="178"/>
      <c r="X14" s="175" t="s">
        <v>139</v>
      </c>
      <c r="Y14" s="174">
        <f>1724717.19*1.082*1.024*1.0514*1.2</f>
        <v>2410984</v>
      </c>
      <c r="Z14" s="524" t="s">
        <v>186</v>
      </c>
      <c r="AA14" s="619">
        <f>'вар НВ (с 0,65 и без упл)'!U14</f>
        <v>2202170</v>
      </c>
      <c r="AB14" s="606">
        <f t="shared" si="5"/>
        <v>-356960.52</v>
      </c>
    </row>
    <row r="15" spans="1:28" s="525" customFormat="1" ht="58.5" customHeight="1" x14ac:dyDescent="0.25">
      <c r="A15" s="591">
        <v>10</v>
      </c>
      <c r="B15" s="647" t="s">
        <v>182</v>
      </c>
      <c r="C15" s="592" t="str">
        <f>ССР!C44</f>
        <v>Переустройство ливневой канализации.НВК5.</v>
      </c>
      <c r="D15" s="593">
        <v>21996729.18</v>
      </c>
      <c r="E15" s="593">
        <v>1803731.79</v>
      </c>
      <c r="F15" s="593">
        <v>571211.06000000006</v>
      </c>
      <c r="G15" s="593">
        <v>24371672.030000001</v>
      </c>
      <c r="H15" s="593">
        <v>25623411.34</v>
      </c>
      <c r="I15" s="594">
        <f t="shared" si="6"/>
        <v>1.2</v>
      </c>
      <c r="J15" s="595">
        <f t="shared" si="1"/>
        <v>30748093.609999999</v>
      </c>
      <c r="K15" s="648"/>
      <c r="L15" s="648"/>
      <c r="M15" s="648">
        <v>1211400.79</v>
      </c>
      <c r="N15" s="648"/>
      <c r="O15" s="648"/>
      <c r="P15" s="648">
        <f t="shared" si="2"/>
        <v>1211400.79</v>
      </c>
      <c r="Q15" s="648">
        <f t="shared" si="3"/>
        <v>29536692.82</v>
      </c>
      <c r="R15" s="649" t="s">
        <v>139</v>
      </c>
      <c r="S15" s="600" t="str">
        <f>S10</f>
        <v>ВОР подписан, смета отправлена на проверку 21.06</v>
      </c>
      <c r="T15" s="650">
        <f t="shared" si="4"/>
        <v>1211400.79</v>
      </c>
      <c r="U15" s="651">
        <v>3314342.94</v>
      </c>
      <c r="V15" s="652">
        <f t="shared" si="7"/>
        <v>4525743.7300000004</v>
      </c>
      <c r="W15" s="178"/>
      <c r="X15" s="175" t="s">
        <v>139</v>
      </c>
      <c r="Y15" s="174">
        <f>2827828.36*1.082*1.024*1.0514*1.2</f>
        <v>3953024.28</v>
      </c>
      <c r="Z15" s="524" t="s">
        <v>186</v>
      </c>
      <c r="AA15" s="619">
        <f>'вар НВ (с 0,65 и без упл)'!V15</f>
        <v>4448059.79</v>
      </c>
      <c r="AB15" s="606">
        <f t="shared" si="5"/>
        <v>-77683.94</v>
      </c>
    </row>
    <row r="16" spans="1:28" ht="58.5" customHeight="1" x14ac:dyDescent="0.25">
      <c r="A16" s="591">
        <v>11</v>
      </c>
      <c r="B16" s="647" t="s">
        <v>183</v>
      </c>
      <c r="C16" s="592" t="str">
        <f>ССР!C49</f>
        <v>Теплоснабжение. Переустройство трубопровода.ТС2</v>
      </c>
      <c r="D16" s="593">
        <v>1890203.39</v>
      </c>
      <c r="E16" s="593">
        <v>154996.68</v>
      </c>
      <c r="F16" s="593">
        <v>49084.800000000003</v>
      </c>
      <c r="G16" s="593">
        <v>2094284.87</v>
      </c>
      <c r="H16" s="593">
        <v>2201848.2200000002</v>
      </c>
      <c r="I16" s="594">
        <f t="shared" si="6"/>
        <v>1.2</v>
      </c>
      <c r="J16" s="595">
        <f>ROUND(H16*I16,2)</f>
        <v>2642217.86</v>
      </c>
      <c r="K16" s="648"/>
      <c r="L16" s="648"/>
      <c r="M16" s="648"/>
      <c r="N16" s="648"/>
      <c r="O16" s="648"/>
      <c r="P16" s="648">
        <f>K16+L16+M16+N16+O16</f>
        <v>0</v>
      </c>
      <c r="Q16" s="648">
        <f>J16-K16-L16-M16-N16-O16</f>
        <v>2642217.86</v>
      </c>
      <c r="R16" s="648" t="s">
        <v>139</v>
      </c>
      <c r="S16" s="600" t="str">
        <f>S10</f>
        <v>ВОР подписан, смета отправлена на проверку 21.06</v>
      </c>
      <c r="T16" s="650">
        <f>P16</f>
        <v>0</v>
      </c>
      <c r="U16" s="651">
        <v>2509941.54</v>
      </c>
      <c r="V16" s="652">
        <f t="shared" si="7"/>
        <v>2509941.54</v>
      </c>
      <c r="W16" s="178"/>
      <c r="X16" s="111" t="s">
        <v>139</v>
      </c>
      <c r="Y16" s="84">
        <f>1675854.44*1.082*1.024*1.0514*1.2</f>
        <v>2342678.71</v>
      </c>
      <c r="Z16" s="233" t="s">
        <v>186</v>
      </c>
      <c r="AA16" s="619">
        <f>'вар НВ (с 0,65 и без упл)'!U16</f>
        <v>2387178</v>
      </c>
      <c r="AB16" s="606">
        <f t="shared" si="5"/>
        <v>-122763.54</v>
      </c>
    </row>
    <row r="17" spans="1:28" ht="58.5" customHeight="1" x14ac:dyDescent="0.25">
      <c r="A17" s="591">
        <v>12</v>
      </c>
      <c r="B17" s="647" t="s">
        <v>184</v>
      </c>
      <c r="C17" s="592" t="str">
        <f>ССР!C50</f>
        <v>Теплоснабжение. Переустройство трубопровода.ТС3</v>
      </c>
      <c r="D17" s="593">
        <v>4003449.34</v>
      </c>
      <c r="E17" s="593">
        <v>328282.84999999998</v>
      </c>
      <c r="F17" s="593">
        <v>103961.57</v>
      </c>
      <c r="G17" s="593">
        <v>4435693.76</v>
      </c>
      <c r="H17" s="593">
        <v>4663512.8499999996</v>
      </c>
      <c r="I17" s="594">
        <f t="shared" si="6"/>
        <v>1.2</v>
      </c>
      <c r="J17" s="595">
        <f>ROUND(H17*I17,2)</f>
        <v>5596215.4199999999</v>
      </c>
      <c r="K17" s="648"/>
      <c r="L17" s="648"/>
      <c r="M17" s="648"/>
      <c r="N17" s="648"/>
      <c r="O17" s="648"/>
      <c r="P17" s="648">
        <f>K17+L17+M17+N17+O17</f>
        <v>0</v>
      </c>
      <c r="Q17" s="648">
        <f>J17-K17-L17-M17-N17-O17</f>
        <v>5596215.4199999999</v>
      </c>
      <c r="R17" s="648" t="s">
        <v>139</v>
      </c>
      <c r="S17" s="600" t="str">
        <f>S10</f>
        <v>ВОР подписан, смета отправлена на проверку 21.06</v>
      </c>
      <c r="T17" s="650">
        <f>P17</f>
        <v>0</v>
      </c>
      <c r="U17" s="651">
        <v>4764781</v>
      </c>
      <c r="V17" s="652">
        <f t="shared" si="7"/>
        <v>4764781</v>
      </c>
      <c r="W17" s="178"/>
      <c r="X17" s="111" t="s">
        <v>139</v>
      </c>
      <c r="Y17" s="84">
        <f>2820165.03*1.082*1.024*1.0514*1.2</f>
        <v>3942311.7</v>
      </c>
      <c r="Z17" s="233" t="s">
        <v>186</v>
      </c>
      <c r="AA17" s="619">
        <v>3942311.7</v>
      </c>
      <c r="AB17" s="606">
        <f t="shared" si="5"/>
        <v>-822469.3</v>
      </c>
    </row>
    <row r="18" spans="1:28" ht="58.5" customHeight="1" x14ac:dyDescent="0.25">
      <c r="A18" s="591">
        <v>13</v>
      </c>
      <c r="B18" s="647" t="s">
        <v>289</v>
      </c>
      <c r="C18" s="592" t="str">
        <f>ССР!C52</f>
        <v>Наружные газопроводы. Вынос газопровода среднего давления.</v>
      </c>
      <c r="D18" s="593">
        <v>8291915.46</v>
      </c>
      <c r="E18" s="593">
        <v>679937.07</v>
      </c>
      <c r="F18" s="593">
        <v>215324.46</v>
      </c>
      <c r="G18" s="593">
        <v>9187176.9900000002</v>
      </c>
      <c r="H18" s="593">
        <v>9659034.2599999998</v>
      </c>
      <c r="I18" s="594">
        <f t="shared" si="6"/>
        <v>1.2</v>
      </c>
      <c r="J18" s="595">
        <f>ROUND(H18*I18,2)</f>
        <v>11590841.109999999</v>
      </c>
      <c r="K18" s="596"/>
      <c r="L18" s="596"/>
      <c r="M18" s="596"/>
      <c r="N18" s="596"/>
      <c r="O18" s="596"/>
      <c r="P18" s="648">
        <f>K18+L18+M18+N18+O18</f>
        <v>0</v>
      </c>
      <c r="Q18" s="648">
        <f>J18-K18-L18-M18-N18-O18</f>
        <v>11590841.109999999</v>
      </c>
      <c r="R18" s="653" t="s">
        <v>139</v>
      </c>
      <c r="S18" s="600" t="str">
        <f>S10</f>
        <v>ВОР подписан, смета отправлена на проверку 21.06</v>
      </c>
      <c r="T18" s="650">
        <f>P18</f>
        <v>0</v>
      </c>
      <c r="U18" s="651">
        <v>6207964</v>
      </c>
      <c r="V18" s="652">
        <f t="shared" si="7"/>
        <v>6207964</v>
      </c>
      <c r="W18" s="188"/>
      <c r="X18" s="111"/>
      <c r="Y18" s="84"/>
      <c r="Z18" s="208"/>
      <c r="AA18" s="604"/>
      <c r="AB18" s="526"/>
    </row>
    <row r="19" spans="1:28" ht="45" customHeight="1" x14ac:dyDescent="0.25">
      <c r="A19" s="301">
        <v>14</v>
      </c>
      <c r="B19" s="626" t="s">
        <v>31</v>
      </c>
      <c r="C19" s="302" t="str">
        <f>ССР!C29</f>
        <v>Верхнее строение пути</v>
      </c>
      <c r="D19" s="621">
        <v>161452921.99000001</v>
      </c>
      <c r="E19" s="621">
        <v>13239139.6</v>
      </c>
      <c r="F19" s="621">
        <v>4192609.48</v>
      </c>
      <c r="G19" s="621">
        <v>178884671.06999999</v>
      </c>
      <c r="H19" s="621">
        <v>188072263.84999999</v>
      </c>
      <c r="I19" s="304">
        <f>I6</f>
        <v>1.2</v>
      </c>
      <c r="J19" s="305">
        <f>ROUND(H19*I19,2)</f>
        <v>225686716.62</v>
      </c>
      <c r="K19" s="622">
        <v>89998722.969999999</v>
      </c>
      <c r="L19" s="622">
        <v>66544414.909999996</v>
      </c>
      <c r="M19" s="622">
        <v>42672742.899999999</v>
      </c>
      <c r="N19" s="622"/>
      <c r="O19" s="622"/>
      <c r="P19" s="622">
        <f>K19+L19+M19+N19+O19</f>
        <v>199215880.78</v>
      </c>
      <c r="Q19" s="622">
        <f>J19-K19-L19-M19-N19-O19</f>
        <v>26470835.84</v>
      </c>
      <c r="R19" s="622" t="s">
        <v>139</v>
      </c>
      <c r="S19" s="600" t="s">
        <v>296</v>
      </c>
      <c r="T19" s="624">
        <f>P19</f>
        <v>199215880.78</v>
      </c>
      <c r="U19" s="627">
        <v>48513692.520000003</v>
      </c>
      <c r="V19" s="624">
        <f t="shared" si="7"/>
        <v>247729573.30000001</v>
      </c>
      <c r="X19" s="111"/>
      <c r="Y19" s="84"/>
      <c r="Z19" s="208"/>
      <c r="AA19" s="36"/>
      <c r="AB19" s="45"/>
    </row>
    <row r="20" spans="1:28" ht="4.5" customHeight="1" x14ac:dyDescent="0.25">
      <c r="A20" s="409"/>
      <c r="B20" s="410"/>
      <c r="C20" s="411"/>
      <c r="D20" s="412"/>
      <c r="E20" s="412"/>
      <c r="F20" s="412"/>
      <c r="G20" s="412"/>
      <c r="H20" s="412"/>
      <c r="I20" s="413"/>
      <c r="J20" s="414"/>
      <c r="K20" s="415"/>
      <c r="L20" s="415"/>
      <c r="M20" s="415"/>
      <c r="N20" s="415"/>
      <c r="O20" s="415"/>
      <c r="P20" s="415"/>
      <c r="Q20" s="415"/>
      <c r="R20" s="415"/>
      <c r="S20" s="190"/>
      <c r="T20" s="416"/>
      <c r="U20" s="417"/>
      <c r="V20" s="418"/>
      <c r="W20" s="178"/>
      <c r="X20" s="111"/>
      <c r="Y20" s="84"/>
      <c r="Z20" s="233"/>
    </row>
    <row r="21" spans="1:28" ht="32.25" customHeight="1" x14ac:dyDescent="0.25">
      <c r="A21" s="380"/>
      <c r="B21" s="381"/>
      <c r="C21" s="381"/>
      <c r="D21" s="381"/>
      <c r="E21" s="381"/>
      <c r="F21" s="381"/>
      <c r="G21" s="381"/>
      <c r="H21" s="382"/>
      <c r="I21" s="381"/>
      <c r="J21" s="382"/>
      <c r="K21" s="383"/>
      <c r="L21" s="383"/>
      <c r="M21" s="383"/>
      <c r="N21" s="383"/>
      <c r="O21" s="383"/>
      <c r="P21" s="383"/>
      <c r="Q21" s="383"/>
      <c r="R21" s="383"/>
      <c r="S21" s="383"/>
      <c r="T21" s="1196" t="s">
        <v>272</v>
      </c>
      <c r="U21" s="1197"/>
      <c r="V21" s="605"/>
      <c r="W21" s="605">
        <f>SUM(W9:W17)</f>
        <v>0</v>
      </c>
      <c r="X21" s="605">
        <f>SUM(X9:X17)</f>
        <v>0</v>
      </c>
      <c r="Y21" s="605">
        <f>SUM(Y9:Y17)</f>
        <v>39961110.119999997</v>
      </c>
      <c r="Z21" s="605">
        <f>SUM(Z9:Z17)</f>
        <v>0</v>
      </c>
      <c r="AA21" s="36"/>
    </row>
    <row r="22" spans="1:28" s="449" customFormat="1" ht="32.25" customHeight="1" x14ac:dyDescent="0.25">
      <c r="A22" s="434">
        <v>15</v>
      </c>
      <c r="B22" s="435" t="s">
        <v>32</v>
      </c>
      <c r="C22" s="436" t="str">
        <f>ССР!C30</f>
        <v>Восстановительные работы цеха №121/18. АС 3.</v>
      </c>
      <c r="D22" s="437">
        <v>4505948.67</v>
      </c>
      <c r="E22" s="437">
        <v>369487.79</v>
      </c>
      <c r="F22" s="437">
        <v>117010.48</v>
      </c>
      <c r="G22" s="437">
        <v>4992446.9400000004</v>
      </c>
      <c r="H22" s="437">
        <v>5248861.1100000003</v>
      </c>
      <c r="I22" s="438">
        <f>I7</f>
        <v>1.2</v>
      </c>
      <c r="J22" s="439">
        <f>ROUND(H22*I22,2)</f>
        <v>6298633.3300000001</v>
      </c>
      <c r="K22" s="440"/>
      <c r="L22" s="440"/>
      <c r="M22" s="440"/>
      <c r="N22" s="440">
        <v>5245250.92</v>
      </c>
      <c r="O22" s="440"/>
      <c r="P22" s="441">
        <f>K22+L22+M22+N22+O22</f>
        <v>5245250.92</v>
      </c>
      <c r="Q22" s="441">
        <f>J22-K22-L22-M22-N22-O22</f>
        <v>1053382.4099999999</v>
      </c>
      <c r="R22" s="578" t="s">
        <v>168</v>
      </c>
      <c r="S22" s="442" t="s">
        <v>189</v>
      </c>
      <c r="T22" s="443">
        <f>P22</f>
        <v>5245250.92</v>
      </c>
      <c r="U22" s="444" t="s">
        <v>243</v>
      </c>
      <c r="V22" s="443">
        <f>T22</f>
        <v>5245250.92</v>
      </c>
      <c r="W22" s="445" t="s">
        <v>172</v>
      </c>
      <c r="X22" s="446"/>
      <c r="Y22" s="443"/>
      <c r="Z22" s="447"/>
      <c r="AA22" s="448"/>
    </row>
    <row r="23" spans="1:28" s="585" customFormat="1" ht="31.5" x14ac:dyDescent="0.25">
      <c r="A23" s="273">
        <v>16</v>
      </c>
      <c r="B23" s="361" t="s">
        <v>33</v>
      </c>
      <c r="C23" s="275" t="str">
        <f>ССР!C31</f>
        <v>Архитектурно-строительные решения. Часть 1.АС1</v>
      </c>
      <c r="D23" s="385">
        <v>10526911.91</v>
      </c>
      <c r="E23" s="385">
        <v>863206.78</v>
      </c>
      <c r="F23" s="385">
        <v>273362.84999999998</v>
      </c>
      <c r="G23" s="385">
        <v>11663481.539999999</v>
      </c>
      <c r="H23" s="385">
        <v>12262522.85</v>
      </c>
      <c r="I23" s="277">
        <f>I8</f>
        <v>1.2</v>
      </c>
      <c r="J23" s="278">
        <f>ROUND(H23*I23,2)</f>
        <v>14715027.42</v>
      </c>
      <c r="K23" s="365"/>
      <c r="L23" s="365">
        <v>10775049.08</v>
      </c>
      <c r="M23" s="365"/>
      <c r="N23" s="365"/>
      <c r="O23" s="365"/>
      <c r="P23" s="365">
        <f>K23+L23+M23+N23+O23</f>
        <v>10775049.08</v>
      </c>
      <c r="Q23" s="365">
        <f>J23-K23-L23-M23-N23-O23</f>
        <v>3939978.34</v>
      </c>
      <c r="R23" s="608" t="str">
        <f>R25</f>
        <v>ждем ВОР</v>
      </c>
      <c r="S23" s="609" t="s">
        <v>294</v>
      </c>
      <c r="T23" s="363">
        <f>P23</f>
        <v>10775049.08</v>
      </c>
      <c r="U23" s="610">
        <f>Q23</f>
        <v>3939978.34</v>
      </c>
      <c r="V23" s="363">
        <f>T23+U23</f>
        <v>14715027.42</v>
      </c>
      <c r="W23" s="582"/>
      <c r="X23" s="111"/>
      <c r="Y23" s="83"/>
      <c r="Z23" s="583"/>
      <c r="AA23" s="584" t="s">
        <v>295</v>
      </c>
    </row>
    <row r="24" spans="1:28" s="449" customFormat="1" ht="31.5" x14ac:dyDescent="0.25">
      <c r="A24" s="434">
        <v>17</v>
      </c>
      <c r="B24" s="435" t="s">
        <v>55</v>
      </c>
      <c r="C24" s="436" t="str">
        <f>ССР!C45</f>
        <v>Трубопровод ливневых сточных вод от трансбордера. НВК1</v>
      </c>
      <c r="D24" s="437">
        <v>1758763.66</v>
      </c>
      <c r="E24" s="437">
        <v>144218.62</v>
      </c>
      <c r="F24" s="437">
        <v>45671.57</v>
      </c>
      <c r="G24" s="437">
        <v>1948653.85</v>
      </c>
      <c r="H24" s="437">
        <v>2048737.53</v>
      </c>
      <c r="I24" s="438">
        <f>I19</f>
        <v>1.2</v>
      </c>
      <c r="J24" s="439">
        <f t="shared" si="1"/>
        <v>2458485.04</v>
      </c>
      <c r="K24" s="452"/>
      <c r="L24" s="452"/>
      <c r="M24" s="452"/>
      <c r="N24" s="452"/>
      <c r="O24" s="452">
        <v>505496.99</v>
      </c>
      <c r="P24" s="441">
        <f t="shared" si="2"/>
        <v>505496.99</v>
      </c>
      <c r="Q24" s="441">
        <f t="shared" si="3"/>
        <v>1952988.05</v>
      </c>
      <c r="R24" s="578" t="str">
        <f>R22</f>
        <v>ВОРа на доп. не будет</v>
      </c>
      <c r="S24" s="453" t="s">
        <v>251</v>
      </c>
      <c r="T24" s="443">
        <f t="shared" si="4"/>
        <v>505496.99</v>
      </c>
      <c r="U24" s="454" t="s">
        <v>243</v>
      </c>
      <c r="V24" s="455">
        <f>T24</f>
        <v>505496.99</v>
      </c>
      <c r="W24" s="451"/>
      <c r="X24" s="446"/>
      <c r="Y24" s="443"/>
      <c r="Z24" s="447"/>
      <c r="AA24" s="448"/>
    </row>
    <row r="25" spans="1:28" s="585" customFormat="1" ht="43.5" customHeight="1" x14ac:dyDescent="0.25">
      <c r="A25" s="273">
        <v>18</v>
      </c>
      <c r="B25" s="361" t="s">
        <v>58</v>
      </c>
      <c r="C25" s="275" t="s">
        <v>297</v>
      </c>
      <c r="D25" s="385">
        <v>4044845.15</v>
      </c>
      <c r="E25" s="385">
        <v>331677.3</v>
      </c>
      <c r="F25" s="385">
        <v>105036.54</v>
      </c>
      <c r="G25" s="385">
        <v>4481558.99</v>
      </c>
      <c r="H25" s="385">
        <v>4711733.74</v>
      </c>
      <c r="I25" s="277">
        <f>I13</f>
        <v>1.2</v>
      </c>
      <c r="J25" s="278">
        <f t="shared" si="1"/>
        <v>5654080.4900000002</v>
      </c>
      <c r="K25" s="365"/>
      <c r="L25" s="365"/>
      <c r="M25" s="365"/>
      <c r="N25" s="365"/>
      <c r="O25" s="365">
        <v>3594854.48</v>
      </c>
      <c r="P25" s="365">
        <f t="shared" si="2"/>
        <v>3594854.48</v>
      </c>
      <c r="Q25" s="365">
        <f t="shared" si="3"/>
        <v>2059226.01</v>
      </c>
      <c r="R25" s="365" t="s">
        <v>169</v>
      </c>
      <c r="S25" s="609" t="s">
        <v>247</v>
      </c>
      <c r="T25" s="363">
        <f t="shared" si="4"/>
        <v>3594854.48</v>
      </c>
      <c r="U25" s="610">
        <f>Q25</f>
        <v>2059226.01</v>
      </c>
      <c r="V25" s="363">
        <f t="shared" ref="V25:V30" si="8">T25+U25</f>
        <v>5654080.4900000002</v>
      </c>
      <c r="W25" s="582"/>
      <c r="X25" s="111"/>
      <c r="Y25" s="83"/>
      <c r="Z25" s="583"/>
      <c r="AA25" s="584" t="str">
        <f>AA23</f>
        <v>сумма остатка взята по утвержденной смете!!!</v>
      </c>
    </row>
    <row r="26" spans="1:28" s="449" customFormat="1" ht="174.75" customHeight="1" x14ac:dyDescent="0.25">
      <c r="A26" s="217">
        <v>19</v>
      </c>
      <c r="B26" s="245" t="s">
        <v>59</v>
      </c>
      <c r="C26" s="219" t="str">
        <f>ССР!C48</f>
        <v>Архитектурно-строительные решения. Эстакада для ТС1. АС 4</v>
      </c>
      <c r="D26" s="220">
        <v>4859580.66</v>
      </c>
      <c r="E26" s="220">
        <v>398485.61</v>
      </c>
      <c r="F26" s="220">
        <v>126193.59</v>
      </c>
      <c r="G26" s="220">
        <v>5384259.8600000003</v>
      </c>
      <c r="H26" s="220">
        <v>5660797.71</v>
      </c>
      <c r="I26" s="221">
        <f>I14</f>
        <v>1.2</v>
      </c>
      <c r="J26" s="222">
        <f t="shared" si="1"/>
        <v>6792957.25</v>
      </c>
      <c r="K26" s="579"/>
      <c r="L26" s="579"/>
      <c r="M26" s="579"/>
      <c r="N26" s="579"/>
      <c r="O26" s="579">
        <v>562345.21</v>
      </c>
      <c r="P26" s="371">
        <f t="shared" si="2"/>
        <v>562345.21</v>
      </c>
      <c r="Q26" s="371">
        <f t="shared" si="3"/>
        <v>6230612.04</v>
      </c>
      <c r="R26" s="618" t="s">
        <v>286</v>
      </c>
      <c r="S26" s="580" t="s">
        <v>247</v>
      </c>
      <c r="T26" s="83">
        <f t="shared" si="4"/>
        <v>562345.21</v>
      </c>
      <c r="U26" s="581">
        <v>0</v>
      </c>
      <c r="V26" s="368">
        <f t="shared" si="8"/>
        <v>562345.21</v>
      </c>
      <c r="W26" s="451"/>
      <c r="X26" s="446"/>
      <c r="Y26" s="443"/>
      <c r="Z26" s="447"/>
      <c r="AA26" s="448"/>
    </row>
    <row r="27" spans="1:28" ht="31.5" x14ac:dyDescent="0.25">
      <c r="A27" s="273">
        <v>20</v>
      </c>
      <c r="B27" s="361" t="s">
        <v>70</v>
      </c>
      <c r="C27" s="275" t="s">
        <v>8</v>
      </c>
      <c r="D27" s="385">
        <v>5005903.75</v>
      </c>
      <c r="E27" s="385">
        <v>410484.11</v>
      </c>
      <c r="F27" s="385">
        <v>129993.31</v>
      </c>
      <c r="G27" s="385">
        <v>5546381.1699999999</v>
      </c>
      <c r="H27" s="385">
        <v>5831245.6399999997</v>
      </c>
      <c r="I27" s="277">
        <f>I12</f>
        <v>1.2</v>
      </c>
      <c r="J27" s="278">
        <f t="shared" si="1"/>
        <v>6997494.7699999996</v>
      </c>
      <c r="K27" s="365"/>
      <c r="L27" s="365">
        <v>2298854.48</v>
      </c>
      <c r="M27" s="365"/>
      <c r="N27" s="365"/>
      <c r="O27" s="365"/>
      <c r="P27" s="365">
        <f t="shared" si="2"/>
        <v>2298854.48</v>
      </c>
      <c r="Q27" s="365">
        <f t="shared" si="3"/>
        <v>4698640.29</v>
      </c>
      <c r="R27" s="608" t="str">
        <f>R25</f>
        <v>ждем ВОР</v>
      </c>
      <c r="S27" s="609" t="s">
        <v>247</v>
      </c>
      <c r="T27" s="363">
        <f t="shared" si="4"/>
        <v>2298854.48</v>
      </c>
      <c r="U27" s="610">
        <f>Q27</f>
        <v>4698640.29</v>
      </c>
      <c r="V27" s="363">
        <f t="shared" si="8"/>
        <v>6997494.7699999996</v>
      </c>
      <c r="W27" s="206"/>
      <c r="X27" s="111"/>
      <c r="Y27" s="84"/>
      <c r="Z27" s="208"/>
      <c r="AA27" s="584" t="str">
        <f>AA23</f>
        <v>сумма остатка взята по утвержденной смете!!!</v>
      </c>
    </row>
    <row r="28" spans="1:28" ht="24.75" thickBot="1" x14ac:dyDescent="0.3">
      <c r="A28" s="425">
        <v>21</v>
      </c>
      <c r="B28" s="611" t="s">
        <v>71</v>
      </c>
      <c r="C28" s="427" t="s">
        <v>109</v>
      </c>
      <c r="D28" s="428">
        <v>48898423.600000001</v>
      </c>
      <c r="E28" s="428">
        <v>4009670.74</v>
      </c>
      <c r="F28" s="428">
        <v>1269794.26</v>
      </c>
      <c r="G28" s="428">
        <v>54177888.600000001</v>
      </c>
      <c r="H28" s="428">
        <v>56960487.710000001</v>
      </c>
      <c r="I28" s="429">
        <f>I16</f>
        <v>1.2</v>
      </c>
      <c r="J28" s="430">
        <f t="shared" si="1"/>
        <v>68352585.25</v>
      </c>
      <c r="K28" s="612"/>
      <c r="L28" s="612"/>
      <c r="M28" s="612">
        <v>11709977.720000001</v>
      </c>
      <c r="N28" s="612"/>
      <c r="O28" s="612">
        <v>3615838.44</v>
      </c>
      <c r="P28" s="612">
        <f t="shared" si="2"/>
        <v>15325816.16</v>
      </c>
      <c r="Q28" s="612">
        <f t="shared" si="3"/>
        <v>53026769.090000004</v>
      </c>
      <c r="R28" s="613" t="str">
        <f>R25</f>
        <v>ждем ВОР</v>
      </c>
      <c r="S28" s="614" t="s">
        <v>247</v>
      </c>
      <c r="T28" s="615">
        <f t="shared" si="4"/>
        <v>15325816.16</v>
      </c>
      <c r="U28" s="616">
        <f>Q28</f>
        <v>53026769.090000004</v>
      </c>
      <c r="V28" s="617">
        <f t="shared" si="8"/>
        <v>68352585.25</v>
      </c>
      <c r="W28" s="206"/>
      <c r="X28" s="111"/>
      <c r="Y28" s="85"/>
      <c r="Z28" s="209"/>
      <c r="AA28" s="584" t="str">
        <f>AA23</f>
        <v>сумма остатка взята по утвержденной смете!!!</v>
      </c>
    </row>
    <row r="29" spans="1:28" ht="35.1" customHeight="1" thickTop="1" x14ac:dyDescent="0.25">
      <c r="A29" s="387">
        <v>22</v>
      </c>
      <c r="B29" s="388">
        <v>1</v>
      </c>
      <c r="C29" s="389" t="s">
        <v>175</v>
      </c>
      <c r="D29" s="390"/>
      <c r="E29" s="390"/>
      <c r="F29" s="390"/>
      <c r="G29" s="390"/>
      <c r="H29" s="390"/>
      <c r="I29" s="391"/>
      <c r="J29" s="392"/>
      <c r="K29" s="393"/>
      <c r="L29" s="393"/>
      <c r="M29" s="393"/>
      <c r="N29" s="393"/>
      <c r="O29" s="393"/>
      <c r="P29" s="393">
        <f>T29</f>
        <v>4216719.66</v>
      </c>
      <c r="Q29" s="393"/>
      <c r="R29" s="477" t="s">
        <v>139</v>
      </c>
      <c r="S29" s="394" t="s">
        <v>255</v>
      </c>
      <c r="T29" s="420">
        <v>4216719.66</v>
      </c>
      <c r="U29" s="420">
        <v>0</v>
      </c>
      <c r="V29" s="420">
        <f t="shared" si="8"/>
        <v>4216719.66</v>
      </c>
      <c r="X29" s="119"/>
      <c r="Y29" s="179"/>
      <c r="Z29" s="179"/>
    </row>
    <row r="30" spans="1:28" ht="35.1" customHeight="1" thickBot="1" x14ac:dyDescent="0.3">
      <c r="A30" s="513">
        <v>23</v>
      </c>
      <c r="B30" s="479">
        <v>1</v>
      </c>
      <c r="C30" s="480" t="s">
        <v>174</v>
      </c>
      <c r="D30" s="481"/>
      <c r="E30" s="481"/>
      <c r="F30" s="481"/>
      <c r="G30" s="481"/>
      <c r="H30" s="481"/>
      <c r="I30" s="482"/>
      <c r="J30" s="483"/>
      <c r="K30" s="484"/>
      <c r="L30" s="484"/>
      <c r="M30" s="484"/>
      <c r="N30" s="484"/>
      <c r="O30" s="484"/>
      <c r="P30" s="484">
        <f>T30</f>
        <v>2160473.5</v>
      </c>
      <c r="Q30" s="484"/>
      <c r="R30" s="514" t="s">
        <v>139</v>
      </c>
      <c r="S30" s="515" t="s">
        <v>255</v>
      </c>
      <c r="T30" s="485">
        <v>2160473.5</v>
      </c>
      <c r="U30" s="485">
        <v>0</v>
      </c>
      <c r="V30" s="486">
        <f t="shared" si="8"/>
        <v>2160473.5</v>
      </c>
      <c r="X30" s="117"/>
      <c r="Y30" s="105"/>
      <c r="Z30" s="211"/>
    </row>
    <row r="31" spans="1:28" ht="31.5" customHeight="1" thickTop="1" thickBot="1" x14ac:dyDescent="0.3">
      <c r="A31" s="516"/>
      <c r="B31" s="517" t="s">
        <v>120</v>
      </c>
      <c r="C31" s="518"/>
      <c r="D31" s="519">
        <f>SUM(D6:D28)</f>
        <v>392033916.06</v>
      </c>
      <c r="E31" s="518"/>
      <c r="F31" s="520"/>
      <c r="G31" s="519">
        <f>SUM(G6:G28)</f>
        <v>434361033.93000001</v>
      </c>
      <c r="H31" s="519">
        <f>SUM(H6:H28)</f>
        <v>456670000.00999999</v>
      </c>
      <c r="I31" s="519"/>
      <c r="J31" s="519">
        <f>SUM(J6:J28)</f>
        <v>548004000</v>
      </c>
      <c r="K31" s="521">
        <f>SUM(K6:K28)</f>
        <v>210417570.36000001</v>
      </c>
      <c r="L31" s="521">
        <f>SUM(L6:L28)+0.01</f>
        <v>79978331.209999993</v>
      </c>
      <c r="M31" s="521">
        <f>SUM(M6:M28)</f>
        <v>58868164.759999998</v>
      </c>
      <c r="N31" s="521">
        <f>SUM(N6:N28)</f>
        <v>5245250.92</v>
      </c>
      <c r="O31" s="521">
        <f>SUM(O6:O28)</f>
        <v>8616444.9800000004</v>
      </c>
      <c r="P31" s="521">
        <f>SUM(P6:P30)+0.01</f>
        <v>369502955.38999999</v>
      </c>
      <c r="Q31" s="521">
        <f>J31-P31</f>
        <v>178501044.61000001</v>
      </c>
      <c r="R31" s="521"/>
      <c r="S31" s="521"/>
      <c r="T31" s="522">
        <f>SUM(T6:T30)</f>
        <v>369502955.38</v>
      </c>
      <c r="U31" s="522">
        <f>SUM(U6:U30)</f>
        <v>158134530.78999999</v>
      </c>
      <c r="V31" s="522">
        <f>SUM(V6:V30)</f>
        <v>527637486.17000002</v>
      </c>
      <c r="W31" s="177"/>
      <c r="X31" s="115"/>
      <c r="Y31" s="101">
        <f>SUM(Y6:Y28)</f>
        <v>79922220.239999995</v>
      </c>
      <c r="Z31" s="210">
        <f>SUM(Z6:Z28)</f>
        <v>0</v>
      </c>
    </row>
    <row r="32" spans="1:28" ht="32.25" customHeight="1" x14ac:dyDescent="0.25">
      <c r="A32" s="498"/>
      <c r="B32" s="499"/>
      <c r="C32" s="499"/>
      <c r="D32" s="499"/>
      <c r="E32" s="499"/>
      <c r="F32" s="499"/>
      <c r="G32" s="499"/>
      <c r="H32" s="500"/>
      <c r="I32" s="499"/>
      <c r="J32" s="500"/>
      <c r="K32" s="501"/>
      <c r="L32" s="501"/>
      <c r="M32" s="501"/>
      <c r="N32" s="501"/>
      <c r="O32" s="501"/>
      <c r="P32" s="501"/>
      <c r="Q32" s="501"/>
      <c r="R32" s="501"/>
      <c r="S32" s="501"/>
      <c r="T32" s="1187" t="s">
        <v>245</v>
      </c>
      <c r="U32" s="1188"/>
      <c r="V32" s="503"/>
      <c r="X32" s="65"/>
      <c r="Y32" s="81"/>
      <c r="Z32" s="81"/>
    </row>
    <row r="33" spans="1:27" ht="35.1" customHeight="1" x14ac:dyDescent="0.25">
      <c r="A33" s="591">
        <v>24</v>
      </c>
      <c r="B33" s="542">
        <v>2</v>
      </c>
      <c r="C33" s="592" t="s">
        <v>141</v>
      </c>
      <c r="D33" s="593"/>
      <c r="E33" s="593"/>
      <c r="F33" s="593"/>
      <c r="G33" s="593"/>
      <c r="H33" s="593"/>
      <c r="I33" s="594"/>
      <c r="J33" s="595"/>
      <c r="K33" s="596"/>
      <c r="L33" s="596"/>
      <c r="M33" s="596"/>
      <c r="N33" s="596"/>
      <c r="O33" s="596"/>
      <c r="P33" s="596"/>
      <c r="Q33" s="596"/>
      <c r="R33" s="597" t="s">
        <v>139</v>
      </c>
      <c r="S33" s="600" t="s">
        <v>299</v>
      </c>
      <c r="T33" s="598">
        <v>0</v>
      </c>
      <c r="U33" s="598">
        <v>705505</v>
      </c>
      <c r="V33" s="598">
        <f t="shared" ref="V33:V41" si="9">T33+U33</f>
        <v>705505</v>
      </c>
      <c r="X33" s="119"/>
      <c r="Y33" s="179"/>
      <c r="Z33" s="179"/>
      <c r="AA33" s="406" t="s">
        <v>280</v>
      </c>
    </row>
    <row r="34" spans="1:27" ht="35.1" customHeight="1" x14ac:dyDescent="0.25">
      <c r="A34" s="599">
        <v>25</v>
      </c>
      <c r="B34" s="542">
        <v>3</v>
      </c>
      <c r="C34" s="592" t="s">
        <v>142</v>
      </c>
      <c r="D34" s="593"/>
      <c r="E34" s="593"/>
      <c r="F34" s="593"/>
      <c r="G34" s="593"/>
      <c r="H34" s="593"/>
      <c r="I34" s="594"/>
      <c r="J34" s="595"/>
      <c r="K34" s="596"/>
      <c r="L34" s="596"/>
      <c r="M34" s="596"/>
      <c r="N34" s="596"/>
      <c r="O34" s="596"/>
      <c r="P34" s="596"/>
      <c r="Q34" s="596"/>
      <c r="R34" s="597" t="s">
        <v>139</v>
      </c>
      <c r="S34" s="600" t="str">
        <f>S33</f>
        <v>ВОР подписан, смета отправлена на проверку 21.06</v>
      </c>
      <c r="T34" s="598">
        <v>0</v>
      </c>
      <c r="U34" s="598">
        <v>85851.36</v>
      </c>
      <c r="V34" s="598">
        <f t="shared" si="9"/>
        <v>85851.36</v>
      </c>
      <c r="X34" s="119"/>
      <c r="Y34" s="180"/>
      <c r="Z34" s="180"/>
    </row>
    <row r="35" spans="1:27" ht="35.1" customHeight="1" x14ac:dyDescent="0.25">
      <c r="A35" s="591">
        <v>26</v>
      </c>
      <c r="B35" s="542">
        <v>4</v>
      </c>
      <c r="C35" s="592" t="s">
        <v>143</v>
      </c>
      <c r="D35" s="593"/>
      <c r="E35" s="593"/>
      <c r="F35" s="593"/>
      <c r="G35" s="593"/>
      <c r="H35" s="593"/>
      <c r="I35" s="594"/>
      <c r="J35" s="595"/>
      <c r="K35" s="596"/>
      <c r="L35" s="596"/>
      <c r="M35" s="596"/>
      <c r="N35" s="596"/>
      <c r="O35" s="596"/>
      <c r="P35" s="596"/>
      <c r="Q35" s="596"/>
      <c r="R35" s="597" t="s">
        <v>139</v>
      </c>
      <c r="S35" s="600" t="str">
        <f>S33</f>
        <v>ВОР подписан, смета отправлена на проверку 21.06</v>
      </c>
      <c r="T35" s="598">
        <v>0</v>
      </c>
      <c r="U35" s="598">
        <v>26314.48</v>
      </c>
      <c r="V35" s="598">
        <f t="shared" si="9"/>
        <v>26314.48</v>
      </c>
      <c r="X35" s="119"/>
      <c r="Y35" s="180"/>
      <c r="Z35" s="180"/>
    </row>
    <row r="36" spans="1:27" ht="35.1" customHeight="1" x14ac:dyDescent="0.25">
      <c r="A36" s="599">
        <v>27</v>
      </c>
      <c r="B36" s="542">
        <v>5</v>
      </c>
      <c r="C36" s="592" t="s">
        <v>146</v>
      </c>
      <c r="D36" s="593"/>
      <c r="E36" s="593"/>
      <c r="F36" s="593"/>
      <c r="G36" s="593"/>
      <c r="H36" s="593"/>
      <c r="I36" s="594"/>
      <c r="J36" s="595"/>
      <c r="K36" s="596"/>
      <c r="L36" s="596"/>
      <c r="M36" s="596"/>
      <c r="N36" s="596"/>
      <c r="O36" s="596"/>
      <c r="P36" s="596"/>
      <c r="Q36" s="596"/>
      <c r="R36" s="597" t="s">
        <v>139</v>
      </c>
      <c r="S36" s="600" t="str">
        <f>S33</f>
        <v>ВОР подписан, смета отправлена на проверку 21.06</v>
      </c>
      <c r="T36" s="598">
        <v>0</v>
      </c>
      <c r="U36" s="598">
        <v>208912.6</v>
      </c>
      <c r="V36" s="598">
        <f t="shared" si="9"/>
        <v>208912.6</v>
      </c>
      <c r="X36" s="119"/>
      <c r="Y36" s="180"/>
      <c r="Z36" s="180"/>
    </row>
    <row r="37" spans="1:27" ht="35.1" customHeight="1" thickBot="1" x14ac:dyDescent="0.3">
      <c r="A37" s="591">
        <v>29</v>
      </c>
      <c r="B37" s="543">
        <v>6</v>
      </c>
      <c r="C37" s="628" t="s">
        <v>140</v>
      </c>
      <c r="D37" s="629"/>
      <c r="E37" s="629"/>
      <c r="F37" s="629"/>
      <c r="G37" s="629"/>
      <c r="H37" s="629"/>
      <c r="I37" s="630"/>
      <c r="J37" s="631"/>
      <c r="K37" s="632"/>
      <c r="L37" s="632"/>
      <c r="M37" s="632"/>
      <c r="N37" s="632"/>
      <c r="O37" s="632"/>
      <c r="P37" s="632"/>
      <c r="Q37" s="632"/>
      <c r="R37" s="633" t="s">
        <v>139</v>
      </c>
      <c r="S37" s="600" t="str">
        <f>S33</f>
        <v>ВОР подписан, смета отправлена на проверку 21.06</v>
      </c>
      <c r="T37" s="634">
        <v>0</v>
      </c>
      <c r="U37" s="634">
        <v>570651.94999999995</v>
      </c>
      <c r="V37" s="598">
        <f t="shared" si="9"/>
        <v>570651.94999999995</v>
      </c>
      <c r="X37" s="117"/>
      <c r="Y37" s="105"/>
      <c r="Z37" s="211"/>
    </row>
    <row r="38" spans="1:27" ht="35.1" customHeight="1" thickTop="1" x14ac:dyDescent="0.25">
      <c r="A38" s="545">
        <v>32</v>
      </c>
      <c r="B38" s="568">
        <v>9</v>
      </c>
      <c r="C38" s="569" t="s">
        <v>145</v>
      </c>
      <c r="D38" s="570"/>
      <c r="E38" s="570"/>
      <c r="F38" s="570"/>
      <c r="G38" s="570"/>
      <c r="H38" s="570"/>
      <c r="I38" s="571"/>
      <c r="J38" s="572"/>
      <c r="K38" s="573"/>
      <c r="L38" s="573"/>
      <c r="M38" s="573"/>
      <c r="N38" s="573"/>
      <c r="O38" s="573"/>
      <c r="P38" s="574"/>
      <c r="Q38" s="574"/>
      <c r="R38" s="575" t="s">
        <v>139</v>
      </c>
      <c r="S38" s="576" t="s">
        <v>285</v>
      </c>
      <c r="T38" s="577">
        <v>0</v>
      </c>
      <c r="U38" s="577">
        <v>2348452.58</v>
      </c>
      <c r="V38" s="577">
        <f t="shared" si="9"/>
        <v>2348452.58</v>
      </c>
      <c r="X38" s="119"/>
      <c r="Y38" s="180"/>
      <c r="Z38" s="180"/>
    </row>
    <row r="39" spans="1:27" ht="46.5" customHeight="1" x14ac:dyDescent="0.25">
      <c r="A39" s="475">
        <v>33</v>
      </c>
      <c r="B39" s="558">
        <v>10</v>
      </c>
      <c r="C39" s="559" t="s">
        <v>144</v>
      </c>
      <c r="D39" s="560"/>
      <c r="E39" s="560"/>
      <c r="F39" s="560"/>
      <c r="G39" s="560"/>
      <c r="H39" s="560"/>
      <c r="I39" s="561"/>
      <c r="J39" s="562"/>
      <c r="K39" s="563"/>
      <c r="L39" s="563"/>
      <c r="M39" s="563"/>
      <c r="N39" s="563"/>
      <c r="O39" s="563"/>
      <c r="P39" s="293"/>
      <c r="Q39" s="293"/>
      <c r="R39" s="564" t="s">
        <v>139</v>
      </c>
      <c r="S39" s="565" t="s">
        <v>288</v>
      </c>
      <c r="T39" s="566">
        <v>0</v>
      </c>
      <c r="U39" s="566">
        <v>389490.94</v>
      </c>
      <c r="V39" s="567">
        <f t="shared" si="9"/>
        <v>389490.94</v>
      </c>
      <c r="W39" s="189"/>
      <c r="X39" s="182"/>
      <c r="Y39" s="183"/>
      <c r="Z39" s="212"/>
    </row>
    <row r="40" spans="1:27" ht="50.25" customHeight="1" thickBot="1" x14ac:dyDescent="0.3">
      <c r="A40" s="546">
        <v>30</v>
      </c>
      <c r="B40" s="547"/>
      <c r="C40" s="548" t="s">
        <v>279</v>
      </c>
      <c r="D40" s="549"/>
      <c r="E40" s="549"/>
      <c r="F40" s="549"/>
      <c r="G40" s="549"/>
      <c r="H40" s="549"/>
      <c r="I40" s="550"/>
      <c r="J40" s="551"/>
      <c r="K40" s="552"/>
      <c r="L40" s="552"/>
      <c r="M40" s="552"/>
      <c r="N40" s="552"/>
      <c r="O40" s="552"/>
      <c r="P40" s="552"/>
      <c r="Q40" s="552"/>
      <c r="R40" s="553" t="s">
        <v>255</v>
      </c>
      <c r="S40" s="554" t="s">
        <v>281</v>
      </c>
      <c r="T40" s="555">
        <v>0</v>
      </c>
      <c r="U40" s="555">
        <v>9690548.2599999998</v>
      </c>
      <c r="V40" s="556">
        <f t="shared" si="9"/>
        <v>9690548.2599999998</v>
      </c>
      <c r="X40" s="117"/>
      <c r="Y40" s="105"/>
      <c r="Z40" s="211"/>
    </row>
    <row r="41" spans="1:27" ht="35.1" customHeight="1" thickTop="1" thickBot="1" x14ac:dyDescent="0.3">
      <c r="A41" s="82">
        <v>34</v>
      </c>
      <c r="B41" s="321"/>
      <c r="C41" s="171" t="s">
        <v>149</v>
      </c>
      <c r="D41" s="322"/>
      <c r="E41" s="322"/>
      <c r="F41" s="322"/>
      <c r="G41" s="322"/>
      <c r="H41" s="322"/>
      <c r="I41" s="323"/>
      <c r="J41" s="172"/>
      <c r="K41" s="324"/>
      <c r="L41" s="324"/>
      <c r="M41" s="324"/>
      <c r="N41" s="324"/>
      <c r="O41" s="324"/>
      <c r="P41" s="173"/>
      <c r="Q41" s="173"/>
      <c r="R41" s="401" t="s">
        <v>139</v>
      </c>
      <c r="S41" s="401" t="s">
        <v>170</v>
      </c>
      <c r="T41" s="326"/>
      <c r="U41" s="326">
        <v>4746000</v>
      </c>
      <c r="V41" s="399">
        <f t="shared" si="9"/>
        <v>4746000</v>
      </c>
      <c r="X41" s="119"/>
      <c r="Y41" s="107"/>
      <c r="Z41" s="213"/>
    </row>
    <row r="42" spans="1:27" ht="35.1" customHeight="1" thickBot="1" x14ac:dyDescent="0.3">
      <c r="A42" s="504"/>
      <c r="B42" s="103"/>
      <c r="C42" s="505"/>
      <c r="D42" s="506"/>
      <c r="E42" s="506"/>
      <c r="F42" s="506"/>
      <c r="G42" s="506"/>
      <c r="H42" s="506"/>
      <c r="I42" s="507"/>
      <c r="J42" s="508"/>
      <c r="K42" s="509"/>
      <c r="L42" s="509"/>
      <c r="M42" s="509"/>
      <c r="N42" s="509"/>
      <c r="O42" s="509"/>
      <c r="P42" s="509"/>
      <c r="Q42" s="509"/>
      <c r="R42" s="510"/>
      <c r="S42" s="511"/>
      <c r="T42" s="512"/>
      <c r="U42" s="73">
        <f>SUM(U33:U41)</f>
        <v>18771727.170000002</v>
      </c>
      <c r="V42" s="73">
        <f>SUM(V33:V41)</f>
        <v>18771727.170000002</v>
      </c>
      <c r="X42" s="117"/>
      <c r="Y42" s="105"/>
      <c r="Z42" s="211"/>
    </row>
    <row r="43" spans="1:27" ht="33" customHeight="1" x14ac:dyDescent="0.25">
      <c r="A43" s="498"/>
      <c r="B43" s="499"/>
      <c r="C43" s="499"/>
      <c r="D43" s="499"/>
      <c r="E43" s="499"/>
      <c r="F43" s="499"/>
      <c r="G43" s="499"/>
      <c r="H43" s="500"/>
      <c r="I43" s="499"/>
      <c r="J43" s="500"/>
      <c r="K43" s="501"/>
      <c r="L43" s="501"/>
      <c r="M43" s="501"/>
      <c r="N43" s="501"/>
      <c r="O43" s="501"/>
      <c r="P43" s="501"/>
      <c r="Q43" s="501"/>
      <c r="R43" s="501"/>
      <c r="S43" s="502"/>
      <c r="T43" s="1187" t="s">
        <v>253</v>
      </c>
      <c r="U43" s="1188"/>
      <c r="V43" s="503"/>
      <c r="X43" s="65"/>
      <c r="Y43" s="81"/>
      <c r="Z43" s="81"/>
    </row>
    <row r="44" spans="1:27" ht="40.5" customHeight="1" thickBot="1" x14ac:dyDescent="0.3">
      <c r="A44" s="87">
        <v>37</v>
      </c>
      <c r="B44" s="327"/>
      <c r="C44" s="328" t="s">
        <v>152</v>
      </c>
      <c r="D44" s="329"/>
      <c r="E44" s="329"/>
      <c r="F44" s="329"/>
      <c r="G44" s="329"/>
      <c r="H44" s="329"/>
      <c r="I44" s="330"/>
      <c r="J44" s="331"/>
      <c r="K44" s="332"/>
      <c r="L44" s="332"/>
      <c r="M44" s="332"/>
      <c r="N44" s="332"/>
      <c r="O44" s="332"/>
      <c r="P44" s="333"/>
      <c r="Q44" s="333"/>
      <c r="R44" s="405" t="s">
        <v>243</v>
      </c>
      <c r="S44" s="334"/>
      <c r="T44" s="335"/>
      <c r="U44" s="335"/>
      <c r="V44" s="408">
        <f>T44+U44</f>
        <v>0</v>
      </c>
      <c r="X44" s="125"/>
      <c r="Y44" s="109"/>
      <c r="Z44" s="214"/>
    </row>
    <row r="45" spans="1:27" ht="31.5" customHeight="1" thickTop="1" thickBot="1" x14ac:dyDescent="0.3">
      <c r="A45" s="102"/>
      <c r="B45" s="66" t="s">
        <v>120</v>
      </c>
      <c r="C45" s="67"/>
      <c r="D45" s="68">
        <f t="shared" ref="D45:J45" si="10">SUM(D33:D44)</f>
        <v>0</v>
      </c>
      <c r="E45" s="68">
        <f t="shared" si="10"/>
        <v>0</v>
      </c>
      <c r="F45" s="68">
        <f t="shared" si="10"/>
        <v>0</v>
      </c>
      <c r="G45" s="68">
        <f t="shared" si="10"/>
        <v>0</v>
      </c>
      <c r="H45" s="68">
        <f t="shared" si="10"/>
        <v>0</v>
      </c>
      <c r="I45" s="68">
        <f t="shared" si="10"/>
        <v>0</v>
      </c>
      <c r="J45" s="68">
        <f t="shared" si="10"/>
        <v>0</v>
      </c>
      <c r="K45" s="69"/>
      <c r="L45" s="69"/>
      <c r="M45" s="69"/>
      <c r="N45" s="69"/>
      <c r="O45" s="69"/>
      <c r="P45" s="69"/>
      <c r="Q45" s="69"/>
      <c r="R45" s="69"/>
      <c r="S45" s="386"/>
      <c r="T45" s="86">
        <f>SUM(T33:T44)</f>
        <v>0</v>
      </c>
      <c r="U45" s="86">
        <f>SUM(U33:U44)-U42</f>
        <v>18771727.170000002</v>
      </c>
      <c r="V45" s="86">
        <f>SUM(V33:V44)-V42</f>
        <v>18771727.170000002</v>
      </c>
      <c r="W45" s="177"/>
      <c r="X45" s="69"/>
      <c r="Y45" s="86">
        <f>SUM(Y33:Y44)</f>
        <v>0</v>
      </c>
      <c r="Z45" s="215">
        <f>SUM(Z33:Z44)</f>
        <v>0</v>
      </c>
    </row>
    <row r="46" spans="1:27" ht="31.5" customHeight="1" thickBot="1" x14ac:dyDescent="0.3">
      <c r="A46" s="104"/>
      <c r="B46" s="103" t="s">
        <v>153</v>
      </c>
      <c r="C46" s="70"/>
      <c r="D46" s="71">
        <f>D31+D45</f>
        <v>392033916.06</v>
      </c>
      <c r="E46" s="70"/>
      <c r="F46" s="72"/>
      <c r="G46" s="71">
        <f>SUM(G26:G45)</f>
        <v>499469563.56</v>
      </c>
      <c r="H46" s="71">
        <f>SUM(H26:H45)</f>
        <v>525122531.06999999</v>
      </c>
      <c r="I46" s="71"/>
      <c r="J46" s="71">
        <f t="shared" ref="J46:Q46" si="11">J31+J45</f>
        <v>548004000</v>
      </c>
      <c r="K46" s="71">
        <f t="shared" si="11"/>
        <v>210417570.36000001</v>
      </c>
      <c r="L46" s="71">
        <f t="shared" si="11"/>
        <v>79978331.209999993</v>
      </c>
      <c r="M46" s="71">
        <f t="shared" si="11"/>
        <v>58868164.759999998</v>
      </c>
      <c r="N46" s="71">
        <f t="shared" si="11"/>
        <v>5245250.92</v>
      </c>
      <c r="O46" s="71">
        <f t="shared" si="11"/>
        <v>8616444.9800000004</v>
      </c>
      <c r="P46" s="71">
        <f t="shared" si="11"/>
        <v>369502955.38999999</v>
      </c>
      <c r="Q46" s="71">
        <f t="shared" si="11"/>
        <v>178501044.61000001</v>
      </c>
      <c r="R46" s="71"/>
      <c r="S46" s="402"/>
      <c r="T46" s="73">
        <f>T31+T45</f>
        <v>369502955.38</v>
      </c>
      <c r="U46" s="73">
        <f>U31+U45</f>
        <v>176906257.96000001</v>
      </c>
      <c r="V46" s="73">
        <f>V31+V45</f>
        <v>546409213.34000003</v>
      </c>
      <c r="W46" s="177"/>
      <c r="X46" s="71"/>
      <c r="Y46" s="73">
        <f>Y31+Y45</f>
        <v>79922220.239999995</v>
      </c>
      <c r="Z46" s="216">
        <f>Z31+Z45</f>
        <v>0</v>
      </c>
      <c r="AA46" s="406">
        <f>V46/1.0514</f>
        <v>519696797.92657399</v>
      </c>
    </row>
    <row r="47" spans="1:27" x14ac:dyDescent="0.25">
      <c r="AA47" s="557">
        <f>J46/AA46</f>
        <v>1.0545</v>
      </c>
    </row>
    <row r="48" spans="1:27" ht="45" customHeight="1" x14ac:dyDescent="0.25">
      <c r="A48" s="82">
        <v>35</v>
      </c>
      <c r="B48" s="41">
        <v>11</v>
      </c>
      <c r="C48" s="42" t="s">
        <v>277</v>
      </c>
      <c r="D48" s="43"/>
      <c r="E48" s="43"/>
      <c r="F48" s="43"/>
      <c r="G48" s="43"/>
      <c r="H48" s="43"/>
      <c r="I48" s="44"/>
      <c r="J48" s="55"/>
      <c r="K48" s="56"/>
      <c r="L48" s="56"/>
      <c r="M48" s="56"/>
      <c r="N48" s="56"/>
      <c r="O48" s="56"/>
      <c r="P48" s="53"/>
      <c r="Q48" s="53"/>
      <c r="R48" s="400" t="s">
        <v>139</v>
      </c>
      <c r="S48" s="190" t="s">
        <v>278</v>
      </c>
      <c r="T48" s="107">
        <v>0</v>
      </c>
      <c r="U48" s="107">
        <v>22184864.98</v>
      </c>
      <c r="V48" s="399">
        <f>T48+U48</f>
        <v>22184864.98</v>
      </c>
      <c r="X48" s="119"/>
      <c r="Y48" s="107"/>
      <c r="Z48" s="213"/>
    </row>
    <row r="49" spans="1:27" ht="16.5" thickBot="1" x14ac:dyDescent="0.3"/>
    <row r="50" spans="1:27" ht="31.5" customHeight="1" thickBot="1" x14ac:dyDescent="0.3">
      <c r="A50" s="104"/>
      <c r="B50" s="103" t="s">
        <v>153</v>
      </c>
      <c r="C50" s="70"/>
      <c r="D50" s="71">
        <f>D35+D49</f>
        <v>0</v>
      </c>
      <c r="E50" s="70"/>
      <c r="F50" s="72"/>
      <c r="G50" s="71">
        <f>SUM(G30:G49)</f>
        <v>933830597.49000001</v>
      </c>
      <c r="H50" s="71">
        <f>SUM(H30:H49)</f>
        <v>981792531.08000004</v>
      </c>
      <c r="I50" s="71"/>
      <c r="J50" s="71">
        <f t="shared" ref="J50:Q50" si="12">J35+J49</f>
        <v>0</v>
      </c>
      <c r="K50" s="71">
        <f t="shared" si="12"/>
        <v>0</v>
      </c>
      <c r="L50" s="71">
        <f t="shared" si="12"/>
        <v>0</v>
      </c>
      <c r="M50" s="71">
        <f t="shared" si="12"/>
        <v>0</v>
      </c>
      <c r="N50" s="71">
        <f t="shared" si="12"/>
        <v>0</v>
      </c>
      <c r="O50" s="71">
        <f t="shared" si="12"/>
        <v>0</v>
      </c>
      <c r="P50" s="71">
        <f t="shared" si="12"/>
        <v>0</v>
      </c>
      <c r="Q50" s="71">
        <f t="shared" si="12"/>
        <v>0</v>
      </c>
      <c r="R50" s="71"/>
      <c r="S50" s="402"/>
      <c r="T50" s="73">
        <f>T35+T49</f>
        <v>0</v>
      </c>
      <c r="U50" s="73">
        <f>U46+U48</f>
        <v>199091122.94</v>
      </c>
      <c r="V50" s="73">
        <f>V46+V48</f>
        <v>568594078.32000005</v>
      </c>
      <c r="W50" s="177"/>
      <c r="X50" s="71"/>
      <c r="Y50" s="73">
        <f>Y35+Y49</f>
        <v>0</v>
      </c>
      <c r="Z50" s="216">
        <f>Z35+Z49</f>
        <v>0</v>
      </c>
    </row>
    <row r="52" spans="1:27" x14ac:dyDescent="0.25">
      <c r="V52" s="45"/>
    </row>
    <row r="53" spans="1:27" x14ac:dyDescent="0.25">
      <c r="T53" s="45"/>
      <c r="V53" s="45"/>
    </row>
    <row r="54" spans="1:27" x14ac:dyDescent="0.25">
      <c r="T54" s="45"/>
    </row>
    <row r="55" spans="1:27" ht="35.1" customHeight="1" thickBot="1" x14ac:dyDescent="0.3">
      <c r="A55" s="637">
        <v>31</v>
      </c>
      <c r="B55" s="544">
        <v>8</v>
      </c>
      <c r="C55" s="638" t="s">
        <v>250</v>
      </c>
      <c r="D55" s="639"/>
      <c r="E55" s="639"/>
      <c r="F55" s="639"/>
      <c r="G55" s="639"/>
      <c r="H55" s="639"/>
      <c r="I55" s="640"/>
      <c r="J55" s="641"/>
      <c r="K55" s="642"/>
      <c r="L55" s="642"/>
      <c r="M55" s="642"/>
      <c r="N55" s="642"/>
      <c r="O55" s="642"/>
      <c r="P55" s="643"/>
      <c r="Q55" s="643"/>
      <c r="R55" s="644" t="s">
        <v>139</v>
      </c>
      <c r="S55" s="600" t="s">
        <v>298</v>
      </c>
      <c r="T55" s="645">
        <v>0</v>
      </c>
      <c r="U55" s="645">
        <v>107940.55</v>
      </c>
      <c r="V55" s="646">
        <f>T55+U55</f>
        <v>107940.55</v>
      </c>
      <c r="X55" s="119"/>
      <c r="Y55" s="107"/>
      <c r="Z55" s="213"/>
      <c r="AA55" s="1202" t="s">
        <v>300</v>
      </c>
    </row>
    <row r="56" spans="1:27" ht="35.1" customHeight="1" thickTop="1" x14ac:dyDescent="0.25">
      <c r="A56" s="591">
        <v>28</v>
      </c>
      <c r="B56" s="542">
        <v>7</v>
      </c>
      <c r="C56" s="592" t="s">
        <v>148</v>
      </c>
      <c r="D56" s="593"/>
      <c r="E56" s="593"/>
      <c r="F56" s="593"/>
      <c r="G56" s="593"/>
      <c r="H56" s="593"/>
      <c r="I56" s="594"/>
      <c r="J56" s="595"/>
      <c r="K56" s="596"/>
      <c r="L56" s="596"/>
      <c r="M56" s="596"/>
      <c r="N56" s="596"/>
      <c r="O56" s="596"/>
      <c r="P56" s="596"/>
      <c r="Q56" s="596"/>
      <c r="R56" s="635" t="s">
        <v>139</v>
      </c>
      <c r="S56" s="600" t="str">
        <f>S33</f>
        <v>ВОР подписан, смета отправлена на проверку 21.06</v>
      </c>
      <c r="T56" s="636">
        <v>0</v>
      </c>
      <c r="U56" s="636">
        <v>231084.76</v>
      </c>
      <c r="V56" s="598">
        <f>T56+U56</f>
        <v>231084.76</v>
      </c>
      <c r="X56" s="119"/>
      <c r="Y56" s="107"/>
      <c r="Z56" s="213"/>
      <c r="AA56" s="1202"/>
    </row>
    <row r="57" spans="1:27" ht="52.5" customHeight="1" x14ac:dyDescent="0.25">
      <c r="A57" s="82">
        <v>36</v>
      </c>
      <c r="B57" s="321"/>
      <c r="C57" s="171" t="s">
        <v>151</v>
      </c>
      <c r="D57" s="322"/>
      <c r="E57" s="322"/>
      <c r="F57" s="322"/>
      <c r="G57" s="322"/>
      <c r="H57" s="322"/>
      <c r="I57" s="323"/>
      <c r="J57" s="172"/>
      <c r="K57" s="324"/>
      <c r="L57" s="324"/>
      <c r="M57" s="324"/>
      <c r="N57" s="324"/>
      <c r="O57" s="324"/>
      <c r="P57" s="173"/>
      <c r="Q57" s="173"/>
      <c r="R57" s="404" t="s">
        <v>243</v>
      </c>
      <c r="S57" s="325"/>
      <c r="T57" s="326"/>
      <c r="U57" s="326"/>
      <c r="V57" s="399">
        <f>T57+U57</f>
        <v>0</v>
      </c>
      <c r="X57" s="119"/>
      <c r="Y57" s="107"/>
      <c r="Z57" s="213"/>
      <c r="AA57" s="657" t="s">
        <v>301</v>
      </c>
    </row>
    <row r="58" spans="1:27" x14ac:dyDescent="0.25">
      <c r="T58" s="45"/>
    </row>
    <row r="59" spans="1:27" x14ac:dyDescent="0.25">
      <c r="V59" s="45"/>
    </row>
    <row r="69" spans="1:27" s="39" customFormat="1" ht="54.95" customHeight="1" x14ac:dyDescent="0.25">
      <c r="A69" s="46"/>
      <c r="B69" s="47"/>
      <c r="C69" s="46"/>
      <c r="D69" s="48"/>
      <c r="E69" s="46"/>
      <c r="F69" s="49"/>
      <c r="G69" s="48"/>
      <c r="H69" s="48"/>
      <c r="I69" s="48"/>
      <c r="J69" s="48"/>
      <c r="K69" s="50"/>
      <c r="M69" s="35"/>
      <c r="O69" s="35"/>
      <c r="P69" s="36"/>
      <c r="Q69" s="36"/>
      <c r="R69" s="36"/>
      <c r="S69" s="36"/>
      <c r="T69" s="36"/>
      <c r="U69" s="36"/>
      <c r="V69" s="36"/>
      <c r="W69" s="176"/>
      <c r="X69" s="36"/>
      <c r="Y69" s="36"/>
      <c r="Z69" s="36"/>
      <c r="AA69" s="407"/>
    </row>
    <row r="70" spans="1:27" s="39" customFormat="1" x14ac:dyDescent="0.25">
      <c r="A70" s="36"/>
      <c r="B70" s="36"/>
      <c r="C70" s="36"/>
      <c r="D70" s="45">
        <f>ССР!H58</f>
        <v>392033.92</v>
      </c>
      <c r="E70" s="36"/>
      <c r="F70" s="45"/>
      <c r="G70" s="45">
        <f>ССР!H76</f>
        <v>434361.04</v>
      </c>
      <c r="H70" s="45">
        <f>ССР!H78</f>
        <v>456670</v>
      </c>
      <c r="I70" s="36"/>
      <c r="J70" s="45"/>
      <c r="K70" s="35"/>
      <c r="M70" s="35"/>
      <c r="O70" s="35"/>
      <c r="P70" s="36"/>
      <c r="Q70" s="36"/>
      <c r="R70" s="36"/>
      <c r="S70" s="36"/>
      <c r="T70" s="36"/>
      <c r="U70" s="36"/>
      <c r="V70" s="36"/>
      <c r="W70" s="176"/>
      <c r="X70" s="36"/>
      <c r="Y70" s="36"/>
      <c r="Z70" s="36"/>
      <c r="AA70" s="407"/>
    </row>
    <row r="71" spans="1:27" s="39" customFormat="1" x14ac:dyDescent="0.25">
      <c r="A71" s="36"/>
      <c r="B71" s="36"/>
      <c r="C71" s="36"/>
      <c r="D71" s="45">
        <f>D31/1000</f>
        <v>392033.92</v>
      </c>
      <c r="E71" s="36"/>
      <c r="F71" s="51"/>
      <c r="G71" s="52">
        <f>G31/1000</f>
        <v>434361.03</v>
      </c>
      <c r="H71" s="52">
        <f>H31/1000</f>
        <v>456670</v>
      </c>
      <c r="I71" s="36"/>
      <c r="J71" s="45"/>
      <c r="K71" s="50"/>
      <c r="M71" s="35"/>
      <c r="O71" s="35"/>
      <c r="P71" s="36"/>
      <c r="Q71" s="36"/>
      <c r="R71" s="36"/>
      <c r="S71" s="36"/>
      <c r="T71" s="36"/>
      <c r="U71" s="36"/>
      <c r="V71" s="36"/>
      <c r="W71" s="176"/>
      <c r="X71" s="36"/>
      <c r="Y71" s="36"/>
      <c r="Z71" s="36"/>
      <c r="AA71" s="407"/>
    </row>
    <row r="72" spans="1:27" s="39" customFormat="1" x14ac:dyDescent="0.25">
      <c r="A72" s="36"/>
      <c r="B72" s="36"/>
      <c r="C72" s="36"/>
      <c r="D72" s="45"/>
      <c r="E72" s="45"/>
      <c r="F72" s="51"/>
      <c r="G72" s="36"/>
      <c r="H72" s="36"/>
      <c r="I72" s="36"/>
      <c r="J72" s="36"/>
      <c r="M72" s="35"/>
      <c r="O72" s="35"/>
      <c r="P72" s="36"/>
      <c r="Q72" s="36"/>
      <c r="R72" s="36"/>
      <c r="S72" s="36"/>
      <c r="T72" s="36"/>
      <c r="U72" s="36"/>
      <c r="V72" s="36"/>
      <c r="W72" s="176"/>
      <c r="X72" s="36"/>
      <c r="Y72" s="36"/>
      <c r="Z72" s="36"/>
      <c r="AA72" s="407"/>
    </row>
    <row r="92" spans="1:1" x14ac:dyDescent="0.25">
      <c r="A92" s="36">
        <v>7</v>
      </c>
    </row>
  </sheetData>
  <autoFilter ref="A3:W46" xr:uid="{00000000-0001-0000-0100-000000000000}"/>
  <mergeCells count="13">
    <mergeCell ref="A1:J1"/>
    <mergeCell ref="A3:A4"/>
    <mergeCell ref="B3:B4"/>
    <mergeCell ref="C3:C4"/>
    <mergeCell ref="G3:G4"/>
    <mergeCell ref="H3:H4"/>
    <mergeCell ref="I3:I4"/>
    <mergeCell ref="J3:J4"/>
    <mergeCell ref="AA55:AA56"/>
    <mergeCell ref="T5:U5"/>
    <mergeCell ref="T21:U21"/>
    <mergeCell ref="T32:U32"/>
    <mergeCell ref="T43:U43"/>
  </mergeCells>
  <pageMargins left="0.23622047244094491" right="0.23622047244094491" top="0.74803149606299213" bottom="0.74803149606299213" header="0.31496062992125984" footer="0.31496062992125984"/>
  <pageSetup paperSize="9" scale="58" fitToHeight="100" orientation="landscape" r:id="rId1"/>
  <rowBreaks count="2" manualBreakCount="2">
    <brk id="48" max="17" man="1"/>
    <brk id="58" max="9" man="1"/>
  </rowBreak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15</vt:i4>
      </vt:variant>
      <vt:variant>
        <vt:lpstr>Именованные диапазоны</vt:lpstr>
      </vt:variant>
      <vt:variant>
        <vt:i4>16</vt:i4>
      </vt:variant>
    </vt:vector>
  </HeadingPairs>
  <TitlesOfParts>
    <vt:vector size="31" baseType="lpstr">
      <vt:lpstr>ССР</vt:lpstr>
      <vt:lpstr>на 04.06</vt:lpstr>
      <vt:lpstr>вар НВ (с 0,65 и без упл)</vt:lpstr>
      <vt:lpstr>реестр под ФАКТ суммы НВ</vt:lpstr>
      <vt:lpstr>реестр под ФАКТ суммы с накрут</vt:lpstr>
      <vt:lpstr>реестр под ФАКТ (ПЖ с замеч.)</vt:lpstr>
      <vt:lpstr>реестр под ФАКТ до соглас. </vt:lpstr>
      <vt:lpstr>утилизация корр</vt:lpstr>
      <vt:lpstr>реестр под ФАКТ</vt:lpstr>
      <vt:lpstr>свод реестров по кс-2</vt:lpstr>
      <vt:lpstr>аналитика</vt:lpstr>
      <vt:lpstr>ан-ка (на 95% мех и 5% вруч )</vt:lpstr>
      <vt:lpstr>реестр под ФАКТ с виброплит</vt:lpstr>
      <vt:lpstr>реестр под ФАКТ (2)</vt:lpstr>
      <vt:lpstr>реестр к Договору</vt:lpstr>
      <vt:lpstr>ССР!Заголовки_для_печати</vt:lpstr>
      <vt:lpstr>аналитика!Область_печати</vt:lpstr>
      <vt:lpstr>'ан-ка (на 95% мех и 5% вруч )'!Область_печати</vt:lpstr>
      <vt:lpstr>'вар НВ (с 0,65 и без упл)'!Область_печати</vt:lpstr>
      <vt:lpstr>'на 04.06'!Область_печати</vt:lpstr>
      <vt:lpstr>'реестр к Договору'!Область_печати</vt:lpstr>
      <vt:lpstr>'реестр под ФАКТ'!Область_печати</vt:lpstr>
      <vt:lpstr>'реестр под ФАКТ (2)'!Область_печати</vt:lpstr>
      <vt:lpstr>'реестр под ФАКТ (ПЖ с замеч.)'!Область_печати</vt:lpstr>
      <vt:lpstr>'реестр под ФАКТ до соглас. '!Область_печати</vt:lpstr>
      <vt:lpstr>'реестр под ФАКТ с виброплит'!Область_печати</vt:lpstr>
      <vt:lpstr>'реестр под ФАКТ суммы НВ'!Область_печати</vt:lpstr>
      <vt:lpstr>'реестр под ФАКТ суммы с накрут'!Область_печати</vt:lpstr>
      <vt:lpstr>'свод реестров по кс-2'!Область_печати</vt:lpstr>
      <vt:lpstr>ССР!Область_печати</vt:lpstr>
      <vt:lpstr>'утилизация корр'!Область_печати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Анастасия</cp:lastModifiedBy>
  <cp:lastPrinted>2024-01-25T19:52:03Z</cp:lastPrinted>
  <dcterms:created xsi:type="dcterms:W3CDTF">2023-11-08T07:21:05Z</dcterms:created>
  <dcterms:modified xsi:type="dcterms:W3CDTF">2024-08-12T09:59:58Z</dcterms:modified>
</cp:coreProperties>
</file>