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"/>
    </mc:Choice>
  </mc:AlternateContent>
  <xr:revisionPtr revIDLastSave="0" documentId="13_ncr:1_{FFF1F61F-2C2F-401E-9DBE-F7EAEEB94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естр под ФАКТ на 04.07" sheetId="5" r:id="rId1"/>
    <sheet name="реестр под ФАКТ до соглас. " sheetId="4" state="hidden" r:id="rId2"/>
    <sheet name="корр (2)" sheetId="3" state="hidden" r:id="rId3"/>
    <sheet name="корр" sheetId="1" r:id="rId4"/>
    <sheet name="Лист1 (2)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1" hidden="1">'реестр под ФАКТ до соглас. '!$A$3:$W$47</definedName>
    <definedName name="_xlnm._FilterDatabase" localSheetId="0" hidden="1">'реестр под ФАКТ на 04.07'!$A$3:$W$47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 localSheetId="0">'[2]исх дан'!#REF!</definedName>
    <definedName name="конкр230">'[2]исх дан'!#REF!</definedName>
    <definedName name="конкр240" localSheetId="0">'[2]исх дан'!#REF!</definedName>
    <definedName name="конкр240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под ФАКТ до соглас. '!$A$1:$Z$48</definedName>
    <definedName name="_xlnm.Print_Area" localSheetId="0">'реестр под ФАКТ на 04.07'!$A$1:$Z$48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5" l="1"/>
  <c r="G68" i="5"/>
  <c r="D68" i="5"/>
  <c r="V55" i="5"/>
  <c r="V54" i="5"/>
  <c r="S54" i="5"/>
  <c r="V53" i="5"/>
  <c r="G47" i="5"/>
  <c r="Z46" i="5"/>
  <c r="Y46" i="5"/>
  <c r="T46" i="5"/>
  <c r="J46" i="5"/>
  <c r="I46" i="5"/>
  <c r="H46" i="5"/>
  <c r="G46" i="5"/>
  <c r="F46" i="5"/>
  <c r="E46" i="5"/>
  <c r="D46" i="5"/>
  <c r="V45" i="5"/>
  <c r="V42" i="5"/>
  <c r="V41" i="5"/>
  <c r="V40" i="5"/>
  <c r="U39" i="5"/>
  <c r="U38" i="5"/>
  <c r="V38" i="5" s="1"/>
  <c r="U37" i="5"/>
  <c r="U36" i="5"/>
  <c r="U35" i="5"/>
  <c r="V35" i="5" s="1"/>
  <c r="U34" i="5"/>
  <c r="S34" i="5"/>
  <c r="S35" i="5" s="1"/>
  <c r="S37" i="5" s="1"/>
  <c r="S38" i="5" s="1"/>
  <c r="U33" i="5"/>
  <c r="O31" i="5"/>
  <c r="O47" i="5" s="1"/>
  <c r="N31" i="5"/>
  <c r="N47" i="5" s="1"/>
  <c r="M31" i="5"/>
  <c r="M47" i="5" s="1"/>
  <c r="L31" i="5"/>
  <c r="L47" i="5" s="1"/>
  <c r="K31" i="5"/>
  <c r="K47" i="5" s="1"/>
  <c r="H31" i="5"/>
  <c r="H69" i="5" s="1"/>
  <c r="G31" i="5"/>
  <c r="G69" i="5" s="1"/>
  <c r="D31" i="5"/>
  <c r="D69" i="5" s="1"/>
  <c r="V30" i="5"/>
  <c r="P30" i="5"/>
  <c r="V29" i="5"/>
  <c r="P29" i="5"/>
  <c r="R28" i="5"/>
  <c r="P28" i="5"/>
  <c r="T28" i="5" s="1"/>
  <c r="V28" i="5" s="1"/>
  <c r="C28" i="5"/>
  <c r="P27" i="5"/>
  <c r="T27" i="5" s="1"/>
  <c r="V27" i="5" s="1"/>
  <c r="I27" i="5"/>
  <c r="J27" i="5" s="1"/>
  <c r="Q27" i="5" s="1"/>
  <c r="C27" i="5"/>
  <c r="R26" i="5"/>
  <c r="P26" i="5"/>
  <c r="T26" i="5" s="1"/>
  <c r="R25" i="5"/>
  <c r="P25" i="5"/>
  <c r="T25" i="5" s="1"/>
  <c r="P24" i="5"/>
  <c r="T24" i="5" s="1"/>
  <c r="I24" i="5"/>
  <c r="J24" i="5" s="1"/>
  <c r="Q24" i="5" s="1"/>
  <c r="U24" i="5" s="1"/>
  <c r="Z23" i="5"/>
  <c r="Z31" i="5" s="1"/>
  <c r="Z47" i="5" s="1"/>
  <c r="X23" i="5"/>
  <c r="W23" i="5"/>
  <c r="P21" i="5"/>
  <c r="T21" i="5" s="1"/>
  <c r="V21" i="5" s="1"/>
  <c r="I21" i="5"/>
  <c r="J21" i="5" s="1"/>
  <c r="Q21" i="5" s="1"/>
  <c r="P20" i="5"/>
  <c r="T20" i="5" s="1"/>
  <c r="V20" i="5" s="1"/>
  <c r="P19" i="5"/>
  <c r="T19" i="5" s="1"/>
  <c r="V19" i="5" s="1"/>
  <c r="I19" i="5"/>
  <c r="I9" i="5" s="1"/>
  <c r="U18" i="5"/>
  <c r="S18" i="5"/>
  <c r="P18" i="5"/>
  <c r="T18" i="5" s="1"/>
  <c r="V18" i="5" s="1"/>
  <c r="Y17" i="5"/>
  <c r="P17" i="5"/>
  <c r="T17" i="5" s="1"/>
  <c r="V17" i="5" s="1"/>
  <c r="AB17" i="5" s="1"/>
  <c r="AA16" i="5"/>
  <c r="Y16" i="5"/>
  <c r="U16" i="5"/>
  <c r="P16" i="5"/>
  <c r="T16" i="5" s="1"/>
  <c r="V16" i="5" s="1"/>
  <c r="AA15" i="5"/>
  <c r="Y15" i="5"/>
  <c r="U15" i="5"/>
  <c r="P15" i="5"/>
  <c r="T15" i="5" s="1"/>
  <c r="V15" i="5" s="1"/>
  <c r="AA14" i="5"/>
  <c r="Y14" i="5"/>
  <c r="U14" i="5"/>
  <c r="P14" i="5"/>
  <c r="T14" i="5" s="1"/>
  <c r="V14" i="5" s="1"/>
  <c r="I14" i="5"/>
  <c r="J14" i="5" s="1"/>
  <c r="Q14" i="5" s="1"/>
  <c r="AA13" i="5"/>
  <c r="Y13" i="5"/>
  <c r="U13" i="5"/>
  <c r="S13" i="5"/>
  <c r="P13" i="5"/>
  <c r="T13" i="5" s="1"/>
  <c r="I13" i="5"/>
  <c r="J13" i="5" s="1"/>
  <c r="Q13" i="5" s="1"/>
  <c r="Y12" i="5"/>
  <c r="U12" i="5"/>
  <c r="P12" i="5"/>
  <c r="T12" i="5" s="1"/>
  <c r="V12" i="5" s="1"/>
  <c r="AB12" i="5" s="1"/>
  <c r="AA11" i="5"/>
  <c r="Y11" i="5"/>
  <c r="U11" i="5"/>
  <c r="P11" i="5"/>
  <c r="T11" i="5" s="1"/>
  <c r="V11" i="5" s="1"/>
  <c r="Y10" i="5"/>
  <c r="U10" i="5"/>
  <c r="P10" i="5"/>
  <c r="T10" i="5" s="1"/>
  <c r="V10" i="5" s="1"/>
  <c r="AB10" i="5" s="1"/>
  <c r="Y9" i="5"/>
  <c r="P9" i="5"/>
  <c r="T9" i="5" s="1"/>
  <c r="V9" i="5" s="1"/>
  <c r="AB9" i="5" s="1"/>
  <c r="P8" i="5"/>
  <c r="T8" i="5" s="1"/>
  <c r="V8" i="5" s="1"/>
  <c r="I8" i="5"/>
  <c r="I20" i="5" s="1"/>
  <c r="P7" i="5"/>
  <c r="T7" i="5" s="1"/>
  <c r="V7" i="5" s="1"/>
  <c r="J7" i="5"/>
  <c r="Q7" i="5" s="1"/>
  <c r="P6" i="5"/>
  <c r="J6" i="5"/>
  <c r="Q6" i="5" s="1"/>
  <c r="H68" i="4"/>
  <c r="G68" i="4"/>
  <c r="D68" i="4"/>
  <c r="V55" i="4"/>
  <c r="V54" i="4"/>
  <c r="S54" i="4"/>
  <c r="V53" i="4"/>
  <c r="Z46" i="4"/>
  <c r="Y46" i="4"/>
  <c r="T46" i="4"/>
  <c r="J46" i="4"/>
  <c r="I46" i="4"/>
  <c r="H46" i="4"/>
  <c r="G46" i="4"/>
  <c r="F46" i="4"/>
  <c r="E46" i="4"/>
  <c r="D46" i="4"/>
  <c r="V45" i="4"/>
  <c r="U43" i="4"/>
  <c r="U46" i="4" s="1"/>
  <c r="V42" i="4"/>
  <c r="V41" i="4"/>
  <c r="V40" i="4"/>
  <c r="V39" i="4"/>
  <c r="V38" i="4"/>
  <c r="V37" i="4"/>
  <c r="S37" i="4"/>
  <c r="V36" i="4"/>
  <c r="S36" i="4"/>
  <c r="V35" i="4"/>
  <c r="S35" i="4"/>
  <c r="V34" i="4"/>
  <c r="S34" i="4"/>
  <c r="V33" i="4"/>
  <c r="O31" i="4"/>
  <c r="O47" i="4" s="1"/>
  <c r="N31" i="4"/>
  <c r="N47" i="4" s="1"/>
  <c r="M31" i="4"/>
  <c r="M47" i="4" s="1"/>
  <c r="L31" i="4"/>
  <c r="L47" i="4" s="1"/>
  <c r="K31" i="4"/>
  <c r="K47" i="4" s="1"/>
  <c r="H31" i="4"/>
  <c r="H47" i="4" s="1"/>
  <c r="G31" i="4"/>
  <c r="G69" i="4" s="1"/>
  <c r="D31" i="4"/>
  <c r="D69" i="4" s="1"/>
  <c r="V30" i="4"/>
  <c r="P30" i="4"/>
  <c r="V29" i="4"/>
  <c r="P29" i="4"/>
  <c r="R28" i="4"/>
  <c r="P28" i="4"/>
  <c r="T28" i="4" s="1"/>
  <c r="V28" i="4" s="1"/>
  <c r="C28" i="4"/>
  <c r="P27" i="4"/>
  <c r="T27" i="4" s="1"/>
  <c r="V27" i="4" s="1"/>
  <c r="I27" i="4"/>
  <c r="I10" i="4" s="1"/>
  <c r="C27" i="4"/>
  <c r="R26" i="4"/>
  <c r="P26" i="4"/>
  <c r="T26" i="4" s="1"/>
  <c r="R25" i="4"/>
  <c r="P25" i="4"/>
  <c r="T25" i="4" s="1"/>
  <c r="P24" i="4"/>
  <c r="T24" i="4" s="1"/>
  <c r="Z23" i="4"/>
  <c r="Z31" i="4" s="1"/>
  <c r="X23" i="4"/>
  <c r="W23" i="4"/>
  <c r="P21" i="4"/>
  <c r="T21" i="4" s="1"/>
  <c r="V21" i="4" s="1"/>
  <c r="C21" i="4"/>
  <c r="S20" i="4"/>
  <c r="P20" i="4"/>
  <c r="T20" i="4" s="1"/>
  <c r="V20" i="4" s="1"/>
  <c r="C20" i="4"/>
  <c r="P19" i="4"/>
  <c r="T19" i="4" s="1"/>
  <c r="V19" i="4" s="1"/>
  <c r="I19" i="4"/>
  <c r="I28" i="4" s="1"/>
  <c r="J28" i="4" s="1"/>
  <c r="Q28" i="4" s="1"/>
  <c r="C19" i="4"/>
  <c r="S18" i="4"/>
  <c r="P18" i="4"/>
  <c r="T18" i="4" s="1"/>
  <c r="V18" i="4" s="1"/>
  <c r="C18" i="4"/>
  <c r="Y17" i="4"/>
  <c r="S17" i="4"/>
  <c r="P17" i="4"/>
  <c r="T17" i="4" s="1"/>
  <c r="V17" i="4" s="1"/>
  <c r="AB17" i="4" s="1"/>
  <c r="C17" i="4"/>
  <c r="AA16" i="4"/>
  <c r="Y16" i="4"/>
  <c r="S16" i="4"/>
  <c r="P16" i="4"/>
  <c r="T16" i="4" s="1"/>
  <c r="V16" i="4" s="1"/>
  <c r="C16" i="4"/>
  <c r="AA15" i="4"/>
  <c r="Y15" i="4"/>
  <c r="S15" i="4"/>
  <c r="P15" i="4"/>
  <c r="T15" i="4" s="1"/>
  <c r="V15" i="4" s="1"/>
  <c r="C15" i="4"/>
  <c r="AA14" i="4"/>
  <c r="Y14" i="4"/>
  <c r="S14" i="4"/>
  <c r="P14" i="4"/>
  <c r="T14" i="4" s="1"/>
  <c r="V14" i="4" s="1"/>
  <c r="I14" i="4"/>
  <c r="J14" i="4" s="1"/>
  <c r="Q14" i="4" s="1"/>
  <c r="C14" i="4"/>
  <c r="AA13" i="4"/>
  <c r="Y13" i="4"/>
  <c r="S13" i="4"/>
  <c r="P13" i="4"/>
  <c r="T13" i="4" s="1"/>
  <c r="V13" i="4" s="1"/>
  <c r="I13" i="4"/>
  <c r="J13" i="4" s="1"/>
  <c r="Q13" i="4" s="1"/>
  <c r="C13" i="4"/>
  <c r="Y12" i="4"/>
  <c r="S12" i="4"/>
  <c r="P12" i="4"/>
  <c r="T12" i="4" s="1"/>
  <c r="V12" i="4" s="1"/>
  <c r="AB12" i="4" s="1"/>
  <c r="C12" i="4"/>
  <c r="AA11" i="4"/>
  <c r="Y11" i="4"/>
  <c r="S11" i="4"/>
  <c r="P11" i="4"/>
  <c r="T11" i="4" s="1"/>
  <c r="V11" i="4" s="1"/>
  <c r="C11" i="4"/>
  <c r="Y10" i="4"/>
  <c r="P10" i="4"/>
  <c r="T10" i="4" s="1"/>
  <c r="V10" i="4" s="1"/>
  <c r="AB10" i="4" s="1"/>
  <c r="C10" i="4"/>
  <c r="Y9" i="4"/>
  <c r="S9" i="4"/>
  <c r="P9" i="4"/>
  <c r="T9" i="4" s="1"/>
  <c r="V9" i="4" s="1"/>
  <c r="AB9" i="4" s="1"/>
  <c r="C9" i="4"/>
  <c r="P8" i="4"/>
  <c r="T8" i="4" s="1"/>
  <c r="V8" i="4" s="1"/>
  <c r="I8" i="4"/>
  <c r="I15" i="4" s="1"/>
  <c r="J15" i="4" s="1"/>
  <c r="Q15" i="4" s="1"/>
  <c r="C8" i="4"/>
  <c r="P7" i="4"/>
  <c r="T7" i="4" s="1"/>
  <c r="V7" i="4" s="1"/>
  <c r="J7" i="4"/>
  <c r="Q7" i="4" s="1"/>
  <c r="C7" i="4"/>
  <c r="P6" i="4"/>
  <c r="J6" i="4"/>
  <c r="C6" i="4"/>
  <c r="I11" i="5" l="1"/>
  <c r="I18" i="5" s="1"/>
  <c r="J18" i="5" s="1"/>
  <c r="Q18" i="5" s="1"/>
  <c r="V13" i="5"/>
  <c r="AB13" i="5" s="1"/>
  <c r="S36" i="5"/>
  <c r="S39" i="5" s="1"/>
  <c r="U43" i="5"/>
  <c r="U46" i="5" s="1"/>
  <c r="Y23" i="5"/>
  <c r="Y31" i="5" s="1"/>
  <c r="Y47" i="5" s="1"/>
  <c r="P31" i="5"/>
  <c r="P47" i="5" s="1"/>
  <c r="AB16" i="5"/>
  <c r="I10" i="5"/>
  <c r="I17" i="5" s="1"/>
  <c r="J17" i="5" s="1"/>
  <c r="Q17" i="5" s="1"/>
  <c r="J9" i="5"/>
  <c r="Q9" i="5" s="1"/>
  <c r="I16" i="5"/>
  <c r="V24" i="5"/>
  <c r="AB14" i="5"/>
  <c r="I12" i="5"/>
  <c r="J20" i="5"/>
  <c r="Q20" i="5" s="1"/>
  <c r="AB15" i="5"/>
  <c r="AB11" i="5"/>
  <c r="H47" i="5"/>
  <c r="V36" i="5"/>
  <c r="I15" i="5"/>
  <c r="J15" i="5" s="1"/>
  <c r="Q15" i="5" s="1"/>
  <c r="I28" i="5"/>
  <c r="J28" i="5" s="1"/>
  <c r="Q28" i="5" s="1"/>
  <c r="D47" i="5"/>
  <c r="J11" i="5"/>
  <c r="Q11" i="5" s="1"/>
  <c r="J19" i="5"/>
  <c r="Q19" i="5" s="1"/>
  <c r="V33" i="5"/>
  <c r="V39" i="5"/>
  <c r="T6" i="5"/>
  <c r="V34" i="5"/>
  <c r="V37" i="5"/>
  <c r="J8" i="5"/>
  <c r="I21" i="4"/>
  <c r="J21" i="4" s="1"/>
  <c r="Q21" i="4" s="1"/>
  <c r="G47" i="4"/>
  <c r="D47" i="4"/>
  <c r="Y23" i="4"/>
  <c r="Y31" i="4" s="1"/>
  <c r="Y47" i="4" s="1"/>
  <c r="Z47" i="4"/>
  <c r="I24" i="4"/>
  <c r="J24" i="4" s="1"/>
  <c r="Q24" i="4" s="1"/>
  <c r="U24" i="4" s="1"/>
  <c r="V24" i="4" s="1"/>
  <c r="V43" i="4"/>
  <c r="V46" i="4" s="1"/>
  <c r="P31" i="4"/>
  <c r="P47" i="4" s="1"/>
  <c r="I11" i="4"/>
  <c r="I18" i="4" s="1"/>
  <c r="J18" i="4" s="1"/>
  <c r="Q18" i="4" s="1"/>
  <c r="H69" i="4"/>
  <c r="AB13" i="4"/>
  <c r="AB15" i="4"/>
  <c r="AB11" i="4"/>
  <c r="I17" i="4"/>
  <c r="J17" i="4" s="1"/>
  <c r="Q17" i="4" s="1"/>
  <c r="J10" i="4"/>
  <c r="Q10" i="4" s="1"/>
  <c r="AB14" i="4"/>
  <c r="AB16" i="4"/>
  <c r="J8" i="4"/>
  <c r="Q6" i="4"/>
  <c r="J27" i="4"/>
  <c r="Q27" i="4" s="1"/>
  <c r="T6" i="4"/>
  <c r="I9" i="4"/>
  <c r="I20" i="4"/>
  <c r="J19" i="4"/>
  <c r="Q19" i="4" s="1"/>
  <c r="J10" i="5" l="1"/>
  <c r="Q10" i="5" s="1"/>
  <c r="I26" i="5"/>
  <c r="J26" i="5" s="1"/>
  <c r="Q26" i="5" s="1"/>
  <c r="U26" i="5" s="1"/>
  <c r="V26" i="5" s="1"/>
  <c r="J16" i="5"/>
  <c r="Q16" i="5" s="1"/>
  <c r="T31" i="5"/>
  <c r="T47" i="5" s="1"/>
  <c r="V6" i="5"/>
  <c r="V43" i="5"/>
  <c r="V46" i="5" s="1"/>
  <c r="J12" i="5"/>
  <c r="Q12" i="5" s="1"/>
  <c r="I25" i="5"/>
  <c r="J25" i="5" s="1"/>
  <c r="Q25" i="5" s="1"/>
  <c r="U25" i="5" s="1"/>
  <c r="J11" i="4"/>
  <c r="Q11" i="4" s="1"/>
  <c r="I12" i="4"/>
  <c r="J20" i="4"/>
  <c r="Q20" i="4" s="1"/>
  <c r="I16" i="4"/>
  <c r="J9" i="4"/>
  <c r="Q9" i="4" s="1"/>
  <c r="V6" i="4"/>
  <c r="T31" i="4"/>
  <c r="T47" i="4" s="1"/>
  <c r="V25" i="5" l="1"/>
  <c r="V31" i="5" s="1"/>
  <c r="V47" i="5" s="1"/>
  <c r="U31" i="5"/>
  <c r="U47" i="5" s="1"/>
  <c r="J31" i="5"/>
  <c r="I25" i="4"/>
  <c r="J25" i="4" s="1"/>
  <c r="Q25" i="4" s="1"/>
  <c r="U25" i="4" s="1"/>
  <c r="J12" i="4"/>
  <c r="J16" i="4"/>
  <c r="Q16" i="4" s="1"/>
  <c r="I26" i="4"/>
  <c r="J26" i="4" s="1"/>
  <c r="Q26" i="4" s="1"/>
  <c r="U26" i="4" s="1"/>
  <c r="V26" i="4" s="1"/>
  <c r="Q31" i="5" l="1"/>
  <c r="Q47" i="5" s="1"/>
  <c r="J47" i="5"/>
  <c r="AA47" i="5"/>
  <c r="Q12" i="4"/>
  <c r="J31" i="4"/>
  <c r="U31" i="4"/>
  <c r="U47" i="4" s="1"/>
  <c r="V25" i="4"/>
  <c r="V31" i="4" s="1"/>
  <c r="V47" i="4" s="1"/>
  <c r="AA48" i="5" l="1"/>
  <c r="AA47" i="4"/>
  <c r="J47" i="4"/>
  <c r="Q31" i="4"/>
  <c r="Q47" i="4" s="1"/>
  <c r="AA48" i="4" l="1"/>
  <c r="G18" i="3" l="1"/>
  <c r="J40" i="2"/>
  <c r="G17" i="2"/>
  <c r="G40" i="2" s="1"/>
  <c r="G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ED79B0E9-568B-4F3C-8C98-21AB1590D897}">
      <text>
        <r>
          <rPr>
            <sz val="10"/>
            <color indexed="81"/>
            <rFont val="Tahoma"/>
            <charset val="1"/>
          </rPr>
          <t xml:space="preserve">убрать слово АС1
</t>
        </r>
      </text>
    </comment>
    <comment ref="C39" authorId="0" shapeId="0" xr:uid="{65FD4E94-3134-4418-BB07-11A47667C1F6}">
      <text>
        <r>
          <rPr>
            <sz val="10"/>
            <color indexed="81"/>
            <rFont val="Tahoma"/>
            <charset val="1"/>
          </rPr>
          <t xml:space="preserve">убрать слово АС1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16D5CF1D-425F-43AE-A4E9-A7EB3591166A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12679AB9-54A3-49CC-AADE-8FB086250215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sharedStrings.xml><?xml version="1.0" encoding="utf-8"?>
<sst xmlns="http://schemas.openxmlformats.org/spreadsheetml/2006/main" count="836" uniqueCount="272">
  <si>
    <t>№п/п</t>
  </si>
  <si>
    <t>Шифр альбома</t>
  </si>
  <si>
    <t>Наименование альбома</t>
  </si>
  <si>
    <t>Дата выпуска</t>
  </si>
  <si>
    <t>Примечание</t>
  </si>
  <si>
    <t>б/даты</t>
  </si>
  <si>
    <t>нет в ВПК</t>
  </si>
  <si>
    <t>131-23-ВПК1</t>
  </si>
  <si>
    <t>131-23-АС1</t>
  </si>
  <si>
    <t>131-23-АС2</t>
  </si>
  <si>
    <t>131-23-НВК1</t>
  </si>
  <si>
    <t>131-23-ТС1</t>
  </si>
  <si>
    <t>131-23-ГП1</t>
  </si>
  <si>
    <t>131-23-ВПК2</t>
  </si>
  <si>
    <t>131-23-АС3</t>
  </si>
  <si>
    <t>131-23-АС4</t>
  </si>
  <si>
    <t>131-23-ГП2</t>
  </si>
  <si>
    <t>131-23-ГСН</t>
  </si>
  <si>
    <t>131-23-НВК2</t>
  </si>
  <si>
    <t>131-23-НВК3</t>
  </si>
  <si>
    <t>131-23-НВК4</t>
  </si>
  <si>
    <t>131-23-НВК5</t>
  </si>
  <si>
    <t>131-23-ПЖ</t>
  </si>
  <si>
    <t>131-23-ТС2</t>
  </si>
  <si>
    <t>131-23-ТС3</t>
  </si>
  <si>
    <t>131-23-ЭС1</t>
  </si>
  <si>
    <t>131-23-ЭС2</t>
  </si>
  <si>
    <t>Цех №121/18. Архитектурно-строительные решения</t>
  </si>
  <si>
    <t>Эстакада. Архитектурно-строительные решения</t>
  </si>
  <si>
    <t>Генеральный план</t>
  </si>
  <si>
    <t>Наружные газопроводы. Вынос газопровода среднего давления</t>
  </si>
  <si>
    <t>Цех №121/18. Наружные сети водоснабжения и канализации.Переустройство хозпитьевого водопровода</t>
  </si>
  <si>
    <t>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</si>
  <si>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хозпитьевой канализации</t>
  </si>
  <si>
    <t>Наружные сети водоснабжения и канализации. Переустройство ливневой канализации</t>
  </si>
  <si>
    <t>Теплоснабжение. Переустройство трубопровода по эстакаде</t>
  </si>
  <si>
    <t>Теплоснабжение. Переустройство трубопровода</t>
  </si>
  <si>
    <t>Цех №121/18. Электроснабжение. Переустройство кабельных линий</t>
  </si>
  <si>
    <t>Электроснабжение. Переустройство кабельных линий</t>
  </si>
  <si>
    <t>Трансбордер. Ведомость полного комплекта рабочей документации</t>
  </si>
  <si>
    <t>Трансбордер. Архитектурно-строительные решения. Часть 1</t>
  </si>
  <si>
    <t>Трансбордер. Архитектурно-строительные решения. Часть 2</t>
  </si>
  <si>
    <t>Трансбордер. Наружные сети водоснабжения и канализации</t>
  </si>
  <si>
    <t>Трансбордер. Теплоснабжение. Переустройство трубопровода.</t>
  </si>
  <si>
    <t>Трансбордер. Генеральный план</t>
  </si>
  <si>
    <t>Ведомость полного комплекта рабочей документации</t>
  </si>
  <si>
    <t>Ж/д пути ЦЕХ №417</t>
  </si>
  <si>
    <t>131-23 ПОС</t>
  </si>
  <si>
    <t>131-23 ПОД</t>
  </si>
  <si>
    <t>131-23-ВР</t>
  </si>
  <si>
    <t>131-23-ВР2</t>
  </si>
  <si>
    <t>Проект организации строительства</t>
  </si>
  <si>
    <t>Проект организации демонтажа</t>
  </si>
  <si>
    <t>Ведомость демонтажных работ ц.121</t>
  </si>
  <si>
    <t>Ведомость демонтажных работ объектов по трассе
жд путей, подготовке трассы жд путей</t>
  </si>
  <si>
    <t>06-04-01</t>
  </si>
  <si>
    <t>06-02-03</t>
  </si>
  <si>
    <t>Железнодорожные пути</t>
  </si>
  <si>
    <t>06-04-02</t>
  </si>
  <si>
    <t>06-04-04</t>
  </si>
  <si>
    <t>05-03-01</t>
  </si>
  <si>
    <t>06-02-04</t>
  </si>
  <si>
    <t>06-03-02</t>
  </si>
  <si>
    <t>07-02-03</t>
  </si>
  <si>
    <t>07-04-01</t>
  </si>
  <si>
    <t>04-02-05</t>
  </si>
  <si>
    <t>Сметы</t>
  </si>
  <si>
    <t xml:space="preserve">06-02-01      </t>
  </si>
  <si>
    <t>06-02-02</t>
  </si>
  <si>
    <t>05-04-01</t>
  </si>
  <si>
    <t>05-04-02</t>
  </si>
  <si>
    <t>02-02-06</t>
  </si>
  <si>
    <t>02-02-01                 02-02-02</t>
  </si>
  <si>
    <r>
      <rPr>
        <sz val="12"/>
        <color rgb="FFFF0000"/>
        <rFont val="Times New Roman"/>
        <family val="1"/>
        <charset val="204"/>
      </rPr>
      <t xml:space="preserve">06-04-02 </t>
    </r>
    <r>
      <rPr>
        <sz val="12"/>
        <color theme="1"/>
        <rFont val="Times New Roman"/>
        <family val="1"/>
        <charset val="204"/>
      </rPr>
      <t xml:space="preserve">    </t>
    </r>
  </si>
  <si>
    <t>02-02-05</t>
  </si>
  <si>
    <t>Сумма</t>
  </si>
  <si>
    <t>Статус</t>
  </si>
  <si>
    <t>02-02-03</t>
  </si>
  <si>
    <t>02-02-04.</t>
  </si>
  <si>
    <t>Монтаж перегородки. Склад 47</t>
  </si>
  <si>
    <t>02-02-07</t>
  </si>
  <si>
    <t>06-04-03</t>
  </si>
  <si>
    <t>07-02-03.</t>
  </si>
  <si>
    <t xml:space="preserve">по ССР </t>
  </si>
  <si>
    <t>Переделали по РД (вторая папка)</t>
  </si>
  <si>
    <t xml:space="preserve">Смета </t>
  </si>
  <si>
    <t>!05-04-01</t>
  </si>
  <si>
    <t>!05-04-02</t>
  </si>
  <si>
    <t>!06-04-01</t>
  </si>
  <si>
    <t>!06-04-02</t>
  </si>
  <si>
    <t>!07-04-01</t>
  </si>
  <si>
    <t>02-02-03.</t>
  </si>
  <si>
    <t>04-02-05.</t>
  </si>
  <si>
    <t>05-03-01.</t>
  </si>
  <si>
    <t>06-02-01.</t>
  </si>
  <si>
    <t>06-03-02.</t>
  </si>
  <si>
    <t>07-03-02.</t>
  </si>
  <si>
    <t>Перевод собираем , но не монтируем, коэф. на разборку</t>
  </si>
  <si>
    <t>смета не соответсвует проекту</t>
  </si>
  <si>
    <t>ошибки в смете</t>
  </si>
  <si>
    <t>Договор</t>
  </si>
  <si>
    <t>МВМ/03-07 от 03.07.2023г</t>
  </si>
  <si>
    <t>Объект</t>
  </si>
  <si>
    <t>Подрядчик</t>
  </si>
  <si>
    <t>ООО "КиКГЕОСТРОЙ"</t>
  </si>
  <si>
    <t xml:space="preserve">Цена работ по договору </t>
  </si>
  <si>
    <t>с НДС</t>
  </si>
  <si>
    <t>Ж/Д пути от испытательного центра до обкатной линии с удлинением трансбордера цеха №417</t>
  </si>
  <si>
    <t>02-02-04</t>
  </si>
  <si>
    <t>Минстрой</t>
  </si>
  <si>
    <t>27.07.2023 /01.08.2023(3)</t>
  </si>
  <si>
    <t>27.07.2023/ 01.08.2023(З)</t>
  </si>
  <si>
    <t>27.07.2023 /01.08.2023(З)</t>
  </si>
  <si>
    <t>не согл</t>
  </si>
  <si>
    <t>временные есть 5,6%</t>
  </si>
  <si>
    <t>зимние 1,52%</t>
  </si>
  <si>
    <t>27.07.2023/ 02.08.2023(З)</t>
  </si>
  <si>
    <t>временных нет</t>
  </si>
  <si>
    <t>27.07.2023/ 04.08.2023(З)</t>
  </si>
  <si>
    <t>27.07.2023/ 09.08.2023(З)</t>
  </si>
  <si>
    <t>27.07.2023/ 03.08.2023(З)</t>
  </si>
  <si>
    <t>27.07.2023/ 10.08.2023(З)</t>
  </si>
  <si>
    <t>Сумма после проверки</t>
  </si>
  <si>
    <t>Ольга</t>
  </si>
  <si>
    <t>Датат получения и отправки</t>
  </si>
  <si>
    <t>Сумма на проверку</t>
  </si>
  <si>
    <t>22.04.2024/25.04.2024(И)</t>
  </si>
  <si>
    <t>06.05.2024/ 07.05.2024(З)</t>
  </si>
  <si>
    <t>Вера</t>
  </si>
  <si>
    <t>ПНР ЭС1</t>
  </si>
  <si>
    <t>ПНР ЭС2</t>
  </si>
  <si>
    <t>материал ранее демонтрованный, в смете брали как новый</t>
  </si>
  <si>
    <t>Ст-ть кабеля 546 руб. согласно счета в смете счет один цена 9753 руб/м</t>
  </si>
  <si>
    <t>25.04.2024/07.05.2024(И)/29.05.24(З)</t>
  </si>
  <si>
    <t>Устройство временного переезда через железнодорожные пути №33,35,37,39. Цех 417</t>
  </si>
  <si>
    <t>ольга</t>
  </si>
  <si>
    <t>Демонтаж ламп</t>
  </si>
  <si>
    <t>29.05.2024исправлено</t>
  </si>
  <si>
    <t>22.04.2024/07.05.2024(И)/29.05.24 исправлено</t>
  </si>
  <si>
    <t>29.05.2024/29.05.2024 исправлено</t>
  </si>
  <si>
    <t>Вырубка кустарников</t>
  </si>
  <si>
    <t>Переустройство каб.канализации связи СС</t>
  </si>
  <si>
    <t>29.05.2024 З</t>
  </si>
  <si>
    <t>18.06.2024 /21.06.2024 (З)</t>
  </si>
  <si>
    <t>Кристина</t>
  </si>
  <si>
    <t>Номер сметы</t>
  </si>
  <si>
    <t>25.04.2024/.15.05.2024(И)</t>
  </si>
  <si>
    <t>25.04.2024/15.05.2024 (И)</t>
  </si>
  <si>
    <t>25.04.2024/15.05.2024(И)</t>
  </si>
  <si>
    <t>22.04.2024/15.05.2024(и)</t>
  </si>
  <si>
    <r>
      <t xml:space="preserve">01.07.2024/01.07.2024(З)/ </t>
    </r>
    <r>
      <rPr>
        <sz val="12"/>
        <color rgb="FF002060"/>
        <rFont val="Times New Roman"/>
        <family val="1"/>
        <charset val="204"/>
      </rPr>
      <t>01.07.2024(С)</t>
    </r>
  </si>
  <si>
    <t>Ж/д пути ЦЕХ №417 изм. 1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</si>
  <si>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</si>
  <si>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</si>
  <si>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</si>
  <si>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</si>
  <si>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</si>
  <si>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</si>
  <si>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</si>
  <si>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</si>
  <si>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t>ндс 20%</t>
  </si>
  <si>
    <t>Сумма смет  по ДОГОВОРУ с ндс</t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</si>
  <si>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</si>
  <si>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</si>
  <si>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</si>
  <si>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</si>
  <si>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</si>
  <si>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</si>
  <si>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остаток</t>
  </si>
  <si>
    <t>ВОР</t>
  </si>
  <si>
    <t>статус отработки</t>
  </si>
  <si>
    <t>сумма ССР1                                                     (то,что %-но, Кдог=1,0514), с НДС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</si>
  <si>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</si>
  <si>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ВСЕГО (ССР1+ССР2),                             с НДС</t>
  </si>
  <si>
    <t>замечания по ВОР/смете</t>
  </si>
  <si>
    <t>сумма, с НДС</t>
  </si>
  <si>
    <t>Вариант НВ (с 0,65 и без уплотнения)</t>
  </si>
  <si>
    <t>ноябрь</t>
  </si>
  <si>
    <t>декабрь-1</t>
  </si>
  <si>
    <t>декабрь-2</t>
  </si>
  <si>
    <t>январь</t>
  </si>
  <si>
    <t>февраль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</si>
  <si>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 песок с Купл=1,1)</t>
    </r>
  </si>
  <si>
    <t>01-01-01 изм.1</t>
  </si>
  <si>
    <t>+</t>
  </si>
  <si>
    <t xml:space="preserve">ВОР отработан/смета оформлена </t>
  </si>
  <si>
    <t>01-01-02 изм.1</t>
  </si>
  <si>
    <t>01-01-03 изм.1</t>
  </si>
  <si>
    <t>02-03-02 изм.1</t>
  </si>
  <si>
    <t>оформить на подпись</t>
  </si>
  <si>
    <t>04-01-01 изм.1</t>
  </si>
  <si>
    <t>ВОР подписан, смета отправлена на проверку 21.06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</si>
  <si>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</si>
  <si>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</si>
  <si>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</si>
  <si>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</si>
  <si>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</si>
  <si>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</si>
  <si>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</si>
  <si>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06-04-01 изм.1</t>
  </si>
  <si>
    <t>02-01-01 изм.1</t>
  </si>
  <si>
    <t>02-03-01 изм.1</t>
  </si>
  <si>
    <t>СОГЛАСОВАНО</t>
  </si>
  <si>
    <r>
      <t xml:space="preserve">сметы по ВОР - не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(нет подписанного ВОР)</t>
    </r>
  </si>
  <si>
    <t>06-03-01</t>
  </si>
  <si>
    <t>Теплоснабжение.Переустройство трубопровода.ТС1</t>
  </si>
  <si>
    <t>ждем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</si>
  <si>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</si>
  <si>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</si>
  <si>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07-01-01</t>
  </si>
  <si>
    <t>Генеральный план. Трансбордер. ГП1</t>
  </si>
  <si>
    <t>07-01-02</t>
  </si>
  <si>
    <t>Генеральный план. ГП2</t>
  </si>
  <si>
    <t>02-02-01</t>
  </si>
  <si>
    <t>ВОРа на доп. не будет</t>
  </si>
  <si>
    <t xml:space="preserve">ВОР на %-ый объем оформлен,отпр. 28.04 </t>
  </si>
  <si>
    <t>-</t>
  </si>
  <si>
    <t>ОТ Романа-не спешим ОФОРМЛЯТЬ</t>
  </si>
  <si>
    <t>не изменяются</t>
  </si>
  <si>
    <t>не будет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</si>
  <si>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</si>
  <si>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Временная теплосеть</t>
  </si>
  <si>
    <t>! +, подписать ВОР</t>
  </si>
  <si>
    <t>Мазутопровод</t>
  </si>
  <si>
    <t>ИТОГО</t>
  </si>
  <si>
    <r>
      <t xml:space="preserve">сметы по ВОР на </t>
    </r>
    <r>
      <rPr>
        <b/>
        <i/>
        <u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</si>
  <si>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Временный переезд ч.жд.п цех 417</t>
  </si>
  <si>
    <t>щебень исключен-почему? Куда перенесен?</t>
  </si>
  <si>
    <t>Временный водопровод 121</t>
  </si>
  <si>
    <t>Демонтаж ламп-121+75</t>
  </si>
  <si>
    <t>СС.Переустройство кабельной канализации связи</t>
  </si>
  <si>
    <t>Проектное ограждение.АС1(исключить АС1, не относится к 417)</t>
  </si>
  <si>
    <t>ВОР подписан, смета отправлена на проверку 27.06</t>
  </si>
  <si>
    <t>Смещение ЗД.АС1</t>
  </si>
  <si>
    <t>ВОР подписан, смета отправлена на проверку 28.06</t>
  </si>
  <si>
    <t>КС трансбордер</t>
  </si>
  <si>
    <t>Резинокорд-войдет в ГП2</t>
  </si>
  <si>
    <t>Отвод контактной сети</t>
  </si>
  <si>
    <t>на последний момент</t>
  </si>
  <si>
    <t>сметы по ВОР на доп.работы - не выполненные работы</t>
  </si>
  <si>
    <t>Смещение фундаментов под трансбордер</t>
  </si>
  <si>
    <t>ВСЕГО</t>
  </si>
  <si>
    <t>АС2-ВК (Узел подпорной стены по коллектору)</t>
  </si>
  <si>
    <t>ИСКЛЮЧЕНО (задвоение в основном ВОРе)</t>
  </si>
  <si>
    <t>исключено, вошло в АС2</t>
  </si>
  <si>
    <t>Удлинение подпорной стенки трансбордера (ПС-2)</t>
  </si>
  <si>
    <t>Переустройство кабеля к кранам шихты под путями 32 34 36</t>
  </si>
  <si>
    <t>исключено, вошло в АС1</t>
  </si>
  <si>
    <t>Замечания в работе (ждем решение от рук-ва)</t>
  </si>
  <si>
    <r>
      <rPr>
        <b/>
        <u/>
        <sz val="12"/>
        <rFont val="Times New Roman"/>
        <family val="1"/>
        <charset val="204"/>
      </rPr>
      <t>расценка согласована,</t>
    </r>
    <r>
      <rPr>
        <sz val="12"/>
        <rFont val="Times New Roman"/>
        <family val="1"/>
        <charset val="204"/>
      </rPr>
      <t xml:space="preserve"> ВОР будет в ГП2 на основные работы,  включить в  смету ГП2</t>
    </r>
  </si>
  <si>
    <t>требуется корректировка ВОР,отправлено в ПТО,ВОР в работе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</si>
  <si>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</si>
  <si>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</si>
  <si>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</si>
  <si>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Трансбордер. Архитектурно-строительные решения. Часть 2. АС2 .</t>
  </si>
  <si>
    <t>Электроснабжение. ЭС 1. + ПНР</t>
  </si>
  <si>
    <t>Переустройство кабельных линий.ЭС2 + ПНР</t>
  </si>
  <si>
    <t>Переустройство хозпитьевого водопровода.НВК2</t>
  </si>
  <si>
    <t>Переустройство хозпитьевого водопровода.НВК3</t>
  </si>
  <si>
    <t>Переустройство хозяйственно-бытовой канализации.НВК4</t>
  </si>
  <si>
    <t>Переустройство ливневой канализации.НВК5.</t>
  </si>
  <si>
    <t>раздел ушел в ГП2</t>
  </si>
  <si>
    <t>Теплоснабжение. Переустройство трубопровода.ТС2</t>
  </si>
  <si>
    <t>Теплоснабжение. Переустройство трубопровода.ТС3</t>
  </si>
  <si>
    <t>Наружные газопроводы. Вынос газопровода среднего давления.</t>
  </si>
  <si>
    <t>Верхнее строение пути</t>
  </si>
  <si>
    <t>Замечания в работе (ждем решение от рук-ва о прнятии версии Заказчика)</t>
  </si>
  <si>
    <t>Архитектурно-строительные решения. Часть 1.АС1</t>
  </si>
  <si>
    <t>Архитектурно-строительные решения. Эстакада для ТС1. АС 4</t>
  </si>
  <si>
    <t>вопрос по начислению лимитир.затрат</t>
  </si>
  <si>
    <t>требуется корректировка ВОР,отправлено в ПТО,Вор в работе</t>
  </si>
  <si>
    <t>ВОР будет в ГП2 на основные работы, расценка согласована, включить в  смету ГП2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</si>
</sst>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#,##0.0000"/>
    <numFmt numFmtId="167" formatCode="_-* #,##0.00_р_._-;\-* #,##0.00_р_._-;_-* &quot;-&quot;??_р_.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rgb="FF00B0F0"/>
      <name val="Times New Roman"/>
      <family val="1"/>
      <charset val="204"/>
    </font>
    <font>
      <sz val="10"/>
      <color indexed="81"/>
      <name val="Tahoma"/>
      <family val="2"/>
      <charset val="204"/>
    </font>
    <font>
      <sz val="11"/>
      <name val="Calibri"/>
      <charset val="1"/>
    </font>
    <font>
      <sz val="10"/>
      <color indexed="81"/>
      <name val="Tahoma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0" fontId="12" fillId="0" borderId="0"/>
    <xf numFmtId="0" fontId="2" fillId="0" borderId="0"/>
    <xf numFmtId="0" fontId="12" fillId="0" borderId="0"/>
    <xf numFmtId="164" fontId="22" fillId="0" borderId="0" applyFont="0" applyFill="0" applyBorder="0" applyAlignment="0" applyProtection="0"/>
    <xf numFmtId="0" fontId="38" fillId="0" borderId="0"/>
    <xf numFmtId="0" fontId="1" fillId="0" borderId="0"/>
    <xf numFmtId="0" fontId="46" fillId="0" borderId="0"/>
  </cellStyleXfs>
  <cellXfs count="74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43" fontId="5" fillId="0" borderId="1" xfId="1" applyFont="1" applyBorder="1"/>
    <xf numFmtId="0" fontId="6" fillId="2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/>
    <xf numFmtId="43" fontId="5" fillId="0" borderId="0" xfId="0" applyNumberFormat="1" applyFont="1"/>
    <xf numFmtId="49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3" fontId="8" fillId="0" borderId="0" xfId="1" applyFont="1"/>
    <xf numFmtId="0" fontId="8" fillId="0" borderId="0" xfId="0" applyFont="1"/>
    <xf numFmtId="43" fontId="5" fillId="0" borderId="0" xfId="1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3" fontId="5" fillId="3" borderId="1" xfId="1" applyFont="1" applyFill="1" applyBorder="1"/>
    <xf numFmtId="0" fontId="6" fillId="5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3" fontId="5" fillId="7" borderId="1" xfId="1" applyFont="1" applyFill="1" applyBorder="1"/>
    <xf numFmtId="14" fontId="5" fillId="7" borderId="1" xfId="0" applyNumberFormat="1" applyFont="1" applyFill="1" applyBorder="1" applyAlignment="1">
      <alignment horizontal="center" vertical="center" wrapText="1"/>
    </xf>
    <xf numFmtId="0" fontId="5" fillId="7" borderId="0" xfId="0" applyFont="1" applyFill="1"/>
    <xf numFmtId="43" fontId="5" fillId="2" borderId="1" xfId="1" applyFont="1" applyFill="1" applyBorder="1"/>
    <xf numFmtId="43" fontId="5" fillId="0" borderId="1" xfId="1" applyFont="1" applyFill="1" applyBorder="1"/>
    <xf numFmtId="0" fontId="5" fillId="8" borderId="0" xfId="0" applyFont="1" applyFill="1"/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3" fontId="5" fillId="2" borderId="3" xfId="1" applyFont="1" applyFill="1" applyBorder="1"/>
    <xf numFmtId="14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/>
    <xf numFmtId="43" fontId="5" fillId="0" borderId="3" xfId="1" applyFont="1" applyBorder="1"/>
    <xf numFmtId="0" fontId="5" fillId="0" borderId="1" xfId="0" applyFont="1" applyBorder="1" applyAlignment="1">
      <alignment wrapText="1"/>
    </xf>
    <xf numFmtId="43" fontId="8" fillId="0" borderId="1" xfId="1" applyFont="1" applyBorder="1"/>
    <xf numFmtId="14" fontId="5" fillId="7" borderId="1" xfId="0" applyNumberFormat="1" applyFont="1" applyFill="1" applyBorder="1"/>
    <xf numFmtId="14" fontId="5" fillId="7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8" fillId="0" borderId="1" xfId="0" applyNumberFormat="1" applyFont="1" applyBorder="1"/>
    <xf numFmtId="14" fontId="10" fillId="0" borderId="1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4" fontId="5" fillId="0" borderId="0" xfId="3" applyNumberFormat="1" applyFont="1" applyAlignment="1">
      <alignment horizontal="center" vertical="center"/>
    </xf>
    <xf numFmtId="0" fontId="5" fillId="0" borderId="0" xfId="3" applyFont="1"/>
    <xf numFmtId="0" fontId="14" fillId="0" borderId="0" xfId="3" applyFont="1" applyAlignment="1">
      <alignment vertical="center" wrapText="1" shrinkToFit="1"/>
    </xf>
    <xf numFmtId="0" fontId="15" fillId="0" borderId="0" xfId="3" applyFont="1"/>
    <xf numFmtId="0" fontId="5" fillId="0" borderId="0" xfId="4" applyFont="1" applyAlignment="1">
      <alignment horizontal="center"/>
    </xf>
    <xf numFmtId="0" fontId="5" fillId="0" borderId="0" xfId="4" applyFont="1"/>
    <xf numFmtId="0" fontId="5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4" fillId="9" borderId="5" xfId="3" applyFont="1" applyFill="1" applyBorder="1" applyAlignment="1">
      <alignment horizontal="center" vertical="center" wrapText="1"/>
    </xf>
    <xf numFmtId="4" fontId="4" fillId="9" borderId="5" xfId="3" applyNumberFormat="1" applyFont="1" applyFill="1" applyBorder="1" applyAlignment="1">
      <alignment horizontal="center" vertical="center" wrapText="1"/>
    </xf>
    <xf numFmtId="0" fontId="18" fillId="9" borderId="5" xfId="3" applyFont="1" applyFill="1" applyBorder="1" applyAlignment="1">
      <alignment horizontal="center" vertical="center" wrapText="1"/>
    </xf>
    <xf numFmtId="4" fontId="18" fillId="9" borderId="5" xfId="3" applyNumberFormat="1" applyFont="1" applyFill="1" applyBorder="1" applyAlignment="1">
      <alignment horizontal="center" vertical="center" wrapText="1"/>
    </xf>
    <xf numFmtId="0" fontId="4" fillId="4" borderId="5" xfId="3" applyFont="1" applyFill="1" applyBorder="1" applyAlignment="1">
      <alignment horizontal="center" vertical="center" wrapText="1"/>
    </xf>
    <xf numFmtId="0" fontId="4" fillId="5" borderId="5" xfId="3" applyFont="1" applyFill="1" applyBorder="1" applyAlignment="1">
      <alignment horizontal="center" vertical="center" wrapText="1"/>
    </xf>
    <xf numFmtId="0" fontId="4" fillId="5" borderId="6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49" fontId="16" fillId="9" borderId="1" xfId="3" applyNumberFormat="1" applyFont="1" applyFill="1" applyBorder="1" applyAlignment="1">
      <alignment horizontal="center" vertical="center" wrapText="1"/>
    </xf>
    <xf numFmtId="49" fontId="16" fillId="4" borderId="1" xfId="3" applyNumberFormat="1" applyFont="1" applyFill="1" applyBorder="1" applyAlignment="1">
      <alignment horizontal="center" vertical="center" wrapText="1"/>
    </xf>
    <xf numFmtId="49" fontId="16" fillId="5" borderId="1" xfId="3" applyNumberFormat="1" applyFont="1" applyFill="1" applyBorder="1" applyAlignment="1">
      <alignment horizontal="center" vertical="center" wrapText="1"/>
    </xf>
    <xf numFmtId="49" fontId="16" fillId="5" borderId="8" xfId="3" applyNumberFormat="1" applyFont="1" applyFill="1" applyBorder="1" applyAlignment="1">
      <alignment horizontal="center" vertical="center" wrapText="1"/>
    </xf>
    <xf numFmtId="0" fontId="5" fillId="10" borderId="7" xfId="3" applyFont="1" applyFill="1" applyBorder="1" applyAlignment="1">
      <alignment horizontal="center" vertical="center"/>
    </xf>
    <xf numFmtId="0" fontId="5" fillId="10" borderId="1" xfId="3" applyFont="1" applyFill="1" applyBorder="1" applyAlignment="1">
      <alignment horizontal="center" vertical="center"/>
    </xf>
    <xf numFmtId="0" fontId="5" fillId="10" borderId="1" xfId="3" applyFont="1" applyFill="1" applyBorder="1" applyAlignment="1">
      <alignment horizontal="center" vertical="center" wrapText="1"/>
    </xf>
    <xf numFmtId="49" fontId="16" fillId="10" borderId="1" xfId="3" applyNumberFormat="1" applyFont="1" applyFill="1" applyBorder="1" applyAlignment="1">
      <alignment horizontal="center" vertical="center" wrapText="1"/>
    </xf>
    <xf numFmtId="49" fontId="16" fillId="10" borderId="8" xfId="3" applyNumberFormat="1" applyFont="1" applyFill="1" applyBorder="1" applyAlignment="1">
      <alignment horizontal="center" vertical="center" wrapText="1"/>
    </xf>
    <xf numFmtId="0" fontId="10" fillId="7" borderId="7" xfId="3" applyFont="1" applyFill="1" applyBorder="1" applyAlignment="1">
      <alignment horizontal="center" vertical="center"/>
    </xf>
    <xf numFmtId="0" fontId="13" fillId="7" borderId="1" xfId="3" applyFont="1" applyFill="1" applyBorder="1" applyAlignment="1">
      <alignment horizontal="center" vertical="center"/>
    </xf>
    <xf numFmtId="0" fontId="10" fillId="7" borderId="1" xfId="3" applyFont="1" applyFill="1" applyBorder="1" applyAlignment="1">
      <alignment horizontal="left" vertical="center" wrapText="1"/>
    </xf>
    <xf numFmtId="164" fontId="10" fillId="7" borderId="1" xfId="5" applyFont="1" applyFill="1" applyBorder="1" applyAlignment="1">
      <alignment horizontal="center" vertical="center"/>
    </xf>
    <xf numFmtId="165" fontId="10" fillId="7" borderId="1" xfId="3" applyNumberFormat="1" applyFont="1" applyFill="1" applyBorder="1" applyAlignment="1">
      <alignment horizontal="center" vertical="center"/>
    </xf>
    <xf numFmtId="4" fontId="13" fillId="7" borderId="1" xfId="3" applyNumberFormat="1" applyFont="1" applyFill="1" applyBorder="1" applyAlignment="1">
      <alignment horizontal="center" vertical="center"/>
    </xf>
    <xf numFmtId="4" fontId="10" fillId="7" borderId="1" xfId="3" applyNumberFormat="1" applyFont="1" applyFill="1" applyBorder="1" applyAlignment="1">
      <alignment horizontal="center" vertical="center"/>
    </xf>
    <xf numFmtId="4" fontId="23" fillId="7" borderId="1" xfId="3" applyNumberFormat="1" applyFont="1" applyFill="1" applyBorder="1" applyAlignment="1">
      <alignment horizontal="center" vertical="center" wrapText="1"/>
    </xf>
    <xf numFmtId="4" fontId="10" fillId="7" borderId="8" xfId="3" applyNumberFormat="1" applyFont="1" applyFill="1" applyBorder="1" applyAlignment="1">
      <alignment horizontal="center" vertical="center"/>
    </xf>
    <xf numFmtId="4" fontId="13" fillId="7" borderId="8" xfId="3" applyNumberFormat="1" applyFont="1" applyFill="1" applyBorder="1" applyAlignment="1">
      <alignment horizontal="center" vertical="center"/>
    </xf>
    <xf numFmtId="4" fontId="14" fillId="0" borderId="0" xfId="3" applyNumberFormat="1" applyFont="1" applyAlignment="1">
      <alignment vertical="center" wrapText="1" shrinkToFit="1"/>
    </xf>
    <xf numFmtId="4" fontId="23" fillId="5" borderId="1" xfId="3" applyNumberFormat="1" applyFont="1" applyFill="1" applyBorder="1" applyAlignment="1">
      <alignment horizontal="center" vertical="center" wrapText="1"/>
    </xf>
    <xf numFmtId="4" fontId="5" fillId="5" borderId="8" xfId="3" applyNumberFormat="1" applyFont="1" applyFill="1" applyBorder="1" applyAlignment="1">
      <alignment horizontal="center" vertical="center"/>
    </xf>
    <xf numFmtId="4" fontId="5" fillId="5" borderId="8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Alignment="1">
      <alignment horizontal="center" vertical="center" wrapText="1"/>
    </xf>
    <xf numFmtId="0" fontId="10" fillId="11" borderId="7" xfId="3" applyFont="1" applyFill="1" applyBorder="1" applyAlignment="1">
      <alignment horizontal="center" vertical="center"/>
    </xf>
    <xf numFmtId="0" fontId="13" fillId="11" borderId="1" xfId="3" applyFont="1" applyFill="1" applyBorder="1" applyAlignment="1">
      <alignment horizontal="center" vertical="center"/>
    </xf>
    <xf numFmtId="0" fontId="10" fillId="11" borderId="1" xfId="3" applyFont="1" applyFill="1" applyBorder="1" applyAlignment="1">
      <alignment horizontal="left" vertical="center" wrapText="1"/>
    </xf>
    <xf numFmtId="164" fontId="10" fillId="11" borderId="1" xfId="5" applyFont="1" applyFill="1" applyBorder="1" applyAlignment="1">
      <alignment horizontal="center" vertical="center"/>
    </xf>
    <xf numFmtId="165" fontId="10" fillId="11" borderId="1" xfId="3" applyNumberFormat="1" applyFont="1" applyFill="1" applyBorder="1" applyAlignment="1">
      <alignment horizontal="center" vertical="center"/>
    </xf>
    <xf numFmtId="4" fontId="13" fillId="11" borderId="1" xfId="3" applyNumberFormat="1" applyFont="1" applyFill="1" applyBorder="1" applyAlignment="1">
      <alignment horizontal="center" vertical="center"/>
    </xf>
    <xf numFmtId="4" fontId="10" fillId="11" borderId="1" xfId="3" applyNumberFormat="1" applyFont="1" applyFill="1" applyBorder="1" applyAlignment="1">
      <alignment horizontal="center" vertical="center"/>
    </xf>
    <xf numFmtId="4" fontId="10" fillId="11" borderId="1" xfId="3" applyNumberFormat="1" applyFont="1" applyFill="1" applyBorder="1" applyAlignment="1">
      <alignment horizontal="center" vertical="center" wrapText="1"/>
    </xf>
    <xf numFmtId="4" fontId="24" fillId="11" borderId="1" xfId="3" applyNumberFormat="1" applyFont="1" applyFill="1" applyBorder="1" applyAlignment="1">
      <alignment horizontal="center" vertical="center" wrapText="1"/>
    </xf>
    <xf numFmtId="4" fontId="10" fillId="11" borderId="8" xfId="3" applyNumberFormat="1" applyFont="1" applyFill="1" applyBorder="1" applyAlignment="1">
      <alignment horizontal="center" vertical="center"/>
    </xf>
    <xf numFmtId="4" fontId="25" fillId="11" borderId="8" xfId="3" applyNumberFormat="1" applyFont="1" applyFill="1" applyBorder="1" applyAlignment="1">
      <alignment horizontal="center" vertical="center"/>
    </xf>
    <xf numFmtId="4" fontId="13" fillId="11" borderId="8" xfId="3" applyNumberFormat="1" applyFont="1" applyFill="1" applyBorder="1" applyAlignment="1">
      <alignment horizontal="center" vertical="center"/>
    </xf>
    <xf numFmtId="0" fontId="26" fillId="12" borderId="0" xfId="3" applyFont="1" applyFill="1" applyAlignment="1">
      <alignment vertical="center" wrapText="1" shrinkToFit="1"/>
    </xf>
    <xf numFmtId="4" fontId="27" fillId="12" borderId="1" xfId="3" applyNumberFormat="1" applyFont="1" applyFill="1" applyBorder="1" applyAlignment="1">
      <alignment horizontal="center" vertical="center" wrapText="1"/>
    </xf>
    <xf numFmtId="4" fontId="18" fillId="12" borderId="8" xfId="3" applyNumberFormat="1" applyFont="1" applyFill="1" applyBorder="1" applyAlignment="1">
      <alignment horizontal="center" vertical="center"/>
    </xf>
    <xf numFmtId="4" fontId="18" fillId="12" borderId="8" xfId="3" applyNumberFormat="1" applyFont="1" applyFill="1" applyBorder="1" applyAlignment="1">
      <alignment horizontal="center" vertical="center" wrapText="1"/>
    </xf>
    <xf numFmtId="4" fontId="8" fillId="0" borderId="0" xfId="3" applyNumberFormat="1" applyFont="1" applyAlignment="1">
      <alignment horizontal="center" vertical="center"/>
    </xf>
    <xf numFmtId="0" fontId="8" fillId="0" borderId="0" xfId="3" applyFont="1"/>
    <xf numFmtId="0" fontId="14" fillId="12" borderId="0" xfId="3" applyFont="1" applyFill="1" applyAlignment="1">
      <alignment vertical="center" wrapText="1" shrinkToFit="1"/>
    </xf>
    <xf numFmtId="4" fontId="23" fillId="12" borderId="1" xfId="3" applyNumberFormat="1" applyFont="1" applyFill="1" applyBorder="1" applyAlignment="1">
      <alignment horizontal="center" vertical="center" wrapText="1"/>
    </xf>
    <xf numFmtId="4" fontId="4" fillId="12" borderId="8" xfId="3" applyNumberFormat="1" applyFont="1" applyFill="1" applyBorder="1" applyAlignment="1">
      <alignment horizontal="center" vertical="center"/>
    </xf>
    <xf numFmtId="4" fontId="4" fillId="12" borderId="8" xfId="3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vertical="center" wrapText="1" shrinkToFit="1"/>
    </xf>
    <xf numFmtId="4" fontId="13" fillId="8" borderId="0" xfId="3" applyNumberFormat="1" applyFont="1" applyFill="1" applyAlignment="1">
      <alignment horizontal="center" vertical="center" wrapText="1"/>
    </xf>
    <xf numFmtId="4" fontId="27" fillId="5" borderId="1" xfId="3" applyNumberFormat="1" applyFont="1" applyFill="1" applyBorder="1" applyAlignment="1">
      <alignment horizontal="center" vertical="center" wrapText="1"/>
    </xf>
    <xf numFmtId="4" fontId="8" fillId="5" borderId="8" xfId="3" applyNumberFormat="1" applyFont="1" applyFill="1" applyBorder="1" applyAlignment="1">
      <alignment horizontal="center" vertical="center"/>
    </xf>
    <xf numFmtId="4" fontId="5" fillId="11" borderId="1" xfId="3" applyNumberFormat="1" applyFont="1" applyFill="1" applyBorder="1" applyAlignment="1">
      <alignment horizontal="center" vertical="center"/>
    </xf>
    <xf numFmtId="4" fontId="8" fillId="11" borderId="1" xfId="3" applyNumberFormat="1" applyFont="1" applyFill="1" applyBorder="1" applyAlignment="1">
      <alignment horizontal="center" vertical="center" wrapText="1"/>
    </xf>
    <xf numFmtId="0" fontId="14" fillId="13" borderId="0" xfId="3" applyFont="1" applyFill="1" applyAlignment="1">
      <alignment vertical="center" wrapText="1" shrinkToFit="1"/>
    </xf>
    <xf numFmtId="4" fontId="8" fillId="0" borderId="0" xfId="3" applyNumberFormat="1" applyFont="1"/>
    <xf numFmtId="49" fontId="13" fillId="11" borderId="1" xfId="3" applyNumberFormat="1" applyFont="1" applyFill="1" applyBorder="1" applyAlignment="1">
      <alignment horizontal="center" vertical="center"/>
    </xf>
    <xf numFmtId="4" fontId="24" fillId="14" borderId="1" xfId="3" applyNumberFormat="1" applyFont="1" applyFill="1" applyBorder="1" applyAlignment="1">
      <alignment horizontal="center" vertical="center" wrapText="1"/>
    </xf>
    <xf numFmtId="4" fontId="5" fillId="0" borderId="0" xfId="3" applyNumberFormat="1" applyFont="1"/>
    <xf numFmtId="0" fontId="28" fillId="0" borderId="0" xfId="3" applyFont="1" applyAlignment="1">
      <alignment vertical="center" wrapText="1" shrinkToFit="1"/>
    </xf>
    <xf numFmtId="4" fontId="10" fillId="5" borderId="8" xfId="3" applyNumberFormat="1" applyFont="1" applyFill="1" applyBorder="1" applyAlignment="1">
      <alignment horizontal="center" vertical="center"/>
    </xf>
    <xf numFmtId="4" fontId="10" fillId="5" borderId="8" xfId="3" applyNumberFormat="1" applyFont="1" applyFill="1" applyBorder="1" applyAlignment="1">
      <alignment horizontal="center" vertical="center" wrapText="1"/>
    </xf>
    <xf numFmtId="0" fontId="28" fillId="0" borderId="0" xfId="3" applyFont="1"/>
    <xf numFmtId="0" fontId="10" fillId="0" borderId="0" xfId="3" applyFont="1"/>
    <xf numFmtId="0" fontId="10" fillId="15" borderId="11" xfId="3" applyFont="1" applyFill="1" applyBorder="1" applyAlignment="1">
      <alignment horizontal="center" vertical="center"/>
    </xf>
    <xf numFmtId="0" fontId="13" fillId="15" borderId="3" xfId="3" applyFont="1" applyFill="1" applyBorder="1" applyAlignment="1">
      <alignment horizontal="center" vertical="center"/>
    </xf>
    <xf numFmtId="0" fontId="10" fillId="15" borderId="3" xfId="3" applyFont="1" applyFill="1" applyBorder="1" applyAlignment="1">
      <alignment horizontal="left" vertical="center" wrapText="1"/>
    </xf>
    <xf numFmtId="164" fontId="10" fillId="15" borderId="3" xfId="5" applyFont="1" applyFill="1" applyBorder="1" applyAlignment="1">
      <alignment horizontal="center" vertical="center"/>
    </xf>
    <xf numFmtId="165" fontId="10" fillId="15" borderId="3" xfId="3" applyNumberFormat="1" applyFont="1" applyFill="1" applyBorder="1" applyAlignment="1">
      <alignment horizontal="center" vertical="center"/>
    </xf>
    <xf numFmtId="4" fontId="13" fillId="15" borderId="3" xfId="3" applyNumberFormat="1" applyFont="1" applyFill="1" applyBorder="1" applyAlignment="1">
      <alignment horizontal="center" vertical="center"/>
    </xf>
    <xf numFmtId="4" fontId="10" fillId="15" borderId="3" xfId="3" applyNumberFormat="1" applyFont="1" applyFill="1" applyBorder="1" applyAlignment="1">
      <alignment horizontal="center" vertical="center"/>
    </xf>
    <xf numFmtId="4" fontId="10" fillId="15" borderId="1" xfId="3" applyNumberFormat="1" applyFont="1" applyFill="1" applyBorder="1" applyAlignment="1">
      <alignment horizontal="center" vertical="center"/>
    </xf>
    <xf numFmtId="4" fontId="24" fillId="15" borderId="1" xfId="3" applyNumberFormat="1" applyFont="1" applyFill="1" applyBorder="1" applyAlignment="1">
      <alignment horizontal="center" vertical="center" wrapText="1"/>
    </xf>
    <xf numFmtId="4" fontId="10" fillId="15" borderId="12" xfId="3" applyNumberFormat="1" applyFont="1" applyFill="1" applyBorder="1" applyAlignment="1">
      <alignment horizontal="center" vertical="center"/>
    </xf>
    <xf numFmtId="4" fontId="25" fillId="15" borderId="8" xfId="3" applyNumberFormat="1" applyFont="1" applyFill="1" applyBorder="1" applyAlignment="1">
      <alignment horizontal="center" vertical="center"/>
    </xf>
    <xf numFmtId="4" fontId="13" fillId="15" borderId="8" xfId="3" applyNumberFormat="1" applyFont="1" applyFill="1" applyBorder="1" applyAlignment="1">
      <alignment horizontal="center" vertical="center"/>
    </xf>
    <xf numFmtId="0" fontId="29" fillId="0" borderId="0" xfId="3" applyFont="1" applyAlignment="1">
      <alignment vertical="center" wrapText="1" shrinkToFit="1"/>
    </xf>
    <xf numFmtId="4" fontId="30" fillId="5" borderId="1" xfId="3" applyNumberFormat="1" applyFont="1" applyFill="1" applyBorder="1" applyAlignment="1">
      <alignment horizontal="center" vertical="center" wrapText="1"/>
    </xf>
    <xf numFmtId="4" fontId="31" fillId="5" borderId="8" xfId="3" applyNumberFormat="1" applyFont="1" applyFill="1" applyBorder="1" applyAlignment="1">
      <alignment horizontal="center" vertical="center"/>
    </xf>
    <xf numFmtId="4" fontId="31" fillId="5" borderId="8" xfId="3" applyNumberFormat="1" applyFont="1" applyFill="1" applyBorder="1" applyAlignment="1">
      <alignment horizontal="center" vertical="center" wrapText="1"/>
    </xf>
    <xf numFmtId="0" fontId="29" fillId="0" borderId="0" xfId="3" applyFont="1"/>
    <xf numFmtId="0" fontId="31" fillId="0" borderId="0" xfId="3" applyFont="1"/>
    <xf numFmtId="0" fontId="10" fillId="14" borderId="7" xfId="3" applyFont="1" applyFill="1" applyBorder="1" applyAlignment="1">
      <alignment horizontal="center" vertical="center"/>
    </xf>
    <xf numFmtId="0" fontId="13" fillId="14" borderId="1" xfId="3" applyFont="1" applyFill="1" applyBorder="1" applyAlignment="1">
      <alignment horizontal="center" vertical="center"/>
    </xf>
    <xf numFmtId="0" fontId="10" fillId="14" borderId="1" xfId="3" applyFont="1" applyFill="1" applyBorder="1" applyAlignment="1">
      <alignment horizontal="left" vertical="center" wrapText="1"/>
    </xf>
    <xf numFmtId="164" fontId="10" fillId="14" borderId="1" xfId="5" applyFont="1" applyFill="1" applyBorder="1" applyAlignment="1">
      <alignment horizontal="center" vertical="center"/>
    </xf>
    <xf numFmtId="165" fontId="10" fillId="14" borderId="1" xfId="3" applyNumberFormat="1" applyFont="1" applyFill="1" applyBorder="1" applyAlignment="1">
      <alignment horizontal="center" vertical="center"/>
    </xf>
    <xf numFmtId="4" fontId="13" fillId="14" borderId="1" xfId="3" applyNumberFormat="1" applyFont="1" applyFill="1" applyBorder="1" applyAlignment="1">
      <alignment horizontal="center" vertical="center"/>
    </xf>
    <xf numFmtId="4" fontId="10" fillId="14" borderId="1" xfId="3" applyNumberFormat="1" applyFont="1" applyFill="1" applyBorder="1" applyAlignment="1">
      <alignment horizontal="center" vertical="center"/>
    </xf>
    <xf numFmtId="4" fontId="23" fillId="14" borderId="1" xfId="3" applyNumberFormat="1" applyFont="1" applyFill="1" applyBorder="1" applyAlignment="1">
      <alignment horizontal="center" vertical="center" wrapText="1"/>
    </xf>
    <xf numFmtId="4" fontId="10" fillId="14" borderId="9" xfId="3" applyNumberFormat="1" applyFont="1" applyFill="1" applyBorder="1" applyAlignment="1">
      <alignment horizontal="center" vertical="center"/>
    </xf>
    <xf numFmtId="4" fontId="10" fillId="14" borderId="10" xfId="3" applyNumberFormat="1" applyFont="1" applyFill="1" applyBorder="1" applyAlignment="1">
      <alignment horizontal="center" vertical="center"/>
    </xf>
    <xf numFmtId="4" fontId="13" fillId="14" borderId="8" xfId="3" applyNumberFormat="1" applyFont="1" applyFill="1" applyBorder="1" applyAlignment="1">
      <alignment horizontal="center" vertical="center"/>
    </xf>
    <xf numFmtId="4" fontId="16" fillId="10" borderId="8" xfId="3" applyNumberFormat="1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left" vertical="center" wrapText="1"/>
    </xf>
    <xf numFmtId="164" fontId="10" fillId="2" borderId="1" xfId="5" applyFont="1" applyFill="1" applyBorder="1" applyAlignment="1">
      <alignment horizontal="center" vertical="center"/>
    </xf>
    <xf numFmtId="165" fontId="10" fillId="2" borderId="1" xfId="3" applyNumberFormat="1" applyFont="1" applyFill="1" applyBorder="1" applyAlignment="1">
      <alignment horizontal="center" vertical="center"/>
    </xf>
    <xf numFmtId="4" fontId="13" fillId="2" borderId="1" xfId="3" applyNumberFormat="1" applyFont="1" applyFill="1" applyBorder="1" applyAlignment="1">
      <alignment horizontal="center" vertical="center"/>
    </xf>
    <xf numFmtId="4" fontId="10" fillId="2" borderId="1" xfId="3" applyNumberFormat="1" applyFont="1" applyFill="1" applyBorder="1" applyAlignment="1">
      <alignment horizontal="center" vertical="center"/>
    </xf>
    <xf numFmtId="4" fontId="32" fillId="2" borderId="1" xfId="3" applyNumberFormat="1" applyFont="1" applyFill="1" applyBorder="1" applyAlignment="1">
      <alignment horizontal="center" vertical="center" wrapText="1"/>
    </xf>
    <xf numFmtId="4" fontId="10" fillId="2" borderId="8" xfId="3" applyNumberFormat="1" applyFont="1" applyFill="1" applyBorder="1" applyAlignment="1">
      <alignment horizontal="center" vertical="center"/>
    </xf>
    <xf numFmtId="4" fontId="25" fillId="2" borderId="8" xfId="3" applyNumberFormat="1" applyFont="1" applyFill="1" applyBorder="1" applyAlignment="1">
      <alignment horizontal="center" vertical="center"/>
    </xf>
    <xf numFmtId="4" fontId="10" fillId="2" borderId="1" xfId="3" applyNumberFormat="1" applyFont="1" applyFill="1" applyBorder="1" applyAlignment="1">
      <alignment horizontal="center" vertical="center" wrapText="1"/>
    </xf>
    <xf numFmtId="0" fontId="14" fillId="8" borderId="0" xfId="3" applyFont="1" applyFill="1" applyAlignment="1">
      <alignment vertical="center" wrapText="1" shrinkToFit="1"/>
    </xf>
    <xf numFmtId="0" fontId="10" fillId="2" borderId="13" xfId="3" applyFont="1" applyFill="1" applyBorder="1" applyAlignment="1">
      <alignment horizontal="center" vertical="center"/>
    </xf>
    <xf numFmtId="0" fontId="13" fillId="2" borderId="14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left" vertical="center" wrapText="1"/>
    </xf>
    <xf numFmtId="164" fontId="10" fillId="2" borderId="14" xfId="5" applyFont="1" applyFill="1" applyBorder="1" applyAlignment="1">
      <alignment horizontal="center" vertical="center"/>
    </xf>
    <xf numFmtId="165" fontId="10" fillId="2" borderId="14" xfId="3" applyNumberFormat="1" applyFont="1" applyFill="1" applyBorder="1" applyAlignment="1">
      <alignment horizontal="center" vertical="center"/>
    </xf>
    <xf numFmtId="4" fontId="13" fillId="2" borderId="14" xfId="3" applyNumberFormat="1" applyFont="1" applyFill="1" applyBorder="1" applyAlignment="1">
      <alignment horizontal="center" vertical="center"/>
    </xf>
    <xf numFmtId="4" fontId="10" fillId="2" borderId="14" xfId="3" applyNumberFormat="1" applyFont="1" applyFill="1" applyBorder="1" applyAlignment="1">
      <alignment horizontal="center" vertical="center"/>
    </xf>
    <xf numFmtId="4" fontId="10" fillId="2" borderId="14" xfId="3" applyNumberFormat="1" applyFont="1" applyFill="1" applyBorder="1" applyAlignment="1">
      <alignment horizontal="center" vertical="center" wrapText="1"/>
    </xf>
    <xf numFmtId="4" fontId="32" fillId="2" borderId="14" xfId="3" applyNumberFormat="1" applyFont="1" applyFill="1" applyBorder="1" applyAlignment="1">
      <alignment horizontal="center" vertical="center" wrapText="1"/>
    </xf>
    <xf numFmtId="4" fontId="10" fillId="2" borderId="15" xfId="3" applyNumberFormat="1" applyFont="1" applyFill="1" applyBorder="1" applyAlignment="1">
      <alignment horizontal="center" vertical="center"/>
    </xf>
    <xf numFmtId="4" fontId="25" fillId="2" borderId="15" xfId="3" applyNumberFormat="1" applyFont="1" applyFill="1" applyBorder="1" applyAlignment="1">
      <alignment horizontal="center" vertical="center"/>
    </xf>
    <xf numFmtId="4" fontId="10" fillId="2" borderId="16" xfId="3" applyNumberFormat="1" applyFont="1" applyFill="1" applyBorder="1" applyAlignment="1">
      <alignment horizontal="center" vertical="center"/>
    </xf>
    <xf numFmtId="4" fontId="5" fillId="5" borderId="15" xfId="3" applyNumberFormat="1" applyFont="1" applyFill="1" applyBorder="1" applyAlignment="1">
      <alignment horizontal="center" vertical="center"/>
    </xf>
    <xf numFmtId="4" fontId="5" fillId="5" borderId="15" xfId="3" applyNumberFormat="1" applyFont="1" applyFill="1" applyBorder="1" applyAlignment="1">
      <alignment horizontal="center" vertical="center" wrapText="1"/>
    </xf>
    <xf numFmtId="0" fontId="31" fillId="8" borderId="4" xfId="3" applyFont="1" applyFill="1" applyBorder="1" applyAlignment="1">
      <alignment horizontal="center" vertical="center"/>
    </xf>
    <xf numFmtId="0" fontId="34" fillId="8" borderId="5" xfId="3" applyFont="1" applyFill="1" applyBorder="1" applyAlignment="1">
      <alignment horizontal="center" vertical="center"/>
    </xf>
    <xf numFmtId="0" fontId="31" fillId="8" borderId="5" xfId="3" applyFont="1" applyFill="1" applyBorder="1" applyAlignment="1">
      <alignment horizontal="left" vertical="center" wrapText="1"/>
    </xf>
    <xf numFmtId="164" fontId="31" fillId="8" borderId="5" xfId="5" applyFont="1" applyFill="1" applyBorder="1" applyAlignment="1">
      <alignment horizontal="center" vertical="center"/>
    </xf>
    <xf numFmtId="165" fontId="31" fillId="8" borderId="5" xfId="3" applyNumberFormat="1" applyFont="1" applyFill="1" applyBorder="1" applyAlignment="1">
      <alignment horizontal="center" vertical="center"/>
    </xf>
    <xf numFmtId="4" fontId="34" fillId="8" borderId="5" xfId="3" applyNumberFormat="1" applyFont="1" applyFill="1" applyBorder="1" applyAlignment="1">
      <alignment horizontal="center" vertical="center"/>
    </xf>
    <xf numFmtId="4" fontId="31" fillId="9" borderId="5" xfId="3" applyNumberFormat="1" applyFont="1" applyFill="1" applyBorder="1" applyAlignment="1">
      <alignment horizontal="center" vertical="center"/>
    </xf>
    <xf numFmtId="4" fontId="31" fillId="4" borderId="5" xfId="3" applyNumberFormat="1" applyFont="1" applyFill="1" applyBorder="1" applyAlignment="1">
      <alignment horizontal="center" vertical="center"/>
    </xf>
    <xf numFmtId="4" fontId="25" fillId="5" borderId="5" xfId="3" applyNumberFormat="1" applyFont="1" applyFill="1" applyBorder="1" applyAlignment="1">
      <alignment horizontal="center" vertical="center" wrapText="1"/>
    </xf>
    <xf numFmtId="4" fontId="35" fillId="5" borderId="5" xfId="3" applyNumberFormat="1" applyFont="1" applyFill="1" applyBorder="1" applyAlignment="1">
      <alignment horizontal="center" vertical="center" wrapText="1"/>
    </xf>
    <xf numFmtId="4" fontId="31" fillId="5" borderId="6" xfId="3" applyNumberFormat="1" applyFont="1" applyFill="1" applyBorder="1" applyAlignment="1">
      <alignment horizontal="center" vertical="center"/>
    </xf>
    <xf numFmtId="4" fontId="34" fillId="5" borderId="6" xfId="3" applyNumberFormat="1" applyFont="1" applyFill="1" applyBorder="1" applyAlignment="1">
      <alignment horizontal="center" vertical="center"/>
    </xf>
    <xf numFmtId="0" fontId="36" fillId="0" borderId="0" xfId="3" applyFont="1" applyAlignment="1">
      <alignment vertical="center" wrapText="1" shrinkToFit="1"/>
    </xf>
    <xf numFmtId="0" fontId="31" fillId="8" borderId="18" xfId="3" applyFont="1" applyFill="1" applyBorder="1" applyAlignment="1">
      <alignment horizontal="center" vertical="center"/>
    </xf>
    <xf numFmtId="0" fontId="34" fillId="8" borderId="19" xfId="3" applyFont="1" applyFill="1" applyBorder="1" applyAlignment="1">
      <alignment horizontal="center" vertical="center"/>
    </xf>
    <xf numFmtId="0" fontId="31" fillId="8" borderId="19" xfId="3" applyFont="1" applyFill="1" applyBorder="1" applyAlignment="1">
      <alignment horizontal="left" vertical="center" wrapText="1"/>
    </xf>
    <xf numFmtId="164" fontId="31" fillId="8" borderId="19" xfId="5" applyFont="1" applyFill="1" applyBorder="1" applyAlignment="1">
      <alignment horizontal="center" vertical="center"/>
    </xf>
    <xf numFmtId="165" fontId="31" fillId="8" borderId="19" xfId="3" applyNumberFormat="1" applyFont="1" applyFill="1" applyBorder="1" applyAlignment="1">
      <alignment horizontal="center" vertical="center"/>
    </xf>
    <xf numFmtId="4" fontId="34" fillId="8" borderId="19" xfId="3" applyNumberFormat="1" applyFont="1" applyFill="1" applyBorder="1" applyAlignment="1">
      <alignment horizontal="center" vertical="center"/>
    </xf>
    <xf numFmtId="4" fontId="31" fillId="16" borderId="19" xfId="3" applyNumberFormat="1" applyFont="1" applyFill="1" applyBorder="1" applyAlignment="1">
      <alignment horizontal="center" vertical="center"/>
    </xf>
    <xf numFmtId="4" fontId="31" fillId="4" borderId="19" xfId="3" applyNumberFormat="1" applyFont="1" applyFill="1" applyBorder="1" applyAlignment="1">
      <alignment horizontal="center" vertical="center"/>
    </xf>
    <xf numFmtId="4" fontId="25" fillId="5" borderId="19" xfId="3" applyNumberFormat="1" applyFont="1" applyFill="1" applyBorder="1" applyAlignment="1">
      <alignment horizontal="center" vertical="center" wrapText="1"/>
    </xf>
    <xf numFmtId="4" fontId="35" fillId="16" borderId="19" xfId="3" applyNumberFormat="1" applyFont="1" applyFill="1" applyBorder="1" applyAlignment="1">
      <alignment horizontal="center" vertical="center" wrapText="1"/>
    </xf>
    <xf numFmtId="4" fontId="31" fillId="5" borderId="20" xfId="3" applyNumberFormat="1" applyFont="1" applyFill="1" applyBorder="1" applyAlignment="1">
      <alignment horizontal="center" vertical="center"/>
    </xf>
    <xf numFmtId="4" fontId="34" fillId="16" borderId="20" xfId="3" applyNumberFormat="1" applyFont="1" applyFill="1" applyBorder="1" applyAlignment="1">
      <alignment horizontal="center" vertical="center"/>
    </xf>
    <xf numFmtId="4" fontId="31" fillId="16" borderId="20" xfId="3" applyNumberFormat="1" applyFont="1" applyFill="1" applyBorder="1" applyAlignment="1">
      <alignment horizontal="center" vertical="center"/>
    </xf>
    <xf numFmtId="0" fontId="10" fillId="2" borderId="21" xfId="3" applyFont="1" applyFill="1" applyBorder="1" applyAlignment="1">
      <alignment horizontal="center" vertical="center"/>
    </xf>
    <xf numFmtId="0" fontId="4" fillId="2" borderId="22" xfId="3" applyFont="1" applyFill="1" applyBorder="1" applyAlignment="1">
      <alignment horizontal="center" vertical="center"/>
    </xf>
    <xf numFmtId="0" fontId="10" fillId="2" borderId="22" xfId="3" applyFont="1" applyFill="1" applyBorder="1" applyAlignment="1">
      <alignment horizontal="left" vertical="center" wrapText="1"/>
    </xf>
    <xf numFmtId="164" fontId="10" fillId="2" borderId="22" xfId="5" applyFont="1" applyFill="1" applyBorder="1" applyAlignment="1">
      <alignment horizontal="center" vertical="center"/>
    </xf>
    <xf numFmtId="165" fontId="10" fillId="2" borderId="22" xfId="3" applyNumberFormat="1" applyFont="1" applyFill="1" applyBorder="1" applyAlignment="1">
      <alignment horizontal="center" vertical="center"/>
    </xf>
    <xf numFmtId="4" fontId="13" fillId="2" borderId="22" xfId="3" applyNumberFormat="1" applyFont="1" applyFill="1" applyBorder="1" applyAlignment="1">
      <alignment horizontal="center" vertical="center"/>
    </xf>
    <xf numFmtId="4" fontId="5" fillId="2" borderId="22" xfId="3" applyNumberFormat="1" applyFont="1" applyFill="1" applyBorder="1" applyAlignment="1">
      <alignment horizontal="center" vertical="center"/>
    </xf>
    <xf numFmtId="0" fontId="25" fillId="2" borderId="22" xfId="3" applyFont="1" applyFill="1" applyBorder="1" applyAlignment="1">
      <alignment horizontal="center" vertical="center" wrapText="1"/>
    </xf>
    <xf numFmtId="4" fontId="23" fillId="2" borderId="22" xfId="3" applyNumberFormat="1" applyFont="1" applyFill="1" applyBorder="1" applyAlignment="1">
      <alignment horizontal="center" vertical="center" wrapText="1"/>
    </xf>
    <xf numFmtId="4" fontId="10" fillId="2" borderId="23" xfId="6" applyNumberFormat="1" applyFont="1" applyFill="1" applyBorder="1" applyAlignment="1">
      <alignment horizontal="center" vertical="center" wrapText="1"/>
    </xf>
    <xf numFmtId="4" fontId="23" fillId="16" borderId="1" xfId="3" applyNumberFormat="1" applyFont="1" applyFill="1" applyBorder="1" applyAlignment="1">
      <alignment horizontal="center" vertical="center"/>
    </xf>
    <xf numFmtId="4" fontId="38" fillId="16" borderId="8" xfId="6" applyNumberForma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left" vertical="center" wrapText="1"/>
    </xf>
    <xf numFmtId="164" fontId="10" fillId="2" borderId="3" xfId="5" applyFont="1" applyFill="1" applyBorder="1" applyAlignment="1">
      <alignment horizontal="center" vertical="center"/>
    </xf>
    <xf numFmtId="165" fontId="10" fillId="2" borderId="3" xfId="3" applyNumberFormat="1" applyFont="1" applyFill="1" applyBorder="1" applyAlignment="1">
      <alignment horizontal="center" vertical="center"/>
    </xf>
    <xf numFmtId="4" fontId="13" fillId="2" borderId="3" xfId="3" applyNumberFormat="1" applyFont="1" applyFill="1" applyBorder="1" applyAlignment="1">
      <alignment horizontal="center" vertical="center"/>
    </xf>
    <xf numFmtId="4" fontId="5" fillId="2" borderId="3" xfId="3" applyNumberFormat="1" applyFont="1" applyFill="1" applyBorder="1" applyAlignment="1">
      <alignment horizontal="center" vertical="center"/>
    </xf>
    <xf numFmtId="0" fontId="25" fillId="2" borderId="3" xfId="3" applyFont="1" applyFill="1" applyBorder="1" applyAlignment="1">
      <alignment horizontal="center" vertical="center" wrapText="1"/>
    </xf>
    <xf numFmtId="4" fontId="23" fillId="2" borderId="3" xfId="3" applyNumberFormat="1" applyFont="1" applyFill="1" applyBorder="1" applyAlignment="1">
      <alignment horizontal="center" vertical="center" wrapText="1"/>
    </xf>
    <xf numFmtId="4" fontId="5" fillId="2" borderId="12" xfId="3" applyNumberFormat="1" applyFont="1" applyFill="1" applyBorder="1" applyAlignment="1">
      <alignment horizontal="center" vertical="center"/>
    </xf>
    <xf numFmtId="4" fontId="10" fillId="2" borderId="12" xfId="6" applyNumberFormat="1" applyFont="1" applyFill="1" applyBorder="1" applyAlignment="1">
      <alignment horizontal="center" vertical="center" wrapText="1"/>
    </xf>
    <xf numFmtId="4" fontId="23" fillId="16" borderId="22" xfId="3" applyNumberFormat="1" applyFont="1" applyFill="1" applyBorder="1" applyAlignment="1">
      <alignment horizontal="center" vertical="center"/>
    </xf>
    <xf numFmtId="4" fontId="5" fillId="16" borderId="23" xfId="3" applyNumberFormat="1" applyFont="1" applyFill="1" applyBorder="1" applyAlignment="1">
      <alignment horizontal="center" vertical="center"/>
    </xf>
    <xf numFmtId="4" fontId="5" fillId="16" borderId="23" xfId="3" applyNumberFormat="1" applyFont="1" applyFill="1" applyBorder="1" applyAlignment="1">
      <alignment horizontal="center" vertical="center" wrapText="1"/>
    </xf>
    <xf numFmtId="0" fontId="5" fillId="0" borderId="24" xfId="3" applyFont="1" applyBorder="1"/>
    <xf numFmtId="0" fontId="4" fillId="0" borderId="25" xfId="3" applyFont="1" applyBorder="1" applyAlignment="1">
      <alignment horizontal="center" vertical="center"/>
    </xf>
    <xf numFmtId="0" fontId="5" fillId="0" borderId="25" xfId="3" applyFont="1" applyBorder="1"/>
    <xf numFmtId="4" fontId="4" fillId="0" borderId="25" xfId="3" applyNumberFormat="1" applyFont="1" applyBorder="1" applyAlignment="1">
      <alignment horizontal="center" vertical="center"/>
    </xf>
    <xf numFmtId="164" fontId="5" fillId="0" borderId="25" xfId="3" applyNumberFormat="1" applyFont="1" applyBorder="1"/>
    <xf numFmtId="4" fontId="4" fillId="9" borderId="25" xfId="3" applyNumberFormat="1" applyFont="1" applyFill="1" applyBorder="1" applyAlignment="1">
      <alignment horizontal="center" vertical="center"/>
    </xf>
    <xf numFmtId="4" fontId="4" fillId="9" borderId="26" xfId="3" applyNumberFormat="1" applyFont="1" applyFill="1" applyBorder="1" applyAlignment="1">
      <alignment horizontal="center" vertical="center"/>
    </xf>
    <xf numFmtId="4" fontId="39" fillId="9" borderId="27" xfId="3" applyNumberFormat="1" applyFont="1" applyFill="1" applyBorder="1" applyAlignment="1">
      <alignment horizontal="center" vertical="center"/>
    </xf>
    <xf numFmtId="4" fontId="4" fillId="9" borderId="28" xfId="3" applyNumberFormat="1" applyFont="1" applyFill="1" applyBorder="1" applyAlignment="1">
      <alignment horizontal="center" vertical="center"/>
    </xf>
    <xf numFmtId="4" fontId="4" fillId="9" borderId="28" xfId="3" applyNumberFormat="1" applyFont="1" applyFill="1" applyBorder="1" applyAlignment="1">
      <alignment horizontal="center" vertical="center" wrapText="1"/>
    </xf>
    <xf numFmtId="0" fontId="5" fillId="10" borderId="21" xfId="3" applyFont="1" applyFill="1" applyBorder="1" applyAlignment="1">
      <alignment horizontal="center" vertical="center"/>
    </xf>
    <xf numFmtId="0" fontId="5" fillId="10" borderId="22" xfId="3" applyFont="1" applyFill="1" applyBorder="1" applyAlignment="1">
      <alignment horizontal="center" vertical="center"/>
    </xf>
    <xf numFmtId="0" fontId="5" fillId="10" borderId="22" xfId="3" applyFont="1" applyFill="1" applyBorder="1" applyAlignment="1">
      <alignment horizontal="center" vertical="center" wrapText="1"/>
    </xf>
    <xf numFmtId="49" fontId="16" fillId="10" borderId="22" xfId="3" applyNumberFormat="1" applyFont="1" applyFill="1" applyBorder="1" applyAlignment="1">
      <alignment horizontal="center" vertical="center" wrapText="1"/>
    </xf>
    <xf numFmtId="49" fontId="16" fillId="10" borderId="23" xfId="3" applyNumberFormat="1" applyFont="1" applyFill="1" applyBorder="1" applyAlignment="1">
      <alignment horizontal="center" vertical="center" wrapText="1"/>
    </xf>
    <xf numFmtId="0" fontId="4" fillId="11" borderId="1" xfId="3" applyFont="1" applyFill="1" applyBorder="1" applyAlignment="1">
      <alignment horizontal="center" vertical="center"/>
    </xf>
    <xf numFmtId="0" fontId="5" fillId="11" borderId="1" xfId="3" applyFont="1" applyFill="1" applyBorder="1" applyAlignment="1">
      <alignment horizontal="center" vertical="center"/>
    </xf>
    <xf numFmtId="4" fontId="10" fillId="11" borderId="8" xfId="6" applyNumberFormat="1" applyFont="1" applyFill="1" applyBorder="1" applyAlignment="1">
      <alignment horizontal="center" vertical="center" wrapText="1"/>
    </xf>
    <xf numFmtId="0" fontId="10" fillId="11" borderId="21" xfId="3" applyFont="1" applyFill="1" applyBorder="1" applyAlignment="1">
      <alignment horizontal="center" vertical="center"/>
    </xf>
    <xf numFmtId="4" fontId="41" fillId="16" borderId="8" xfId="6" applyNumberFormat="1" applyFont="1" applyFill="1" applyBorder="1" applyAlignment="1">
      <alignment horizontal="center" vertical="center" wrapText="1"/>
    </xf>
    <xf numFmtId="0" fontId="4" fillId="11" borderId="22" xfId="3" applyFont="1" applyFill="1" applyBorder="1" applyAlignment="1">
      <alignment horizontal="center" vertical="center"/>
    </xf>
    <xf numFmtId="0" fontId="10" fillId="11" borderId="22" xfId="3" applyFont="1" applyFill="1" applyBorder="1" applyAlignment="1">
      <alignment horizontal="left" vertical="center" wrapText="1"/>
    </xf>
    <xf numFmtId="164" fontId="10" fillId="11" borderId="22" xfId="5" applyFont="1" applyFill="1" applyBorder="1" applyAlignment="1">
      <alignment horizontal="center" vertical="center"/>
    </xf>
    <xf numFmtId="165" fontId="10" fillId="11" borderId="22" xfId="3" applyNumberFormat="1" applyFont="1" applyFill="1" applyBorder="1" applyAlignment="1">
      <alignment horizontal="center" vertical="center"/>
    </xf>
    <xf numFmtId="4" fontId="13" fillId="11" borderId="22" xfId="3" applyNumberFormat="1" applyFont="1" applyFill="1" applyBorder="1" applyAlignment="1">
      <alignment horizontal="center" vertical="center"/>
    </xf>
    <xf numFmtId="4" fontId="5" fillId="11" borderId="22" xfId="3" applyNumberFormat="1" applyFont="1" applyFill="1" applyBorder="1" applyAlignment="1">
      <alignment horizontal="center" vertical="center"/>
    </xf>
    <xf numFmtId="4" fontId="42" fillId="11" borderId="1" xfId="6" applyNumberFormat="1" applyFont="1" applyFill="1" applyBorder="1" applyAlignment="1">
      <alignment horizontal="center" vertical="center" wrapText="1"/>
    </xf>
    <xf numFmtId="4" fontId="24" fillId="11" borderId="14" xfId="3" applyNumberFormat="1" applyFont="1" applyFill="1" applyBorder="1" applyAlignment="1">
      <alignment horizontal="center" vertical="center" wrapText="1"/>
    </xf>
    <xf numFmtId="4" fontId="5" fillId="11" borderId="23" xfId="3" applyNumberFormat="1" applyFont="1" applyFill="1" applyBorder="1" applyAlignment="1">
      <alignment horizontal="center" vertical="center"/>
    </xf>
    <xf numFmtId="0" fontId="10" fillId="11" borderId="31" xfId="3" applyFont="1" applyFill="1" applyBorder="1" applyAlignment="1">
      <alignment horizontal="center" vertical="center"/>
    </xf>
    <xf numFmtId="0" fontId="4" fillId="11" borderId="27" xfId="3" applyFont="1" applyFill="1" applyBorder="1" applyAlignment="1">
      <alignment horizontal="center" vertical="center"/>
    </xf>
    <xf numFmtId="0" fontId="10" fillId="11" borderId="27" xfId="3" applyFont="1" applyFill="1" applyBorder="1" applyAlignment="1">
      <alignment horizontal="left" vertical="center" wrapText="1"/>
    </xf>
    <xf numFmtId="164" fontId="10" fillId="11" borderId="27" xfId="5" applyFont="1" applyFill="1" applyBorder="1" applyAlignment="1">
      <alignment horizontal="center" vertical="center"/>
    </xf>
    <xf numFmtId="165" fontId="10" fillId="11" borderId="27" xfId="3" applyNumberFormat="1" applyFont="1" applyFill="1" applyBorder="1" applyAlignment="1">
      <alignment horizontal="center" vertical="center"/>
    </xf>
    <xf numFmtId="4" fontId="13" fillId="11" borderId="27" xfId="3" applyNumberFormat="1" applyFont="1" applyFill="1" applyBorder="1" applyAlignment="1">
      <alignment horizontal="center" vertical="center"/>
    </xf>
    <xf numFmtId="4" fontId="5" fillId="11" borderId="27" xfId="3" applyNumberFormat="1" applyFont="1" applyFill="1" applyBorder="1" applyAlignment="1">
      <alignment horizontal="center" vertical="center"/>
    </xf>
    <xf numFmtId="0" fontId="5" fillId="11" borderId="27" xfId="3" applyFont="1" applyFill="1" applyBorder="1" applyAlignment="1">
      <alignment horizontal="center" vertical="center"/>
    </xf>
    <xf numFmtId="4" fontId="24" fillId="11" borderId="27" xfId="3" applyNumberFormat="1" applyFont="1" applyFill="1" applyBorder="1" applyAlignment="1">
      <alignment horizontal="center" vertical="center" wrapText="1"/>
    </xf>
    <xf numFmtId="4" fontId="10" fillId="11" borderId="28" xfId="6" applyNumberFormat="1" applyFont="1" applyFill="1" applyBorder="1" applyAlignment="1">
      <alignment horizontal="center" vertical="center" wrapText="1"/>
    </xf>
    <xf numFmtId="0" fontId="10" fillId="14" borderId="21" xfId="3" applyFont="1" applyFill="1" applyBorder="1" applyAlignment="1">
      <alignment horizontal="center" vertical="center"/>
    </xf>
    <xf numFmtId="0" fontId="4" fillId="14" borderId="32" xfId="3" applyFont="1" applyFill="1" applyBorder="1" applyAlignment="1">
      <alignment horizontal="center" vertical="center"/>
    </xf>
    <xf numFmtId="0" fontId="10" fillId="14" borderId="32" xfId="3" applyFont="1" applyFill="1" applyBorder="1" applyAlignment="1">
      <alignment horizontal="left" vertical="center" wrapText="1"/>
    </xf>
    <xf numFmtId="164" fontId="10" fillId="14" borderId="32" xfId="5" applyFont="1" applyFill="1" applyBorder="1" applyAlignment="1">
      <alignment horizontal="center" vertical="center"/>
    </xf>
    <xf numFmtId="165" fontId="10" fillId="14" borderId="32" xfId="3" applyNumberFormat="1" applyFont="1" applyFill="1" applyBorder="1" applyAlignment="1">
      <alignment horizontal="center" vertical="center"/>
    </xf>
    <xf numFmtId="4" fontId="13" fillId="14" borderId="32" xfId="3" applyNumberFormat="1" applyFont="1" applyFill="1" applyBorder="1" applyAlignment="1">
      <alignment horizontal="center" vertical="center"/>
    </xf>
    <xf numFmtId="0" fontId="14" fillId="7" borderId="0" xfId="3" applyFont="1" applyFill="1" applyAlignment="1">
      <alignment vertical="center" wrapText="1" shrinkToFit="1"/>
    </xf>
    <xf numFmtId="4" fontId="23" fillId="2" borderId="1" xfId="3" applyNumberFormat="1" applyFont="1" applyFill="1" applyBorder="1" applyAlignment="1">
      <alignment horizontal="center" vertical="center"/>
    </xf>
    <xf numFmtId="4" fontId="5" fillId="2" borderId="8" xfId="3" applyNumberFormat="1" applyFont="1" applyFill="1" applyBorder="1" applyAlignment="1">
      <alignment horizontal="center" vertical="center"/>
    </xf>
    <xf numFmtId="4" fontId="5" fillId="2" borderId="8" xfId="3" applyNumberFormat="1" applyFont="1" applyFill="1" applyBorder="1" applyAlignment="1">
      <alignment horizontal="center" vertical="center" wrapText="1"/>
    </xf>
    <xf numFmtId="0" fontId="10" fillId="14" borderId="13" xfId="3" applyFont="1" applyFill="1" applyBorder="1" applyAlignment="1">
      <alignment horizontal="center" vertical="center"/>
    </xf>
    <xf numFmtId="0" fontId="4" fillId="14" borderId="14" xfId="3" applyFont="1" applyFill="1" applyBorder="1" applyAlignment="1">
      <alignment horizontal="center" vertical="center"/>
    </xf>
    <xf numFmtId="0" fontId="10" fillId="14" borderId="14" xfId="3" applyFont="1" applyFill="1" applyBorder="1" applyAlignment="1">
      <alignment horizontal="left" vertical="center" wrapText="1"/>
    </xf>
    <xf numFmtId="164" fontId="10" fillId="14" borderId="14" xfId="5" applyFont="1" applyFill="1" applyBorder="1" applyAlignment="1">
      <alignment horizontal="center" vertical="center"/>
    </xf>
    <xf numFmtId="165" fontId="10" fillId="14" borderId="14" xfId="3" applyNumberFormat="1" applyFont="1" applyFill="1" applyBorder="1" applyAlignment="1">
      <alignment horizontal="center" vertical="center"/>
    </xf>
    <xf numFmtId="4" fontId="13" fillId="14" borderId="14" xfId="3" applyNumberFormat="1" applyFont="1" applyFill="1" applyBorder="1" applyAlignment="1">
      <alignment horizontal="center" vertical="center"/>
    </xf>
    <xf numFmtId="4" fontId="5" fillId="14" borderId="14" xfId="3" applyNumberFormat="1" applyFont="1" applyFill="1" applyBorder="1" applyAlignment="1">
      <alignment horizontal="center" vertical="center"/>
    </xf>
    <xf numFmtId="4" fontId="21" fillId="14" borderId="14" xfId="6" applyNumberFormat="1" applyFont="1" applyFill="1" applyBorder="1" applyAlignment="1">
      <alignment horizontal="center" vertical="center" wrapText="1"/>
    </xf>
    <xf numFmtId="4" fontId="5" fillId="14" borderId="15" xfId="3" applyNumberFormat="1" applyFont="1" applyFill="1" applyBorder="1" applyAlignment="1">
      <alignment horizontal="center" vertical="center"/>
    </xf>
    <xf numFmtId="4" fontId="10" fillId="14" borderId="15" xfId="6" applyNumberFormat="1" applyFont="1" applyFill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/>
    </xf>
    <xf numFmtId="164" fontId="8" fillId="0" borderId="1" xfId="5" applyFont="1" applyFill="1" applyBorder="1" applyAlignment="1">
      <alignment horizontal="center" vertical="center"/>
    </xf>
    <xf numFmtId="165" fontId="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8" fillId="9" borderId="1" xfId="3" applyNumberFormat="1" applyFont="1" applyFill="1" applyBorder="1" applyAlignment="1">
      <alignment horizontal="center" vertical="center"/>
    </xf>
    <xf numFmtId="4" fontId="8" fillId="4" borderId="1" xfId="3" applyNumberFormat="1" applyFont="1" applyFill="1" applyBorder="1" applyAlignment="1">
      <alignment horizontal="center" vertical="center"/>
    </xf>
    <xf numFmtId="4" fontId="8" fillId="16" borderId="1" xfId="6" applyNumberFormat="1" applyFont="1" applyFill="1" applyBorder="1" applyAlignment="1">
      <alignment horizontal="center" vertical="center" wrapText="1"/>
    </xf>
    <xf numFmtId="4" fontId="8" fillId="16" borderId="8" xfId="3" applyNumberFormat="1" applyFont="1" applyFill="1" applyBorder="1" applyAlignment="1">
      <alignment horizontal="center" vertical="center"/>
    </xf>
    <xf numFmtId="4" fontId="10" fillId="16" borderId="8" xfId="6" applyNumberFormat="1" applyFont="1" applyFill="1" applyBorder="1" applyAlignment="1">
      <alignment horizontal="center" vertical="center" wrapText="1"/>
    </xf>
    <xf numFmtId="4" fontId="5" fillId="16" borderId="8" xfId="3" applyNumberFormat="1" applyFont="1" applyFill="1" applyBorder="1" applyAlignment="1">
      <alignment horizontal="center" vertical="center"/>
    </xf>
    <xf numFmtId="4" fontId="5" fillId="16" borderId="8" xfId="3" applyNumberFormat="1" applyFont="1" applyFill="1" applyBorder="1" applyAlignment="1">
      <alignment horizontal="center" vertical="center" wrapText="1"/>
    </xf>
    <xf numFmtId="0" fontId="10" fillId="2" borderId="24" xfId="3" applyFont="1" applyFill="1" applyBorder="1" applyAlignment="1">
      <alignment horizontal="center" vertical="center"/>
    </xf>
    <xf numFmtId="0" fontId="4" fillId="2" borderId="25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left" vertical="center" wrapText="1"/>
    </xf>
    <xf numFmtId="164" fontId="10" fillId="2" borderId="25" xfId="5" applyFont="1" applyFill="1" applyBorder="1" applyAlignment="1">
      <alignment horizontal="center" vertical="center"/>
    </xf>
    <xf numFmtId="165" fontId="10" fillId="2" borderId="25" xfId="3" applyNumberFormat="1" applyFont="1" applyFill="1" applyBorder="1" applyAlignment="1">
      <alignment horizontal="center" vertical="center"/>
    </xf>
    <xf numFmtId="4" fontId="13" fillId="2" borderId="25" xfId="3" applyNumberFormat="1" applyFont="1" applyFill="1" applyBorder="1" applyAlignment="1">
      <alignment horizontal="center" vertical="center"/>
    </xf>
    <xf numFmtId="4" fontId="5" fillId="2" borderId="25" xfId="3" applyNumberFormat="1" applyFont="1" applyFill="1" applyBorder="1" applyAlignment="1">
      <alignment horizontal="center" vertical="center"/>
    </xf>
    <xf numFmtId="4" fontId="42" fillId="2" borderId="25" xfId="6" applyNumberFormat="1" applyFont="1" applyFill="1" applyBorder="1" applyAlignment="1">
      <alignment horizontal="center" vertical="center" wrapText="1"/>
    </xf>
    <xf numFmtId="4" fontId="23" fillId="2" borderId="25" xfId="3" applyNumberFormat="1" applyFont="1" applyFill="1" applyBorder="1" applyAlignment="1">
      <alignment horizontal="center" vertical="center"/>
    </xf>
    <xf numFmtId="4" fontId="5" fillId="2" borderId="26" xfId="3" applyNumberFormat="1" applyFont="1" applyFill="1" applyBorder="1" applyAlignment="1">
      <alignment horizontal="center" vertical="center"/>
    </xf>
    <xf numFmtId="4" fontId="4" fillId="2" borderId="26" xfId="3" applyNumberFormat="1" applyFont="1" applyFill="1" applyBorder="1" applyAlignment="1">
      <alignment horizontal="center" vertical="center"/>
    </xf>
    <xf numFmtId="49" fontId="43" fillId="10" borderId="22" xfId="3" applyNumberFormat="1" applyFont="1" applyFill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8" fillId="0" borderId="14" xfId="3" applyFont="1" applyBorder="1" applyAlignment="1">
      <alignment horizontal="left" vertical="center" wrapText="1"/>
    </xf>
    <xf numFmtId="164" fontId="8" fillId="0" borderId="14" xfId="5" applyFont="1" applyFill="1" applyBorder="1" applyAlignment="1">
      <alignment horizontal="center" vertical="center"/>
    </xf>
    <xf numFmtId="165" fontId="8" fillId="0" borderId="14" xfId="3" applyNumberFormat="1" applyFont="1" applyBorder="1" applyAlignment="1">
      <alignment horizontal="center" vertical="center"/>
    </xf>
    <xf numFmtId="4" fontId="18" fillId="0" borderId="14" xfId="3" applyNumberFormat="1" applyFont="1" applyBorder="1" applyAlignment="1">
      <alignment horizontal="center" vertical="center"/>
    </xf>
    <xf numFmtId="4" fontId="8" fillId="9" borderId="14" xfId="3" applyNumberFormat="1" applyFont="1" applyFill="1" applyBorder="1" applyAlignment="1">
      <alignment horizontal="center" vertical="center"/>
    </xf>
    <xf numFmtId="4" fontId="8" fillId="4" borderId="14" xfId="3" applyNumberFormat="1" applyFont="1" applyFill="1" applyBorder="1" applyAlignment="1">
      <alignment horizontal="center" vertical="center"/>
    </xf>
    <xf numFmtId="0" fontId="8" fillId="16" borderId="14" xfId="6" applyFont="1" applyFill="1" applyBorder="1" applyAlignment="1">
      <alignment horizontal="center" vertical="center" wrapText="1"/>
    </xf>
    <xf numFmtId="4" fontId="27" fillId="16" borderId="14" xfId="3" applyNumberFormat="1" applyFont="1" applyFill="1" applyBorder="1" applyAlignment="1">
      <alignment horizontal="center" vertical="center"/>
    </xf>
    <xf numFmtId="4" fontId="8" fillId="16" borderId="15" xfId="3" applyNumberFormat="1" applyFont="1" applyFill="1" applyBorder="1" applyAlignment="1">
      <alignment horizontal="center" vertical="center"/>
    </xf>
    <xf numFmtId="4" fontId="10" fillId="16" borderId="16" xfId="6" applyNumberFormat="1" applyFont="1" applyFill="1" applyBorder="1" applyAlignment="1">
      <alignment horizontal="center" vertical="center" wrapText="1"/>
    </xf>
    <xf numFmtId="4" fontId="23" fillId="16" borderId="14" xfId="3" applyNumberFormat="1" applyFont="1" applyFill="1" applyBorder="1" applyAlignment="1">
      <alignment horizontal="center" vertical="center"/>
    </xf>
    <xf numFmtId="4" fontId="5" fillId="16" borderId="15" xfId="3" applyNumberFormat="1" applyFont="1" applyFill="1" applyBorder="1" applyAlignment="1">
      <alignment horizontal="center" vertical="center"/>
    </xf>
    <xf numFmtId="4" fontId="5" fillId="16" borderId="15" xfId="3" applyNumberFormat="1" applyFont="1" applyFill="1" applyBorder="1" applyAlignment="1">
      <alignment horizontal="center" vertical="center" wrapText="1"/>
    </xf>
    <xf numFmtId="0" fontId="5" fillId="0" borderId="34" xfId="3" applyFont="1" applyBorder="1"/>
    <xf numFmtId="0" fontId="4" fillId="0" borderId="32" xfId="3" applyFont="1" applyBorder="1" applyAlignment="1">
      <alignment horizontal="center" vertical="center"/>
    </xf>
    <xf numFmtId="0" fontId="5" fillId="0" borderId="32" xfId="3" applyFont="1" applyBorder="1"/>
    <xf numFmtId="4" fontId="4" fillId="0" borderId="32" xfId="3" applyNumberFormat="1" applyFont="1" applyBorder="1" applyAlignment="1">
      <alignment horizontal="center" vertical="center"/>
    </xf>
    <xf numFmtId="4" fontId="4" fillId="9" borderId="32" xfId="3" applyNumberFormat="1" applyFont="1" applyFill="1" applyBorder="1" applyAlignment="1">
      <alignment horizontal="center" vertical="center"/>
    </xf>
    <xf numFmtId="4" fontId="39" fillId="9" borderId="32" xfId="3" applyNumberFormat="1" applyFont="1" applyFill="1" applyBorder="1" applyAlignment="1">
      <alignment horizontal="center" vertical="center"/>
    </xf>
    <xf numFmtId="4" fontId="4" fillId="9" borderId="33" xfId="3" applyNumberFormat="1" applyFont="1" applyFill="1" applyBorder="1" applyAlignment="1">
      <alignment horizontal="center" vertical="center"/>
    </xf>
    <xf numFmtId="4" fontId="4" fillId="9" borderId="33" xfId="3" applyNumberFormat="1" applyFont="1" applyFill="1" applyBorder="1" applyAlignment="1">
      <alignment horizontal="center" vertical="center" wrapText="1"/>
    </xf>
    <xf numFmtId="0" fontId="5" fillId="2" borderId="35" xfId="3" applyFont="1" applyFill="1" applyBorder="1"/>
    <xf numFmtId="0" fontId="5" fillId="2" borderId="25" xfId="3" applyFont="1" applyFill="1" applyBorder="1"/>
    <xf numFmtId="4" fontId="4" fillId="2" borderId="25" xfId="3" applyNumberFormat="1" applyFont="1" applyFill="1" applyBorder="1" applyAlignment="1">
      <alignment horizontal="center" vertical="center"/>
    </xf>
    <xf numFmtId="164" fontId="5" fillId="2" borderId="25" xfId="3" applyNumberFormat="1" applyFont="1" applyFill="1" applyBorder="1"/>
    <xf numFmtId="4" fontId="39" fillId="2" borderId="25" xfId="3" applyNumberFormat="1" applyFont="1" applyFill="1" applyBorder="1" applyAlignment="1">
      <alignment horizontal="center" vertical="center"/>
    </xf>
    <xf numFmtId="4" fontId="4" fillId="2" borderId="26" xfId="3" applyNumberFormat="1" applyFont="1" applyFill="1" applyBorder="1" applyAlignment="1">
      <alignment horizontal="center" vertical="center" wrapText="1"/>
    </xf>
    <xf numFmtId="166" fontId="42" fillId="0" borderId="0" xfId="3" applyNumberFormat="1" applyFont="1"/>
    <xf numFmtId="0" fontId="10" fillId="11" borderId="13" xfId="3" applyFont="1" applyFill="1" applyBorder="1" applyAlignment="1">
      <alignment horizontal="center" vertical="center"/>
    </xf>
    <xf numFmtId="0" fontId="13" fillId="11" borderId="14" xfId="3" applyFont="1" applyFill="1" applyBorder="1" applyAlignment="1">
      <alignment horizontal="center" vertical="center"/>
    </xf>
    <xf numFmtId="0" fontId="10" fillId="11" borderId="14" xfId="3" applyFont="1" applyFill="1" applyBorder="1" applyAlignment="1">
      <alignment horizontal="left" vertical="center" wrapText="1"/>
    </xf>
    <xf numFmtId="164" fontId="8" fillId="11" borderId="14" xfId="5" applyFont="1" applyFill="1" applyBorder="1" applyAlignment="1">
      <alignment horizontal="center" vertical="center"/>
    </xf>
    <xf numFmtId="165" fontId="8" fillId="11" borderId="14" xfId="3" applyNumberFormat="1" applyFont="1" applyFill="1" applyBorder="1" applyAlignment="1">
      <alignment horizontal="center" vertical="center"/>
    </xf>
    <xf numFmtId="4" fontId="18" fillId="11" borderId="14" xfId="3" applyNumberFormat="1" applyFont="1" applyFill="1" applyBorder="1" applyAlignment="1">
      <alignment horizontal="center" vertical="center"/>
    </xf>
    <xf numFmtId="4" fontId="8" fillId="11" borderId="14" xfId="3" applyNumberFormat="1" applyFont="1" applyFill="1" applyBorder="1" applyAlignment="1">
      <alignment horizontal="center" vertical="center"/>
    </xf>
    <xf numFmtId="4" fontId="5" fillId="11" borderId="14" xfId="3" applyNumberFormat="1" applyFont="1" applyFill="1" applyBorder="1" applyAlignment="1">
      <alignment horizontal="center" vertical="center"/>
    </xf>
    <xf numFmtId="4" fontId="10" fillId="11" borderId="14" xfId="6" applyNumberFormat="1" applyFont="1" applyFill="1" applyBorder="1" applyAlignment="1">
      <alignment horizontal="center" vertical="center" wrapText="1"/>
    </xf>
    <xf numFmtId="4" fontId="10" fillId="11" borderId="15" xfId="3" applyNumberFormat="1" applyFont="1" applyFill="1" applyBorder="1" applyAlignment="1">
      <alignment horizontal="center" vertical="center"/>
    </xf>
    <xf numFmtId="4" fontId="10" fillId="11" borderId="15" xfId="6" applyNumberFormat="1" applyFont="1" applyFill="1" applyBorder="1" applyAlignment="1">
      <alignment horizontal="center" vertical="center" wrapText="1"/>
    </xf>
    <xf numFmtId="4" fontId="10" fillId="11" borderId="1" xfId="6" applyNumberFormat="1" applyFont="1" applyFill="1" applyBorder="1" applyAlignment="1">
      <alignment horizontal="center" vertical="center" wrapText="1"/>
    </xf>
    <xf numFmtId="4" fontId="5" fillId="11" borderId="8" xfId="3" applyNumberFormat="1" applyFont="1" applyFill="1" applyBorder="1" applyAlignment="1">
      <alignment horizontal="center" vertical="center"/>
    </xf>
    <xf numFmtId="0" fontId="8" fillId="16" borderId="1" xfId="6" applyFont="1" applyFill="1" applyBorder="1" applyAlignment="1">
      <alignment horizontal="center" vertical="center" wrapText="1"/>
    </xf>
    <xf numFmtId="4" fontId="27" fillId="16" borderId="1" xfId="3" applyNumberFormat="1" applyFont="1" applyFill="1" applyBorder="1" applyAlignment="1">
      <alignment horizontal="center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4" fontId="4" fillId="0" borderId="0" xfId="3" applyNumberFormat="1" applyFont="1" applyAlignment="1">
      <alignment horizontal="center" vertical="center"/>
    </xf>
    <xf numFmtId="164" fontId="5" fillId="0" borderId="0" xfId="3" applyNumberFormat="1" applyFont="1"/>
    <xf numFmtId="0" fontId="15" fillId="0" borderId="0" xfId="3" applyFont="1" applyAlignment="1">
      <alignment horizontal="center" vertical="center"/>
    </xf>
    <xf numFmtId="167" fontId="5" fillId="0" borderId="0" xfId="3" applyNumberFormat="1" applyFont="1"/>
    <xf numFmtId="2" fontId="5" fillId="0" borderId="0" xfId="3" applyNumberFormat="1" applyFont="1"/>
    <xf numFmtId="4" fontId="10" fillId="14" borderId="32" xfId="3" applyNumberFormat="1" applyFont="1" applyFill="1" applyBorder="1" applyAlignment="1">
      <alignment horizontal="center" vertical="center"/>
    </xf>
    <xf numFmtId="4" fontId="5" fillId="14" borderId="32" xfId="3" applyNumberFormat="1" applyFont="1" applyFill="1" applyBorder="1" applyAlignment="1">
      <alignment horizontal="center" vertical="center"/>
    </xf>
    <xf numFmtId="4" fontId="10" fillId="14" borderId="32" xfId="6" applyNumberFormat="1" applyFont="1" applyFill="1" applyBorder="1" applyAlignment="1">
      <alignment horizontal="center" vertical="center" wrapText="1"/>
    </xf>
    <xf numFmtId="4" fontId="5" fillId="14" borderId="33" xfId="3" applyNumberFormat="1" applyFont="1" applyFill="1" applyBorder="1" applyAlignment="1">
      <alignment horizontal="center" vertical="center"/>
    </xf>
    <xf numFmtId="4" fontId="10" fillId="14" borderId="33" xfId="6" applyNumberFormat="1" applyFont="1" applyFill="1" applyBorder="1" applyAlignment="1">
      <alignment horizontal="center" vertical="center" wrapText="1"/>
    </xf>
    <xf numFmtId="4" fontId="10" fillId="14" borderId="22" xfId="3" applyNumberFormat="1" applyFont="1" applyFill="1" applyBorder="1" applyAlignment="1">
      <alignment horizontal="center" vertical="center" wrapText="1"/>
    </xf>
    <xf numFmtId="4" fontId="10" fillId="14" borderId="14" xfId="3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4" fontId="5" fillId="0" borderId="0" xfId="7" applyNumberFormat="1" applyFont="1" applyAlignment="1">
      <alignment horizontal="center" vertical="center"/>
    </xf>
    <xf numFmtId="0" fontId="5" fillId="0" borderId="0" xfId="7" applyFont="1"/>
    <xf numFmtId="0" fontId="14" fillId="0" borderId="0" xfId="7" applyFont="1" applyAlignment="1">
      <alignment vertical="center" wrapText="1" shrinkToFit="1"/>
    </xf>
    <xf numFmtId="0" fontId="15" fillId="0" borderId="0" xfId="7" applyFont="1"/>
    <xf numFmtId="0" fontId="5" fillId="0" borderId="0" xfId="7" applyFont="1" applyAlignment="1">
      <alignment horizontal="center" vertical="center"/>
    </xf>
    <xf numFmtId="0" fontId="5" fillId="0" borderId="5" xfId="7" applyFont="1" applyBorder="1" applyAlignment="1">
      <alignment horizontal="center" vertical="center"/>
    </xf>
    <xf numFmtId="0" fontId="4" fillId="9" borderId="5" xfId="7" applyFont="1" applyFill="1" applyBorder="1" applyAlignment="1">
      <alignment horizontal="center" vertical="center" wrapText="1"/>
    </xf>
    <xf numFmtId="4" fontId="4" fillId="9" borderId="5" xfId="7" applyNumberFormat="1" applyFont="1" applyFill="1" applyBorder="1" applyAlignment="1">
      <alignment horizontal="center" vertical="center" wrapText="1"/>
    </xf>
    <xf numFmtId="0" fontId="18" fillId="9" borderId="5" xfId="7" applyFont="1" applyFill="1" applyBorder="1" applyAlignment="1">
      <alignment horizontal="center" vertical="center" wrapText="1"/>
    </xf>
    <xf numFmtId="4" fontId="18" fillId="9" borderId="5" xfId="7" applyNumberFormat="1" applyFont="1" applyFill="1" applyBorder="1" applyAlignment="1">
      <alignment horizontal="center" vertical="center" wrapText="1"/>
    </xf>
    <xf numFmtId="0" fontId="4" fillId="4" borderId="5" xfId="7" applyFont="1" applyFill="1" applyBorder="1" applyAlignment="1">
      <alignment horizontal="center" vertical="center" wrapText="1"/>
    </xf>
    <xf numFmtId="0" fontId="4" fillId="5" borderId="5" xfId="7" applyFont="1" applyFill="1" applyBorder="1" applyAlignment="1">
      <alignment horizontal="center" vertical="center" wrapText="1"/>
    </xf>
    <xf numFmtId="0" fontId="4" fillId="5" borderId="6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/>
    </xf>
    <xf numFmtId="49" fontId="16" fillId="9" borderId="1" xfId="7" applyNumberFormat="1" applyFont="1" applyFill="1" applyBorder="1" applyAlignment="1">
      <alignment horizontal="center" vertical="center" wrapText="1"/>
    </xf>
    <xf numFmtId="49" fontId="16" fillId="4" borderId="1" xfId="7" applyNumberFormat="1" applyFont="1" applyFill="1" applyBorder="1" applyAlignment="1">
      <alignment horizontal="center" vertical="center" wrapText="1"/>
    </xf>
    <xf numFmtId="49" fontId="16" fillId="5" borderId="1" xfId="7" applyNumberFormat="1" applyFont="1" applyFill="1" applyBorder="1" applyAlignment="1">
      <alignment horizontal="center" vertical="center" wrapText="1"/>
    </xf>
    <xf numFmtId="49" fontId="16" fillId="5" borderId="8" xfId="7" applyNumberFormat="1" applyFont="1" applyFill="1" applyBorder="1" applyAlignment="1">
      <alignment horizontal="center" vertical="center" wrapText="1"/>
    </xf>
    <xf numFmtId="0" fontId="5" fillId="10" borderId="7" xfId="7" applyFont="1" applyFill="1" applyBorder="1" applyAlignment="1">
      <alignment horizontal="center" vertical="center"/>
    </xf>
    <xf numFmtId="0" fontId="5" fillId="10" borderId="1" xfId="7" applyFont="1" applyFill="1" applyBorder="1" applyAlignment="1">
      <alignment horizontal="center" vertical="center"/>
    </xf>
    <xf numFmtId="0" fontId="5" fillId="10" borderId="1" xfId="7" applyFont="1" applyFill="1" applyBorder="1" applyAlignment="1">
      <alignment horizontal="center" vertical="center" wrapText="1"/>
    </xf>
    <xf numFmtId="49" fontId="16" fillId="10" borderId="1" xfId="7" applyNumberFormat="1" applyFont="1" applyFill="1" applyBorder="1" applyAlignment="1">
      <alignment horizontal="center" vertical="center" wrapText="1"/>
    </xf>
    <xf numFmtId="49" fontId="16" fillId="10" borderId="8" xfId="7" applyNumberFormat="1" applyFont="1" applyFill="1" applyBorder="1" applyAlignment="1">
      <alignment horizontal="center" vertical="center" wrapText="1"/>
    </xf>
    <xf numFmtId="0" fontId="10" fillId="7" borderId="7" xfId="7" applyFont="1" applyFill="1" applyBorder="1" applyAlignment="1">
      <alignment horizontal="center" vertical="center"/>
    </xf>
    <xf numFmtId="0" fontId="13" fillId="7" borderId="1" xfId="7" applyFont="1" applyFill="1" applyBorder="1" applyAlignment="1">
      <alignment horizontal="center" vertical="center"/>
    </xf>
    <xf numFmtId="0" fontId="10" fillId="7" borderId="1" xfId="7" applyFont="1" applyFill="1" applyBorder="1" applyAlignment="1">
      <alignment horizontal="left" vertical="center" wrapText="1"/>
    </xf>
    <xf numFmtId="165" fontId="10" fillId="7" borderId="1" xfId="7" applyNumberFormat="1" applyFont="1" applyFill="1" applyBorder="1" applyAlignment="1">
      <alignment horizontal="center" vertical="center"/>
    </xf>
    <xf numFmtId="4" fontId="13" fillId="7" borderId="1" xfId="7" applyNumberFormat="1" applyFont="1" applyFill="1" applyBorder="1" applyAlignment="1">
      <alignment horizontal="center" vertical="center"/>
    </xf>
    <xf numFmtId="4" fontId="10" fillId="7" borderId="1" xfId="7" applyNumberFormat="1" applyFont="1" applyFill="1" applyBorder="1" applyAlignment="1">
      <alignment horizontal="center" vertical="center"/>
    </xf>
    <xf numFmtId="4" fontId="23" fillId="7" borderId="1" xfId="7" applyNumberFormat="1" applyFont="1" applyFill="1" applyBorder="1" applyAlignment="1">
      <alignment horizontal="center" vertical="center" wrapText="1"/>
    </xf>
    <xf numFmtId="4" fontId="10" fillId="7" borderId="8" xfId="7" applyNumberFormat="1" applyFont="1" applyFill="1" applyBorder="1" applyAlignment="1">
      <alignment horizontal="center" vertical="center"/>
    </xf>
    <xf numFmtId="4" fontId="13" fillId="7" borderId="8" xfId="7" applyNumberFormat="1" applyFont="1" applyFill="1" applyBorder="1" applyAlignment="1">
      <alignment horizontal="center" vertical="center"/>
    </xf>
    <xf numFmtId="4" fontId="14" fillId="0" borderId="0" xfId="7" applyNumberFormat="1" applyFont="1" applyAlignment="1">
      <alignment vertical="center" wrapText="1" shrinkToFit="1"/>
    </xf>
    <xf numFmtId="4" fontId="23" fillId="5" borderId="1" xfId="7" applyNumberFormat="1" applyFont="1" applyFill="1" applyBorder="1" applyAlignment="1">
      <alignment horizontal="center" vertical="center" wrapText="1"/>
    </xf>
    <xf numFmtId="4" fontId="5" fillId="5" borderId="8" xfId="7" applyNumberFormat="1" applyFont="1" applyFill="1" applyBorder="1" applyAlignment="1">
      <alignment horizontal="center" vertical="center"/>
    </xf>
    <xf numFmtId="4" fontId="5" fillId="5" borderId="8" xfId="7" applyNumberFormat="1" applyFont="1" applyFill="1" applyBorder="1" applyAlignment="1">
      <alignment horizontal="center" vertical="center" wrapText="1"/>
    </xf>
    <xf numFmtId="4" fontId="13" fillId="0" borderId="0" xfId="7" applyNumberFormat="1" applyFont="1" applyAlignment="1">
      <alignment horizontal="center" vertical="center" wrapText="1"/>
    </xf>
    <xf numFmtId="4" fontId="5" fillId="0" borderId="0" xfId="7" applyNumberFormat="1" applyFont="1"/>
    <xf numFmtId="0" fontId="10" fillId="11" borderId="7" xfId="7" applyFont="1" applyFill="1" applyBorder="1" applyAlignment="1">
      <alignment horizontal="center" vertical="center"/>
    </xf>
    <xf numFmtId="0" fontId="13" fillId="11" borderId="1" xfId="7" applyFont="1" applyFill="1" applyBorder="1" applyAlignment="1">
      <alignment horizontal="center" vertical="center"/>
    </xf>
    <xf numFmtId="0" fontId="10" fillId="11" borderId="1" xfId="7" applyFont="1" applyFill="1" applyBorder="1" applyAlignment="1">
      <alignment horizontal="left" vertical="center" wrapText="1"/>
    </xf>
    <xf numFmtId="165" fontId="10" fillId="11" borderId="1" xfId="7" applyNumberFormat="1" applyFont="1" applyFill="1" applyBorder="1" applyAlignment="1">
      <alignment horizontal="center" vertical="center"/>
    </xf>
    <xf numFmtId="4" fontId="13" fillId="11" borderId="1" xfId="7" applyNumberFormat="1" applyFont="1" applyFill="1" applyBorder="1" applyAlignment="1">
      <alignment horizontal="center" vertical="center"/>
    </xf>
    <xf numFmtId="4" fontId="10" fillId="11" borderId="1" xfId="7" applyNumberFormat="1" applyFont="1" applyFill="1" applyBorder="1" applyAlignment="1">
      <alignment horizontal="center" vertical="center"/>
    </xf>
    <xf numFmtId="4" fontId="10" fillId="11" borderId="1" xfId="7" applyNumberFormat="1" applyFont="1" applyFill="1" applyBorder="1" applyAlignment="1">
      <alignment horizontal="center" vertical="center" wrapText="1"/>
    </xf>
    <xf numFmtId="4" fontId="24" fillId="11" borderId="1" xfId="7" applyNumberFormat="1" applyFont="1" applyFill="1" applyBorder="1" applyAlignment="1">
      <alignment horizontal="center" vertical="center" wrapText="1"/>
    </xf>
    <xf numFmtId="4" fontId="10" fillId="11" borderId="8" xfId="7" applyNumberFormat="1" applyFont="1" applyFill="1" applyBorder="1" applyAlignment="1">
      <alignment horizontal="center" vertical="center"/>
    </xf>
    <xf numFmtId="4" fontId="25" fillId="11" borderId="8" xfId="7" applyNumberFormat="1" applyFont="1" applyFill="1" applyBorder="1" applyAlignment="1">
      <alignment horizontal="center" vertical="center"/>
    </xf>
    <xf numFmtId="4" fontId="13" fillId="11" borderId="8" xfId="7" applyNumberFormat="1" applyFont="1" applyFill="1" applyBorder="1" applyAlignment="1">
      <alignment horizontal="center" vertical="center"/>
    </xf>
    <xf numFmtId="0" fontId="26" fillId="12" borderId="0" xfId="7" applyFont="1" applyFill="1" applyAlignment="1">
      <alignment vertical="center" wrapText="1" shrinkToFit="1"/>
    </xf>
    <xf numFmtId="4" fontId="27" fillId="12" borderId="1" xfId="7" applyNumberFormat="1" applyFont="1" applyFill="1" applyBorder="1" applyAlignment="1">
      <alignment horizontal="center" vertical="center" wrapText="1"/>
    </xf>
    <xf numFmtId="4" fontId="18" fillId="12" borderId="8" xfId="7" applyNumberFormat="1" applyFont="1" applyFill="1" applyBorder="1" applyAlignment="1">
      <alignment horizontal="center" vertical="center"/>
    </xf>
    <xf numFmtId="4" fontId="18" fillId="12" borderId="8" xfId="7" applyNumberFormat="1" applyFont="1" applyFill="1" applyBorder="1" applyAlignment="1">
      <alignment horizontal="center" vertical="center" wrapText="1"/>
    </xf>
    <xf numFmtId="4" fontId="8" fillId="0" borderId="0" xfId="7" applyNumberFormat="1" applyFont="1" applyAlignment="1">
      <alignment horizontal="center" vertical="center"/>
    </xf>
    <xf numFmtId="0" fontId="8" fillId="0" borderId="0" xfId="7" applyFont="1"/>
    <xf numFmtId="0" fontId="10" fillId="6" borderId="7" xfId="7" applyFont="1" applyFill="1" applyBorder="1" applyAlignment="1">
      <alignment horizontal="center" vertical="center"/>
    </xf>
    <xf numFmtId="0" fontId="13" fillId="6" borderId="1" xfId="7" applyFont="1" applyFill="1" applyBorder="1" applyAlignment="1">
      <alignment horizontal="center" vertical="center"/>
    </xf>
    <xf numFmtId="0" fontId="10" fillId="6" borderId="1" xfId="7" applyFont="1" applyFill="1" applyBorder="1" applyAlignment="1">
      <alignment horizontal="left" vertical="center" wrapText="1"/>
    </xf>
    <xf numFmtId="164" fontId="10" fillId="6" borderId="1" xfId="5" applyFont="1" applyFill="1" applyBorder="1" applyAlignment="1">
      <alignment horizontal="center" vertical="center"/>
    </xf>
    <xf numFmtId="165" fontId="10" fillId="6" borderId="1" xfId="7" applyNumberFormat="1" applyFont="1" applyFill="1" applyBorder="1" applyAlignment="1">
      <alignment horizontal="center" vertical="center"/>
    </xf>
    <xf numFmtId="4" fontId="13" fillId="6" borderId="1" xfId="7" applyNumberFormat="1" applyFont="1" applyFill="1" applyBorder="1" applyAlignment="1">
      <alignment horizontal="center" vertical="center"/>
    </xf>
    <xf numFmtId="4" fontId="10" fillId="6" borderId="1" xfId="7" applyNumberFormat="1" applyFont="1" applyFill="1" applyBorder="1" applyAlignment="1">
      <alignment horizontal="center" vertical="center"/>
    </xf>
    <xf numFmtId="4" fontId="10" fillId="6" borderId="1" xfId="7" applyNumberFormat="1" applyFont="1" applyFill="1" applyBorder="1" applyAlignment="1">
      <alignment horizontal="center" vertical="center" wrapText="1"/>
    </xf>
    <xf numFmtId="4" fontId="24" fillId="6" borderId="1" xfId="7" applyNumberFormat="1" applyFont="1" applyFill="1" applyBorder="1" applyAlignment="1">
      <alignment horizontal="center" vertical="center" wrapText="1"/>
    </xf>
    <xf numFmtId="4" fontId="10" fillId="6" borderId="8" xfId="7" applyNumberFormat="1" applyFont="1" applyFill="1" applyBorder="1" applyAlignment="1">
      <alignment horizontal="center" vertical="center"/>
    </xf>
    <xf numFmtId="4" fontId="25" fillId="6" borderId="8" xfId="7" applyNumberFormat="1" applyFont="1" applyFill="1" applyBorder="1" applyAlignment="1">
      <alignment horizontal="center" vertical="center"/>
    </xf>
    <xf numFmtId="4" fontId="13" fillId="6" borderId="8" xfId="7" applyNumberFormat="1" applyFont="1" applyFill="1" applyBorder="1" applyAlignment="1">
      <alignment horizontal="center" vertical="center"/>
    </xf>
    <xf numFmtId="0" fontId="14" fillId="12" borderId="0" xfId="7" applyFont="1" applyFill="1" applyAlignment="1">
      <alignment vertical="center" wrapText="1" shrinkToFit="1"/>
    </xf>
    <xf numFmtId="4" fontId="23" fillId="12" borderId="1" xfId="7" applyNumberFormat="1" applyFont="1" applyFill="1" applyBorder="1" applyAlignment="1">
      <alignment horizontal="center" vertical="center" wrapText="1"/>
    </xf>
    <xf numFmtId="4" fontId="4" fillId="12" borderId="8" xfId="7" applyNumberFormat="1" applyFont="1" applyFill="1" applyBorder="1" applyAlignment="1">
      <alignment horizontal="center" vertical="center"/>
    </xf>
    <xf numFmtId="4" fontId="4" fillId="12" borderId="8" xfId="7" applyNumberFormat="1" applyFont="1" applyFill="1" applyBorder="1" applyAlignment="1">
      <alignment horizontal="center" vertical="center" wrapText="1"/>
    </xf>
    <xf numFmtId="0" fontId="26" fillId="0" borderId="0" xfId="7" applyFont="1" applyAlignment="1">
      <alignment vertical="center" wrapText="1" shrinkToFit="1"/>
    </xf>
    <xf numFmtId="4" fontId="13" fillId="8" borderId="0" xfId="7" applyNumberFormat="1" applyFont="1" applyFill="1" applyAlignment="1">
      <alignment horizontal="center" vertical="center" wrapText="1"/>
    </xf>
    <xf numFmtId="4" fontId="27" fillId="5" borderId="1" xfId="7" applyNumberFormat="1" applyFont="1" applyFill="1" applyBorder="1" applyAlignment="1">
      <alignment horizontal="center" vertical="center" wrapText="1"/>
    </xf>
    <xf numFmtId="4" fontId="8" fillId="5" borderId="8" xfId="7" applyNumberFormat="1" applyFont="1" applyFill="1" applyBorder="1" applyAlignment="1">
      <alignment horizontal="center" vertical="center"/>
    </xf>
    <xf numFmtId="4" fontId="5" fillId="6" borderId="1" xfId="7" applyNumberFormat="1" applyFont="1" applyFill="1" applyBorder="1" applyAlignment="1">
      <alignment horizontal="center" vertical="center"/>
    </xf>
    <xf numFmtId="4" fontId="8" fillId="6" borderId="1" xfId="7" applyNumberFormat="1" applyFont="1" applyFill="1" applyBorder="1" applyAlignment="1">
      <alignment horizontal="center" vertical="center" wrapText="1"/>
    </xf>
    <xf numFmtId="0" fontId="14" fillId="13" borderId="0" xfId="7" applyFont="1" applyFill="1" applyAlignment="1">
      <alignment vertical="center" wrapText="1" shrinkToFit="1"/>
    </xf>
    <xf numFmtId="4" fontId="8" fillId="0" borderId="0" xfId="7" applyNumberFormat="1" applyFont="1"/>
    <xf numFmtId="49" fontId="13" fillId="11" borderId="1" xfId="7" applyNumberFormat="1" applyFont="1" applyFill="1" applyBorder="1" applyAlignment="1">
      <alignment horizontal="center" vertical="center"/>
    </xf>
    <xf numFmtId="4" fontId="24" fillId="14" borderId="1" xfId="7" applyNumberFormat="1" applyFont="1" applyFill="1" applyBorder="1" applyAlignment="1">
      <alignment horizontal="center" vertical="center" wrapText="1"/>
    </xf>
    <xf numFmtId="0" fontId="28" fillId="0" borderId="0" xfId="7" applyFont="1" applyAlignment="1">
      <alignment vertical="center" wrapText="1" shrinkToFit="1"/>
    </xf>
    <xf numFmtId="4" fontId="10" fillId="5" borderId="8" xfId="7" applyNumberFormat="1" applyFont="1" applyFill="1" applyBorder="1" applyAlignment="1">
      <alignment horizontal="center" vertical="center"/>
    </xf>
    <xf numFmtId="4" fontId="10" fillId="5" borderId="8" xfId="7" applyNumberFormat="1" applyFont="1" applyFill="1" applyBorder="1" applyAlignment="1">
      <alignment horizontal="center" vertical="center" wrapText="1"/>
    </xf>
    <xf numFmtId="0" fontId="28" fillId="0" borderId="0" xfId="7" applyFont="1"/>
    <xf numFmtId="0" fontId="10" fillId="0" borderId="0" xfId="7" applyFont="1"/>
    <xf numFmtId="0" fontId="10" fillId="6" borderId="11" xfId="7" applyFont="1" applyFill="1" applyBorder="1" applyAlignment="1">
      <alignment horizontal="center" vertical="center"/>
    </xf>
    <xf numFmtId="0" fontId="13" fillId="6" borderId="3" xfId="7" applyFont="1" applyFill="1" applyBorder="1" applyAlignment="1">
      <alignment horizontal="center" vertical="center"/>
    </xf>
    <xf numFmtId="0" fontId="10" fillId="6" borderId="3" xfId="7" applyFont="1" applyFill="1" applyBorder="1" applyAlignment="1">
      <alignment horizontal="left" vertical="center" wrapText="1"/>
    </xf>
    <xf numFmtId="164" fontId="10" fillId="6" borderId="3" xfId="5" applyFont="1" applyFill="1" applyBorder="1" applyAlignment="1">
      <alignment horizontal="center" vertical="center"/>
    </xf>
    <xf numFmtId="165" fontId="10" fillId="6" borderId="3" xfId="7" applyNumberFormat="1" applyFont="1" applyFill="1" applyBorder="1" applyAlignment="1">
      <alignment horizontal="center" vertical="center"/>
    </xf>
    <xf numFmtId="4" fontId="13" fillId="6" borderId="3" xfId="7" applyNumberFormat="1" applyFont="1" applyFill="1" applyBorder="1" applyAlignment="1">
      <alignment horizontal="center" vertical="center"/>
    </xf>
    <xf numFmtId="4" fontId="10" fillId="6" borderId="3" xfId="7" applyNumberFormat="1" applyFont="1" applyFill="1" applyBorder="1" applyAlignment="1">
      <alignment horizontal="center" vertical="center"/>
    </xf>
    <xf numFmtId="4" fontId="10" fillId="6" borderId="12" xfId="7" applyNumberFormat="1" applyFont="1" applyFill="1" applyBorder="1" applyAlignment="1">
      <alignment horizontal="center" vertical="center"/>
    </xf>
    <xf numFmtId="0" fontId="29" fillId="0" borderId="0" xfId="7" applyFont="1" applyAlignment="1">
      <alignment vertical="center" wrapText="1" shrinkToFit="1"/>
    </xf>
    <xf numFmtId="4" fontId="30" fillId="5" borderId="1" xfId="7" applyNumberFormat="1" applyFont="1" applyFill="1" applyBorder="1" applyAlignment="1">
      <alignment horizontal="center" vertical="center" wrapText="1"/>
    </xf>
    <xf numFmtId="4" fontId="31" fillId="5" borderId="8" xfId="7" applyNumberFormat="1" applyFont="1" applyFill="1" applyBorder="1" applyAlignment="1">
      <alignment horizontal="center" vertical="center"/>
    </xf>
    <xf numFmtId="4" fontId="31" fillId="5" borderId="8" xfId="7" applyNumberFormat="1" applyFont="1" applyFill="1" applyBorder="1" applyAlignment="1">
      <alignment horizontal="center" vertical="center" wrapText="1"/>
    </xf>
    <xf numFmtId="0" fontId="29" fillId="0" borderId="0" xfId="7" applyFont="1"/>
    <xf numFmtId="0" fontId="31" fillId="0" borderId="0" xfId="7" applyFont="1"/>
    <xf numFmtId="0" fontId="10" fillId="14" borderId="7" xfId="7" applyFont="1" applyFill="1" applyBorder="1" applyAlignment="1">
      <alignment horizontal="center" vertical="center"/>
    </xf>
    <xf numFmtId="0" fontId="13" fillId="14" borderId="1" xfId="7" applyFont="1" applyFill="1" applyBorder="1" applyAlignment="1">
      <alignment horizontal="center" vertical="center"/>
    </xf>
    <xf numFmtId="0" fontId="10" fillId="14" borderId="1" xfId="7" applyFont="1" applyFill="1" applyBorder="1" applyAlignment="1">
      <alignment horizontal="left" vertical="center" wrapText="1"/>
    </xf>
    <xf numFmtId="165" fontId="10" fillId="14" borderId="1" xfId="7" applyNumberFormat="1" applyFont="1" applyFill="1" applyBorder="1" applyAlignment="1">
      <alignment horizontal="center" vertical="center"/>
    </xf>
    <xf numFmtId="4" fontId="13" fillId="14" borderId="1" xfId="7" applyNumberFormat="1" applyFont="1" applyFill="1" applyBorder="1" applyAlignment="1">
      <alignment horizontal="center" vertical="center"/>
    </xf>
    <xf numFmtId="4" fontId="10" fillId="14" borderId="1" xfId="7" applyNumberFormat="1" applyFont="1" applyFill="1" applyBorder="1" applyAlignment="1">
      <alignment horizontal="center" vertical="center"/>
    </xf>
    <xf numFmtId="4" fontId="23" fillId="14" borderId="1" xfId="7" applyNumberFormat="1" applyFont="1" applyFill="1" applyBorder="1" applyAlignment="1">
      <alignment horizontal="center" vertical="center" wrapText="1"/>
    </xf>
    <xf numFmtId="4" fontId="10" fillId="14" borderId="9" xfId="7" applyNumberFormat="1" applyFont="1" applyFill="1" applyBorder="1" applyAlignment="1">
      <alignment horizontal="center" vertical="center"/>
    </xf>
    <xf numFmtId="4" fontId="10" fillId="14" borderId="10" xfId="7" applyNumberFormat="1" applyFont="1" applyFill="1" applyBorder="1" applyAlignment="1">
      <alignment horizontal="center" vertical="center"/>
    </xf>
    <xf numFmtId="4" fontId="13" fillId="14" borderId="8" xfId="7" applyNumberFormat="1" applyFont="1" applyFill="1" applyBorder="1" applyAlignment="1">
      <alignment horizontal="center" vertical="center"/>
    </xf>
    <xf numFmtId="4" fontId="16" fillId="10" borderId="8" xfId="7" applyNumberFormat="1" applyFont="1" applyFill="1" applyBorder="1" applyAlignment="1">
      <alignment horizontal="center" vertical="center" wrapText="1"/>
    </xf>
    <xf numFmtId="0" fontId="10" fillId="2" borderId="7" xfId="7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horizontal="center" vertical="center"/>
    </xf>
    <xf numFmtId="0" fontId="10" fillId="2" borderId="1" xfId="7" applyFont="1" applyFill="1" applyBorder="1" applyAlignment="1">
      <alignment horizontal="left" vertical="center" wrapText="1"/>
    </xf>
    <xf numFmtId="165" fontId="10" fillId="2" borderId="1" xfId="7" applyNumberFormat="1" applyFont="1" applyFill="1" applyBorder="1" applyAlignment="1">
      <alignment horizontal="center" vertical="center"/>
    </xf>
    <xf numFmtId="4" fontId="13" fillId="2" borderId="1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/>
    </xf>
    <xf numFmtId="4" fontId="32" fillId="2" borderId="1" xfId="7" applyNumberFormat="1" applyFont="1" applyFill="1" applyBorder="1" applyAlignment="1">
      <alignment horizontal="center" vertical="center" wrapText="1"/>
    </xf>
    <xf numFmtId="4" fontId="10" fillId="2" borderId="8" xfId="7" applyNumberFormat="1" applyFont="1" applyFill="1" applyBorder="1" applyAlignment="1">
      <alignment horizontal="center" vertical="center"/>
    </xf>
    <xf numFmtId="4" fontId="25" fillId="2" borderId="8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 wrapText="1"/>
    </xf>
    <xf numFmtId="0" fontId="14" fillId="8" borderId="0" xfId="7" applyFont="1" applyFill="1" applyAlignment="1">
      <alignment vertical="center" wrapText="1" shrinkToFit="1"/>
    </xf>
    <xf numFmtId="0" fontId="10" fillId="2" borderId="13" xfId="7" applyFont="1" applyFill="1" applyBorder="1" applyAlignment="1">
      <alignment horizontal="center" vertical="center"/>
    </xf>
    <xf numFmtId="0" fontId="13" fillId="2" borderId="14" xfId="7" applyFont="1" applyFill="1" applyBorder="1" applyAlignment="1">
      <alignment horizontal="center" vertical="center"/>
    </xf>
    <xf numFmtId="0" fontId="10" fillId="2" borderId="14" xfId="7" applyFont="1" applyFill="1" applyBorder="1" applyAlignment="1">
      <alignment horizontal="left" vertical="center" wrapText="1"/>
    </xf>
    <xf numFmtId="165" fontId="10" fillId="2" borderId="14" xfId="7" applyNumberFormat="1" applyFont="1" applyFill="1" applyBorder="1" applyAlignment="1">
      <alignment horizontal="center" vertical="center"/>
    </xf>
    <xf numFmtId="4" fontId="13" fillId="2" borderId="14" xfId="7" applyNumberFormat="1" applyFont="1" applyFill="1" applyBorder="1" applyAlignment="1">
      <alignment horizontal="center" vertical="center"/>
    </xf>
    <xf numFmtId="4" fontId="10" fillId="2" borderId="14" xfId="7" applyNumberFormat="1" applyFont="1" applyFill="1" applyBorder="1" applyAlignment="1">
      <alignment horizontal="center" vertical="center"/>
    </xf>
    <xf numFmtId="4" fontId="10" fillId="2" borderId="14" xfId="7" applyNumberFormat="1" applyFont="1" applyFill="1" applyBorder="1" applyAlignment="1">
      <alignment horizontal="center" vertical="center" wrapText="1"/>
    </xf>
    <xf numFmtId="4" fontId="32" fillId="2" borderId="14" xfId="7" applyNumberFormat="1" applyFont="1" applyFill="1" applyBorder="1" applyAlignment="1">
      <alignment horizontal="center" vertical="center" wrapText="1"/>
    </xf>
    <xf numFmtId="4" fontId="10" fillId="2" borderId="15" xfId="7" applyNumberFormat="1" applyFont="1" applyFill="1" applyBorder="1" applyAlignment="1">
      <alignment horizontal="center" vertical="center"/>
    </xf>
    <xf numFmtId="4" fontId="25" fillId="2" borderId="15" xfId="7" applyNumberFormat="1" applyFont="1" applyFill="1" applyBorder="1" applyAlignment="1">
      <alignment horizontal="center" vertical="center"/>
    </xf>
    <xf numFmtId="4" fontId="10" fillId="2" borderId="16" xfId="7" applyNumberFormat="1" applyFont="1" applyFill="1" applyBorder="1" applyAlignment="1">
      <alignment horizontal="center" vertical="center"/>
    </xf>
    <xf numFmtId="4" fontId="5" fillId="5" borderId="15" xfId="7" applyNumberFormat="1" applyFont="1" applyFill="1" applyBorder="1" applyAlignment="1">
      <alignment horizontal="center" vertical="center"/>
    </xf>
    <xf numFmtId="4" fontId="5" fillId="5" borderId="15" xfId="7" applyNumberFormat="1" applyFont="1" applyFill="1" applyBorder="1" applyAlignment="1">
      <alignment horizontal="center" vertical="center" wrapText="1"/>
    </xf>
    <xf numFmtId="0" fontId="31" fillId="8" borderId="4" xfId="7" applyFont="1" applyFill="1" applyBorder="1" applyAlignment="1">
      <alignment horizontal="center" vertical="center"/>
    </xf>
    <xf numFmtId="0" fontId="34" fillId="8" borderId="5" xfId="7" applyFont="1" applyFill="1" applyBorder="1" applyAlignment="1">
      <alignment horizontal="center" vertical="center"/>
    </xf>
    <xf numFmtId="0" fontId="31" fillId="8" borderId="5" xfId="7" applyFont="1" applyFill="1" applyBorder="1" applyAlignment="1">
      <alignment horizontal="left" vertical="center" wrapText="1"/>
    </xf>
    <xf numFmtId="165" fontId="31" fillId="8" borderId="5" xfId="7" applyNumberFormat="1" applyFont="1" applyFill="1" applyBorder="1" applyAlignment="1">
      <alignment horizontal="center" vertical="center"/>
    </xf>
    <xf numFmtId="4" fontId="34" fillId="8" borderId="5" xfId="7" applyNumberFormat="1" applyFont="1" applyFill="1" applyBorder="1" applyAlignment="1">
      <alignment horizontal="center" vertical="center"/>
    </xf>
    <xf numFmtId="4" fontId="31" fillId="9" borderId="5" xfId="7" applyNumberFormat="1" applyFont="1" applyFill="1" applyBorder="1" applyAlignment="1">
      <alignment horizontal="center" vertical="center"/>
    </xf>
    <xf numFmtId="4" fontId="31" fillId="4" borderId="5" xfId="7" applyNumberFormat="1" applyFont="1" applyFill="1" applyBorder="1" applyAlignment="1">
      <alignment horizontal="center" vertical="center"/>
    </xf>
    <xf numFmtId="4" fontId="25" fillId="5" borderId="5" xfId="7" applyNumberFormat="1" applyFont="1" applyFill="1" applyBorder="1" applyAlignment="1">
      <alignment horizontal="center" vertical="center" wrapText="1"/>
    </xf>
    <xf numFmtId="4" fontId="35" fillId="5" borderId="5" xfId="7" applyNumberFormat="1" applyFont="1" applyFill="1" applyBorder="1" applyAlignment="1">
      <alignment horizontal="center" vertical="center" wrapText="1"/>
    </xf>
    <xf numFmtId="4" fontId="31" fillId="5" borderId="6" xfId="7" applyNumberFormat="1" applyFont="1" applyFill="1" applyBorder="1" applyAlignment="1">
      <alignment horizontal="center" vertical="center"/>
    </xf>
    <xf numFmtId="4" fontId="34" fillId="5" borderId="6" xfId="7" applyNumberFormat="1" applyFont="1" applyFill="1" applyBorder="1" applyAlignment="1">
      <alignment horizontal="center" vertical="center"/>
    </xf>
    <xf numFmtId="0" fontId="36" fillId="0" borderId="0" xfId="7" applyFont="1" applyAlignment="1">
      <alignment vertical="center" wrapText="1" shrinkToFit="1"/>
    </xf>
    <xf numFmtId="0" fontId="31" fillId="8" borderId="18" xfId="7" applyFont="1" applyFill="1" applyBorder="1" applyAlignment="1">
      <alignment horizontal="center" vertical="center"/>
    </xf>
    <xf numFmtId="0" fontId="34" fillId="8" borderId="19" xfId="7" applyFont="1" applyFill="1" applyBorder="1" applyAlignment="1">
      <alignment horizontal="center" vertical="center"/>
    </xf>
    <xf numFmtId="0" fontId="31" fillId="8" borderId="19" xfId="7" applyFont="1" applyFill="1" applyBorder="1" applyAlignment="1">
      <alignment horizontal="left" vertical="center" wrapText="1"/>
    </xf>
    <xf numFmtId="165" fontId="31" fillId="8" borderId="19" xfId="7" applyNumberFormat="1" applyFont="1" applyFill="1" applyBorder="1" applyAlignment="1">
      <alignment horizontal="center" vertical="center"/>
    </xf>
    <xf numFmtId="4" fontId="34" fillId="8" borderId="19" xfId="7" applyNumberFormat="1" applyFont="1" applyFill="1" applyBorder="1" applyAlignment="1">
      <alignment horizontal="center" vertical="center"/>
    </xf>
    <xf numFmtId="4" fontId="31" fillId="16" borderId="19" xfId="7" applyNumberFormat="1" applyFont="1" applyFill="1" applyBorder="1" applyAlignment="1">
      <alignment horizontal="center" vertical="center"/>
    </xf>
    <xf numFmtId="4" fontId="31" fillId="4" borderId="19" xfId="7" applyNumberFormat="1" applyFont="1" applyFill="1" applyBorder="1" applyAlignment="1">
      <alignment horizontal="center" vertical="center"/>
    </xf>
    <xf numFmtId="4" fontId="25" fillId="5" borderId="19" xfId="7" applyNumberFormat="1" applyFont="1" applyFill="1" applyBorder="1" applyAlignment="1">
      <alignment horizontal="center" vertical="center" wrapText="1"/>
    </xf>
    <xf numFmtId="4" fontId="35" fillId="16" borderId="19" xfId="7" applyNumberFormat="1" applyFont="1" applyFill="1" applyBorder="1" applyAlignment="1">
      <alignment horizontal="center" vertical="center" wrapText="1"/>
    </xf>
    <xf numFmtId="4" fontId="31" fillId="5" borderId="20" xfId="7" applyNumberFormat="1" applyFont="1" applyFill="1" applyBorder="1" applyAlignment="1">
      <alignment horizontal="center" vertical="center"/>
    </xf>
    <xf numFmtId="4" fontId="34" fillId="16" borderId="20" xfId="7" applyNumberFormat="1" applyFont="1" applyFill="1" applyBorder="1" applyAlignment="1">
      <alignment horizontal="center" vertical="center"/>
    </xf>
    <xf numFmtId="4" fontId="31" fillId="16" borderId="20" xfId="7" applyNumberFormat="1" applyFont="1" applyFill="1" applyBorder="1" applyAlignment="1">
      <alignment horizontal="center" vertical="center"/>
    </xf>
    <xf numFmtId="0" fontId="10" fillId="2" borderId="21" xfId="7" applyFont="1" applyFill="1" applyBorder="1" applyAlignment="1">
      <alignment horizontal="center" vertical="center"/>
    </xf>
    <xf numFmtId="0" fontId="4" fillId="2" borderId="22" xfId="7" applyFont="1" applyFill="1" applyBorder="1" applyAlignment="1">
      <alignment horizontal="center" vertical="center"/>
    </xf>
    <xf numFmtId="0" fontId="10" fillId="2" borderId="22" xfId="7" applyFont="1" applyFill="1" applyBorder="1" applyAlignment="1">
      <alignment horizontal="left" vertical="center" wrapText="1"/>
    </xf>
    <xf numFmtId="165" fontId="10" fillId="2" borderId="22" xfId="7" applyNumberFormat="1" applyFont="1" applyFill="1" applyBorder="1" applyAlignment="1">
      <alignment horizontal="center" vertical="center"/>
    </xf>
    <xf numFmtId="4" fontId="13" fillId="2" borderId="22" xfId="7" applyNumberFormat="1" applyFont="1" applyFill="1" applyBorder="1" applyAlignment="1">
      <alignment horizontal="center" vertical="center"/>
    </xf>
    <xf numFmtId="4" fontId="5" fillId="2" borderId="22" xfId="7" applyNumberFormat="1" applyFont="1" applyFill="1" applyBorder="1" applyAlignment="1">
      <alignment horizontal="center" vertical="center"/>
    </xf>
    <xf numFmtId="0" fontId="25" fillId="2" borderId="22" xfId="7" applyFont="1" applyFill="1" applyBorder="1" applyAlignment="1">
      <alignment horizontal="center" vertical="center" wrapText="1"/>
    </xf>
    <xf numFmtId="4" fontId="23" fillId="2" borderId="22" xfId="7" applyNumberFormat="1" applyFont="1" applyFill="1" applyBorder="1" applyAlignment="1">
      <alignment horizontal="center" vertical="center" wrapText="1"/>
    </xf>
    <xf numFmtId="4" fontId="10" fillId="2" borderId="23" xfId="8" applyNumberFormat="1" applyFont="1" applyFill="1" applyBorder="1" applyAlignment="1">
      <alignment horizontal="center" vertical="center" wrapText="1"/>
    </xf>
    <xf numFmtId="4" fontId="23" fillId="16" borderId="1" xfId="7" applyNumberFormat="1" applyFont="1" applyFill="1" applyBorder="1" applyAlignment="1">
      <alignment horizontal="center" vertical="center"/>
    </xf>
    <xf numFmtId="4" fontId="46" fillId="16" borderId="8" xfId="8" applyNumberFormat="1" applyFill="1" applyBorder="1" applyAlignment="1">
      <alignment horizontal="center" vertical="center" wrapText="1"/>
    </xf>
    <xf numFmtId="0" fontId="10" fillId="2" borderId="11" xfId="7" applyFont="1" applyFill="1" applyBorder="1" applyAlignment="1">
      <alignment horizontal="center" vertical="center"/>
    </xf>
    <xf numFmtId="0" fontId="4" fillId="2" borderId="3" xfId="7" applyFont="1" applyFill="1" applyBorder="1" applyAlignment="1">
      <alignment horizontal="center" vertical="center"/>
    </xf>
    <xf numFmtId="0" fontId="10" fillId="2" borderId="3" xfId="7" applyFont="1" applyFill="1" applyBorder="1" applyAlignment="1">
      <alignment horizontal="left" vertical="center" wrapText="1"/>
    </xf>
    <xf numFmtId="165" fontId="10" fillId="2" borderId="3" xfId="7" applyNumberFormat="1" applyFont="1" applyFill="1" applyBorder="1" applyAlignment="1">
      <alignment horizontal="center" vertical="center"/>
    </xf>
    <xf numFmtId="4" fontId="13" fillId="2" borderId="3" xfId="7" applyNumberFormat="1" applyFont="1" applyFill="1" applyBorder="1" applyAlignment="1">
      <alignment horizontal="center" vertical="center"/>
    </xf>
    <xf numFmtId="4" fontId="5" fillId="2" borderId="3" xfId="7" applyNumberFormat="1" applyFont="1" applyFill="1" applyBorder="1" applyAlignment="1">
      <alignment horizontal="center" vertical="center"/>
    </xf>
    <xf numFmtId="0" fontId="25" fillId="2" borderId="3" xfId="7" applyFont="1" applyFill="1" applyBorder="1" applyAlignment="1">
      <alignment horizontal="center" vertical="center" wrapText="1"/>
    </xf>
    <xf numFmtId="4" fontId="23" fillId="2" borderId="3" xfId="7" applyNumberFormat="1" applyFont="1" applyFill="1" applyBorder="1" applyAlignment="1">
      <alignment horizontal="center" vertical="center" wrapText="1"/>
    </xf>
    <xf numFmtId="4" fontId="5" fillId="2" borderId="12" xfId="7" applyNumberFormat="1" applyFont="1" applyFill="1" applyBorder="1" applyAlignment="1">
      <alignment horizontal="center" vertical="center"/>
    </xf>
    <xf numFmtId="4" fontId="10" fillId="2" borderId="12" xfId="8" applyNumberFormat="1" applyFont="1" applyFill="1" applyBorder="1" applyAlignment="1">
      <alignment horizontal="center" vertical="center" wrapText="1"/>
    </xf>
    <xf numFmtId="4" fontId="23" fillId="16" borderId="22" xfId="7" applyNumberFormat="1" applyFont="1" applyFill="1" applyBorder="1" applyAlignment="1">
      <alignment horizontal="center" vertical="center"/>
    </xf>
    <xf numFmtId="4" fontId="5" fillId="16" borderId="23" xfId="7" applyNumberFormat="1" applyFont="1" applyFill="1" applyBorder="1" applyAlignment="1">
      <alignment horizontal="center" vertical="center"/>
    </xf>
    <xf numFmtId="4" fontId="5" fillId="16" borderId="23" xfId="7" applyNumberFormat="1" applyFont="1" applyFill="1" applyBorder="1" applyAlignment="1">
      <alignment horizontal="center" vertical="center" wrapText="1"/>
    </xf>
    <xf numFmtId="0" fontId="5" fillId="0" borderId="24" xfId="7" applyFont="1" applyBorder="1"/>
    <xf numFmtId="0" fontId="4" fillId="0" borderId="25" xfId="7" applyFont="1" applyBorder="1" applyAlignment="1">
      <alignment horizontal="center" vertical="center"/>
    </xf>
    <xf numFmtId="0" fontId="5" fillId="0" borderId="25" xfId="7" applyFont="1" applyBorder="1"/>
    <xf numFmtId="4" fontId="4" fillId="0" borderId="25" xfId="7" applyNumberFormat="1" applyFont="1" applyBorder="1" applyAlignment="1">
      <alignment horizontal="center" vertical="center"/>
    </xf>
    <xf numFmtId="164" fontId="5" fillId="0" borderId="25" xfId="7" applyNumberFormat="1" applyFont="1" applyBorder="1"/>
    <xf numFmtId="4" fontId="4" fillId="9" borderId="25" xfId="7" applyNumberFormat="1" applyFont="1" applyFill="1" applyBorder="1" applyAlignment="1">
      <alignment horizontal="center" vertical="center"/>
    </xf>
    <xf numFmtId="4" fontId="4" fillId="9" borderId="26" xfId="7" applyNumberFormat="1" applyFont="1" applyFill="1" applyBorder="1" applyAlignment="1">
      <alignment horizontal="center" vertical="center"/>
    </xf>
    <xf numFmtId="4" fontId="39" fillId="9" borderId="27" xfId="7" applyNumberFormat="1" applyFont="1" applyFill="1" applyBorder="1" applyAlignment="1">
      <alignment horizontal="center" vertical="center"/>
    </xf>
    <xf numFmtId="4" fontId="4" fillId="9" borderId="28" xfId="7" applyNumberFormat="1" applyFont="1" applyFill="1" applyBorder="1" applyAlignment="1">
      <alignment horizontal="center" vertical="center"/>
    </xf>
    <xf numFmtId="4" fontId="4" fillId="9" borderId="28" xfId="7" applyNumberFormat="1" applyFont="1" applyFill="1" applyBorder="1" applyAlignment="1">
      <alignment horizontal="center" vertical="center" wrapText="1"/>
    </xf>
    <xf numFmtId="0" fontId="5" fillId="10" borderId="21" xfId="7" applyFont="1" applyFill="1" applyBorder="1" applyAlignment="1">
      <alignment horizontal="center" vertical="center"/>
    </xf>
    <xf numFmtId="0" fontId="5" fillId="10" borderId="22" xfId="7" applyFont="1" applyFill="1" applyBorder="1" applyAlignment="1">
      <alignment horizontal="center" vertical="center"/>
    </xf>
    <xf numFmtId="0" fontId="5" fillId="10" borderId="22" xfId="7" applyFont="1" applyFill="1" applyBorder="1" applyAlignment="1">
      <alignment horizontal="center" vertical="center" wrapText="1"/>
    </xf>
    <xf numFmtId="49" fontId="16" fillId="10" borderId="22" xfId="7" applyNumberFormat="1" applyFont="1" applyFill="1" applyBorder="1" applyAlignment="1">
      <alignment horizontal="center" vertical="center" wrapText="1"/>
    </xf>
    <xf numFmtId="49" fontId="16" fillId="10" borderId="23" xfId="7" applyNumberFormat="1" applyFont="1" applyFill="1" applyBorder="1" applyAlignment="1">
      <alignment horizontal="center" vertical="center" wrapText="1"/>
    </xf>
    <xf numFmtId="0" fontId="4" fillId="11" borderId="1" xfId="7" applyFont="1" applyFill="1" applyBorder="1" applyAlignment="1">
      <alignment horizontal="center" vertical="center"/>
    </xf>
    <xf numFmtId="4" fontId="5" fillId="11" borderId="1" xfId="7" applyNumberFormat="1" applyFont="1" applyFill="1" applyBorder="1" applyAlignment="1">
      <alignment horizontal="center" vertical="center"/>
    </xf>
    <xf numFmtId="0" fontId="5" fillId="11" borderId="1" xfId="7" applyFont="1" applyFill="1" applyBorder="1" applyAlignment="1">
      <alignment horizontal="center" vertical="center"/>
    </xf>
    <xf numFmtId="4" fontId="10" fillId="11" borderId="8" xfId="8" applyNumberFormat="1" applyFont="1" applyFill="1" applyBorder="1" applyAlignment="1">
      <alignment horizontal="center" vertical="center" wrapText="1"/>
    </xf>
    <xf numFmtId="0" fontId="10" fillId="6" borderId="21" xfId="7" applyFont="1" applyFill="1" applyBorder="1" applyAlignment="1">
      <alignment horizontal="center" vertical="center"/>
    </xf>
    <xf numFmtId="0" fontId="4" fillId="6" borderId="1" xfId="7" applyFont="1" applyFill="1" applyBorder="1" applyAlignment="1">
      <alignment horizontal="center" vertical="center"/>
    </xf>
    <xf numFmtId="0" fontId="5" fillId="6" borderId="1" xfId="7" applyFont="1" applyFill="1" applyBorder="1" applyAlignment="1">
      <alignment horizontal="center" vertical="center"/>
    </xf>
    <xf numFmtId="4" fontId="10" fillId="6" borderId="8" xfId="8" applyNumberFormat="1" applyFont="1" applyFill="1" applyBorder="1" applyAlignment="1">
      <alignment horizontal="center" vertical="center" wrapText="1"/>
    </xf>
    <xf numFmtId="4" fontId="41" fillId="16" borderId="8" xfId="8" applyNumberFormat="1" applyFont="1" applyFill="1" applyBorder="1" applyAlignment="1">
      <alignment horizontal="center" vertical="center" wrapText="1"/>
    </xf>
    <xf numFmtId="0" fontId="4" fillId="6" borderId="22" xfId="7" applyFont="1" applyFill="1" applyBorder="1" applyAlignment="1">
      <alignment horizontal="center" vertical="center"/>
    </xf>
    <xf numFmtId="0" fontId="10" fillId="6" borderId="22" xfId="7" applyFont="1" applyFill="1" applyBorder="1" applyAlignment="1">
      <alignment horizontal="left" vertical="center" wrapText="1"/>
    </xf>
    <xf numFmtId="164" fontId="10" fillId="6" borderId="22" xfId="5" applyFont="1" applyFill="1" applyBorder="1" applyAlignment="1">
      <alignment horizontal="center" vertical="center"/>
    </xf>
    <xf numFmtId="165" fontId="10" fillId="6" borderId="22" xfId="7" applyNumberFormat="1" applyFont="1" applyFill="1" applyBorder="1" applyAlignment="1">
      <alignment horizontal="center" vertical="center"/>
    </xf>
    <xf numFmtId="4" fontId="13" fillId="6" borderId="22" xfId="7" applyNumberFormat="1" applyFont="1" applyFill="1" applyBorder="1" applyAlignment="1">
      <alignment horizontal="center" vertical="center"/>
    </xf>
    <xf numFmtId="4" fontId="5" fillId="6" borderId="22" xfId="7" applyNumberFormat="1" applyFont="1" applyFill="1" applyBorder="1" applyAlignment="1">
      <alignment horizontal="center" vertical="center"/>
    </xf>
    <xf numFmtId="4" fontId="42" fillId="6" borderId="1" xfId="8" applyNumberFormat="1" applyFont="1" applyFill="1" applyBorder="1" applyAlignment="1">
      <alignment horizontal="center" vertical="center" wrapText="1"/>
    </xf>
    <xf numFmtId="4" fontId="5" fillId="6" borderId="23" xfId="7" applyNumberFormat="1" applyFont="1" applyFill="1" applyBorder="1" applyAlignment="1">
      <alignment horizontal="center" vertical="center"/>
    </xf>
    <xf numFmtId="0" fontId="10" fillId="6" borderId="31" xfId="7" applyFont="1" applyFill="1" applyBorder="1" applyAlignment="1">
      <alignment horizontal="center" vertical="center"/>
    </xf>
    <xf numFmtId="0" fontId="4" fillId="6" borderId="27" xfId="7" applyFont="1" applyFill="1" applyBorder="1" applyAlignment="1">
      <alignment horizontal="center" vertical="center"/>
    </xf>
    <xf numFmtId="0" fontId="10" fillId="6" borderId="27" xfId="7" applyFont="1" applyFill="1" applyBorder="1" applyAlignment="1">
      <alignment horizontal="left" vertical="center" wrapText="1"/>
    </xf>
    <xf numFmtId="164" fontId="10" fillId="6" borderId="27" xfId="5" applyFont="1" applyFill="1" applyBorder="1" applyAlignment="1">
      <alignment horizontal="center" vertical="center"/>
    </xf>
    <xf numFmtId="165" fontId="10" fillId="6" borderId="27" xfId="7" applyNumberFormat="1" applyFont="1" applyFill="1" applyBorder="1" applyAlignment="1">
      <alignment horizontal="center" vertical="center"/>
    </xf>
    <xf numFmtId="4" fontId="13" fillId="6" borderId="27" xfId="7" applyNumberFormat="1" applyFont="1" applyFill="1" applyBorder="1" applyAlignment="1">
      <alignment horizontal="center" vertical="center"/>
    </xf>
    <xf numFmtId="4" fontId="5" fillId="6" borderId="27" xfId="7" applyNumberFormat="1" applyFont="1" applyFill="1" applyBorder="1" applyAlignment="1">
      <alignment horizontal="center" vertical="center"/>
    </xf>
    <xf numFmtId="0" fontId="5" fillId="6" borderId="27" xfId="7" applyFont="1" applyFill="1" applyBorder="1" applyAlignment="1">
      <alignment horizontal="center" vertical="center"/>
    </xf>
    <xf numFmtId="4" fontId="24" fillId="6" borderId="27" xfId="7" applyNumberFormat="1" applyFont="1" applyFill="1" applyBorder="1" applyAlignment="1">
      <alignment horizontal="center" vertical="center" wrapText="1"/>
    </xf>
    <xf numFmtId="4" fontId="10" fillId="6" borderId="28" xfId="8" applyNumberFormat="1" applyFont="1" applyFill="1" applyBorder="1" applyAlignment="1">
      <alignment horizontal="center" vertical="center" wrapText="1"/>
    </xf>
    <xf numFmtId="0" fontId="10" fillId="14" borderId="21" xfId="7" applyFont="1" applyFill="1" applyBorder="1" applyAlignment="1">
      <alignment horizontal="center" vertical="center"/>
    </xf>
    <xf numFmtId="0" fontId="4" fillId="14" borderId="32" xfId="7" applyFont="1" applyFill="1" applyBorder="1" applyAlignment="1">
      <alignment horizontal="center" vertical="center"/>
    </xf>
    <xf numFmtId="0" fontId="10" fillId="14" borderId="32" xfId="7" applyFont="1" applyFill="1" applyBorder="1" applyAlignment="1">
      <alignment horizontal="left" vertical="center" wrapText="1"/>
    </xf>
    <xf numFmtId="165" fontId="10" fillId="14" borderId="32" xfId="7" applyNumberFormat="1" applyFont="1" applyFill="1" applyBorder="1" applyAlignment="1">
      <alignment horizontal="center" vertical="center"/>
    </xf>
    <xf numFmtId="4" fontId="13" fillId="14" borderId="32" xfId="7" applyNumberFormat="1" applyFont="1" applyFill="1" applyBorder="1" applyAlignment="1">
      <alignment horizontal="center" vertical="center"/>
    </xf>
    <xf numFmtId="4" fontId="10" fillId="2" borderId="32" xfId="7" applyNumberFormat="1" applyFont="1" applyFill="1" applyBorder="1" applyAlignment="1">
      <alignment horizontal="center" vertical="center"/>
    </xf>
    <xf numFmtId="4" fontId="5" fillId="4" borderId="32" xfId="7" applyNumberFormat="1" applyFont="1" applyFill="1" applyBorder="1" applyAlignment="1">
      <alignment horizontal="center" vertical="center"/>
    </xf>
    <xf numFmtId="4" fontId="10" fillId="16" borderId="32" xfId="8" applyNumberFormat="1" applyFont="1" applyFill="1" applyBorder="1" applyAlignment="1">
      <alignment horizontal="center" vertical="center" wrapText="1"/>
    </xf>
    <xf numFmtId="4" fontId="23" fillId="14" borderId="22" xfId="7" applyNumberFormat="1" applyFont="1" applyFill="1" applyBorder="1" applyAlignment="1">
      <alignment horizontal="center" vertical="center" wrapText="1"/>
    </xf>
    <xf numFmtId="4" fontId="5" fillId="16" borderId="33" xfId="7" applyNumberFormat="1" applyFont="1" applyFill="1" applyBorder="1" applyAlignment="1">
      <alignment horizontal="center" vertical="center"/>
    </xf>
    <xf numFmtId="4" fontId="10" fillId="16" borderId="33" xfId="8" applyNumberFormat="1" applyFont="1" applyFill="1" applyBorder="1" applyAlignment="1">
      <alignment horizontal="center" vertical="center" wrapText="1"/>
    </xf>
    <xf numFmtId="0" fontId="14" fillId="7" borderId="0" xfId="7" applyFont="1" applyFill="1" applyAlignment="1">
      <alignment vertical="center" wrapText="1" shrinkToFit="1"/>
    </xf>
    <xf numFmtId="4" fontId="23" fillId="2" borderId="1" xfId="7" applyNumberFormat="1" applyFont="1" applyFill="1" applyBorder="1" applyAlignment="1">
      <alignment horizontal="center" vertical="center"/>
    </xf>
    <xf numFmtId="4" fontId="5" fillId="2" borderId="8" xfId="7" applyNumberFormat="1" applyFont="1" applyFill="1" applyBorder="1" applyAlignment="1">
      <alignment horizontal="center" vertical="center"/>
    </xf>
    <xf numFmtId="4" fontId="5" fillId="2" borderId="8" xfId="7" applyNumberFormat="1" applyFont="1" applyFill="1" applyBorder="1" applyAlignment="1">
      <alignment horizontal="center" vertical="center" wrapText="1"/>
    </xf>
    <xf numFmtId="0" fontId="10" fillId="14" borderId="13" xfId="7" applyFont="1" applyFill="1" applyBorder="1" applyAlignment="1">
      <alignment horizontal="center" vertical="center"/>
    </xf>
    <xf numFmtId="0" fontId="4" fillId="14" borderId="14" xfId="7" applyFont="1" applyFill="1" applyBorder="1" applyAlignment="1">
      <alignment horizontal="center" vertical="center"/>
    </xf>
    <xf numFmtId="0" fontId="10" fillId="14" borderId="14" xfId="7" applyFont="1" applyFill="1" applyBorder="1" applyAlignment="1">
      <alignment horizontal="left" vertical="center" wrapText="1"/>
    </xf>
    <xf numFmtId="165" fontId="10" fillId="14" borderId="14" xfId="7" applyNumberFormat="1" applyFont="1" applyFill="1" applyBorder="1" applyAlignment="1">
      <alignment horizontal="center" vertical="center"/>
    </xf>
    <xf numFmtId="4" fontId="13" fillId="14" borderId="14" xfId="7" applyNumberFormat="1" applyFont="1" applyFill="1" applyBorder="1" applyAlignment="1">
      <alignment horizontal="center" vertical="center"/>
    </xf>
    <xf numFmtId="4" fontId="5" fillId="14" borderId="14" xfId="7" applyNumberFormat="1" applyFont="1" applyFill="1" applyBorder="1" applyAlignment="1">
      <alignment horizontal="center" vertical="center"/>
    </xf>
    <xf numFmtId="4" fontId="21" fillId="14" borderId="14" xfId="8" applyNumberFormat="1" applyFont="1" applyFill="1" applyBorder="1" applyAlignment="1">
      <alignment horizontal="center" vertical="center" wrapText="1"/>
    </xf>
    <xf numFmtId="4" fontId="23" fillId="14" borderId="14" xfId="7" applyNumberFormat="1" applyFont="1" applyFill="1" applyBorder="1" applyAlignment="1">
      <alignment horizontal="center" vertical="center" wrapText="1"/>
    </xf>
    <xf numFmtId="4" fontId="5" fillId="14" borderId="15" xfId="7" applyNumberFormat="1" applyFont="1" applyFill="1" applyBorder="1" applyAlignment="1">
      <alignment horizontal="center" vertical="center"/>
    </xf>
    <xf numFmtId="4" fontId="10" fillId="14" borderId="15" xfId="8" applyNumberFormat="1" applyFont="1" applyFill="1" applyBorder="1" applyAlignment="1">
      <alignment horizontal="center" vertical="center" wrapText="1"/>
    </xf>
    <xf numFmtId="0" fontId="10" fillId="0" borderId="7" xfId="7" applyFont="1" applyBorder="1" applyAlignment="1">
      <alignment horizontal="center" vertical="center"/>
    </xf>
    <xf numFmtId="0" fontId="18" fillId="0" borderId="1" xfId="7" applyFont="1" applyBorder="1" applyAlignment="1">
      <alignment horizontal="center" vertical="center"/>
    </xf>
    <xf numFmtId="0" fontId="8" fillId="0" borderId="1" xfId="7" applyFont="1" applyBorder="1" applyAlignment="1">
      <alignment horizontal="left" vertical="center" wrapText="1"/>
    </xf>
    <xf numFmtId="165" fontId="8" fillId="0" borderId="1" xfId="7" applyNumberFormat="1" applyFont="1" applyBorder="1" applyAlignment="1">
      <alignment horizontal="center" vertical="center"/>
    </xf>
    <xf numFmtId="4" fontId="18" fillId="0" borderId="1" xfId="7" applyNumberFormat="1" applyFont="1" applyBorder="1" applyAlignment="1">
      <alignment horizontal="center" vertical="center"/>
    </xf>
    <xf numFmtId="4" fontId="8" fillId="9" borderId="1" xfId="7" applyNumberFormat="1" applyFont="1" applyFill="1" applyBorder="1" applyAlignment="1">
      <alignment horizontal="center" vertical="center"/>
    </xf>
    <xf numFmtId="4" fontId="8" fillId="4" borderId="1" xfId="7" applyNumberFormat="1" applyFont="1" applyFill="1" applyBorder="1" applyAlignment="1">
      <alignment horizontal="center" vertical="center"/>
    </xf>
    <xf numFmtId="4" fontId="8" fillId="16" borderId="1" xfId="8" applyNumberFormat="1" applyFont="1" applyFill="1" applyBorder="1" applyAlignment="1">
      <alignment horizontal="center" vertical="center" wrapText="1"/>
    </xf>
    <xf numFmtId="4" fontId="8" fillId="16" borderId="8" xfId="7" applyNumberFormat="1" applyFont="1" applyFill="1" applyBorder="1" applyAlignment="1">
      <alignment horizontal="center" vertical="center"/>
    </xf>
    <xf numFmtId="4" fontId="10" fillId="16" borderId="8" xfId="8" applyNumberFormat="1" applyFont="1" applyFill="1" applyBorder="1" applyAlignment="1">
      <alignment horizontal="center" vertical="center" wrapText="1"/>
    </xf>
    <xf numFmtId="4" fontId="5" fillId="16" borderId="8" xfId="7" applyNumberFormat="1" applyFont="1" applyFill="1" applyBorder="1" applyAlignment="1">
      <alignment horizontal="center" vertical="center"/>
    </xf>
    <xf numFmtId="4" fontId="5" fillId="16" borderId="8" xfId="7" applyNumberFormat="1" applyFont="1" applyFill="1" applyBorder="1" applyAlignment="1">
      <alignment horizontal="center" vertical="center" wrapText="1"/>
    </xf>
    <xf numFmtId="0" fontId="10" fillId="2" borderId="24" xfId="7" applyFont="1" applyFill="1" applyBorder="1" applyAlignment="1">
      <alignment horizontal="center" vertical="center"/>
    </xf>
    <xf numFmtId="0" fontId="4" fillId="2" borderId="25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left" vertical="center" wrapText="1"/>
    </xf>
    <xf numFmtId="165" fontId="10" fillId="2" borderId="25" xfId="7" applyNumberFormat="1" applyFont="1" applyFill="1" applyBorder="1" applyAlignment="1">
      <alignment horizontal="center" vertical="center"/>
    </xf>
    <xf numFmtId="4" fontId="13" fillId="2" borderId="25" xfId="7" applyNumberFormat="1" applyFont="1" applyFill="1" applyBorder="1" applyAlignment="1">
      <alignment horizontal="center" vertical="center"/>
    </xf>
    <xf numFmtId="4" fontId="5" fillId="2" borderId="25" xfId="7" applyNumberFormat="1" applyFont="1" applyFill="1" applyBorder="1" applyAlignment="1">
      <alignment horizontal="center" vertical="center"/>
    </xf>
    <xf numFmtId="4" fontId="42" fillId="2" borderId="25" xfId="8" applyNumberFormat="1" applyFont="1" applyFill="1" applyBorder="1" applyAlignment="1">
      <alignment horizontal="center" vertical="center" wrapText="1"/>
    </xf>
    <xf numFmtId="4" fontId="23" fillId="2" borderId="25" xfId="7" applyNumberFormat="1" applyFont="1" applyFill="1" applyBorder="1" applyAlignment="1">
      <alignment horizontal="center" vertical="center"/>
    </xf>
    <xf numFmtId="4" fontId="5" fillId="2" borderId="26" xfId="7" applyNumberFormat="1" applyFont="1" applyFill="1" applyBorder="1" applyAlignment="1">
      <alignment horizontal="center" vertical="center"/>
    </xf>
    <xf numFmtId="4" fontId="4" fillId="2" borderId="26" xfId="7" applyNumberFormat="1" applyFont="1" applyFill="1" applyBorder="1" applyAlignment="1">
      <alignment horizontal="center" vertical="center"/>
    </xf>
    <xf numFmtId="49" fontId="43" fillId="10" borderId="22" xfId="7" applyNumberFormat="1" applyFont="1" applyFill="1" applyBorder="1" applyAlignment="1">
      <alignment horizontal="center" vertical="center" wrapText="1"/>
    </xf>
    <xf numFmtId="0" fontId="10" fillId="0" borderId="13" xfId="7" applyFont="1" applyBorder="1" applyAlignment="1">
      <alignment horizontal="center" vertical="center"/>
    </xf>
    <xf numFmtId="0" fontId="18" fillId="0" borderId="14" xfId="7" applyFont="1" applyBorder="1" applyAlignment="1">
      <alignment horizontal="center" vertical="center"/>
    </xf>
    <xf numFmtId="0" fontId="8" fillId="0" borderId="14" xfId="7" applyFont="1" applyBorder="1" applyAlignment="1">
      <alignment horizontal="left" vertical="center" wrapText="1"/>
    </xf>
    <xf numFmtId="165" fontId="8" fillId="0" borderId="14" xfId="7" applyNumberFormat="1" applyFont="1" applyBorder="1" applyAlignment="1">
      <alignment horizontal="center" vertical="center"/>
    </xf>
    <xf numFmtId="4" fontId="18" fillId="0" borderId="14" xfId="7" applyNumberFormat="1" applyFont="1" applyBorder="1" applyAlignment="1">
      <alignment horizontal="center" vertical="center"/>
    </xf>
    <xf numFmtId="4" fontId="8" fillId="9" borderId="14" xfId="7" applyNumberFormat="1" applyFont="1" applyFill="1" applyBorder="1" applyAlignment="1">
      <alignment horizontal="center" vertical="center"/>
    </xf>
    <xf numFmtId="4" fontId="8" fillId="4" borderId="14" xfId="7" applyNumberFormat="1" applyFont="1" applyFill="1" applyBorder="1" applyAlignment="1">
      <alignment horizontal="center" vertical="center"/>
    </xf>
    <xf numFmtId="0" fontId="8" fillId="16" borderId="14" xfId="8" applyFont="1" applyFill="1" applyBorder="1" applyAlignment="1">
      <alignment horizontal="center" vertical="center" wrapText="1"/>
    </xf>
    <xf numFmtId="4" fontId="27" fillId="16" borderId="14" xfId="7" applyNumberFormat="1" applyFont="1" applyFill="1" applyBorder="1" applyAlignment="1">
      <alignment horizontal="center" vertical="center"/>
    </xf>
    <xf numFmtId="4" fontId="8" fillId="16" borderId="15" xfId="7" applyNumberFormat="1" applyFont="1" applyFill="1" applyBorder="1" applyAlignment="1">
      <alignment horizontal="center" vertical="center"/>
    </xf>
    <xf numFmtId="4" fontId="10" fillId="16" borderId="16" xfId="8" applyNumberFormat="1" applyFont="1" applyFill="1" applyBorder="1" applyAlignment="1">
      <alignment horizontal="center" vertical="center" wrapText="1"/>
    </xf>
    <xf numFmtId="4" fontId="23" fillId="16" borderId="14" xfId="7" applyNumberFormat="1" applyFont="1" applyFill="1" applyBorder="1" applyAlignment="1">
      <alignment horizontal="center" vertical="center"/>
    </xf>
    <xf numFmtId="4" fontId="5" fillId="16" borderId="15" xfId="7" applyNumberFormat="1" applyFont="1" applyFill="1" applyBorder="1" applyAlignment="1">
      <alignment horizontal="center" vertical="center"/>
    </xf>
    <xf numFmtId="4" fontId="5" fillId="16" borderId="15" xfId="7" applyNumberFormat="1" applyFont="1" applyFill="1" applyBorder="1" applyAlignment="1">
      <alignment horizontal="center" vertical="center" wrapText="1"/>
    </xf>
    <xf numFmtId="0" fontId="5" fillId="0" borderId="34" xfId="7" applyFont="1" applyBorder="1"/>
    <xf numFmtId="0" fontId="4" fillId="0" borderId="32" xfId="7" applyFont="1" applyBorder="1" applyAlignment="1">
      <alignment horizontal="center" vertical="center"/>
    </xf>
    <xf numFmtId="0" fontId="5" fillId="0" borderId="32" xfId="7" applyFont="1" applyBorder="1"/>
    <xf numFmtId="4" fontId="4" fillId="0" borderId="32" xfId="7" applyNumberFormat="1" applyFont="1" applyBorder="1" applyAlignment="1">
      <alignment horizontal="center" vertical="center"/>
    </xf>
    <xf numFmtId="4" fontId="4" fillId="9" borderId="32" xfId="7" applyNumberFormat="1" applyFont="1" applyFill="1" applyBorder="1" applyAlignment="1">
      <alignment horizontal="center" vertical="center"/>
    </xf>
    <xf numFmtId="4" fontId="39" fillId="9" borderId="32" xfId="7" applyNumberFormat="1" applyFont="1" applyFill="1" applyBorder="1" applyAlignment="1">
      <alignment horizontal="center" vertical="center"/>
    </xf>
    <xf numFmtId="4" fontId="4" fillId="9" borderId="33" xfId="7" applyNumberFormat="1" applyFont="1" applyFill="1" applyBorder="1" applyAlignment="1">
      <alignment horizontal="center" vertical="center"/>
    </xf>
    <xf numFmtId="4" fontId="4" fillId="9" borderId="33" xfId="7" applyNumberFormat="1" applyFont="1" applyFill="1" applyBorder="1" applyAlignment="1">
      <alignment horizontal="center" vertical="center" wrapText="1"/>
    </xf>
    <xf numFmtId="0" fontId="5" fillId="2" borderId="35" xfId="7" applyFont="1" applyFill="1" applyBorder="1"/>
    <xf numFmtId="0" fontId="5" fillId="2" borderId="25" xfId="7" applyFont="1" applyFill="1" applyBorder="1"/>
    <xf numFmtId="4" fontId="4" fillId="2" borderId="25" xfId="7" applyNumberFormat="1" applyFont="1" applyFill="1" applyBorder="1" applyAlignment="1">
      <alignment horizontal="center" vertical="center"/>
    </xf>
    <xf numFmtId="164" fontId="5" fillId="2" borderId="25" xfId="7" applyNumberFormat="1" applyFont="1" applyFill="1" applyBorder="1"/>
    <xf numFmtId="4" fontId="39" fillId="2" borderId="25" xfId="7" applyNumberFormat="1" applyFont="1" applyFill="1" applyBorder="1" applyAlignment="1">
      <alignment horizontal="center" vertical="center"/>
    </xf>
    <xf numFmtId="4" fontId="4" fillId="2" borderId="26" xfId="7" applyNumberFormat="1" applyFont="1" applyFill="1" applyBorder="1" applyAlignment="1">
      <alignment horizontal="center" vertical="center" wrapText="1"/>
    </xf>
    <xf numFmtId="166" fontId="42" fillId="0" borderId="0" xfId="7" applyNumberFormat="1" applyFont="1"/>
    <xf numFmtId="0" fontId="10" fillId="11" borderId="13" xfId="7" applyFont="1" applyFill="1" applyBorder="1" applyAlignment="1">
      <alignment horizontal="center" vertical="center"/>
    </xf>
    <xf numFmtId="0" fontId="13" fillId="11" borderId="14" xfId="7" applyFont="1" applyFill="1" applyBorder="1" applyAlignment="1">
      <alignment horizontal="center" vertical="center"/>
    </xf>
    <xf numFmtId="0" fontId="10" fillId="11" borderId="14" xfId="7" applyFont="1" applyFill="1" applyBorder="1" applyAlignment="1">
      <alignment horizontal="left" vertical="center" wrapText="1"/>
    </xf>
    <xf numFmtId="165" fontId="8" fillId="11" borderId="14" xfId="7" applyNumberFormat="1" applyFont="1" applyFill="1" applyBorder="1" applyAlignment="1">
      <alignment horizontal="center" vertical="center"/>
    </xf>
    <xf numFmtId="4" fontId="18" fillId="11" borderId="14" xfId="7" applyNumberFormat="1" applyFont="1" applyFill="1" applyBorder="1" applyAlignment="1">
      <alignment horizontal="center" vertical="center"/>
    </xf>
    <xf numFmtId="4" fontId="8" fillId="11" borderId="14" xfId="7" applyNumberFormat="1" applyFont="1" applyFill="1" applyBorder="1" applyAlignment="1">
      <alignment horizontal="center" vertical="center"/>
    </xf>
    <xf numFmtId="4" fontId="5" fillId="11" borderId="14" xfId="7" applyNumberFormat="1" applyFont="1" applyFill="1" applyBorder="1" applyAlignment="1">
      <alignment horizontal="center" vertical="center"/>
    </xf>
    <xf numFmtId="4" fontId="10" fillId="11" borderId="14" xfId="8" applyNumberFormat="1" applyFont="1" applyFill="1" applyBorder="1" applyAlignment="1">
      <alignment horizontal="center" vertical="center" wrapText="1"/>
    </xf>
    <xf numFmtId="4" fontId="10" fillId="11" borderId="15" xfId="7" applyNumberFormat="1" applyFont="1" applyFill="1" applyBorder="1" applyAlignment="1">
      <alignment horizontal="center" vertical="center"/>
    </xf>
    <xf numFmtId="4" fontId="10" fillId="11" borderId="15" xfId="8" applyNumberFormat="1" applyFont="1" applyFill="1" applyBorder="1" applyAlignment="1">
      <alignment horizontal="center" vertical="center" wrapText="1"/>
    </xf>
    <xf numFmtId="4" fontId="10" fillId="11" borderId="1" xfId="8" applyNumberFormat="1" applyFont="1" applyFill="1" applyBorder="1" applyAlignment="1">
      <alignment horizontal="center" vertical="center" wrapText="1"/>
    </xf>
    <xf numFmtId="4" fontId="5" fillId="11" borderId="8" xfId="7" applyNumberFormat="1" applyFont="1" applyFill="1" applyBorder="1" applyAlignment="1">
      <alignment horizontal="center" vertical="center"/>
    </xf>
    <xf numFmtId="0" fontId="8" fillId="16" borderId="1" xfId="8" applyFont="1" applyFill="1" applyBorder="1" applyAlignment="1">
      <alignment horizontal="center" vertical="center" wrapText="1"/>
    </xf>
    <xf numFmtId="4" fontId="27" fillId="16" borderId="1" xfId="7" applyNumberFormat="1" applyFont="1" applyFill="1" applyBorder="1" applyAlignment="1">
      <alignment horizontal="center" vertical="center"/>
    </xf>
    <xf numFmtId="0" fontId="15" fillId="0" borderId="0" xfId="7" applyFont="1" applyAlignment="1">
      <alignment vertical="center"/>
    </xf>
    <xf numFmtId="0" fontId="4" fillId="0" borderId="0" xfId="7" applyFont="1" applyAlignment="1">
      <alignment horizontal="center" vertical="center"/>
    </xf>
    <xf numFmtId="4" fontId="4" fillId="0" borderId="0" xfId="7" applyNumberFormat="1" applyFont="1" applyAlignment="1">
      <alignment horizontal="center" vertical="center"/>
    </xf>
    <xf numFmtId="164" fontId="5" fillId="0" borderId="0" xfId="7" applyNumberFormat="1" applyFont="1"/>
    <xf numFmtId="0" fontId="15" fillId="0" borderId="0" xfId="7" applyFont="1" applyAlignment="1">
      <alignment horizontal="center" vertical="center"/>
    </xf>
    <xf numFmtId="167" fontId="5" fillId="0" borderId="0" xfId="7" applyNumberFormat="1" applyFont="1"/>
    <xf numFmtId="2" fontId="5" fillId="0" borderId="0" xfId="7" applyNumberFormat="1" applyFont="1"/>
    <xf numFmtId="49" fontId="16" fillId="10" borderId="9" xfId="7" applyNumberFormat="1" applyFont="1" applyFill="1" applyBorder="1" applyAlignment="1">
      <alignment horizontal="center" vertical="center" wrapText="1"/>
    </xf>
    <xf numFmtId="49" fontId="16" fillId="10" borderId="10" xfId="7" applyNumberFormat="1" applyFont="1" applyFill="1" applyBorder="1" applyAlignment="1">
      <alignment horizontal="center" vertical="center" wrapText="1"/>
    </xf>
    <xf numFmtId="0" fontId="29" fillId="0" borderId="17" xfId="7" applyFont="1" applyBorder="1" applyAlignment="1">
      <alignment horizontal="center"/>
    </xf>
    <xf numFmtId="49" fontId="16" fillId="10" borderId="29" xfId="7" applyNumberFormat="1" applyFont="1" applyFill="1" applyBorder="1" applyAlignment="1">
      <alignment horizontal="center" vertical="center" wrapText="1"/>
    </xf>
    <xf numFmtId="49" fontId="16" fillId="10" borderId="30" xfId="7" applyNumberFormat="1" applyFont="1" applyFill="1" applyBorder="1" applyAlignment="1">
      <alignment horizontal="center" vertical="center" wrapText="1"/>
    </xf>
    <xf numFmtId="0" fontId="44" fillId="0" borderId="17" xfId="7" applyFont="1" applyBorder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0" borderId="7" xfId="7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44" fillId="0" borderId="17" xfId="3" applyFont="1" applyBorder="1" applyAlignment="1">
      <alignment horizontal="left" vertical="center"/>
    </xf>
    <xf numFmtId="0" fontId="5" fillId="0" borderId="4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49" fontId="16" fillId="10" borderId="9" xfId="3" applyNumberFormat="1" applyFont="1" applyFill="1" applyBorder="1" applyAlignment="1">
      <alignment horizontal="center" vertical="center" wrapText="1"/>
    </xf>
    <xf numFmtId="49" fontId="16" fillId="10" borderId="10" xfId="3" applyNumberFormat="1" applyFont="1" applyFill="1" applyBorder="1" applyAlignment="1">
      <alignment horizontal="center" vertical="center" wrapText="1"/>
    </xf>
    <xf numFmtId="0" fontId="29" fillId="0" borderId="17" xfId="3" applyFont="1" applyBorder="1" applyAlignment="1">
      <alignment horizontal="center"/>
    </xf>
    <xf numFmtId="49" fontId="16" fillId="10" borderId="29" xfId="3" applyNumberFormat="1" applyFont="1" applyFill="1" applyBorder="1" applyAlignment="1">
      <alignment horizontal="center" vertical="center" wrapText="1"/>
    </xf>
    <xf numFmtId="49" fontId="16" fillId="10" borderId="30" xfId="3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horizontal="center"/>
    </xf>
  </cellXfs>
  <cellStyles count="9">
    <cellStyle name="Обычный" xfId="0" builtinId="0"/>
    <cellStyle name="Обычный 2" xfId="6" xr:uid="{3D33E950-EBF9-4EC6-B1C5-16B743B7BFCA}"/>
    <cellStyle name="Обычный 2 2" xfId="2" xr:uid="{DBE1D73F-9A85-46AB-A875-4385F795082E}"/>
    <cellStyle name="Обычный 3" xfId="3" xr:uid="{617BA39E-4A15-44D5-9EFB-22174883EDBD}"/>
    <cellStyle name="Обычный 3 2" xfId="4" xr:uid="{90A660D9-1623-492A-B64A-1FC92F364F3E}"/>
    <cellStyle name="Обычный 3 3" xfId="7" xr:uid="{0EC261BD-D2B2-4188-B905-9885F8E6B6CE}"/>
    <cellStyle name="Обычный 4" xfId="8" xr:uid="{60D568B1-44BE-4B34-A13C-474B55C3B965}"/>
    <cellStyle name="Финансовый" xfId="1" builtinId="3"/>
    <cellStyle name="Финансовый 2" xfId="5" xr:uid="{C4F43533-BEC4-4098-9B7E-CD171992A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!!!%20&#1088;&#1077;&#1077;&#1089;&#1090;&#1088;%20&#1089;&#1084;&#1077;&#1090;%20&#1087;&#1086;&#1076;%20&#1060;&#1040;&#1050;&#1058;%20&#1048;&#1044;_01.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на 04.06"/>
      <sheetName val="вар НВ (с 0,65 и без упл)"/>
      <sheetName val="реестр под ФАКТ (ПЖ с замеч.)"/>
      <sheetName val="реестр под ФАКТ до соглас. "/>
      <sheetName val="реестр под ФАКТ"/>
      <sheetName val="свод реестров по кс-2"/>
      <sheetName val="аналитика"/>
      <sheetName val="ан-ка (на 95% мех и 5% вруч )"/>
      <sheetName val="реестр под ФАКТ с виброплит"/>
      <sheetName val="реестр под ФАКТ (2)"/>
      <sheetName val="реестр к Договору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</sheetData>
      <sheetData sheetId="1"/>
      <sheetData sheetId="2">
        <row r="11">
          <cell r="U11">
            <v>4814643</v>
          </cell>
        </row>
        <row r="13">
          <cell r="U13">
            <v>19308691</v>
          </cell>
        </row>
        <row r="14">
          <cell r="U14">
            <v>2202170</v>
          </cell>
        </row>
        <row r="15">
          <cell r="V15">
            <v>4448059.79</v>
          </cell>
        </row>
        <row r="16">
          <cell r="U16">
            <v>2387178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84A8-9F91-415B-A348-3E25260D722D}">
  <sheetPr>
    <tabColor rgb="FFFF0000"/>
    <pageSetUpPr fitToPage="1"/>
  </sheetPr>
  <dimension ref="A1:AC90"/>
  <sheetViews>
    <sheetView tabSelected="1" zoomScale="80" zoomScaleNormal="80" zoomScaleSheetLayoutView="80" workbookViewId="0">
      <pane ySplit="3" topLeftCell="A4" activePane="bottomLeft" state="frozen"/>
      <selection pane="bottomLeft" activeCell="AC1" sqref="AC1:AD1048576"/>
    </sheetView>
  </sheetViews>
  <sheetFormatPr defaultColWidth="9.140625" defaultRowHeight="15.75" outlineLevelCol="1" x14ac:dyDescent="0.25"/>
  <cols>
    <col min="1" max="1" width="6.28515625" style="390" customWidth="1"/>
    <col min="2" max="2" width="17" style="390" customWidth="1"/>
    <col min="3" max="3" width="38.85546875" style="390" customWidth="1"/>
    <col min="4" max="4" width="20.5703125" style="390" hidden="1" customWidth="1" outlineLevel="1"/>
    <col min="5" max="5" width="18.85546875" style="390" hidden="1" customWidth="1" outlineLevel="1"/>
    <col min="6" max="6" width="17.5703125" style="390" hidden="1" customWidth="1" outlineLevel="1"/>
    <col min="7" max="7" width="20.7109375" style="390" hidden="1" customWidth="1" outlineLevel="1"/>
    <col min="8" max="8" width="19.5703125" style="390" hidden="1" customWidth="1" outlineLevel="1"/>
    <col min="9" max="9" width="8.5703125" style="390" hidden="1" customWidth="1" outlineLevel="1"/>
    <col min="10" max="10" width="22.28515625" style="390" customWidth="1" collapsed="1"/>
    <col min="11" max="11" width="20.42578125" style="393" hidden="1" customWidth="1" outlineLevel="1"/>
    <col min="12" max="12" width="16.85546875" style="393" hidden="1" customWidth="1" outlineLevel="1"/>
    <col min="13" max="13" width="18.140625" style="389" hidden="1" customWidth="1" outlineLevel="1"/>
    <col min="14" max="14" width="16.85546875" style="393" hidden="1" customWidth="1" outlineLevel="1"/>
    <col min="15" max="15" width="18.140625" style="389" hidden="1" customWidth="1" outlineLevel="1"/>
    <col min="16" max="16" width="18.42578125" style="390" customWidth="1" collapsed="1"/>
    <col min="17" max="17" width="16.7109375" style="390" customWidth="1"/>
    <col min="18" max="18" width="16.85546875" style="390" customWidth="1"/>
    <col min="19" max="19" width="40.85546875" style="390" customWidth="1"/>
    <col min="20" max="20" width="26.140625" style="390" customWidth="1"/>
    <col min="21" max="21" width="26.7109375" style="390" customWidth="1"/>
    <col min="22" max="22" width="31.42578125" style="390" customWidth="1"/>
    <col min="23" max="23" width="3.28515625" style="391" hidden="1" customWidth="1"/>
    <col min="24" max="24" width="27.5703125" style="390" hidden="1" customWidth="1"/>
    <col min="25" max="26" width="19" style="390" hidden="1" customWidth="1"/>
    <col min="27" max="27" width="29.28515625" style="392" hidden="1" customWidth="1"/>
    <col min="28" max="28" width="15" style="390" hidden="1" customWidth="1"/>
    <col min="29" max="16384" width="9.140625" style="390"/>
  </cols>
  <sheetData>
    <row r="1" spans="1:29" ht="8.25" customHeight="1" x14ac:dyDescent="0.25">
      <c r="A1" s="718"/>
      <c r="B1" s="718"/>
      <c r="C1" s="718"/>
      <c r="D1" s="718"/>
      <c r="E1" s="718"/>
      <c r="F1" s="718"/>
      <c r="G1" s="718"/>
      <c r="H1" s="718"/>
      <c r="I1" s="718"/>
      <c r="J1" s="718"/>
      <c r="K1" s="388"/>
      <c r="L1" s="388"/>
      <c r="N1" s="388"/>
    </row>
    <row r="2" spans="1:29" ht="5.25" customHeight="1" thickBot="1" x14ac:dyDescent="0.3">
      <c r="A2" s="63"/>
      <c r="B2" s="63"/>
      <c r="C2" s="63"/>
      <c r="D2" s="63"/>
      <c r="E2" s="63"/>
      <c r="F2" s="63"/>
      <c r="G2" s="63"/>
      <c r="H2" s="63"/>
      <c r="I2" s="64"/>
      <c r="J2" s="63"/>
    </row>
    <row r="3" spans="1:29" ht="47.25" customHeight="1" x14ac:dyDescent="0.25">
      <c r="A3" s="719" t="s">
        <v>152</v>
      </c>
      <c r="B3" s="721" t="s">
        <v>153</v>
      </c>
      <c r="C3" s="721" t="s">
        <v>154</v>
      </c>
      <c r="D3" s="394" t="s">
        <v>155</v>
      </c>
      <c r="E3" s="394" t="s">
        <v>156</v>
      </c>
      <c r="F3" s="394" t="s">
        <v>157</v>
      </c>
      <c r="G3" s="721" t="s">
        <v>158</v>
      </c>
      <c r="H3" s="723" t="s">
        <v>159</v>
      </c>
      <c r="I3" s="721" t="s">
        <v>160</v>
      </c>
      <c r="J3" s="723" t="s">
        <v>161</v>
      </c>
      <c r="K3" s="395" t="s">
        <v>162</v>
      </c>
      <c r="L3" s="395" t="s">
        <v>163</v>
      </c>
      <c r="M3" s="396" t="s">
        <v>164</v>
      </c>
      <c r="N3" s="397" t="s">
        <v>165</v>
      </c>
      <c r="O3" s="398" t="s">
        <v>166</v>
      </c>
      <c r="P3" s="399" t="s">
        <v>167</v>
      </c>
      <c r="Q3" s="399" t="s">
        <v>168</v>
      </c>
      <c r="R3" s="400" t="s">
        <v>169</v>
      </c>
      <c r="S3" s="400" t="s">
        <v>170</v>
      </c>
      <c r="T3" s="401" t="s">
        <v>171</v>
      </c>
      <c r="U3" s="401" t="s">
        <v>172</v>
      </c>
      <c r="V3" s="401" t="s">
        <v>173</v>
      </c>
      <c r="X3" s="400" t="s">
        <v>174</v>
      </c>
      <c r="Y3" s="401" t="s">
        <v>175</v>
      </c>
      <c r="Z3" s="401" t="s">
        <v>169</v>
      </c>
      <c r="AA3" s="401" t="s">
        <v>176</v>
      </c>
    </row>
    <row r="4" spans="1:29" ht="14.25" customHeight="1" x14ac:dyDescent="0.25">
      <c r="A4" s="720"/>
      <c r="B4" s="722"/>
      <c r="C4" s="722"/>
      <c r="D4" s="402"/>
      <c r="E4" s="402"/>
      <c r="F4" s="402"/>
      <c r="G4" s="722"/>
      <c r="H4" s="724"/>
      <c r="I4" s="722"/>
      <c r="J4" s="724"/>
      <c r="K4" s="403" t="s">
        <v>177</v>
      </c>
      <c r="L4" s="403" t="s">
        <v>178</v>
      </c>
      <c r="M4" s="403" t="s">
        <v>179</v>
      </c>
      <c r="N4" s="403" t="s">
        <v>180</v>
      </c>
      <c r="O4" s="403" t="s">
        <v>181</v>
      </c>
      <c r="P4" s="404"/>
      <c r="Q4" s="404"/>
      <c r="R4" s="405"/>
      <c r="S4" s="405"/>
      <c r="T4" s="406"/>
      <c r="U4" s="406"/>
      <c r="V4" s="406"/>
      <c r="X4" s="405"/>
      <c r="Y4" s="406"/>
      <c r="Z4" s="406"/>
    </row>
    <row r="5" spans="1:29" x14ac:dyDescent="0.25">
      <c r="A5" s="407"/>
      <c r="B5" s="408"/>
      <c r="C5" s="408"/>
      <c r="D5" s="408"/>
      <c r="E5" s="408"/>
      <c r="F5" s="408"/>
      <c r="G5" s="408"/>
      <c r="H5" s="409"/>
      <c r="I5" s="408"/>
      <c r="J5" s="409"/>
      <c r="K5" s="410"/>
      <c r="L5" s="410"/>
      <c r="M5" s="410"/>
      <c r="N5" s="410"/>
      <c r="O5" s="410"/>
      <c r="P5" s="410"/>
      <c r="Q5" s="410"/>
      <c r="R5" s="410"/>
      <c r="S5" s="410"/>
      <c r="T5" s="712" t="s">
        <v>182</v>
      </c>
      <c r="U5" s="713"/>
      <c r="V5" s="411"/>
      <c r="X5" s="405"/>
      <c r="Y5" s="406"/>
      <c r="Z5" s="406"/>
    </row>
    <row r="6" spans="1:29" ht="54" customHeight="1" x14ac:dyDescent="0.25">
      <c r="A6" s="412">
        <v>1</v>
      </c>
      <c r="B6" s="413" t="s">
        <v>183</v>
      </c>
      <c r="C6" s="414" t="s">
        <v>251</v>
      </c>
      <c r="D6" s="87">
        <v>48841208.740000002</v>
      </c>
      <c r="E6" s="87">
        <v>4004979.12</v>
      </c>
      <c r="F6" s="87">
        <v>1268308.51</v>
      </c>
      <c r="G6" s="87">
        <v>54114496.369999997</v>
      </c>
      <c r="H6" s="87">
        <v>56893839.630000003</v>
      </c>
      <c r="I6" s="415">
        <v>1.2</v>
      </c>
      <c r="J6" s="416">
        <f>ROUND(H6*I6,2)</f>
        <v>68272607.560000002</v>
      </c>
      <c r="K6" s="417">
        <v>65507253.219999999</v>
      </c>
      <c r="L6" s="417">
        <v>360012.73</v>
      </c>
      <c r="M6" s="417"/>
      <c r="N6" s="417"/>
      <c r="O6" s="417"/>
      <c r="P6" s="417">
        <f>K6+L6+M6+N6+O6</f>
        <v>65867265.949999996</v>
      </c>
      <c r="Q6" s="417">
        <f>J6-K6-L6-M6-N6-O6</f>
        <v>2405341.6100000036</v>
      </c>
      <c r="R6" s="417" t="s">
        <v>184</v>
      </c>
      <c r="S6" s="418" t="s">
        <v>185</v>
      </c>
      <c r="T6" s="419">
        <f>P6</f>
        <v>65867265.949999996</v>
      </c>
      <c r="U6" s="419">
        <v>0</v>
      </c>
      <c r="V6" s="420">
        <f t="shared" ref="V6:V18" si="0">T6+U6</f>
        <v>65867265.949999996</v>
      </c>
      <c r="W6" s="421"/>
      <c r="X6" s="422"/>
      <c r="Y6" s="423"/>
      <c r="Z6" s="424"/>
      <c r="AA6" s="425"/>
    </row>
    <row r="7" spans="1:29" ht="49.5" customHeight="1" x14ac:dyDescent="0.25">
      <c r="A7" s="412">
        <v>2</v>
      </c>
      <c r="B7" s="413" t="s">
        <v>186</v>
      </c>
      <c r="C7" s="414" t="s">
        <v>252</v>
      </c>
      <c r="D7" s="87">
        <v>40054718.460000001</v>
      </c>
      <c r="E7" s="87">
        <v>3284486.91</v>
      </c>
      <c r="F7" s="87">
        <v>1040140.93</v>
      </c>
      <c r="G7" s="87">
        <v>44379346.299999997</v>
      </c>
      <c r="H7" s="87">
        <v>46658688.170000002</v>
      </c>
      <c r="I7" s="415">
        <v>1.2</v>
      </c>
      <c r="J7" s="416">
        <f t="shared" ref="J7:J24" si="1">ROUND(H7*I7,2)</f>
        <v>55990425.799999997</v>
      </c>
      <c r="K7" s="417">
        <v>54911594.170000002</v>
      </c>
      <c r="L7" s="417"/>
      <c r="M7" s="417"/>
      <c r="N7" s="417"/>
      <c r="O7" s="417"/>
      <c r="P7" s="417">
        <f t="shared" ref="P7:P24" si="2">K7+L7+M7+N7+O7</f>
        <v>54911594.170000002</v>
      </c>
      <c r="Q7" s="417">
        <f t="shared" ref="Q7:Q24" si="3">J7-K7-L7-M7-N7-O7</f>
        <v>1078831.6299999952</v>
      </c>
      <c r="R7" s="417" t="s">
        <v>184</v>
      </c>
      <c r="S7" s="418" t="s">
        <v>185</v>
      </c>
      <c r="T7" s="419">
        <f t="shared" ref="T7:T24" si="4">P7</f>
        <v>54911594.170000002</v>
      </c>
      <c r="U7" s="419">
        <v>0</v>
      </c>
      <c r="V7" s="420">
        <f t="shared" si="0"/>
        <v>54911594.170000002</v>
      </c>
      <c r="X7" s="422"/>
      <c r="Y7" s="423"/>
      <c r="Z7" s="424"/>
      <c r="AA7" s="425"/>
    </row>
    <row r="8" spans="1:29" ht="35.1" customHeight="1" x14ac:dyDescent="0.25">
      <c r="A8" s="412">
        <v>3</v>
      </c>
      <c r="B8" s="413" t="s">
        <v>187</v>
      </c>
      <c r="C8" s="414" t="s">
        <v>253</v>
      </c>
      <c r="D8" s="87">
        <v>1177977.71</v>
      </c>
      <c r="E8" s="87">
        <v>96594.17</v>
      </c>
      <c r="F8" s="87">
        <v>30589.73</v>
      </c>
      <c r="G8" s="87">
        <v>1305161.6100000001</v>
      </c>
      <c r="H8" s="87">
        <v>1372195.26</v>
      </c>
      <c r="I8" s="415">
        <f>I6</f>
        <v>1.2</v>
      </c>
      <c r="J8" s="416">
        <f>ROUND(H8*I8,2)</f>
        <v>1646634.31</v>
      </c>
      <c r="K8" s="417"/>
      <c r="L8" s="417"/>
      <c r="M8" s="417">
        <v>1646696.3</v>
      </c>
      <c r="N8" s="417"/>
      <c r="O8" s="417"/>
      <c r="P8" s="417">
        <f t="shared" si="2"/>
        <v>1646696.3</v>
      </c>
      <c r="Q8" s="417">
        <v>0</v>
      </c>
      <c r="R8" s="417" t="s">
        <v>184</v>
      </c>
      <c r="S8" s="418" t="s">
        <v>185</v>
      </c>
      <c r="T8" s="419">
        <f t="shared" si="4"/>
        <v>1646696.3</v>
      </c>
      <c r="U8" s="419">
        <v>0</v>
      </c>
      <c r="V8" s="420">
        <f t="shared" si="0"/>
        <v>1646696.3</v>
      </c>
      <c r="X8" s="422"/>
      <c r="Y8" s="423"/>
      <c r="Z8" s="424"/>
      <c r="AA8" s="425"/>
    </row>
    <row r="9" spans="1:29" s="443" customFormat="1" ht="47.25" x14ac:dyDescent="0.25">
      <c r="A9" s="427">
        <v>4</v>
      </c>
      <c r="B9" s="428" t="s">
        <v>188</v>
      </c>
      <c r="C9" s="429" t="s">
        <v>254</v>
      </c>
      <c r="D9" s="102">
        <v>1615223.87</v>
      </c>
      <c r="E9" s="102">
        <v>132448.35999999999</v>
      </c>
      <c r="F9" s="102">
        <v>41944.13</v>
      </c>
      <c r="G9" s="102">
        <v>1789616.36</v>
      </c>
      <c r="H9" s="102">
        <v>1881531.81</v>
      </c>
      <c r="I9" s="430">
        <f>I19</f>
        <v>1.2</v>
      </c>
      <c r="J9" s="431">
        <f t="shared" si="1"/>
        <v>2257838.17</v>
      </c>
      <c r="K9" s="432"/>
      <c r="L9" s="432"/>
      <c r="M9" s="432">
        <v>1627347.05</v>
      </c>
      <c r="N9" s="432"/>
      <c r="O9" s="432"/>
      <c r="P9" s="432">
        <f>K9+L9+M9+N9+O9</f>
        <v>1627347.05</v>
      </c>
      <c r="Q9" s="432">
        <f t="shared" si="3"/>
        <v>630491.11999999988</v>
      </c>
      <c r="R9" s="433" t="s">
        <v>184</v>
      </c>
      <c r="S9" s="434" t="s">
        <v>191</v>
      </c>
      <c r="T9" s="435">
        <f t="shared" si="4"/>
        <v>1627347.05</v>
      </c>
      <c r="U9" s="436">
        <v>400933.67</v>
      </c>
      <c r="V9" s="437">
        <f t="shared" si="0"/>
        <v>2028280.72</v>
      </c>
      <c r="W9" s="438"/>
      <c r="X9" s="439" t="s">
        <v>184</v>
      </c>
      <c r="Y9" s="440">
        <f>1447989.61*1.082*1.024*1.0514*1.2</f>
        <v>2024146.2197234416</v>
      </c>
      <c r="Z9" s="441" t="s">
        <v>189</v>
      </c>
      <c r="AA9" s="425">
        <v>2023649.39</v>
      </c>
      <c r="AB9" s="442">
        <f>AA9-V9</f>
        <v>-4631.3300000000745</v>
      </c>
    </row>
    <row r="10" spans="1:29" ht="31.5" x14ac:dyDescent="0.25">
      <c r="A10" s="444">
        <v>5</v>
      </c>
      <c r="B10" s="445" t="s">
        <v>190</v>
      </c>
      <c r="C10" s="446" t="s">
        <v>255</v>
      </c>
      <c r="D10" s="447">
        <v>475031.03999999998</v>
      </c>
      <c r="E10" s="447">
        <v>38952.550000000003</v>
      </c>
      <c r="F10" s="447">
        <v>12335.61</v>
      </c>
      <c r="G10" s="447">
        <v>526319.19999999995</v>
      </c>
      <c r="H10" s="447">
        <v>553351.18000000005</v>
      </c>
      <c r="I10" s="448">
        <f>I27</f>
        <v>1.2</v>
      </c>
      <c r="J10" s="449">
        <f t="shared" si="1"/>
        <v>664021.42000000004</v>
      </c>
      <c r="K10" s="450"/>
      <c r="L10" s="450"/>
      <c r="M10" s="450"/>
      <c r="N10" s="450"/>
      <c r="O10" s="450"/>
      <c r="P10" s="450">
        <f t="shared" si="2"/>
        <v>0</v>
      </c>
      <c r="Q10" s="450">
        <f t="shared" si="3"/>
        <v>664021.42000000004</v>
      </c>
      <c r="R10" s="451" t="s">
        <v>184</v>
      </c>
      <c r="S10" s="452" t="s">
        <v>202</v>
      </c>
      <c r="T10" s="453">
        <f t="shared" si="4"/>
        <v>0</v>
      </c>
      <c r="U10" s="454">
        <f>328908.08*1.0514+79299.42</f>
        <v>425113.37531199999</v>
      </c>
      <c r="V10" s="455">
        <f t="shared" si="0"/>
        <v>425113.37531199999</v>
      </c>
      <c r="W10" s="456"/>
      <c r="X10" s="457" t="s">
        <v>184</v>
      </c>
      <c r="Y10" s="458">
        <f>(235378.05+47139.18)*1.082*1.024*1.0514*1.2</f>
        <v>394931.13704817125</v>
      </c>
      <c r="Z10" s="459" t="s">
        <v>189</v>
      </c>
      <c r="AA10" s="425">
        <v>388509.33</v>
      </c>
      <c r="AB10" s="442">
        <f t="shared" ref="AB10:AB17" si="5">AA10-V10</f>
        <v>-36604.045311999973</v>
      </c>
    </row>
    <row r="11" spans="1:29" ht="31.5" x14ac:dyDescent="0.25">
      <c r="A11" s="444">
        <v>6</v>
      </c>
      <c r="B11" s="445" t="s">
        <v>192</v>
      </c>
      <c r="C11" s="446" t="s">
        <v>256</v>
      </c>
      <c r="D11" s="447">
        <v>2276671.21</v>
      </c>
      <c r="E11" s="447">
        <v>186687.04</v>
      </c>
      <c r="F11" s="447">
        <v>59120.6</v>
      </c>
      <c r="G11" s="447">
        <v>2522478.85</v>
      </c>
      <c r="H11" s="447">
        <v>2652034.42</v>
      </c>
      <c r="I11" s="448">
        <f>I27</f>
        <v>1.2</v>
      </c>
      <c r="J11" s="449">
        <f t="shared" si="1"/>
        <v>3182441.3</v>
      </c>
      <c r="K11" s="450"/>
      <c r="L11" s="450"/>
      <c r="M11" s="450"/>
      <c r="N11" s="450"/>
      <c r="O11" s="450"/>
      <c r="P11" s="450">
        <f t="shared" si="2"/>
        <v>0</v>
      </c>
      <c r="Q11" s="450">
        <f t="shared" si="3"/>
        <v>3182441.3</v>
      </c>
      <c r="R11" s="451" t="s">
        <v>184</v>
      </c>
      <c r="S11" s="452" t="s">
        <v>202</v>
      </c>
      <c r="T11" s="453">
        <f t="shared" si="4"/>
        <v>0</v>
      </c>
      <c r="U11" s="454">
        <f>4303628.36*1.0514+232553.33*1.0514</f>
        <v>4769341.4288659999</v>
      </c>
      <c r="V11" s="455">
        <f t="shared" si="0"/>
        <v>4769341.4288659999</v>
      </c>
      <c r="W11" s="460"/>
      <c r="X11" s="422" t="s">
        <v>184</v>
      </c>
      <c r="Y11" s="423">
        <f>(3206824.35+130942.19)*1.082*1.024*1.0514*1.2</f>
        <v>4665867.4051261954</v>
      </c>
      <c r="Z11" s="459" t="s">
        <v>189</v>
      </c>
      <c r="AA11" s="425">
        <f>'[11]вар НВ (с 0,65 и без упл)'!U11</f>
        <v>4814643</v>
      </c>
      <c r="AB11" s="442">
        <f t="shared" si="5"/>
        <v>45301.571134000085</v>
      </c>
    </row>
    <row r="12" spans="1:29" ht="31.5" x14ac:dyDescent="0.25">
      <c r="A12" s="444">
        <v>7</v>
      </c>
      <c r="B12" s="445" t="s">
        <v>193</v>
      </c>
      <c r="C12" s="446" t="s">
        <v>257</v>
      </c>
      <c r="D12" s="447">
        <v>760016.55</v>
      </c>
      <c r="E12" s="447">
        <v>62321.36</v>
      </c>
      <c r="F12" s="447">
        <v>19736.11</v>
      </c>
      <c r="G12" s="447">
        <v>842074.02</v>
      </c>
      <c r="H12" s="447">
        <v>885323.3</v>
      </c>
      <c r="I12" s="448">
        <f>I20</f>
        <v>1.2</v>
      </c>
      <c r="J12" s="449">
        <f t="shared" si="1"/>
        <v>1062387.96</v>
      </c>
      <c r="K12" s="450"/>
      <c r="L12" s="450"/>
      <c r="M12" s="450"/>
      <c r="N12" s="450"/>
      <c r="O12" s="450"/>
      <c r="P12" s="450">
        <f t="shared" si="2"/>
        <v>0</v>
      </c>
      <c r="Q12" s="450">
        <f t="shared" si="3"/>
        <v>1062387.96</v>
      </c>
      <c r="R12" s="450" t="s">
        <v>184</v>
      </c>
      <c r="S12" s="452" t="s">
        <v>202</v>
      </c>
      <c r="T12" s="453">
        <f t="shared" si="4"/>
        <v>0</v>
      </c>
      <c r="U12" s="454">
        <f>1451570.46*1.0514</f>
        <v>1526181.1816439999</v>
      </c>
      <c r="V12" s="455">
        <f t="shared" si="0"/>
        <v>1526181.1816439999</v>
      </c>
      <c r="W12" s="438"/>
      <c r="X12" s="457" t="s">
        <v>184</v>
      </c>
      <c r="Y12" s="458">
        <f>1047143.73*1.082*1.024*1.0514*1.2</f>
        <v>1463803.3366735307</v>
      </c>
      <c r="Z12" s="459" t="s">
        <v>189</v>
      </c>
      <c r="AA12" s="461">
        <v>1463803.34</v>
      </c>
      <c r="AB12" s="442">
        <f t="shared" si="5"/>
        <v>-62377.841643999796</v>
      </c>
    </row>
    <row r="13" spans="1:29" ht="31.5" x14ac:dyDescent="0.25">
      <c r="A13" s="444">
        <v>8</v>
      </c>
      <c r="B13" s="445" t="s">
        <v>194</v>
      </c>
      <c r="C13" s="446" t="s">
        <v>258</v>
      </c>
      <c r="D13" s="447">
        <v>10454161.890000001</v>
      </c>
      <c r="E13" s="447">
        <v>857241.27</v>
      </c>
      <c r="F13" s="447">
        <v>271473.68</v>
      </c>
      <c r="G13" s="447">
        <v>11582876.84</v>
      </c>
      <c r="H13" s="447">
        <v>12177778.26</v>
      </c>
      <c r="I13" s="448">
        <f t="shared" ref="I13:I18" si="6">I6</f>
        <v>1.2</v>
      </c>
      <c r="J13" s="449">
        <f t="shared" si="1"/>
        <v>14613333.91</v>
      </c>
      <c r="K13" s="450"/>
      <c r="L13" s="450"/>
      <c r="M13" s="450"/>
      <c r="N13" s="450"/>
      <c r="O13" s="450"/>
      <c r="P13" s="450">
        <f t="shared" si="2"/>
        <v>0</v>
      </c>
      <c r="Q13" s="450">
        <f t="shared" si="3"/>
        <v>14613333.91</v>
      </c>
      <c r="R13" s="450" t="s">
        <v>184</v>
      </c>
      <c r="S13" s="452" t="str">
        <f>S10</f>
        <v>СОГЛАСОВАНО</v>
      </c>
      <c r="T13" s="453">
        <f t="shared" si="4"/>
        <v>0</v>
      </c>
      <c r="U13" s="454">
        <f>18693514.12*1.0514</f>
        <v>19654360.745767999</v>
      </c>
      <c r="V13" s="455">
        <f t="shared" si="0"/>
        <v>19654360.745767999</v>
      </c>
      <c r="W13" s="438"/>
      <c r="X13" s="457" t="s">
        <v>184</v>
      </c>
      <c r="Y13" s="458">
        <f>13422525.94*1.082*1.024*1.0514*1.2</f>
        <v>18763363.323160056</v>
      </c>
      <c r="Z13" s="459" t="s">
        <v>189</v>
      </c>
      <c r="AA13" s="461">
        <f>'[11]вар НВ (с 0,65 и без упл)'!U13</f>
        <v>19308691</v>
      </c>
      <c r="AB13" s="442">
        <f t="shared" si="5"/>
        <v>-345669.74576799944</v>
      </c>
    </row>
    <row r="14" spans="1:29" s="443" customFormat="1" ht="31.5" x14ac:dyDescent="0.25">
      <c r="A14" s="444">
        <v>9</v>
      </c>
      <c r="B14" s="445" t="s">
        <v>195</v>
      </c>
      <c r="C14" s="446" t="s">
        <v>259</v>
      </c>
      <c r="D14" s="447">
        <v>9143309.8300000001</v>
      </c>
      <c r="E14" s="447">
        <v>749751.41</v>
      </c>
      <c r="F14" s="447">
        <v>237433.47</v>
      </c>
      <c r="G14" s="447">
        <v>10130494.710000001</v>
      </c>
      <c r="H14" s="447">
        <v>10650801.17</v>
      </c>
      <c r="I14" s="448">
        <f t="shared" si="6"/>
        <v>1.2</v>
      </c>
      <c r="J14" s="449">
        <f t="shared" si="1"/>
        <v>12780961.4</v>
      </c>
      <c r="K14" s="450"/>
      <c r="L14" s="450"/>
      <c r="M14" s="450"/>
      <c r="N14" s="450"/>
      <c r="O14" s="450">
        <v>337909.86</v>
      </c>
      <c r="P14" s="450">
        <f t="shared" si="2"/>
        <v>337909.86</v>
      </c>
      <c r="Q14" s="450">
        <f t="shared" si="3"/>
        <v>12443051.540000001</v>
      </c>
      <c r="R14" s="450" t="s">
        <v>184</v>
      </c>
      <c r="S14" s="452" t="s">
        <v>202</v>
      </c>
      <c r="T14" s="453">
        <f t="shared" si="4"/>
        <v>337909.86</v>
      </c>
      <c r="U14" s="454">
        <f>2088473.11*1.0514</f>
        <v>2195820.6278539998</v>
      </c>
      <c r="V14" s="455">
        <f t="shared" si="0"/>
        <v>2533730.4878539997</v>
      </c>
      <c r="W14" s="460"/>
      <c r="X14" s="462" t="s">
        <v>184</v>
      </c>
      <c r="Y14" s="463">
        <f>1724717.19*1.082*1.024*1.0514*1.2</f>
        <v>2410983.9988634563</v>
      </c>
      <c r="Z14" s="441" t="s">
        <v>189</v>
      </c>
      <c r="AA14" s="461">
        <f>'[11]вар НВ (с 0,65 и без упл)'!U14</f>
        <v>2202170</v>
      </c>
      <c r="AB14" s="442">
        <f t="shared" si="5"/>
        <v>-331560.48785399972</v>
      </c>
    </row>
    <row r="15" spans="1:29" s="443" customFormat="1" ht="31.5" x14ac:dyDescent="0.25">
      <c r="A15" s="444">
        <v>10</v>
      </c>
      <c r="B15" s="445" t="s">
        <v>196</v>
      </c>
      <c r="C15" s="446" t="s">
        <v>260</v>
      </c>
      <c r="D15" s="447">
        <v>21996729.18</v>
      </c>
      <c r="E15" s="447">
        <v>1803731.79</v>
      </c>
      <c r="F15" s="447">
        <v>571211.06000000006</v>
      </c>
      <c r="G15" s="447">
        <v>24371672.030000001</v>
      </c>
      <c r="H15" s="447">
        <v>25623411.34</v>
      </c>
      <c r="I15" s="448">
        <f t="shared" si="6"/>
        <v>1.2</v>
      </c>
      <c r="J15" s="449">
        <f t="shared" si="1"/>
        <v>30748093.609999999</v>
      </c>
      <c r="K15" s="450"/>
      <c r="L15" s="450"/>
      <c r="M15" s="450">
        <v>1211400.79</v>
      </c>
      <c r="N15" s="450"/>
      <c r="O15" s="450"/>
      <c r="P15" s="450">
        <f t="shared" si="2"/>
        <v>1211400.79</v>
      </c>
      <c r="Q15" s="450">
        <f t="shared" si="3"/>
        <v>29536692.82</v>
      </c>
      <c r="R15" s="451" t="s">
        <v>184</v>
      </c>
      <c r="S15" s="452" t="s">
        <v>202</v>
      </c>
      <c r="T15" s="453">
        <f t="shared" si="4"/>
        <v>1211400.79</v>
      </c>
      <c r="U15" s="454">
        <f>2857250.86*1.0514</f>
        <v>3004113.5542039997</v>
      </c>
      <c r="V15" s="455">
        <f t="shared" si="0"/>
        <v>4215514.3442039993</v>
      </c>
      <c r="W15" s="460"/>
      <c r="X15" s="462" t="s">
        <v>184</v>
      </c>
      <c r="Y15" s="463">
        <f>2827828.36*1.082*1.024*1.0514*1.2</f>
        <v>3953024.2795877103</v>
      </c>
      <c r="Z15" s="441" t="s">
        <v>189</v>
      </c>
      <c r="AA15" s="461">
        <f>'[11]вар НВ (с 0,65 и без упл)'!V15</f>
        <v>4448059.79</v>
      </c>
      <c r="AB15" s="442">
        <f t="shared" si="5"/>
        <v>232545.44579600077</v>
      </c>
      <c r="AC15" s="443" t="s">
        <v>261</v>
      </c>
    </row>
    <row r="16" spans="1:29" ht="31.5" x14ac:dyDescent="0.25">
      <c r="A16" s="444">
        <v>11</v>
      </c>
      <c r="B16" s="445" t="s">
        <v>197</v>
      </c>
      <c r="C16" s="446" t="s">
        <v>262</v>
      </c>
      <c r="D16" s="447">
        <v>1890203.39</v>
      </c>
      <c r="E16" s="447">
        <v>154996.68</v>
      </c>
      <c r="F16" s="447">
        <v>49084.800000000003</v>
      </c>
      <c r="G16" s="447">
        <v>2094284.87</v>
      </c>
      <c r="H16" s="447">
        <v>2201848.2200000002</v>
      </c>
      <c r="I16" s="448">
        <f t="shared" si="6"/>
        <v>1.2</v>
      </c>
      <c r="J16" s="449">
        <f t="shared" si="1"/>
        <v>2642217.86</v>
      </c>
      <c r="K16" s="450"/>
      <c r="L16" s="450"/>
      <c r="M16" s="450"/>
      <c r="N16" s="450"/>
      <c r="O16" s="450"/>
      <c r="P16" s="450">
        <f t="shared" si="2"/>
        <v>0</v>
      </c>
      <c r="Q16" s="450">
        <f t="shared" si="3"/>
        <v>2642217.86</v>
      </c>
      <c r="R16" s="450" t="s">
        <v>184</v>
      </c>
      <c r="S16" s="452" t="s">
        <v>202</v>
      </c>
      <c r="T16" s="453">
        <f t="shared" si="4"/>
        <v>0</v>
      </c>
      <c r="U16" s="454">
        <f>2349488.86*1.0514</f>
        <v>2470252.5874039996</v>
      </c>
      <c r="V16" s="455">
        <f t="shared" si="0"/>
        <v>2470252.5874039996</v>
      </c>
      <c r="W16" s="460"/>
      <c r="X16" s="422" t="s">
        <v>184</v>
      </c>
      <c r="Y16" s="423">
        <f>1675854.44*1.082*1.024*1.0514*1.2</f>
        <v>2342678.708539038</v>
      </c>
      <c r="Z16" s="459" t="s">
        <v>189</v>
      </c>
      <c r="AA16" s="461">
        <f>'[11]вар НВ (с 0,65 и без упл)'!U16</f>
        <v>2387178</v>
      </c>
      <c r="AB16" s="442">
        <f t="shared" si="5"/>
        <v>-83074.587403999642</v>
      </c>
    </row>
    <row r="17" spans="1:28" ht="31.5" x14ac:dyDescent="0.25">
      <c r="A17" s="427">
        <v>12</v>
      </c>
      <c r="B17" s="428" t="s">
        <v>198</v>
      </c>
      <c r="C17" s="429" t="s">
        <v>263</v>
      </c>
      <c r="D17" s="102">
        <v>4003449.34</v>
      </c>
      <c r="E17" s="102">
        <v>328282.84999999998</v>
      </c>
      <c r="F17" s="102">
        <v>103961.57</v>
      </c>
      <c r="G17" s="102">
        <v>4435693.76</v>
      </c>
      <c r="H17" s="102">
        <v>4663512.8499999996</v>
      </c>
      <c r="I17" s="430">
        <f t="shared" si="6"/>
        <v>1.2</v>
      </c>
      <c r="J17" s="431">
        <f t="shared" si="1"/>
        <v>5596215.4199999999</v>
      </c>
      <c r="K17" s="432"/>
      <c r="L17" s="432"/>
      <c r="M17" s="432"/>
      <c r="N17" s="432"/>
      <c r="O17" s="432"/>
      <c r="P17" s="432">
        <f t="shared" si="2"/>
        <v>0</v>
      </c>
      <c r="Q17" s="432">
        <f t="shared" si="3"/>
        <v>5596215.4199999999</v>
      </c>
      <c r="R17" s="432" t="s">
        <v>184</v>
      </c>
      <c r="S17" s="434" t="s">
        <v>191</v>
      </c>
      <c r="T17" s="435">
        <f t="shared" si="4"/>
        <v>0</v>
      </c>
      <c r="U17" s="436">
        <v>4764781</v>
      </c>
      <c r="V17" s="437">
        <f t="shared" si="0"/>
        <v>4764781</v>
      </c>
      <c r="W17" s="460"/>
      <c r="X17" s="422" t="s">
        <v>184</v>
      </c>
      <c r="Y17" s="423">
        <f>2820165.03*1.082*1.024*1.0514*1.2</f>
        <v>3942311.702409762</v>
      </c>
      <c r="Z17" s="459" t="s">
        <v>189</v>
      </c>
      <c r="AA17" s="461">
        <v>3942311.7</v>
      </c>
      <c r="AB17" s="442">
        <f t="shared" si="5"/>
        <v>-822469.29999999981</v>
      </c>
    </row>
    <row r="18" spans="1:28" ht="31.5" x14ac:dyDescent="0.25">
      <c r="A18" s="444">
        <v>13</v>
      </c>
      <c r="B18" s="445" t="s">
        <v>199</v>
      </c>
      <c r="C18" s="446" t="s">
        <v>264</v>
      </c>
      <c r="D18" s="447">
        <v>8291915.46</v>
      </c>
      <c r="E18" s="447">
        <v>679937.07</v>
      </c>
      <c r="F18" s="447">
        <v>215324.46</v>
      </c>
      <c r="G18" s="447">
        <v>9187176.9900000002</v>
      </c>
      <c r="H18" s="447">
        <v>9659034.2599999998</v>
      </c>
      <c r="I18" s="448">
        <f t="shared" si="6"/>
        <v>1.2</v>
      </c>
      <c r="J18" s="449">
        <f t="shared" si="1"/>
        <v>11590841.109999999</v>
      </c>
      <c r="K18" s="464"/>
      <c r="L18" s="464"/>
      <c r="M18" s="464"/>
      <c r="N18" s="464"/>
      <c r="O18" s="464"/>
      <c r="P18" s="450">
        <f t="shared" si="2"/>
        <v>0</v>
      </c>
      <c r="Q18" s="450">
        <f t="shared" si="3"/>
        <v>11590841.109999999</v>
      </c>
      <c r="R18" s="465" t="s">
        <v>184</v>
      </c>
      <c r="S18" s="452" t="str">
        <f>S15</f>
        <v>СОГЛАСОВАНО</v>
      </c>
      <c r="T18" s="453">
        <f t="shared" si="4"/>
        <v>0</v>
      </c>
      <c r="U18" s="454">
        <f>6105289.42*1.0514</f>
        <v>6419101.2961879997</v>
      </c>
      <c r="V18" s="455">
        <f t="shared" si="0"/>
        <v>6419101.2961879997</v>
      </c>
      <c r="W18" s="466"/>
      <c r="X18" s="422"/>
      <c r="Y18" s="423"/>
      <c r="Z18" s="424"/>
      <c r="AA18" s="425"/>
      <c r="AB18" s="467"/>
    </row>
    <row r="19" spans="1:28" ht="47.25" x14ac:dyDescent="0.25">
      <c r="A19" s="427">
        <v>14</v>
      </c>
      <c r="B19" s="468" t="s">
        <v>200</v>
      </c>
      <c r="C19" s="429" t="s">
        <v>265</v>
      </c>
      <c r="D19" s="102">
        <v>161452921.99000001</v>
      </c>
      <c r="E19" s="102">
        <v>13239139.6</v>
      </c>
      <c r="F19" s="102">
        <v>4192609.48</v>
      </c>
      <c r="G19" s="102">
        <v>178884671.06999999</v>
      </c>
      <c r="H19" s="102">
        <v>188072263.84999999</v>
      </c>
      <c r="I19" s="430">
        <f>I6</f>
        <v>1.2</v>
      </c>
      <c r="J19" s="431">
        <f t="shared" si="1"/>
        <v>225686716.62</v>
      </c>
      <c r="K19" s="432">
        <v>89998722.969999999</v>
      </c>
      <c r="L19" s="432">
        <v>66544414.909999996</v>
      </c>
      <c r="M19" s="432">
        <v>42672742.899999999</v>
      </c>
      <c r="N19" s="432"/>
      <c r="O19" s="432"/>
      <c r="P19" s="432">
        <f t="shared" si="2"/>
        <v>199215880.78</v>
      </c>
      <c r="Q19" s="432">
        <f t="shared" si="3"/>
        <v>26470835.840000011</v>
      </c>
      <c r="R19" s="432" t="s">
        <v>184</v>
      </c>
      <c r="S19" s="469" t="s">
        <v>266</v>
      </c>
      <c r="T19" s="435">
        <f t="shared" si="4"/>
        <v>199215880.78</v>
      </c>
      <c r="U19" s="436">
        <v>37091104.509999998</v>
      </c>
      <c r="V19" s="437">
        <f>T19+U19</f>
        <v>236306985.28999999</v>
      </c>
      <c r="X19" s="422"/>
      <c r="Y19" s="423"/>
      <c r="Z19" s="424"/>
      <c r="AA19" s="390"/>
      <c r="AB19" s="426"/>
    </row>
    <row r="20" spans="1:28" s="474" customFormat="1" ht="35.25" customHeight="1" x14ac:dyDescent="0.25">
      <c r="A20" s="427">
        <v>16</v>
      </c>
      <c r="B20" s="468" t="s">
        <v>201</v>
      </c>
      <c r="C20" s="429" t="s">
        <v>267</v>
      </c>
      <c r="D20" s="102">
        <v>10526911.91</v>
      </c>
      <c r="E20" s="102">
        <v>863206.78</v>
      </c>
      <c r="F20" s="102">
        <v>273362.84999999998</v>
      </c>
      <c r="G20" s="102">
        <v>11663481.539999999</v>
      </c>
      <c r="H20" s="102">
        <v>12262522.85</v>
      </c>
      <c r="I20" s="430">
        <f>I8</f>
        <v>1.2</v>
      </c>
      <c r="J20" s="431">
        <f t="shared" si="1"/>
        <v>14715027.42</v>
      </c>
      <c r="K20" s="432"/>
      <c r="L20" s="432">
        <v>10775049.08</v>
      </c>
      <c r="M20" s="432"/>
      <c r="N20" s="432"/>
      <c r="O20" s="432"/>
      <c r="P20" s="432">
        <f t="shared" si="2"/>
        <v>10775049.08</v>
      </c>
      <c r="Q20" s="432">
        <f t="shared" si="3"/>
        <v>3939978.34</v>
      </c>
      <c r="R20" s="432" t="s">
        <v>184</v>
      </c>
      <c r="S20" s="434" t="s">
        <v>234</v>
      </c>
      <c r="T20" s="435">
        <f t="shared" si="4"/>
        <v>10775049.08</v>
      </c>
      <c r="U20" s="436">
        <v>3614857.73</v>
      </c>
      <c r="V20" s="437">
        <f>T20+U20</f>
        <v>14389906.810000001</v>
      </c>
      <c r="W20" s="470"/>
      <c r="X20" s="422"/>
      <c r="Y20" s="471"/>
      <c r="Z20" s="472"/>
      <c r="AA20" s="473"/>
    </row>
    <row r="21" spans="1:28" s="488" customFormat="1" ht="36" customHeight="1" x14ac:dyDescent="0.25">
      <c r="A21" s="475">
        <v>19</v>
      </c>
      <c r="B21" s="476" t="s">
        <v>62</v>
      </c>
      <c r="C21" s="477" t="s">
        <v>268</v>
      </c>
      <c r="D21" s="478">
        <v>4859580.66</v>
      </c>
      <c r="E21" s="478">
        <v>398485.61</v>
      </c>
      <c r="F21" s="478">
        <v>126193.59</v>
      </c>
      <c r="G21" s="478">
        <v>5384259.8600000003</v>
      </c>
      <c r="H21" s="478">
        <v>5660797.71</v>
      </c>
      <c r="I21" s="479">
        <f>I14</f>
        <v>1.2</v>
      </c>
      <c r="J21" s="480">
        <f t="shared" si="1"/>
        <v>6792957.25</v>
      </c>
      <c r="K21" s="481"/>
      <c r="L21" s="481"/>
      <c r="M21" s="481"/>
      <c r="N21" s="481"/>
      <c r="O21" s="481">
        <v>562345.21</v>
      </c>
      <c r="P21" s="481">
        <f t="shared" si="2"/>
        <v>562345.21</v>
      </c>
      <c r="Q21" s="481">
        <f t="shared" si="3"/>
        <v>6230612.04</v>
      </c>
      <c r="R21" s="450" t="s">
        <v>184</v>
      </c>
      <c r="S21" s="452" t="s">
        <v>202</v>
      </c>
      <c r="T21" s="482">
        <f t="shared" si="4"/>
        <v>562345.21</v>
      </c>
      <c r="U21" s="454">
        <v>3430118.1</v>
      </c>
      <c r="V21" s="455">
        <f>T21+U21</f>
        <v>3992463.31</v>
      </c>
      <c r="W21" s="483"/>
      <c r="X21" s="484"/>
      <c r="Y21" s="485"/>
      <c r="Z21" s="486"/>
      <c r="AA21" s="487"/>
    </row>
    <row r="22" spans="1:28" ht="4.5" customHeight="1" x14ac:dyDescent="0.25">
      <c r="A22" s="489"/>
      <c r="B22" s="490"/>
      <c r="C22" s="491"/>
      <c r="D22" s="158"/>
      <c r="E22" s="158"/>
      <c r="F22" s="158"/>
      <c r="G22" s="158"/>
      <c r="H22" s="158"/>
      <c r="I22" s="492"/>
      <c r="J22" s="493"/>
      <c r="K22" s="494"/>
      <c r="L22" s="494"/>
      <c r="M22" s="494"/>
      <c r="N22" s="494"/>
      <c r="O22" s="494"/>
      <c r="P22" s="494"/>
      <c r="Q22" s="494"/>
      <c r="R22" s="494"/>
      <c r="S22" s="495"/>
      <c r="T22" s="496"/>
      <c r="U22" s="497"/>
      <c r="V22" s="498"/>
      <c r="W22" s="460"/>
      <c r="X22" s="422"/>
      <c r="Y22" s="423"/>
      <c r="Z22" s="459"/>
    </row>
    <row r="23" spans="1:28" ht="32.25" customHeight="1" x14ac:dyDescent="0.25">
      <c r="A23" s="407"/>
      <c r="B23" s="408"/>
      <c r="C23" s="408"/>
      <c r="D23" s="408"/>
      <c r="E23" s="408"/>
      <c r="F23" s="408"/>
      <c r="G23" s="408"/>
      <c r="H23" s="409"/>
      <c r="I23" s="408"/>
      <c r="J23" s="409"/>
      <c r="K23" s="410"/>
      <c r="L23" s="410"/>
      <c r="M23" s="410"/>
      <c r="N23" s="410"/>
      <c r="O23" s="410"/>
      <c r="P23" s="410"/>
      <c r="Q23" s="410"/>
      <c r="R23" s="410"/>
      <c r="S23" s="410"/>
      <c r="T23" s="712" t="s">
        <v>203</v>
      </c>
      <c r="U23" s="713"/>
      <c r="V23" s="499"/>
      <c r="W23" s="499">
        <f>SUM(W9:W17)</f>
        <v>0</v>
      </c>
      <c r="X23" s="499">
        <f>SUM(X9:X17)</f>
        <v>0</v>
      </c>
      <c r="Y23" s="499">
        <f>SUM(Y9:Y17)</f>
        <v>39961110.111131355</v>
      </c>
      <c r="Z23" s="499">
        <f>SUM(Z9:Z17)</f>
        <v>0</v>
      </c>
      <c r="AA23" s="390"/>
    </row>
    <row r="24" spans="1:28" s="474" customFormat="1" ht="43.5" customHeight="1" x14ac:dyDescent="0.25">
      <c r="A24" s="500">
        <v>18</v>
      </c>
      <c r="B24" s="501" t="s">
        <v>204</v>
      </c>
      <c r="C24" s="502" t="s">
        <v>205</v>
      </c>
      <c r="D24" s="170">
        <v>4044845.15</v>
      </c>
      <c r="E24" s="170">
        <v>331677.3</v>
      </c>
      <c r="F24" s="170">
        <v>105036.54</v>
      </c>
      <c r="G24" s="170">
        <v>4481558.99</v>
      </c>
      <c r="H24" s="170">
        <v>4711733.74</v>
      </c>
      <c r="I24" s="503">
        <f>I13</f>
        <v>1.2</v>
      </c>
      <c r="J24" s="504">
        <f t="shared" si="1"/>
        <v>5654080.4900000002</v>
      </c>
      <c r="K24" s="505"/>
      <c r="L24" s="505"/>
      <c r="M24" s="505"/>
      <c r="N24" s="505"/>
      <c r="O24" s="505">
        <v>3594854.48</v>
      </c>
      <c r="P24" s="505">
        <f t="shared" si="2"/>
        <v>3594854.48</v>
      </c>
      <c r="Q24" s="505">
        <f t="shared" si="3"/>
        <v>2059226.0100000002</v>
      </c>
      <c r="R24" s="505" t="s">
        <v>206</v>
      </c>
      <c r="S24" s="506" t="s">
        <v>207</v>
      </c>
      <c r="T24" s="507">
        <f t="shared" si="4"/>
        <v>3594854.48</v>
      </c>
      <c r="U24" s="508">
        <f>Q24</f>
        <v>2059226.0100000002</v>
      </c>
      <c r="V24" s="507">
        <f t="shared" ref="V24" si="7">T24+U24</f>
        <v>5654080.4900000002</v>
      </c>
      <c r="W24" s="470"/>
      <c r="X24" s="422"/>
      <c r="Y24" s="471"/>
      <c r="Z24" s="472"/>
      <c r="AA24" s="473" t="s">
        <v>208</v>
      </c>
    </row>
    <row r="25" spans="1:28" ht="31.5" x14ac:dyDescent="0.25">
      <c r="A25" s="500">
        <v>20</v>
      </c>
      <c r="B25" s="501" t="s">
        <v>209</v>
      </c>
      <c r="C25" s="502" t="s">
        <v>210</v>
      </c>
      <c r="D25" s="170">
        <v>5005903.75</v>
      </c>
      <c r="E25" s="170">
        <v>410484.11</v>
      </c>
      <c r="F25" s="170">
        <v>129993.31</v>
      </c>
      <c r="G25" s="170">
        <v>5546381.1699999999</v>
      </c>
      <c r="H25" s="170">
        <v>5831245.6399999997</v>
      </c>
      <c r="I25" s="503">
        <f>I12</f>
        <v>1.2</v>
      </c>
      <c r="J25" s="504">
        <f>ROUND(H25*I25,2)</f>
        <v>6997494.7699999996</v>
      </c>
      <c r="K25" s="505"/>
      <c r="L25" s="505">
        <v>2298854.48</v>
      </c>
      <c r="M25" s="505"/>
      <c r="N25" s="505"/>
      <c r="O25" s="505"/>
      <c r="P25" s="505">
        <f>K25+L25+M25+N25+O25</f>
        <v>2298854.48</v>
      </c>
      <c r="Q25" s="505">
        <f>J25-K25-L25-M25-N25-O25</f>
        <v>4698640.2899999991</v>
      </c>
      <c r="R25" s="509" t="str">
        <f>R24</f>
        <v>ждем ВОР</v>
      </c>
      <c r="S25" s="506" t="s">
        <v>207</v>
      </c>
      <c r="T25" s="507">
        <f>P25</f>
        <v>2298854.48</v>
      </c>
      <c r="U25" s="508">
        <f>Q25</f>
        <v>4698640.2899999991</v>
      </c>
      <c r="V25" s="507">
        <f>T25+U25</f>
        <v>6997494.7699999996</v>
      </c>
      <c r="W25" s="510"/>
      <c r="X25" s="422"/>
      <c r="Y25" s="423"/>
      <c r="Z25" s="424"/>
      <c r="AA25" s="473" t="s">
        <v>208</v>
      </c>
    </row>
    <row r="26" spans="1:28" ht="33" customHeight="1" thickBot="1" x14ac:dyDescent="0.3">
      <c r="A26" s="511">
        <v>21</v>
      </c>
      <c r="B26" s="512" t="s">
        <v>211</v>
      </c>
      <c r="C26" s="513" t="s">
        <v>212</v>
      </c>
      <c r="D26" s="182">
        <v>48898423.600000001</v>
      </c>
      <c r="E26" s="182">
        <v>4009670.74</v>
      </c>
      <c r="F26" s="182">
        <v>1269794.26</v>
      </c>
      <c r="G26" s="182">
        <v>54177888.600000001</v>
      </c>
      <c r="H26" s="182">
        <v>56960487.710000001</v>
      </c>
      <c r="I26" s="514">
        <f>I16</f>
        <v>1.2</v>
      </c>
      <c r="J26" s="515">
        <f>ROUND(H26*I26,2)</f>
        <v>68352585.25</v>
      </c>
      <c r="K26" s="516"/>
      <c r="L26" s="516"/>
      <c r="M26" s="516">
        <v>11709977.720000001</v>
      </c>
      <c r="N26" s="516"/>
      <c r="O26" s="516">
        <v>3615838.44</v>
      </c>
      <c r="P26" s="516">
        <f>K26+L26+M26+N26+O26</f>
        <v>15325816.16</v>
      </c>
      <c r="Q26" s="516">
        <f>J26-K26-L26-M26-N26-O26</f>
        <v>53026769.090000004</v>
      </c>
      <c r="R26" s="517" t="str">
        <f>R24</f>
        <v>ждем ВОР</v>
      </c>
      <c r="S26" s="518" t="s">
        <v>207</v>
      </c>
      <c r="T26" s="519">
        <f>P26</f>
        <v>15325816.16</v>
      </c>
      <c r="U26" s="520">
        <f>Q26+310000</f>
        <v>53336769.090000004</v>
      </c>
      <c r="V26" s="521">
        <f>T26+U26</f>
        <v>68662585.25</v>
      </c>
      <c r="W26" s="510"/>
      <c r="X26" s="422"/>
      <c r="Y26" s="522"/>
      <c r="Z26" s="523"/>
      <c r="AA26" s="473" t="s">
        <v>208</v>
      </c>
    </row>
    <row r="27" spans="1:28" s="488" customFormat="1" ht="32.25" customHeight="1" thickTop="1" x14ac:dyDescent="0.25">
      <c r="A27" s="524">
        <v>15</v>
      </c>
      <c r="B27" s="525" t="s">
        <v>213</v>
      </c>
      <c r="C27" s="526" t="str">
        <f>[11]ССР!C30</f>
        <v>Восстановительные работы цеха №121/18. АС 3.</v>
      </c>
      <c r="D27" s="196">
        <v>4505948.67</v>
      </c>
      <c r="E27" s="196">
        <v>369487.79</v>
      </c>
      <c r="F27" s="196">
        <v>117010.48</v>
      </c>
      <c r="G27" s="196">
        <v>4992446.9400000004</v>
      </c>
      <c r="H27" s="196">
        <v>5248861.1100000003</v>
      </c>
      <c r="I27" s="527">
        <f>I7</f>
        <v>1.2</v>
      </c>
      <c r="J27" s="528">
        <f>ROUND(H27*I27,2)</f>
        <v>6298633.3300000001</v>
      </c>
      <c r="K27" s="529"/>
      <c r="L27" s="529"/>
      <c r="M27" s="529"/>
      <c r="N27" s="529">
        <v>5245250.92</v>
      </c>
      <c r="O27" s="529"/>
      <c r="P27" s="530">
        <f>K27+L27+M27+N27+O27</f>
        <v>5245250.92</v>
      </c>
      <c r="Q27" s="530">
        <f>J27-K27-L27-M27-N27-O27</f>
        <v>1053382.4100000001</v>
      </c>
      <c r="R27" s="531" t="s">
        <v>214</v>
      </c>
      <c r="S27" s="532" t="s">
        <v>215</v>
      </c>
      <c r="T27" s="533">
        <f>P27</f>
        <v>5245250.92</v>
      </c>
      <c r="U27" s="534" t="s">
        <v>216</v>
      </c>
      <c r="V27" s="533">
        <f>T27</f>
        <v>5245250.92</v>
      </c>
      <c r="W27" s="535" t="s">
        <v>217</v>
      </c>
      <c r="X27" s="484"/>
      <c r="Y27" s="485"/>
      <c r="Z27" s="486"/>
      <c r="AA27" s="714" t="s">
        <v>218</v>
      </c>
    </row>
    <row r="28" spans="1:28" s="488" customFormat="1" ht="32.25" thickBot="1" x14ac:dyDescent="0.3">
      <c r="A28" s="536">
        <v>17</v>
      </c>
      <c r="B28" s="537" t="s">
        <v>56</v>
      </c>
      <c r="C28" s="538" t="str">
        <f>[11]ССР!C45</f>
        <v>Трубопровод ливневых сточных вод от трансбордера. НВК1</v>
      </c>
      <c r="D28" s="209">
        <v>1758763.66</v>
      </c>
      <c r="E28" s="209">
        <v>144218.62</v>
      </c>
      <c r="F28" s="209">
        <v>45671.57</v>
      </c>
      <c r="G28" s="209">
        <v>1948653.85</v>
      </c>
      <c r="H28" s="209">
        <v>2048737.53</v>
      </c>
      <c r="I28" s="539">
        <f>I19</f>
        <v>1.2</v>
      </c>
      <c r="J28" s="540">
        <f>ROUND(H28*I28,2)</f>
        <v>2458485.04</v>
      </c>
      <c r="K28" s="541"/>
      <c r="L28" s="541"/>
      <c r="M28" s="541"/>
      <c r="N28" s="541"/>
      <c r="O28" s="541">
        <v>505496.99</v>
      </c>
      <c r="P28" s="542">
        <f>K28+L28+M28+N28+O28</f>
        <v>505496.99</v>
      </c>
      <c r="Q28" s="542">
        <f>J28-K28-L28-M28-N28-O28</f>
        <v>1952988.05</v>
      </c>
      <c r="R28" s="543" t="str">
        <f>R27</f>
        <v>ВОРа на доп. не будет</v>
      </c>
      <c r="S28" s="544" t="s">
        <v>220</v>
      </c>
      <c r="T28" s="545">
        <f>P28</f>
        <v>505496.99</v>
      </c>
      <c r="U28" s="546" t="s">
        <v>216</v>
      </c>
      <c r="V28" s="547">
        <f>T28</f>
        <v>505496.99</v>
      </c>
      <c r="W28" s="483"/>
      <c r="X28" s="484"/>
      <c r="Y28" s="485"/>
      <c r="Z28" s="486"/>
      <c r="AA28" s="714"/>
    </row>
    <row r="29" spans="1:28" ht="35.1" customHeight="1" x14ac:dyDescent="0.25">
      <c r="A29" s="548">
        <v>22</v>
      </c>
      <c r="B29" s="549">
        <v>1</v>
      </c>
      <c r="C29" s="550" t="s">
        <v>221</v>
      </c>
      <c r="D29" s="222"/>
      <c r="E29" s="222"/>
      <c r="F29" s="222"/>
      <c r="G29" s="222"/>
      <c r="H29" s="222"/>
      <c r="I29" s="551"/>
      <c r="J29" s="552"/>
      <c r="K29" s="553"/>
      <c r="L29" s="553"/>
      <c r="M29" s="553"/>
      <c r="N29" s="553"/>
      <c r="O29" s="553"/>
      <c r="P29" s="553">
        <f>T29</f>
        <v>4216719.66</v>
      </c>
      <c r="Q29" s="553"/>
      <c r="R29" s="554" t="s">
        <v>184</v>
      </c>
      <c r="S29" s="555" t="s">
        <v>222</v>
      </c>
      <c r="T29" s="556">
        <v>4216719.66</v>
      </c>
      <c r="U29" s="556">
        <v>0</v>
      </c>
      <c r="V29" s="556">
        <f>T29+U29</f>
        <v>4216719.66</v>
      </c>
      <c r="X29" s="557"/>
      <c r="Y29" s="558"/>
      <c r="Z29" s="558"/>
    </row>
    <row r="30" spans="1:28" ht="35.1" customHeight="1" thickBot="1" x14ac:dyDescent="0.3">
      <c r="A30" s="559">
        <v>23</v>
      </c>
      <c r="B30" s="560">
        <v>1</v>
      </c>
      <c r="C30" s="561" t="s">
        <v>223</v>
      </c>
      <c r="D30" s="234"/>
      <c r="E30" s="234"/>
      <c r="F30" s="234"/>
      <c r="G30" s="234"/>
      <c r="H30" s="234"/>
      <c r="I30" s="562"/>
      <c r="J30" s="563"/>
      <c r="K30" s="564"/>
      <c r="L30" s="564"/>
      <c r="M30" s="564"/>
      <c r="N30" s="564"/>
      <c r="O30" s="564"/>
      <c r="P30" s="564">
        <f>T30</f>
        <v>2160473.5</v>
      </c>
      <c r="Q30" s="564"/>
      <c r="R30" s="565" t="s">
        <v>184</v>
      </c>
      <c r="S30" s="566" t="s">
        <v>222</v>
      </c>
      <c r="T30" s="567">
        <v>2160473.5</v>
      </c>
      <c r="U30" s="567">
        <v>0</v>
      </c>
      <c r="V30" s="568">
        <f t="shared" ref="V30" si="8">T30+U30</f>
        <v>2160473.5</v>
      </c>
      <c r="X30" s="569"/>
      <c r="Y30" s="570"/>
      <c r="Z30" s="571"/>
    </row>
    <row r="31" spans="1:28" ht="31.5" customHeight="1" thickTop="1" thickBot="1" x14ac:dyDescent="0.3">
      <c r="A31" s="572"/>
      <c r="B31" s="573" t="s">
        <v>224</v>
      </c>
      <c r="C31" s="574"/>
      <c r="D31" s="575">
        <f>SUM(D6:D28)</f>
        <v>392033916.06000006</v>
      </c>
      <c r="E31" s="574"/>
      <c r="F31" s="576"/>
      <c r="G31" s="575">
        <f>SUM(G6:G28)</f>
        <v>434361033.93000013</v>
      </c>
      <c r="H31" s="575">
        <f>SUM(H6:H28)</f>
        <v>456670000.00999999</v>
      </c>
      <c r="I31" s="575"/>
      <c r="J31" s="575">
        <f>SUM(J6:J28)</f>
        <v>548004000</v>
      </c>
      <c r="K31" s="577">
        <f>SUM(K6:K28)</f>
        <v>210417570.36000001</v>
      </c>
      <c r="L31" s="577">
        <f>SUM(L6:L28)+0.01</f>
        <v>79978331.210000008</v>
      </c>
      <c r="M31" s="577">
        <f>SUM(M6:M28)</f>
        <v>58868164.759999998</v>
      </c>
      <c r="N31" s="577">
        <f>SUM(N6:N28)</f>
        <v>5245250.92</v>
      </c>
      <c r="O31" s="577">
        <f>SUM(O6:O28)</f>
        <v>8616444.9800000004</v>
      </c>
      <c r="P31" s="577">
        <f>SUM(P6:P30)+0.01</f>
        <v>369502955.39000005</v>
      </c>
      <c r="Q31" s="577">
        <f>J31-P31</f>
        <v>178501044.60999995</v>
      </c>
      <c r="R31" s="577"/>
      <c r="S31" s="577"/>
      <c r="T31" s="578">
        <f>SUM(T6:T30)</f>
        <v>369502955.38000005</v>
      </c>
      <c r="U31" s="578">
        <f>SUM(U6:U30)</f>
        <v>149860715.19724</v>
      </c>
      <c r="V31" s="578">
        <f>SUM(V6:V30)</f>
        <v>519363670.57724005</v>
      </c>
      <c r="W31" s="421"/>
      <c r="X31" s="579"/>
      <c r="Y31" s="580">
        <f>SUM(Y6:Y28)</f>
        <v>79922220.22226271</v>
      </c>
      <c r="Z31" s="581">
        <f>SUM(Z6:Z28)</f>
        <v>0</v>
      </c>
    </row>
    <row r="32" spans="1:28" ht="32.25" customHeight="1" x14ac:dyDescent="0.25">
      <c r="A32" s="582"/>
      <c r="B32" s="583"/>
      <c r="C32" s="583"/>
      <c r="D32" s="583"/>
      <c r="E32" s="583"/>
      <c r="F32" s="583"/>
      <c r="G32" s="583"/>
      <c r="H32" s="584"/>
      <c r="I32" s="583"/>
      <c r="J32" s="584"/>
      <c r="K32" s="585"/>
      <c r="L32" s="585"/>
      <c r="M32" s="585"/>
      <c r="N32" s="585"/>
      <c r="O32" s="585"/>
      <c r="P32" s="585"/>
      <c r="Q32" s="585"/>
      <c r="R32" s="585"/>
      <c r="S32" s="585"/>
      <c r="T32" s="715" t="s">
        <v>225</v>
      </c>
      <c r="U32" s="716"/>
      <c r="V32" s="586"/>
      <c r="X32" s="405"/>
      <c r="Y32" s="406"/>
      <c r="Z32" s="406"/>
    </row>
    <row r="33" spans="1:27" ht="35.1" customHeight="1" x14ac:dyDescent="0.25">
      <c r="A33" s="427">
        <v>24</v>
      </c>
      <c r="B33" s="587">
        <v>2</v>
      </c>
      <c r="C33" s="429" t="s">
        <v>226</v>
      </c>
      <c r="D33" s="102"/>
      <c r="E33" s="102"/>
      <c r="F33" s="102"/>
      <c r="G33" s="102"/>
      <c r="H33" s="102"/>
      <c r="I33" s="430"/>
      <c r="J33" s="431"/>
      <c r="K33" s="588"/>
      <c r="L33" s="588"/>
      <c r="M33" s="588"/>
      <c r="N33" s="588"/>
      <c r="O33" s="588"/>
      <c r="P33" s="588"/>
      <c r="Q33" s="588"/>
      <c r="R33" s="589" t="s">
        <v>184</v>
      </c>
      <c r="S33" s="434" t="s">
        <v>269</v>
      </c>
      <c r="T33" s="590">
        <v>0</v>
      </c>
      <c r="U33" s="590">
        <f>673388.23*1.0514</f>
        <v>708000.38502199994</v>
      </c>
      <c r="V33" s="590">
        <f t="shared" ref="V33:V42" si="9">T33+U33</f>
        <v>708000.38502199994</v>
      </c>
      <c r="X33" s="557"/>
      <c r="Y33" s="558"/>
      <c r="Z33" s="558"/>
      <c r="AA33" s="392" t="s">
        <v>227</v>
      </c>
    </row>
    <row r="34" spans="1:27" ht="35.1" customHeight="1" x14ac:dyDescent="0.25">
      <c r="A34" s="591">
        <v>25</v>
      </c>
      <c r="B34" s="592">
        <v>3</v>
      </c>
      <c r="C34" s="446" t="s">
        <v>228</v>
      </c>
      <c r="D34" s="447"/>
      <c r="E34" s="447"/>
      <c r="F34" s="447"/>
      <c r="G34" s="447"/>
      <c r="H34" s="447"/>
      <c r="I34" s="448"/>
      <c r="J34" s="449"/>
      <c r="K34" s="464"/>
      <c r="L34" s="464"/>
      <c r="M34" s="464"/>
      <c r="N34" s="464"/>
      <c r="O34" s="464"/>
      <c r="P34" s="464"/>
      <c r="Q34" s="464"/>
      <c r="R34" s="593" t="s">
        <v>184</v>
      </c>
      <c r="S34" s="452" t="str">
        <f>S21</f>
        <v>СОГЛАСОВАНО</v>
      </c>
      <c r="T34" s="594">
        <v>0</v>
      </c>
      <c r="U34" s="594">
        <f>81654*1.0514</f>
        <v>85851.015599999984</v>
      </c>
      <c r="V34" s="594">
        <f t="shared" si="9"/>
        <v>85851.015599999984</v>
      </c>
      <c r="X34" s="557"/>
      <c r="Y34" s="595"/>
      <c r="Z34" s="595"/>
    </row>
    <row r="35" spans="1:27" ht="35.1" customHeight="1" x14ac:dyDescent="0.25">
      <c r="A35" s="444">
        <v>26</v>
      </c>
      <c r="B35" s="592">
        <v>4</v>
      </c>
      <c r="C35" s="446" t="s">
        <v>229</v>
      </c>
      <c r="D35" s="447"/>
      <c r="E35" s="447"/>
      <c r="F35" s="447"/>
      <c r="G35" s="447"/>
      <c r="H35" s="447"/>
      <c r="I35" s="448"/>
      <c r="J35" s="449"/>
      <c r="K35" s="464"/>
      <c r="L35" s="464"/>
      <c r="M35" s="464"/>
      <c r="N35" s="464"/>
      <c r="O35" s="464"/>
      <c r="P35" s="464"/>
      <c r="Q35" s="464"/>
      <c r="R35" s="593" t="s">
        <v>184</v>
      </c>
      <c r="S35" s="452" t="str">
        <f>S34</f>
        <v>СОГЛАСОВАНО</v>
      </c>
      <c r="T35" s="594">
        <v>0</v>
      </c>
      <c r="U35" s="594">
        <f>26314.48*1.0514</f>
        <v>27667.044271999996</v>
      </c>
      <c r="V35" s="594">
        <f t="shared" si="9"/>
        <v>27667.044271999996</v>
      </c>
      <c r="X35" s="557"/>
      <c r="Y35" s="595"/>
      <c r="Z35" s="595"/>
    </row>
    <row r="36" spans="1:27" ht="35.1" customHeight="1" x14ac:dyDescent="0.25">
      <c r="A36" s="591">
        <v>27</v>
      </c>
      <c r="B36" s="592">
        <v>5</v>
      </c>
      <c r="C36" s="446" t="s">
        <v>140</v>
      </c>
      <c r="D36" s="447"/>
      <c r="E36" s="447"/>
      <c r="F36" s="447"/>
      <c r="G36" s="447"/>
      <c r="H36" s="447"/>
      <c r="I36" s="448"/>
      <c r="J36" s="449"/>
      <c r="K36" s="464"/>
      <c r="L36" s="464"/>
      <c r="M36" s="464"/>
      <c r="N36" s="464"/>
      <c r="O36" s="464"/>
      <c r="P36" s="464"/>
      <c r="Q36" s="464"/>
      <c r="R36" s="593" t="s">
        <v>184</v>
      </c>
      <c r="S36" s="452" t="str">
        <f>S34</f>
        <v>СОГЛАСОВАНО</v>
      </c>
      <c r="T36" s="594">
        <v>0</v>
      </c>
      <c r="U36" s="594">
        <f>198699.44*1.0514</f>
        <v>208912.59121599997</v>
      </c>
      <c r="V36" s="594">
        <f t="shared" si="9"/>
        <v>208912.59121599997</v>
      </c>
      <c r="X36" s="557"/>
      <c r="Y36" s="595"/>
      <c r="Z36" s="595"/>
    </row>
    <row r="37" spans="1:27" ht="35.1" customHeight="1" thickBot="1" x14ac:dyDescent="0.3">
      <c r="A37" s="444">
        <v>29</v>
      </c>
      <c r="B37" s="596">
        <v>6</v>
      </c>
      <c r="C37" s="597" t="s">
        <v>230</v>
      </c>
      <c r="D37" s="598"/>
      <c r="E37" s="598"/>
      <c r="F37" s="598"/>
      <c r="G37" s="598"/>
      <c r="H37" s="598"/>
      <c r="I37" s="599"/>
      <c r="J37" s="600"/>
      <c r="K37" s="601"/>
      <c r="L37" s="601"/>
      <c r="M37" s="601"/>
      <c r="N37" s="601"/>
      <c r="O37" s="601"/>
      <c r="P37" s="601"/>
      <c r="Q37" s="601"/>
      <c r="R37" s="602" t="s">
        <v>184</v>
      </c>
      <c r="S37" s="452" t="str">
        <f>S35</f>
        <v>СОГЛАСОВАНО</v>
      </c>
      <c r="T37" s="603">
        <v>0</v>
      </c>
      <c r="U37" s="603">
        <f>529403.22*1.0514</f>
        <v>556614.54550799995</v>
      </c>
      <c r="V37" s="594">
        <f t="shared" si="9"/>
        <v>556614.54550799995</v>
      </c>
      <c r="X37" s="569"/>
      <c r="Y37" s="570"/>
      <c r="Z37" s="571"/>
    </row>
    <row r="38" spans="1:27" ht="54.75" customHeight="1" thickTop="1" thickBot="1" x14ac:dyDescent="0.3">
      <c r="A38" s="604">
        <v>32</v>
      </c>
      <c r="B38" s="605">
        <v>9</v>
      </c>
      <c r="C38" s="606" t="s">
        <v>231</v>
      </c>
      <c r="D38" s="607"/>
      <c r="E38" s="607"/>
      <c r="F38" s="607"/>
      <c r="G38" s="607"/>
      <c r="H38" s="607"/>
      <c r="I38" s="608"/>
      <c r="J38" s="609"/>
      <c r="K38" s="610"/>
      <c r="L38" s="610"/>
      <c r="M38" s="610"/>
      <c r="N38" s="610"/>
      <c r="O38" s="610"/>
      <c r="P38" s="610"/>
      <c r="Q38" s="610"/>
      <c r="R38" s="611" t="s">
        <v>184</v>
      </c>
      <c r="S38" s="612" t="str">
        <f>S37</f>
        <v>СОГЛАСОВАНО</v>
      </c>
      <c r="T38" s="613">
        <v>0</v>
      </c>
      <c r="U38" s="613">
        <f>1940817.65*1.0514</f>
        <v>2040575.6772099996</v>
      </c>
      <c r="V38" s="613">
        <f t="shared" si="9"/>
        <v>2040575.6772099996</v>
      </c>
      <c r="X38" s="557"/>
      <c r="Y38" s="595"/>
      <c r="Z38" s="595"/>
    </row>
    <row r="39" spans="1:27" ht="35.1" customHeight="1" thickTop="1" thickBot="1" x14ac:dyDescent="0.3">
      <c r="A39" s="604">
        <v>32</v>
      </c>
      <c r="B39" s="605">
        <v>10</v>
      </c>
      <c r="C39" s="606" t="s">
        <v>233</v>
      </c>
      <c r="D39" s="607"/>
      <c r="E39" s="607"/>
      <c r="F39" s="607"/>
      <c r="G39" s="607"/>
      <c r="H39" s="607"/>
      <c r="I39" s="608"/>
      <c r="J39" s="609"/>
      <c r="K39" s="610"/>
      <c r="L39" s="610"/>
      <c r="M39" s="610"/>
      <c r="N39" s="610"/>
      <c r="O39" s="610"/>
      <c r="P39" s="610"/>
      <c r="Q39" s="610"/>
      <c r="R39" s="611" t="s">
        <v>184</v>
      </c>
      <c r="S39" s="612" t="str">
        <f>S36</f>
        <v>СОГЛАСОВАНО</v>
      </c>
      <c r="T39" s="613">
        <v>0</v>
      </c>
      <c r="U39" s="613">
        <f>54913.66*1.0514</f>
        <v>57736.222124</v>
      </c>
      <c r="V39" s="613">
        <f t="shared" si="9"/>
        <v>57736.222124</v>
      </c>
      <c r="X39" s="557"/>
      <c r="Y39" s="595"/>
      <c r="Z39" s="595"/>
    </row>
    <row r="40" spans="1:27" ht="46.5" customHeight="1" thickTop="1" x14ac:dyDescent="0.25">
      <c r="A40" s="614">
        <v>33</v>
      </c>
      <c r="B40" s="615">
        <v>10</v>
      </c>
      <c r="C40" s="616" t="s">
        <v>235</v>
      </c>
      <c r="D40" s="287"/>
      <c r="E40" s="287"/>
      <c r="F40" s="287"/>
      <c r="G40" s="287"/>
      <c r="H40" s="287"/>
      <c r="I40" s="617"/>
      <c r="J40" s="618"/>
      <c r="K40" s="619"/>
      <c r="L40" s="619"/>
      <c r="M40" s="619"/>
      <c r="N40" s="619"/>
      <c r="O40" s="619"/>
      <c r="P40" s="620"/>
      <c r="Q40" s="620"/>
      <c r="R40" s="621" t="s">
        <v>184</v>
      </c>
      <c r="S40" s="622" t="s">
        <v>270</v>
      </c>
      <c r="T40" s="623">
        <v>0</v>
      </c>
      <c r="U40" s="623">
        <v>389490.94</v>
      </c>
      <c r="V40" s="624">
        <f t="shared" si="9"/>
        <v>389490.94</v>
      </c>
      <c r="W40" s="625"/>
      <c r="X40" s="626"/>
      <c r="Y40" s="627"/>
      <c r="Z40" s="628"/>
    </row>
    <row r="41" spans="1:27" ht="50.25" customHeight="1" thickBot="1" x14ac:dyDescent="0.3">
      <c r="A41" s="629">
        <v>30</v>
      </c>
      <c r="B41" s="630"/>
      <c r="C41" s="631" t="s">
        <v>236</v>
      </c>
      <c r="D41" s="297"/>
      <c r="E41" s="297"/>
      <c r="F41" s="297"/>
      <c r="G41" s="297"/>
      <c r="H41" s="297"/>
      <c r="I41" s="632"/>
      <c r="J41" s="633"/>
      <c r="K41" s="634"/>
      <c r="L41" s="634"/>
      <c r="M41" s="634"/>
      <c r="N41" s="634"/>
      <c r="O41" s="634"/>
      <c r="P41" s="634"/>
      <c r="Q41" s="634"/>
      <c r="R41" s="635" t="s">
        <v>222</v>
      </c>
      <c r="S41" s="636" t="s">
        <v>271</v>
      </c>
      <c r="T41" s="637">
        <v>0</v>
      </c>
      <c r="U41" s="637">
        <v>9690548.2599999998</v>
      </c>
      <c r="V41" s="638">
        <f t="shared" si="9"/>
        <v>9690548.2599999998</v>
      </c>
      <c r="X41" s="569"/>
      <c r="Y41" s="570"/>
      <c r="Z41" s="571"/>
    </row>
    <row r="42" spans="1:27" ht="35.1" customHeight="1" thickTop="1" thickBot="1" x14ac:dyDescent="0.3">
      <c r="A42" s="639">
        <v>34</v>
      </c>
      <c r="B42" s="640"/>
      <c r="C42" s="641" t="s">
        <v>237</v>
      </c>
      <c r="D42" s="307"/>
      <c r="E42" s="307"/>
      <c r="F42" s="307"/>
      <c r="G42" s="307"/>
      <c r="H42" s="307"/>
      <c r="I42" s="642"/>
      <c r="J42" s="643"/>
      <c r="K42" s="644"/>
      <c r="L42" s="644"/>
      <c r="M42" s="644"/>
      <c r="N42" s="644"/>
      <c r="O42" s="644"/>
      <c r="P42" s="645"/>
      <c r="Q42" s="645"/>
      <c r="R42" s="646" t="s">
        <v>184</v>
      </c>
      <c r="S42" s="646" t="s">
        <v>238</v>
      </c>
      <c r="T42" s="647"/>
      <c r="U42" s="647">
        <v>4746000</v>
      </c>
      <c r="V42" s="648">
        <f t="shared" si="9"/>
        <v>4746000</v>
      </c>
      <c r="X42" s="557"/>
      <c r="Y42" s="649"/>
      <c r="Z42" s="650"/>
    </row>
    <row r="43" spans="1:27" ht="35.1" customHeight="1" thickBot="1" x14ac:dyDescent="0.3">
      <c r="A43" s="651"/>
      <c r="B43" s="652"/>
      <c r="C43" s="653"/>
      <c r="D43" s="320"/>
      <c r="E43" s="320"/>
      <c r="F43" s="320"/>
      <c r="G43" s="320"/>
      <c r="H43" s="320"/>
      <c r="I43" s="654"/>
      <c r="J43" s="655"/>
      <c r="K43" s="656"/>
      <c r="L43" s="656"/>
      <c r="M43" s="656"/>
      <c r="N43" s="656"/>
      <c r="O43" s="656"/>
      <c r="P43" s="656"/>
      <c r="Q43" s="656"/>
      <c r="R43" s="657"/>
      <c r="S43" s="658"/>
      <c r="T43" s="659"/>
      <c r="U43" s="660">
        <f>SUM(U33:U42)</f>
        <v>18511396.680951998</v>
      </c>
      <c r="V43" s="660">
        <f>SUM(V33:V42)</f>
        <v>18511396.680951998</v>
      </c>
      <c r="X43" s="569"/>
      <c r="Y43" s="570"/>
      <c r="Z43" s="571"/>
    </row>
    <row r="44" spans="1:27" ht="33" customHeight="1" x14ac:dyDescent="0.25">
      <c r="A44" s="582"/>
      <c r="B44" s="583"/>
      <c r="C44" s="583"/>
      <c r="D44" s="583"/>
      <c r="E44" s="583"/>
      <c r="F44" s="583"/>
      <c r="G44" s="583"/>
      <c r="H44" s="584"/>
      <c r="I44" s="583"/>
      <c r="J44" s="584"/>
      <c r="K44" s="585"/>
      <c r="L44" s="585"/>
      <c r="M44" s="585"/>
      <c r="N44" s="585"/>
      <c r="O44" s="585"/>
      <c r="P44" s="585"/>
      <c r="Q44" s="585"/>
      <c r="R44" s="585"/>
      <c r="S44" s="661"/>
      <c r="T44" s="715" t="s">
        <v>239</v>
      </c>
      <c r="U44" s="716"/>
      <c r="V44" s="586"/>
      <c r="X44" s="405"/>
      <c r="Y44" s="406"/>
      <c r="Z44" s="406"/>
    </row>
    <row r="45" spans="1:27" ht="40.5" customHeight="1" thickBot="1" x14ac:dyDescent="0.3">
      <c r="A45" s="662">
        <v>37</v>
      </c>
      <c r="B45" s="663"/>
      <c r="C45" s="664" t="s">
        <v>240</v>
      </c>
      <c r="D45" s="332"/>
      <c r="E45" s="332"/>
      <c r="F45" s="332"/>
      <c r="G45" s="332"/>
      <c r="H45" s="332"/>
      <c r="I45" s="665"/>
      <c r="J45" s="666"/>
      <c r="K45" s="667"/>
      <c r="L45" s="667"/>
      <c r="M45" s="667"/>
      <c r="N45" s="667"/>
      <c r="O45" s="667"/>
      <c r="P45" s="668"/>
      <c r="Q45" s="668"/>
      <c r="R45" s="669" t="s">
        <v>216</v>
      </c>
      <c r="S45" s="670"/>
      <c r="T45" s="671"/>
      <c r="U45" s="671"/>
      <c r="V45" s="672">
        <f t="shared" ref="V45" si="10">T45+U45</f>
        <v>0</v>
      </c>
      <c r="X45" s="673"/>
      <c r="Y45" s="674"/>
      <c r="Z45" s="675"/>
    </row>
    <row r="46" spans="1:27" ht="31.5" customHeight="1" thickTop="1" thickBot="1" x14ac:dyDescent="0.3">
      <c r="A46" s="676"/>
      <c r="B46" s="677" t="s">
        <v>224</v>
      </c>
      <c r="C46" s="678"/>
      <c r="D46" s="679">
        <f t="shared" ref="D46:J46" si="11">SUM(D33:D45)</f>
        <v>0</v>
      </c>
      <c r="E46" s="679">
        <f t="shared" si="11"/>
        <v>0</v>
      </c>
      <c r="F46" s="679">
        <f t="shared" si="11"/>
        <v>0</v>
      </c>
      <c r="G46" s="679">
        <f t="shared" si="11"/>
        <v>0</v>
      </c>
      <c r="H46" s="679">
        <f t="shared" si="11"/>
        <v>0</v>
      </c>
      <c r="I46" s="679">
        <f t="shared" si="11"/>
        <v>0</v>
      </c>
      <c r="J46" s="679">
        <f t="shared" si="11"/>
        <v>0</v>
      </c>
      <c r="K46" s="680"/>
      <c r="L46" s="680"/>
      <c r="M46" s="680"/>
      <c r="N46" s="680"/>
      <c r="O46" s="680"/>
      <c r="P46" s="680"/>
      <c r="Q46" s="680"/>
      <c r="R46" s="680"/>
      <c r="S46" s="681"/>
      <c r="T46" s="682">
        <f>SUM(T33:T45)</f>
        <v>0</v>
      </c>
      <c r="U46" s="682">
        <f>SUM(U33:U45)-U43</f>
        <v>18511396.680951998</v>
      </c>
      <c r="V46" s="682">
        <f>SUM(V33:V45)-V43</f>
        <v>18511396.680951998</v>
      </c>
      <c r="W46" s="421"/>
      <c r="X46" s="680"/>
      <c r="Y46" s="682">
        <f>SUM(Y33:Y45)</f>
        <v>0</v>
      </c>
      <c r="Z46" s="683">
        <f>SUM(Z33:Z45)</f>
        <v>0</v>
      </c>
    </row>
    <row r="47" spans="1:27" ht="31.5" customHeight="1" thickBot="1" x14ac:dyDescent="0.3">
      <c r="A47" s="684"/>
      <c r="B47" s="652" t="s">
        <v>241</v>
      </c>
      <c r="C47" s="685"/>
      <c r="D47" s="686">
        <f>D31+D46</f>
        <v>392033916.06000006</v>
      </c>
      <c r="E47" s="685"/>
      <c r="F47" s="687"/>
      <c r="G47" s="686">
        <f>SUM(G21:G46)</f>
        <v>510892223.34000015</v>
      </c>
      <c r="H47" s="686">
        <f>SUM(H21:H46)</f>
        <v>537131863.45000005</v>
      </c>
      <c r="I47" s="686"/>
      <c r="J47" s="686">
        <f t="shared" ref="J47:Q47" si="12">J31+J46</f>
        <v>548004000</v>
      </c>
      <c r="K47" s="686">
        <f t="shared" si="12"/>
        <v>210417570.36000001</v>
      </c>
      <c r="L47" s="686">
        <f t="shared" si="12"/>
        <v>79978331.210000008</v>
      </c>
      <c r="M47" s="686">
        <f t="shared" si="12"/>
        <v>58868164.759999998</v>
      </c>
      <c r="N47" s="686">
        <f t="shared" si="12"/>
        <v>5245250.92</v>
      </c>
      <c r="O47" s="686">
        <f t="shared" si="12"/>
        <v>8616444.9800000004</v>
      </c>
      <c r="P47" s="686">
        <f t="shared" si="12"/>
        <v>369502955.39000005</v>
      </c>
      <c r="Q47" s="686">
        <f t="shared" si="12"/>
        <v>178501044.60999995</v>
      </c>
      <c r="R47" s="686"/>
      <c r="S47" s="688"/>
      <c r="T47" s="660">
        <f>T31+T46</f>
        <v>369502955.38000005</v>
      </c>
      <c r="U47" s="660">
        <f>U31+U46</f>
        <v>168372111.87819201</v>
      </c>
      <c r="V47" s="660">
        <f>V31+V46</f>
        <v>537875067.25819206</v>
      </c>
      <c r="W47" s="421"/>
      <c r="X47" s="686"/>
      <c r="Y47" s="660">
        <f>Y31+Y46</f>
        <v>79922220.22226271</v>
      </c>
      <c r="Z47" s="689">
        <f>Z31+Z46</f>
        <v>0</v>
      </c>
      <c r="AA47" s="392">
        <f>V47/1.0514</f>
        <v>511579862.33421355</v>
      </c>
    </row>
    <row r="48" spans="1:27" x14ac:dyDescent="0.25">
      <c r="AA48" s="690">
        <f>J47/AA47</f>
        <v>1.0711993187135866</v>
      </c>
    </row>
    <row r="50" spans="1:27" x14ac:dyDescent="0.25">
      <c r="V50" s="426"/>
    </row>
    <row r="51" spans="1:27" x14ac:dyDescent="0.25">
      <c r="T51" s="426"/>
      <c r="V51" s="426"/>
    </row>
    <row r="52" spans="1:27" hidden="1" x14ac:dyDescent="0.25">
      <c r="T52" s="426"/>
    </row>
    <row r="53" spans="1:27" ht="35.1" hidden="1" customHeight="1" thickBot="1" x14ac:dyDescent="0.3">
      <c r="A53" s="691">
        <v>31</v>
      </c>
      <c r="B53" s="692">
        <v>8</v>
      </c>
      <c r="C53" s="693" t="s">
        <v>242</v>
      </c>
      <c r="D53" s="362"/>
      <c r="E53" s="362"/>
      <c r="F53" s="362"/>
      <c r="G53" s="362"/>
      <c r="H53" s="362"/>
      <c r="I53" s="694"/>
      <c r="J53" s="695"/>
      <c r="K53" s="696"/>
      <c r="L53" s="696"/>
      <c r="M53" s="696"/>
      <c r="N53" s="696"/>
      <c r="O53" s="696"/>
      <c r="P53" s="697"/>
      <c r="Q53" s="697"/>
      <c r="R53" s="698" t="s">
        <v>184</v>
      </c>
      <c r="S53" s="434" t="s">
        <v>243</v>
      </c>
      <c r="T53" s="699">
        <v>0</v>
      </c>
      <c r="U53" s="699">
        <v>107940.55</v>
      </c>
      <c r="V53" s="700">
        <f>T53+U53</f>
        <v>107940.55</v>
      </c>
      <c r="X53" s="557"/>
      <c r="Y53" s="649"/>
      <c r="Z53" s="650"/>
      <c r="AA53" s="717" t="s">
        <v>244</v>
      </c>
    </row>
    <row r="54" spans="1:27" ht="35.1" hidden="1" customHeight="1" thickTop="1" x14ac:dyDescent="0.25">
      <c r="A54" s="427">
        <v>28</v>
      </c>
      <c r="B54" s="587">
        <v>7</v>
      </c>
      <c r="C54" s="429" t="s">
        <v>245</v>
      </c>
      <c r="D54" s="102"/>
      <c r="E54" s="102"/>
      <c r="F54" s="102"/>
      <c r="G54" s="102"/>
      <c r="H54" s="102"/>
      <c r="I54" s="430"/>
      <c r="J54" s="431"/>
      <c r="K54" s="588"/>
      <c r="L54" s="588"/>
      <c r="M54" s="588"/>
      <c r="N54" s="588"/>
      <c r="O54" s="588"/>
      <c r="P54" s="588"/>
      <c r="Q54" s="588"/>
      <c r="R54" s="701" t="s">
        <v>184</v>
      </c>
      <c r="S54" s="434" t="str">
        <f>S33</f>
        <v>вопрос по начислению лимитир.затрат</v>
      </c>
      <c r="T54" s="702">
        <v>0</v>
      </c>
      <c r="U54" s="702">
        <v>231084.76</v>
      </c>
      <c r="V54" s="590">
        <f>T54+U54</f>
        <v>231084.76</v>
      </c>
      <c r="X54" s="557"/>
      <c r="Y54" s="649"/>
      <c r="Z54" s="650"/>
      <c r="AA54" s="717"/>
    </row>
    <row r="55" spans="1:27" ht="52.5" hidden="1" customHeight="1" x14ac:dyDescent="0.25">
      <c r="A55" s="639">
        <v>36</v>
      </c>
      <c r="B55" s="640"/>
      <c r="C55" s="641" t="s">
        <v>246</v>
      </c>
      <c r="D55" s="307"/>
      <c r="E55" s="307"/>
      <c r="F55" s="307"/>
      <c r="G55" s="307"/>
      <c r="H55" s="307"/>
      <c r="I55" s="642"/>
      <c r="J55" s="643"/>
      <c r="K55" s="644"/>
      <c r="L55" s="644"/>
      <c r="M55" s="644"/>
      <c r="N55" s="644"/>
      <c r="O55" s="644"/>
      <c r="P55" s="645"/>
      <c r="Q55" s="645"/>
      <c r="R55" s="703" t="s">
        <v>216</v>
      </c>
      <c r="S55" s="704"/>
      <c r="T55" s="647"/>
      <c r="U55" s="647"/>
      <c r="V55" s="648">
        <f>T55+U55</f>
        <v>0</v>
      </c>
      <c r="X55" s="557"/>
      <c r="Y55" s="649"/>
      <c r="Z55" s="650"/>
      <c r="AA55" s="705" t="s">
        <v>247</v>
      </c>
    </row>
    <row r="56" spans="1:27" x14ac:dyDescent="0.25">
      <c r="T56" s="426"/>
    </row>
    <row r="57" spans="1:27" x14ac:dyDescent="0.25">
      <c r="V57" s="426"/>
    </row>
    <row r="67" spans="1:27" s="393" customFormat="1" ht="54.95" customHeight="1" x14ac:dyDescent="0.25">
      <c r="A67" s="390"/>
      <c r="B67" s="706"/>
      <c r="C67" s="390"/>
      <c r="D67" s="707"/>
      <c r="E67" s="390"/>
      <c r="F67" s="708"/>
      <c r="G67" s="707"/>
      <c r="H67" s="707"/>
      <c r="I67" s="707"/>
      <c r="J67" s="707"/>
      <c r="K67" s="707"/>
      <c r="M67" s="389"/>
      <c r="O67" s="389"/>
      <c r="P67" s="390"/>
      <c r="Q67" s="390"/>
      <c r="R67" s="390"/>
      <c r="S67" s="390"/>
      <c r="T67" s="390"/>
      <c r="U67" s="390"/>
      <c r="V67" s="390"/>
      <c r="W67" s="391"/>
      <c r="X67" s="390"/>
      <c r="Y67" s="390"/>
      <c r="Z67" s="390"/>
      <c r="AA67" s="709"/>
    </row>
    <row r="68" spans="1:27" s="393" customFormat="1" x14ac:dyDescent="0.25">
      <c r="A68" s="390"/>
      <c r="B68" s="390"/>
      <c r="C68" s="390"/>
      <c r="D68" s="426">
        <f>[11]ССР!H58</f>
        <v>392033.92</v>
      </c>
      <c r="E68" s="390"/>
      <c r="F68" s="426"/>
      <c r="G68" s="426">
        <f>[11]ССР!H76</f>
        <v>434361.04</v>
      </c>
      <c r="H68" s="426">
        <f>[11]ССР!H78</f>
        <v>456670</v>
      </c>
      <c r="I68" s="390"/>
      <c r="J68" s="426"/>
      <c r="K68" s="389"/>
      <c r="M68" s="389"/>
      <c r="O68" s="389"/>
      <c r="P68" s="390"/>
      <c r="Q68" s="390"/>
      <c r="R68" s="390"/>
      <c r="S68" s="390"/>
      <c r="T68" s="390"/>
      <c r="U68" s="390"/>
      <c r="V68" s="390"/>
      <c r="W68" s="391"/>
      <c r="X68" s="390"/>
      <c r="Y68" s="390"/>
      <c r="Z68" s="390"/>
      <c r="AA68" s="709"/>
    </row>
    <row r="69" spans="1:27" s="393" customFormat="1" x14ac:dyDescent="0.25">
      <c r="A69" s="390"/>
      <c r="B69" s="390"/>
      <c r="C69" s="390"/>
      <c r="D69" s="426">
        <f>D31/1000</f>
        <v>392033.91606000008</v>
      </c>
      <c r="E69" s="390"/>
      <c r="F69" s="710"/>
      <c r="G69" s="711">
        <f>G31/1000</f>
        <v>434361.03393000015</v>
      </c>
      <c r="H69" s="711">
        <f>H31/1000</f>
        <v>456670.00001000002</v>
      </c>
      <c r="I69" s="390"/>
      <c r="J69" s="426"/>
      <c r="K69" s="707"/>
      <c r="M69" s="389"/>
      <c r="O69" s="389"/>
      <c r="P69" s="390"/>
      <c r="Q69" s="390"/>
      <c r="R69" s="390"/>
      <c r="S69" s="390"/>
      <c r="T69" s="390"/>
      <c r="U69" s="390"/>
      <c r="V69" s="390"/>
      <c r="W69" s="391"/>
      <c r="X69" s="390"/>
      <c r="Y69" s="390"/>
      <c r="Z69" s="390"/>
      <c r="AA69" s="709"/>
    </row>
    <row r="70" spans="1:27" s="393" customFormat="1" x14ac:dyDescent="0.25">
      <c r="A70" s="390"/>
      <c r="B70" s="390"/>
      <c r="C70" s="390"/>
      <c r="D70" s="426"/>
      <c r="E70" s="426"/>
      <c r="F70" s="710"/>
      <c r="G70" s="390"/>
      <c r="H70" s="390"/>
      <c r="I70" s="390"/>
      <c r="J70" s="390"/>
      <c r="M70" s="389"/>
      <c r="O70" s="389"/>
      <c r="P70" s="390"/>
      <c r="Q70" s="390"/>
      <c r="R70" s="390"/>
      <c r="S70" s="390"/>
      <c r="T70" s="390"/>
      <c r="U70" s="390"/>
      <c r="V70" s="390"/>
      <c r="W70" s="391"/>
      <c r="X70" s="390"/>
      <c r="Y70" s="390"/>
      <c r="Z70" s="390"/>
      <c r="AA70" s="709"/>
    </row>
    <row r="90" spans="1:1" x14ac:dyDescent="0.25">
      <c r="A90" s="390">
        <v>7</v>
      </c>
    </row>
  </sheetData>
  <autoFilter ref="A3:W47" xr:uid="{00000000-0001-0000-0100-000000000000}"/>
  <mergeCells count="14">
    <mergeCell ref="AA53:AA54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1" manualBreakCount="1">
    <brk id="56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0ABD-324D-43FE-82AD-56A7216010F1}">
  <sheetPr>
    <tabColor rgb="FFFF0000"/>
    <pageSetUpPr fitToPage="1"/>
  </sheetPr>
  <dimension ref="A1:AC90"/>
  <sheetViews>
    <sheetView zoomScale="80" zoomScaleNormal="80" zoomScaleSheetLayoutView="80" workbookViewId="0">
      <pane ySplit="3" topLeftCell="A22" activePane="bottomLeft" state="frozen"/>
      <selection pane="bottomLeft" activeCell="J37" sqref="J37"/>
    </sheetView>
  </sheetViews>
  <sheetFormatPr defaultColWidth="9.140625" defaultRowHeight="15.75" outlineLevelCol="1" x14ac:dyDescent="0.25"/>
  <cols>
    <col min="1" max="1" width="6.28515625" style="60" customWidth="1"/>
    <col min="2" max="2" width="16.140625" style="60" customWidth="1"/>
    <col min="3" max="3" width="38.85546875" style="60" customWidth="1"/>
    <col min="4" max="4" width="20.5703125" style="60" hidden="1" customWidth="1" outlineLevel="1"/>
    <col min="5" max="5" width="18.85546875" style="60" hidden="1" customWidth="1" outlineLevel="1"/>
    <col min="6" max="6" width="17.5703125" style="60" hidden="1" customWidth="1" outlineLevel="1"/>
    <col min="7" max="7" width="20.7109375" style="60" hidden="1" customWidth="1" outlineLevel="1"/>
    <col min="8" max="8" width="19.5703125" style="60" hidden="1" customWidth="1" outlineLevel="1"/>
    <col min="9" max="9" width="8.5703125" style="60" hidden="1" customWidth="1" outlineLevel="1"/>
    <col min="10" max="10" width="22.28515625" style="60" customWidth="1" collapsed="1"/>
    <col min="11" max="11" width="20.42578125" style="65" hidden="1" customWidth="1" outlineLevel="1"/>
    <col min="12" max="12" width="16.85546875" style="65" hidden="1" customWidth="1" outlineLevel="1"/>
    <col min="13" max="13" width="18.140625" style="59" hidden="1" customWidth="1" outlineLevel="1"/>
    <col min="14" max="14" width="16.85546875" style="65" hidden="1" customWidth="1" outlineLevel="1"/>
    <col min="15" max="15" width="18.140625" style="59" hidden="1" customWidth="1" outlineLevel="1"/>
    <col min="16" max="16" width="18.42578125" style="60" customWidth="1" collapsed="1"/>
    <col min="17" max="17" width="16.7109375" style="60" customWidth="1"/>
    <col min="18" max="18" width="16.85546875" style="60" customWidth="1"/>
    <col min="19" max="19" width="40.85546875" style="60" customWidth="1"/>
    <col min="20" max="20" width="26.140625" style="60" customWidth="1"/>
    <col min="21" max="21" width="26.7109375" style="60" customWidth="1"/>
    <col min="22" max="22" width="31.42578125" style="60" customWidth="1"/>
    <col min="23" max="23" width="3.28515625" style="61" hidden="1" customWidth="1"/>
    <col min="24" max="24" width="27.5703125" style="60" hidden="1" customWidth="1"/>
    <col min="25" max="26" width="19" style="60" hidden="1" customWidth="1"/>
    <col min="27" max="27" width="29.28515625" style="62" hidden="1" customWidth="1"/>
    <col min="28" max="28" width="15" style="60" hidden="1" customWidth="1"/>
    <col min="29" max="29" width="19.28515625" style="60" customWidth="1"/>
    <col min="30" max="16384" width="9.140625" style="60"/>
  </cols>
  <sheetData>
    <row r="1" spans="1:28" ht="8.25" customHeight="1" x14ac:dyDescent="0.25">
      <c r="A1" s="718"/>
      <c r="B1" s="718"/>
      <c r="C1" s="718"/>
      <c r="D1" s="718"/>
      <c r="E1" s="718"/>
      <c r="F1" s="718"/>
      <c r="G1" s="718"/>
      <c r="H1" s="718"/>
      <c r="I1" s="718"/>
      <c r="J1" s="718"/>
      <c r="K1" s="58"/>
      <c r="L1" s="58"/>
      <c r="N1" s="58"/>
    </row>
    <row r="2" spans="1:28" ht="5.25" customHeight="1" thickBot="1" x14ac:dyDescent="0.3">
      <c r="A2" s="63"/>
      <c r="B2" s="63"/>
      <c r="C2" s="63"/>
      <c r="D2" s="63"/>
      <c r="E2" s="63"/>
      <c r="F2" s="63"/>
      <c r="G2" s="63"/>
      <c r="H2" s="63"/>
      <c r="I2" s="64"/>
      <c r="J2" s="63"/>
    </row>
    <row r="3" spans="1:28" ht="47.25" customHeight="1" x14ac:dyDescent="0.25">
      <c r="A3" s="726" t="s">
        <v>152</v>
      </c>
      <c r="B3" s="728" t="s">
        <v>153</v>
      </c>
      <c r="C3" s="728" t="s">
        <v>154</v>
      </c>
      <c r="D3" s="66" t="s">
        <v>155</v>
      </c>
      <c r="E3" s="66" t="s">
        <v>156</v>
      </c>
      <c r="F3" s="66" t="s">
        <v>157</v>
      </c>
      <c r="G3" s="728" t="s">
        <v>158</v>
      </c>
      <c r="H3" s="730" t="s">
        <v>159</v>
      </c>
      <c r="I3" s="728" t="s">
        <v>160</v>
      </c>
      <c r="J3" s="730" t="s">
        <v>161</v>
      </c>
      <c r="K3" s="67" t="s">
        <v>162</v>
      </c>
      <c r="L3" s="67" t="s">
        <v>163</v>
      </c>
      <c r="M3" s="68" t="s">
        <v>164</v>
      </c>
      <c r="N3" s="69" t="s">
        <v>165</v>
      </c>
      <c r="O3" s="70" t="s">
        <v>166</v>
      </c>
      <c r="P3" s="71" t="s">
        <v>167</v>
      </c>
      <c r="Q3" s="71" t="s">
        <v>168</v>
      </c>
      <c r="R3" s="72" t="s">
        <v>169</v>
      </c>
      <c r="S3" s="72" t="s">
        <v>170</v>
      </c>
      <c r="T3" s="73" t="s">
        <v>171</v>
      </c>
      <c r="U3" s="73" t="s">
        <v>172</v>
      </c>
      <c r="V3" s="73" t="s">
        <v>173</v>
      </c>
      <c r="X3" s="72" t="s">
        <v>174</v>
      </c>
      <c r="Y3" s="73" t="s">
        <v>175</v>
      </c>
      <c r="Z3" s="73" t="s">
        <v>169</v>
      </c>
      <c r="AA3" s="73" t="s">
        <v>176</v>
      </c>
    </row>
    <row r="4" spans="1:28" ht="14.25" customHeight="1" x14ac:dyDescent="0.25">
      <c r="A4" s="727"/>
      <c r="B4" s="729"/>
      <c r="C4" s="729"/>
      <c r="D4" s="74"/>
      <c r="E4" s="74"/>
      <c r="F4" s="74"/>
      <c r="G4" s="729"/>
      <c r="H4" s="731"/>
      <c r="I4" s="729"/>
      <c r="J4" s="731"/>
      <c r="K4" s="75" t="s">
        <v>177</v>
      </c>
      <c r="L4" s="75" t="s">
        <v>178</v>
      </c>
      <c r="M4" s="75" t="s">
        <v>179</v>
      </c>
      <c r="N4" s="75" t="s">
        <v>180</v>
      </c>
      <c r="O4" s="75" t="s">
        <v>181</v>
      </c>
      <c r="P4" s="76"/>
      <c r="Q4" s="76"/>
      <c r="R4" s="77"/>
      <c r="S4" s="77"/>
      <c r="T4" s="78"/>
      <c r="U4" s="78"/>
      <c r="V4" s="78"/>
      <c r="X4" s="77"/>
      <c r="Y4" s="78"/>
      <c r="Z4" s="78"/>
    </row>
    <row r="5" spans="1:28" x14ac:dyDescent="0.25">
      <c r="A5" s="79"/>
      <c r="B5" s="80"/>
      <c r="C5" s="80"/>
      <c r="D5" s="80"/>
      <c r="E5" s="80"/>
      <c r="F5" s="80"/>
      <c r="G5" s="80"/>
      <c r="H5" s="81"/>
      <c r="I5" s="80"/>
      <c r="J5" s="81"/>
      <c r="K5" s="82"/>
      <c r="L5" s="82"/>
      <c r="M5" s="82"/>
      <c r="N5" s="82"/>
      <c r="O5" s="82"/>
      <c r="P5" s="82"/>
      <c r="Q5" s="82"/>
      <c r="R5" s="82"/>
      <c r="S5" s="82"/>
      <c r="T5" s="732" t="s">
        <v>182</v>
      </c>
      <c r="U5" s="733"/>
      <c r="V5" s="83"/>
      <c r="X5" s="77"/>
      <c r="Y5" s="78"/>
      <c r="Z5" s="78"/>
    </row>
    <row r="6" spans="1:28" ht="54" customHeight="1" x14ac:dyDescent="0.25">
      <c r="A6" s="84">
        <v>1</v>
      </c>
      <c r="B6" s="85" t="s">
        <v>183</v>
      </c>
      <c r="C6" s="86" t="str">
        <f>[11]ССР!C24</f>
        <v>Выполнение работ по ликвидации объектов по трассе ж.д. путей, подготовке трассы ж.д. путей.</v>
      </c>
      <c r="D6" s="87">
        <v>48841208.740000002</v>
      </c>
      <c r="E6" s="87">
        <v>4004979.12</v>
      </c>
      <c r="F6" s="87">
        <v>1268308.51</v>
      </c>
      <c r="G6" s="87">
        <v>54114496.369999997</v>
      </c>
      <c r="H6" s="87">
        <v>56893839.630000003</v>
      </c>
      <c r="I6" s="88">
        <v>1.2</v>
      </c>
      <c r="J6" s="89">
        <f>ROUND(H6*I6,2)</f>
        <v>68272607.560000002</v>
      </c>
      <c r="K6" s="90">
        <v>65507253.219999999</v>
      </c>
      <c r="L6" s="90">
        <v>360012.73</v>
      </c>
      <c r="M6" s="90"/>
      <c r="N6" s="90"/>
      <c r="O6" s="90"/>
      <c r="P6" s="90">
        <f>K6+L6+M6+N6+O6</f>
        <v>65867265.949999996</v>
      </c>
      <c r="Q6" s="90">
        <f>J6-K6-L6-M6-N6-O6</f>
        <v>2405341.6100000036</v>
      </c>
      <c r="R6" s="90" t="s">
        <v>184</v>
      </c>
      <c r="S6" s="91" t="s">
        <v>185</v>
      </c>
      <c r="T6" s="92">
        <f>P6</f>
        <v>65867265.949999996</v>
      </c>
      <c r="U6" s="92">
        <v>0</v>
      </c>
      <c r="V6" s="93">
        <f t="shared" ref="V6:V18" si="0">T6+U6</f>
        <v>65867265.949999996</v>
      </c>
      <c r="W6" s="94"/>
      <c r="X6" s="95"/>
      <c r="Y6" s="96"/>
      <c r="Z6" s="97"/>
      <c r="AA6" s="98"/>
    </row>
    <row r="7" spans="1:28" ht="49.5" customHeight="1" x14ac:dyDescent="0.25">
      <c r="A7" s="84">
        <v>2</v>
      </c>
      <c r="B7" s="85" t="s">
        <v>186</v>
      </c>
      <c r="C7" s="86" t="str">
        <f>[11]ССР!C25</f>
        <v>Выполнение работ по ликвидации объекта капитального строительства</v>
      </c>
      <c r="D7" s="87">
        <v>40054718.460000001</v>
      </c>
      <c r="E7" s="87">
        <v>3284486.91</v>
      </c>
      <c r="F7" s="87">
        <v>1040140.93</v>
      </c>
      <c r="G7" s="87">
        <v>44379346.299999997</v>
      </c>
      <c r="H7" s="87">
        <v>46658688.170000002</v>
      </c>
      <c r="I7" s="88">
        <v>1.2</v>
      </c>
      <c r="J7" s="89">
        <f t="shared" ref="J7:J24" si="1">ROUND(H7*I7,2)</f>
        <v>55990425.799999997</v>
      </c>
      <c r="K7" s="90">
        <v>54911594.170000002</v>
      </c>
      <c r="L7" s="90"/>
      <c r="M7" s="90"/>
      <c r="N7" s="90"/>
      <c r="O7" s="90"/>
      <c r="P7" s="90">
        <f t="shared" ref="P7:P24" si="2">K7+L7+M7+N7+O7</f>
        <v>54911594.170000002</v>
      </c>
      <c r="Q7" s="90">
        <f t="shared" ref="Q7:Q24" si="3">J7-K7-L7-M7-N7-O7</f>
        <v>1078831.6299999952</v>
      </c>
      <c r="R7" s="90" t="s">
        <v>184</v>
      </c>
      <c r="S7" s="91" t="s">
        <v>185</v>
      </c>
      <c r="T7" s="92">
        <f t="shared" ref="T7:T24" si="4">P7</f>
        <v>54911594.170000002</v>
      </c>
      <c r="U7" s="92">
        <v>0</v>
      </c>
      <c r="V7" s="93">
        <f t="shared" si="0"/>
        <v>54911594.170000002</v>
      </c>
      <c r="X7" s="95"/>
      <c r="Y7" s="96"/>
      <c r="Z7" s="97"/>
      <c r="AA7" s="98"/>
    </row>
    <row r="8" spans="1:28" ht="35.1" customHeight="1" x14ac:dyDescent="0.25">
      <c r="A8" s="84">
        <v>3</v>
      </c>
      <c r="B8" s="85" t="s">
        <v>187</v>
      </c>
      <c r="C8" s="86" t="str">
        <f>[11]ССР!C26</f>
        <v>Демонтаж сетей и систем  инженерного обоспечения.</v>
      </c>
      <c r="D8" s="87">
        <v>1177977.71</v>
      </c>
      <c r="E8" s="87">
        <v>96594.17</v>
      </c>
      <c r="F8" s="87">
        <v>30589.73</v>
      </c>
      <c r="G8" s="87">
        <v>1305161.6100000001</v>
      </c>
      <c r="H8" s="87">
        <v>1372195.26</v>
      </c>
      <c r="I8" s="88">
        <f>I6</f>
        <v>1.2</v>
      </c>
      <c r="J8" s="89">
        <f>ROUND(H8*I8,2)</f>
        <v>1646634.31</v>
      </c>
      <c r="K8" s="90"/>
      <c r="L8" s="90"/>
      <c r="M8" s="90">
        <v>1646696.3</v>
      </c>
      <c r="N8" s="90"/>
      <c r="O8" s="90"/>
      <c r="P8" s="90">
        <f t="shared" si="2"/>
        <v>1646696.3</v>
      </c>
      <c r="Q8" s="90">
        <v>0</v>
      </c>
      <c r="R8" s="90" t="s">
        <v>184</v>
      </c>
      <c r="S8" s="91" t="s">
        <v>185</v>
      </c>
      <c r="T8" s="92">
        <f t="shared" si="4"/>
        <v>1646696.3</v>
      </c>
      <c r="U8" s="92">
        <v>0</v>
      </c>
      <c r="V8" s="93">
        <f t="shared" si="0"/>
        <v>1646696.3</v>
      </c>
      <c r="X8" s="95"/>
      <c r="Y8" s="96"/>
      <c r="Z8" s="97"/>
      <c r="AA8" s="98"/>
    </row>
    <row r="9" spans="1:28" s="116" customFormat="1" ht="47.25" x14ac:dyDescent="0.25">
      <c r="A9" s="99">
        <v>4</v>
      </c>
      <c r="B9" s="100" t="s">
        <v>188</v>
      </c>
      <c r="C9" s="101" t="str">
        <f>[11]ССР!C32</f>
        <v>Трансбордер. Архитектурно-строительные решения. Часть 2. АС2 .</v>
      </c>
      <c r="D9" s="102">
        <v>1615223.87</v>
      </c>
      <c r="E9" s="102">
        <v>132448.35999999999</v>
      </c>
      <c r="F9" s="102">
        <v>41944.13</v>
      </c>
      <c r="G9" s="102">
        <v>1789616.36</v>
      </c>
      <c r="H9" s="102">
        <v>1881531.81</v>
      </c>
      <c r="I9" s="103">
        <f>I19</f>
        <v>1.2</v>
      </c>
      <c r="J9" s="104">
        <f t="shared" si="1"/>
        <v>2257838.17</v>
      </c>
      <c r="K9" s="105"/>
      <c r="L9" s="105"/>
      <c r="M9" s="105">
        <v>1627347.05</v>
      </c>
      <c r="N9" s="105"/>
      <c r="O9" s="105"/>
      <c r="P9" s="105">
        <f>K9+L9+M9+N9+O9</f>
        <v>1627347.05</v>
      </c>
      <c r="Q9" s="105">
        <f t="shared" si="3"/>
        <v>630491.11999999988</v>
      </c>
      <c r="R9" s="106" t="s">
        <v>184</v>
      </c>
      <c r="S9" s="107" t="str">
        <f>S10</f>
        <v>ВОР подписан, смета отправлена на проверку 21.06</v>
      </c>
      <c r="T9" s="108">
        <f t="shared" si="4"/>
        <v>1627347.05</v>
      </c>
      <c r="U9" s="109">
        <v>400933.67</v>
      </c>
      <c r="V9" s="110">
        <f t="shared" si="0"/>
        <v>2028280.72</v>
      </c>
      <c r="W9" s="111"/>
      <c r="X9" s="112" t="s">
        <v>184</v>
      </c>
      <c r="Y9" s="113">
        <f>1447989.61*1.082*1.024*1.0514*1.2</f>
        <v>2024146.2197234416</v>
      </c>
      <c r="Z9" s="114" t="s">
        <v>189</v>
      </c>
      <c r="AA9" s="98">
        <v>2023649.39</v>
      </c>
      <c r="AB9" s="115">
        <f>AA9-V9</f>
        <v>-4631.3300000000745</v>
      </c>
    </row>
    <row r="10" spans="1:28" ht="31.5" x14ac:dyDescent="0.25">
      <c r="A10" s="99">
        <v>5</v>
      </c>
      <c r="B10" s="100" t="s">
        <v>190</v>
      </c>
      <c r="C10" s="101" t="str">
        <f>[11]ССР!C35</f>
        <v>Электроснабжение. ЭС 1.</v>
      </c>
      <c r="D10" s="102">
        <v>475031.03999999998</v>
      </c>
      <c r="E10" s="102">
        <v>38952.550000000003</v>
      </c>
      <c r="F10" s="102">
        <v>12335.61</v>
      </c>
      <c r="G10" s="102">
        <v>526319.19999999995</v>
      </c>
      <c r="H10" s="102">
        <v>553351.18000000005</v>
      </c>
      <c r="I10" s="103">
        <f>I27</f>
        <v>1.2</v>
      </c>
      <c r="J10" s="104">
        <f t="shared" si="1"/>
        <v>664021.42000000004</v>
      </c>
      <c r="K10" s="105"/>
      <c r="L10" s="105"/>
      <c r="M10" s="105"/>
      <c r="N10" s="105"/>
      <c r="O10" s="105"/>
      <c r="P10" s="105">
        <f t="shared" si="2"/>
        <v>0</v>
      </c>
      <c r="Q10" s="105">
        <f t="shared" si="3"/>
        <v>664021.42000000004</v>
      </c>
      <c r="R10" s="106" t="s">
        <v>184</v>
      </c>
      <c r="S10" s="107" t="s">
        <v>191</v>
      </c>
      <c r="T10" s="108">
        <f t="shared" si="4"/>
        <v>0</v>
      </c>
      <c r="U10" s="109">
        <v>370254</v>
      </c>
      <c r="V10" s="110">
        <f t="shared" si="0"/>
        <v>370254</v>
      </c>
      <c r="W10" s="117"/>
      <c r="X10" s="118" t="s">
        <v>184</v>
      </c>
      <c r="Y10" s="119">
        <f>(235378.05+47139.18)*1.082*1.024*1.0514*1.2</f>
        <v>394931.13704817125</v>
      </c>
      <c r="Z10" s="120" t="s">
        <v>189</v>
      </c>
      <c r="AA10" s="98">
        <v>388509.33</v>
      </c>
      <c r="AB10" s="115">
        <f t="shared" ref="AB10:AB17" si="5">AA10-V10</f>
        <v>18255.330000000016</v>
      </c>
    </row>
    <row r="11" spans="1:28" ht="31.5" x14ac:dyDescent="0.25">
      <c r="A11" s="99">
        <v>6</v>
      </c>
      <c r="B11" s="100" t="s">
        <v>192</v>
      </c>
      <c r="C11" s="101" t="str">
        <f>[11]ССР!C36</f>
        <v>Переустройство кабельных линий.ЭС2</v>
      </c>
      <c r="D11" s="102">
        <v>2276671.21</v>
      </c>
      <c r="E11" s="102">
        <v>186687.04</v>
      </c>
      <c r="F11" s="102">
        <v>59120.6</v>
      </c>
      <c r="G11" s="102">
        <v>2522478.85</v>
      </c>
      <c r="H11" s="102">
        <v>2652034.42</v>
      </c>
      <c r="I11" s="103">
        <f>I27</f>
        <v>1.2</v>
      </c>
      <c r="J11" s="104">
        <f t="shared" si="1"/>
        <v>3182441.3</v>
      </c>
      <c r="K11" s="105"/>
      <c r="L11" s="105"/>
      <c r="M11" s="105"/>
      <c r="N11" s="105"/>
      <c r="O11" s="105"/>
      <c r="P11" s="105">
        <f t="shared" si="2"/>
        <v>0</v>
      </c>
      <c r="Q11" s="105">
        <f t="shared" si="3"/>
        <v>3182441.3</v>
      </c>
      <c r="R11" s="106" t="s">
        <v>184</v>
      </c>
      <c r="S11" s="107" t="str">
        <f>S10</f>
        <v>ВОР подписан, смета отправлена на проверку 21.06</v>
      </c>
      <c r="T11" s="108">
        <f t="shared" si="4"/>
        <v>0</v>
      </c>
      <c r="U11" s="109">
        <v>4582694</v>
      </c>
      <c r="V11" s="110">
        <f t="shared" si="0"/>
        <v>4582694</v>
      </c>
      <c r="W11" s="121"/>
      <c r="X11" s="95" t="s">
        <v>184</v>
      </c>
      <c r="Y11" s="96">
        <f>(3206824.35+130942.19)*1.082*1.024*1.0514*1.2</f>
        <v>4665867.4051261954</v>
      </c>
      <c r="Z11" s="120" t="s">
        <v>189</v>
      </c>
      <c r="AA11" s="98">
        <f>'[11]вар НВ (с 0,65 и без упл)'!U11</f>
        <v>4814643</v>
      </c>
      <c r="AB11" s="115">
        <f t="shared" si="5"/>
        <v>231949</v>
      </c>
    </row>
    <row r="12" spans="1:28" ht="31.5" x14ac:dyDescent="0.25">
      <c r="A12" s="99">
        <v>7</v>
      </c>
      <c r="B12" s="100" t="s">
        <v>193</v>
      </c>
      <c r="C12" s="101" t="str">
        <f>[11]ССР!C40</f>
        <v>Переустройство хозпитьевого водопровода.НВК2</v>
      </c>
      <c r="D12" s="102">
        <v>760016.55</v>
      </c>
      <c r="E12" s="102">
        <v>62321.36</v>
      </c>
      <c r="F12" s="102">
        <v>19736.11</v>
      </c>
      <c r="G12" s="102">
        <v>842074.02</v>
      </c>
      <c r="H12" s="102">
        <v>885323.3</v>
      </c>
      <c r="I12" s="103">
        <f>I20</f>
        <v>1.2</v>
      </c>
      <c r="J12" s="104">
        <f t="shared" si="1"/>
        <v>1062387.96</v>
      </c>
      <c r="K12" s="105"/>
      <c r="L12" s="105"/>
      <c r="M12" s="105"/>
      <c r="N12" s="105"/>
      <c r="O12" s="105"/>
      <c r="P12" s="105">
        <f t="shared" si="2"/>
        <v>0</v>
      </c>
      <c r="Q12" s="105">
        <f t="shared" si="3"/>
        <v>1062387.96</v>
      </c>
      <c r="R12" s="105" t="s">
        <v>184</v>
      </c>
      <c r="S12" s="107" t="str">
        <f>S10</f>
        <v>ВОР подписан, смета отправлена на проверку 21.06</v>
      </c>
      <c r="T12" s="108">
        <f t="shared" si="4"/>
        <v>0</v>
      </c>
      <c r="U12" s="109">
        <v>1553260.73</v>
      </c>
      <c r="V12" s="110">
        <f t="shared" si="0"/>
        <v>1553260.73</v>
      </c>
      <c r="W12" s="111"/>
      <c r="X12" s="118" t="s">
        <v>184</v>
      </c>
      <c r="Y12" s="119">
        <f>1047143.73*1.082*1.024*1.0514*1.2</f>
        <v>1463803.3366735307</v>
      </c>
      <c r="Z12" s="120" t="s">
        <v>189</v>
      </c>
      <c r="AA12" s="122">
        <v>1463803.34</v>
      </c>
      <c r="AB12" s="115">
        <f t="shared" si="5"/>
        <v>-89457.389999999898</v>
      </c>
    </row>
    <row r="13" spans="1:28" ht="31.5" x14ac:dyDescent="0.25">
      <c r="A13" s="99">
        <v>8</v>
      </c>
      <c r="B13" s="100" t="s">
        <v>194</v>
      </c>
      <c r="C13" s="101" t="str">
        <f>[11]ССР!C41</f>
        <v>Переустройство хозпитьевого водопровода.НВК3</v>
      </c>
      <c r="D13" s="102">
        <v>10454161.890000001</v>
      </c>
      <c r="E13" s="102">
        <v>857241.27</v>
      </c>
      <c r="F13" s="102">
        <v>271473.68</v>
      </c>
      <c r="G13" s="102">
        <v>11582876.84</v>
      </c>
      <c r="H13" s="102">
        <v>12177778.26</v>
      </c>
      <c r="I13" s="103">
        <f t="shared" ref="I13:I18" si="6">I6</f>
        <v>1.2</v>
      </c>
      <c r="J13" s="104">
        <f t="shared" si="1"/>
        <v>14613333.91</v>
      </c>
      <c r="K13" s="105"/>
      <c r="L13" s="105"/>
      <c r="M13" s="105"/>
      <c r="N13" s="105"/>
      <c r="O13" s="105"/>
      <c r="P13" s="105">
        <f t="shared" si="2"/>
        <v>0</v>
      </c>
      <c r="Q13" s="105">
        <f t="shared" si="3"/>
        <v>14613333.91</v>
      </c>
      <c r="R13" s="105" t="s">
        <v>184</v>
      </c>
      <c r="S13" s="107" t="str">
        <f>S10</f>
        <v>ВОР подписан, смета отправлена на проверку 21.06</v>
      </c>
      <c r="T13" s="108">
        <f t="shared" si="4"/>
        <v>0</v>
      </c>
      <c r="U13" s="109">
        <v>19970832</v>
      </c>
      <c r="V13" s="110">
        <f t="shared" si="0"/>
        <v>19970832</v>
      </c>
      <c r="W13" s="111"/>
      <c r="X13" s="118" t="s">
        <v>184</v>
      </c>
      <c r="Y13" s="119">
        <f>13422525.94*1.082*1.024*1.0514*1.2</f>
        <v>18763363.323160056</v>
      </c>
      <c r="Z13" s="120" t="s">
        <v>189</v>
      </c>
      <c r="AA13" s="122">
        <f>'[11]вар НВ (с 0,65 и без упл)'!U13</f>
        <v>19308691</v>
      </c>
      <c r="AB13" s="115">
        <f t="shared" si="5"/>
        <v>-662141</v>
      </c>
    </row>
    <row r="14" spans="1:28" s="116" customFormat="1" ht="31.5" x14ac:dyDescent="0.25">
      <c r="A14" s="99">
        <v>9</v>
      </c>
      <c r="B14" s="100" t="s">
        <v>195</v>
      </c>
      <c r="C14" s="101" t="str">
        <f>[11]ССР!C43</f>
        <v>Переустройство хозяйственно-бытовой канализации.НВК4</v>
      </c>
      <c r="D14" s="102">
        <v>9143309.8300000001</v>
      </c>
      <c r="E14" s="102">
        <v>749751.41</v>
      </c>
      <c r="F14" s="102">
        <v>237433.47</v>
      </c>
      <c r="G14" s="102">
        <v>10130494.710000001</v>
      </c>
      <c r="H14" s="102">
        <v>10650801.17</v>
      </c>
      <c r="I14" s="103">
        <f t="shared" si="6"/>
        <v>1.2</v>
      </c>
      <c r="J14" s="104">
        <f t="shared" si="1"/>
        <v>12780961.4</v>
      </c>
      <c r="K14" s="105"/>
      <c r="L14" s="105"/>
      <c r="M14" s="105"/>
      <c r="N14" s="105"/>
      <c r="O14" s="105">
        <v>337909.86</v>
      </c>
      <c r="P14" s="105">
        <f t="shared" si="2"/>
        <v>337909.86</v>
      </c>
      <c r="Q14" s="105">
        <f t="shared" si="3"/>
        <v>12443051.540000001</v>
      </c>
      <c r="R14" s="105" t="s">
        <v>184</v>
      </c>
      <c r="S14" s="107" t="str">
        <f>S10</f>
        <v>ВОР подписан, смета отправлена на проверку 21.06</v>
      </c>
      <c r="T14" s="108">
        <f t="shared" si="4"/>
        <v>337909.86</v>
      </c>
      <c r="U14" s="109">
        <v>2221220.66</v>
      </c>
      <c r="V14" s="110">
        <f t="shared" si="0"/>
        <v>2559130.52</v>
      </c>
      <c r="W14" s="121"/>
      <c r="X14" s="123" t="s">
        <v>184</v>
      </c>
      <c r="Y14" s="124">
        <f>1724717.19*1.082*1.024*1.0514*1.2</f>
        <v>2410983.9988634563</v>
      </c>
      <c r="Z14" s="114" t="s">
        <v>189</v>
      </c>
      <c r="AA14" s="122">
        <f>'[11]вар НВ (с 0,65 и без упл)'!U14</f>
        <v>2202170</v>
      </c>
      <c r="AB14" s="115">
        <f t="shared" si="5"/>
        <v>-356960.52</v>
      </c>
    </row>
    <row r="15" spans="1:28" s="116" customFormat="1" ht="31.5" x14ac:dyDescent="0.25">
      <c r="A15" s="99">
        <v>10</v>
      </c>
      <c r="B15" s="100" t="s">
        <v>196</v>
      </c>
      <c r="C15" s="101" t="str">
        <f>[11]ССР!C44</f>
        <v>Переустройство ливневой канализации.НВК5.</v>
      </c>
      <c r="D15" s="102">
        <v>21996729.18</v>
      </c>
      <c r="E15" s="102">
        <v>1803731.79</v>
      </c>
      <c r="F15" s="102">
        <v>571211.06000000006</v>
      </c>
      <c r="G15" s="102">
        <v>24371672.030000001</v>
      </c>
      <c r="H15" s="102">
        <v>25623411.34</v>
      </c>
      <c r="I15" s="103">
        <f t="shared" si="6"/>
        <v>1.2</v>
      </c>
      <c r="J15" s="104">
        <f t="shared" si="1"/>
        <v>30748093.609999999</v>
      </c>
      <c r="K15" s="105"/>
      <c r="L15" s="105"/>
      <c r="M15" s="105">
        <v>1211400.79</v>
      </c>
      <c r="N15" s="105"/>
      <c r="O15" s="105"/>
      <c r="P15" s="105">
        <f t="shared" si="2"/>
        <v>1211400.79</v>
      </c>
      <c r="Q15" s="105">
        <f t="shared" si="3"/>
        <v>29536692.82</v>
      </c>
      <c r="R15" s="106" t="s">
        <v>184</v>
      </c>
      <c r="S15" s="107" t="str">
        <f>S10</f>
        <v>ВОР подписан, смета отправлена на проверку 21.06</v>
      </c>
      <c r="T15" s="108">
        <f t="shared" si="4"/>
        <v>1211400.79</v>
      </c>
      <c r="U15" s="109">
        <v>3314342.94</v>
      </c>
      <c r="V15" s="110">
        <f t="shared" si="0"/>
        <v>4525743.7300000004</v>
      </c>
      <c r="W15" s="121"/>
      <c r="X15" s="123" t="s">
        <v>184</v>
      </c>
      <c r="Y15" s="124">
        <f>2827828.36*1.082*1.024*1.0514*1.2</f>
        <v>3953024.2795877103</v>
      </c>
      <c r="Z15" s="114" t="s">
        <v>189</v>
      </c>
      <c r="AA15" s="122">
        <f>'[11]вар НВ (с 0,65 и без упл)'!V15</f>
        <v>4448059.79</v>
      </c>
      <c r="AB15" s="115">
        <f t="shared" si="5"/>
        <v>-77683.94000000041</v>
      </c>
    </row>
    <row r="16" spans="1:28" ht="31.5" x14ac:dyDescent="0.25">
      <c r="A16" s="99">
        <v>11</v>
      </c>
      <c r="B16" s="100" t="s">
        <v>197</v>
      </c>
      <c r="C16" s="101" t="str">
        <f>[11]ССР!C49</f>
        <v>Теплоснабжение. Переустройство трубопровода.ТС2</v>
      </c>
      <c r="D16" s="102">
        <v>1890203.39</v>
      </c>
      <c r="E16" s="102">
        <v>154996.68</v>
      </c>
      <c r="F16" s="102">
        <v>49084.800000000003</v>
      </c>
      <c r="G16" s="102">
        <v>2094284.87</v>
      </c>
      <c r="H16" s="102">
        <v>2201848.2200000002</v>
      </c>
      <c r="I16" s="103">
        <f t="shared" si="6"/>
        <v>1.2</v>
      </c>
      <c r="J16" s="104">
        <f t="shared" si="1"/>
        <v>2642217.86</v>
      </c>
      <c r="K16" s="105"/>
      <c r="L16" s="105"/>
      <c r="M16" s="105"/>
      <c r="N16" s="105"/>
      <c r="O16" s="105"/>
      <c r="P16" s="105">
        <f t="shared" si="2"/>
        <v>0</v>
      </c>
      <c r="Q16" s="105">
        <f t="shared" si="3"/>
        <v>2642217.86</v>
      </c>
      <c r="R16" s="105" t="s">
        <v>184</v>
      </c>
      <c r="S16" s="107" t="str">
        <f>S10</f>
        <v>ВОР подписан, смета отправлена на проверку 21.06</v>
      </c>
      <c r="T16" s="108">
        <f t="shared" si="4"/>
        <v>0</v>
      </c>
      <c r="U16" s="109">
        <v>2509941.54</v>
      </c>
      <c r="V16" s="110">
        <f t="shared" si="0"/>
        <v>2509941.54</v>
      </c>
      <c r="W16" s="121"/>
      <c r="X16" s="95" t="s">
        <v>184</v>
      </c>
      <c r="Y16" s="96">
        <f>1675854.44*1.082*1.024*1.0514*1.2</f>
        <v>2342678.708539038</v>
      </c>
      <c r="Z16" s="120" t="s">
        <v>189</v>
      </c>
      <c r="AA16" s="122">
        <f>'[11]вар НВ (с 0,65 и без упл)'!U16</f>
        <v>2387178</v>
      </c>
      <c r="AB16" s="115">
        <f t="shared" si="5"/>
        <v>-122763.54000000004</v>
      </c>
    </row>
    <row r="17" spans="1:29" ht="31.5" x14ac:dyDescent="0.25">
      <c r="A17" s="99">
        <v>12</v>
      </c>
      <c r="B17" s="100" t="s">
        <v>198</v>
      </c>
      <c r="C17" s="101" t="str">
        <f>[11]ССР!C50</f>
        <v>Теплоснабжение. Переустройство трубопровода.ТС3</v>
      </c>
      <c r="D17" s="102">
        <v>4003449.34</v>
      </c>
      <c r="E17" s="102">
        <v>328282.84999999998</v>
      </c>
      <c r="F17" s="102">
        <v>103961.57</v>
      </c>
      <c r="G17" s="102">
        <v>4435693.76</v>
      </c>
      <c r="H17" s="102">
        <v>4663512.8499999996</v>
      </c>
      <c r="I17" s="103">
        <f t="shared" si="6"/>
        <v>1.2</v>
      </c>
      <c r="J17" s="104">
        <f t="shared" si="1"/>
        <v>5596215.4199999999</v>
      </c>
      <c r="K17" s="105"/>
      <c r="L17" s="105"/>
      <c r="M17" s="105"/>
      <c r="N17" s="105"/>
      <c r="O17" s="105"/>
      <c r="P17" s="105">
        <f t="shared" si="2"/>
        <v>0</v>
      </c>
      <c r="Q17" s="105">
        <f t="shared" si="3"/>
        <v>5596215.4199999999</v>
      </c>
      <c r="R17" s="105" t="s">
        <v>184</v>
      </c>
      <c r="S17" s="107" t="str">
        <f>S10</f>
        <v>ВОР подписан, смета отправлена на проверку 21.06</v>
      </c>
      <c r="T17" s="108">
        <f t="shared" si="4"/>
        <v>0</v>
      </c>
      <c r="U17" s="109">
        <v>4764781</v>
      </c>
      <c r="V17" s="110">
        <f t="shared" si="0"/>
        <v>4764781</v>
      </c>
      <c r="W17" s="121"/>
      <c r="X17" s="95" t="s">
        <v>184</v>
      </c>
      <c r="Y17" s="96">
        <f>2820165.03*1.082*1.024*1.0514*1.2</f>
        <v>3942311.702409762</v>
      </c>
      <c r="Z17" s="120" t="s">
        <v>189</v>
      </c>
      <c r="AA17" s="122">
        <v>3942311.7</v>
      </c>
      <c r="AB17" s="115">
        <f t="shared" si="5"/>
        <v>-822469.29999999981</v>
      </c>
    </row>
    <row r="18" spans="1:29" ht="31.5" x14ac:dyDescent="0.25">
      <c r="A18" s="99">
        <v>13</v>
      </c>
      <c r="B18" s="100" t="s">
        <v>199</v>
      </c>
      <c r="C18" s="101" t="str">
        <f>[11]ССР!C52</f>
        <v>Наружные газопроводы. Вынос газопровода среднего давления.</v>
      </c>
      <c r="D18" s="102">
        <v>8291915.46</v>
      </c>
      <c r="E18" s="102">
        <v>679937.07</v>
      </c>
      <c r="F18" s="102">
        <v>215324.46</v>
      </c>
      <c r="G18" s="102">
        <v>9187176.9900000002</v>
      </c>
      <c r="H18" s="102">
        <v>9659034.2599999998</v>
      </c>
      <c r="I18" s="103">
        <f t="shared" si="6"/>
        <v>1.2</v>
      </c>
      <c r="J18" s="104">
        <f t="shared" si="1"/>
        <v>11590841.109999999</v>
      </c>
      <c r="K18" s="125"/>
      <c r="L18" s="125"/>
      <c r="M18" s="125"/>
      <c r="N18" s="125"/>
      <c r="O18" s="125"/>
      <c r="P18" s="105">
        <f t="shared" si="2"/>
        <v>0</v>
      </c>
      <c r="Q18" s="105">
        <f t="shared" si="3"/>
        <v>11590841.109999999</v>
      </c>
      <c r="R18" s="126" t="s">
        <v>184</v>
      </c>
      <c r="S18" s="107" t="str">
        <f>S10</f>
        <v>ВОР подписан, смета отправлена на проверку 21.06</v>
      </c>
      <c r="T18" s="108">
        <f t="shared" si="4"/>
        <v>0</v>
      </c>
      <c r="U18" s="109">
        <v>6207964</v>
      </c>
      <c r="V18" s="110">
        <f t="shared" si="0"/>
        <v>6207964</v>
      </c>
      <c r="W18" s="127"/>
      <c r="X18" s="95"/>
      <c r="Y18" s="96"/>
      <c r="Z18" s="97"/>
      <c r="AA18" s="98"/>
      <c r="AB18" s="128"/>
    </row>
    <row r="19" spans="1:29" ht="31.5" x14ac:dyDescent="0.25">
      <c r="A19" s="99">
        <v>14</v>
      </c>
      <c r="B19" s="129" t="s">
        <v>200</v>
      </c>
      <c r="C19" s="101" t="str">
        <f>[11]ССР!C29</f>
        <v>Верхнее строение пути</v>
      </c>
      <c r="D19" s="102">
        <v>161452921.99000001</v>
      </c>
      <c r="E19" s="102">
        <v>13239139.6</v>
      </c>
      <c r="F19" s="102">
        <v>4192609.48</v>
      </c>
      <c r="G19" s="102">
        <v>178884671.06999999</v>
      </c>
      <c r="H19" s="102">
        <v>188072263.84999999</v>
      </c>
      <c r="I19" s="103">
        <f>I6</f>
        <v>1.2</v>
      </c>
      <c r="J19" s="104">
        <f t="shared" si="1"/>
        <v>225686716.62</v>
      </c>
      <c r="K19" s="105">
        <v>89998722.969999999</v>
      </c>
      <c r="L19" s="105">
        <v>66544414.909999996</v>
      </c>
      <c r="M19" s="105">
        <v>42672742.899999999</v>
      </c>
      <c r="N19" s="105"/>
      <c r="O19" s="105"/>
      <c r="P19" s="105">
        <f t="shared" si="2"/>
        <v>199215880.78</v>
      </c>
      <c r="Q19" s="105">
        <f t="shared" si="3"/>
        <v>26470835.840000011</v>
      </c>
      <c r="R19" s="105" t="s">
        <v>184</v>
      </c>
      <c r="S19" s="130" t="s">
        <v>248</v>
      </c>
      <c r="T19" s="108">
        <f t="shared" si="4"/>
        <v>199215880.78</v>
      </c>
      <c r="U19" s="109">
        <v>37091104.509999998</v>
      </c>
      <c r="V19" s="110">
        <f>T19+U19</f>
        <v>236306985.28999999</v>
      </c>
      <c r="X19" s="95"/>
      <c r="Y19" s="96"/>
      <c r="Z19" s="97"/>
      <c r="AA19" s="60"/>
      <c r="AB19" s="131"/>
    </row>
    <row r="20" spans="1:29" s="136" customFormat="1" ht="35.25" customHeight="1" x14ac:dyDescent="0.25">
      <c r="A20" s="99">
        <v>16</v>
      </c>
      <c r="B20" s="129" t="s">
        <v>201</v>
      </c>
      <c r="C20" s="101" t="str">
        <f>[11]ССР!C31</f>
        <v>Архитектурно-строительные решения. Часть 1.АС1</v>
      </c>
      <c r="D20" s="102">
        <v>10526911.91</v>
      </c>
      <c r="E20" s="102">
        <v>863206.78</v>
      </c>
      <c r="F20" s="102">
        <v>273362.84999999998</v>
      </c>
      <c r="G20" s="102">
        <v>11663481.539999999</v>
      </c>
      <c r="H20" s="102">
        <v>12262522.85</v>
      </c>
      <c r="I20" s="103">
        <f>I8</f>
        <v>1.2</v>
      </c>
      <c r="J20" s="104">
        <f t="shared" si="1"/>
        <v>14715027.42</v>
      </c>
      <c r="K20" s="105"/>
      <c r="L20" s="105">
        <v>10775049.08</v>
      </c>
      <c r="M20" s="105"/>
      <c r="N20" s="105"/>
      <c r="O20" s="105"/>
      <c r="P20" s="105">
        <f t="shared" si="2"/>
        <v>10775049.08</v>
      </c>
      <c r="Q20" s="105">
        <f t="shared" si="3"/>
        <v>3939978.34</v>
      </c>
      <c r="R20" s="105" t="s">
        <v>184</v>
      </c>
      <c r="S20" s="107" t="str">
        <f>S39</f>
        <v>ВОР подписан, смета отправлена на проверку 28.06</v>
      </c>
      <c r="T20" s="108">
        <f t="shared" si="4"/>
        <v>10775049.08</v>
      </c>
      <c r="U20" s="109">
        <v>1790752.08</v>
      </c>
      <c r="V20" s="110">
        <f>T20+U20</f>
        <v>12565801.16</v>
      </c>
      <c r="W20" s="132"/>
      <c r="X20" s="95"/>
      <c r="Y20" s="133"/>
      <c r="Z20" s="134"/>
      <c r="AA20" s="135"/>
    </row>
    <row r="21" spans="1:29" s="154" customFormat="1" ht="36" customHeight="1" x14ac:dyDescent="0.25">
      <c r="A21" s="137">
        <v>19</v>
      </c>
      <c r="B21" s="138" t="s">
        <v>62</v>
      </c>
      <c r="C21" s="139" t="str">
        <f>[11]ССР!C48</f>
        <v>Архитектурно-строительные решения. Эстакада для ТС1. АС 4</v>
      </c>
      <c r="D21" s="140">
        <v>4859580.66</v>
      </c>
      <c r="E21" s="140">
        <v>398485.61</v>
      </c>
      <c r="F21" s="140">
        <v>126193.59</v>
      </c>
      <c r="G21" s="140">
        <v>5384259.8600000003</v>
      </c>
      <c r="H21" s="140">
        <v>5660797.71</v>
      </c>
      <c r="I21" s="141">
        <f>I14</f>
        <v>1.2</v>
      </c>
      <c r="J21" s="142">
        <f t="shared" si="1"/>
        <v>6792957.25</v>
      </c>
      <c r="K21" s="143"/>
      <c r="L21" s="143"/>
      <c r="M21" s="143"/>
      <c r="N21" s="143"/>
      <c r="O21" s="143">
        <v>562345.21</v>
      </c>
      <c r="P21" s="143">
        <f t="shared" si="2"/>
        <v>562345.21</v>
      </c>
      <c r="Q21" s="143">
        <f t="shared" si="3"/>
        <v>6230612.04</v>
      </c>
      <c r="R21" s="144" t="s">
        <v>184</v>
      </c>
      <c r="S21" s="145" t="s">
        <v>202</v>
      </c>
      <c r="T21" s="146">
        <f t="shared" si="4"/>
        <v>562345.21</v>
      </c>
      <c r="U21" s="147">
        <v>3430118.1</v>
      </c>
      <c r="V21" s="148">
        <f>T21+U21</f>
        <v>3992463.31</v>
      </c>
      <c r="W21" s="149"/>
      <c r="X21" s="150"/>
      <c r="Y21" s="151"/>
      <c r="Z21" s="152"/>
      <c r="AA21" s="153"/>
    </row>
    <row r="22" spans="1:29" ht="4.5" customHeight="1" x14ac:dyDescent="0.25">
      <c r="A22" s="155"/>
      <c r="B22" s="156"/>
      <c r="C22" s="157"/>
      <c r="D22" s="158"/>
      <c r="E22" s="158"/>
      <c r="F22" s="158"/>
      <c r="G22" s="158"/>
      <c r="H22" s="158"/>
      <c r="I22" s="159"/>
      <c r="J22" s="160"/>
      <c r="K22" s="161"/>
      <c r="L22" s="161"/>
      <c r="M22" s="161"/>
      <c r="N22" s="161"/>
      <c r="O22" s="161"/>
      <c r="P22" s="161"/>
      <c r="Q22" s="161"/>
      <c r="R22" s="161"/>
      <c r="S22" s="162"/>
      <c r="T22" s="163"/>
      <c r="U22" s="164"/>
      <c r="V22" s="165"/>
      <c r="W22" s="121"/>
      <c r="X22" s="95"/>
      <c r="Y22" s="96"/>
      <c r="Z22" s="120"/>
    </row>
    <row r="23" spans="1:29" ht="32.25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1"/>
      <c r="K23" s="82"/>
      <c r="L23" s="82"/>
      <c r="M23" s="82"/>
      <c r="N23" s="82"/>
      <c r="O23" s="82"/>
      <c r="P23" s="82"/>
      <c r="Q23" s="82"/>
      <c r="R23" s="82"/>
      <c r="S23" s="82"/>
      <c r="T23" s="732" t="s">
        <v>203</v>
      </c>
      <c r="U23" s="733"/>
      <c r="V23" s="166"/>
      <c r="W23" s="166">
        <f>SUM(W9:W17)</f>
        <v>0</v>
      </c>
      <c r="X23" s="166">
        <f>SUM(X9:X17)</f>
        <v>0</v>
      </c>
      <c r="Y23" s="166">
        <f>SUM(Y9:Y17)</f>
        <v>39961110.111131355</v>
      </c>
      <c r="Z23" s="166">
        <f>SUM(Z9:Z17)</f>
        <v>0</v>
      </c>
      <c r="AA23" s="60"/>
    </row>
    <row r="24" spans="1:29" s="136" customFormat="1" ht="43.5" customHeight="1" x14ac:dyDescent="0.25">
      <c r="A24" s="167">
        <v>18</v>
      </c>
      <c r="B24" s="168" t="s">
        <v>204</v>
      </c>
      <c r="C24" s="169" t="s">
        <v>205</v>
      </c>
      <c r="D24" s="170">
        <v>4044845.15</v>
      </c>
      <c r="E24" s="170">
        <v>331677.3</v>
      </c>
      <c r="F24" s="170">
        <v>105036.54</v>
      </c>
      <c r="G24" s="170">
        <v>4481558.99</v>
      </c>
      <c r="H24" s="170">
        <v>4711733.74</v>
      </c>
      <c r="I24" s="171">
        <f>I13</f>
        <v>1.2</v>
      </c>
      <c r="J24" s="172">
        <f t="shared" si="1"/>
        <v>5654080.4900000002</v>
      </c>
      <c r="K24" s="173"/>
      <c r="L24" s="173"/>
      <c r="M24" s="173"/>
      <c r="N24" s="173"/>
      <c r="O24" s="173">
        <v>3594854.48</v>
      </c>
      <c r="P24" s="173">
        <f t="shared" si="2"/>
        <v>3594854.48</v>
      </c>
      <c r="Q24" s="173">
        <f t="shared" si="3"/>
        <v>2059226.0100000002</v>
      </c>
      <c r="R24" s="173" t="s">
        <v>206</v>
      </c>
      <c r="S24" s="174" t="s">
        <v>207</v>
      </c>
      <c r="T24" s="175">
        <f t="shared" si="4"/>
        <v>3594854.48</v>
      </c>
      <c r="U24" s="176">
        <f>Q24</f>
        <v>2059226.0100000002</v>
      </c>
      <c r="V24" s="175">
        <f t="shared" ref="V24" si="7">T24+U24</f>
        <v>5654080.4900000002</v>
      </c>
      <c r="W24" s="132"/>
      <c r="X24" s="95"/>
      <c r="Y24" s="133"/>
      <c r="Z24" s="134"/>
      <c r="AA24" s="135" t="s">
        <v>208</v>
      </c>
    </row>
    <row r="25" spans="1:29" ht="31.5" x14ac:dyDescent="0.25">
      <c r="A25" s="167">
        <v>20</v>
      </c>
      <c r="B25" s="168" t="s">
        <v>209</v>
      </c>
      <c r="C25" s="169" t="s">
        <v>210</v>
      </c>
      <c r="D25" s="170">
        <v>5005903.75</v>
      </c>
      <c r="E25" s="170">
        <v>410484.11</v>
      </c>
      <c r="F25" s="170">
        <v>129993.31</v>
      </c>
      <c r="G25" s="170">
        <v>5546381.1699999999</v>
      </c>
      <c r="H25" s="170">
        <v>5831245.6399999997</v>
      </c>
      <c r="I25" s="171">
        <f>I12</f>
        <v>1.2</v>
      </c>
      <c r="J25" s="172">
        <f>ROUND(H25*I25,2)</f>
        <v>6997494.7699999996</v>
      </c>
      <c r="K25" s="173"/>
      <c r="L25" s="173">
        <v>2298854.48</v>
      </c>
      <c r="M25" s="173"/>
      <c r="N25" s="173"/>
      <c r="O25" s="173"/>
      <c r="P25" s="173">
        <f>K25+L25+M25+N25+O25</f>
        <v>2298854.48</v>
      </c>
      <c r="Q25" s="173">
        <f>J25-K25-L25-M25-N25-O25</f>
        <v>4698640.2899999991</v>
      </c>
      <c r="R25" s="177" t="str">
        <f>R24</f>
        <v>ждем ВОР</v>
      </c>
      <c r="S25" s="174" t="s">
        <v>207</v>
      </c>
      <c r="T25" s="175">
        <f>P25</f>
        <v>2298854.48</v>
      </c>
      <c r="U25" s="176">
        <f>Q25</f>
        <v>4698640.2899999991</v>
      </c>
      <c r="V25" s="175">
        <f>T25+U25</f>
        <v>6997494.7699999996</v>
      </c>
      <c r="W25" s="178"/>
      <c r="X25" s="95"/>
      <c r="Y25" s="96"/>
      <c r="Z25" s="97"/>
      <c r="AA25" s="135" t="s">
        <v>208</v>
      </c>
    </row>
    <row r="26" spans="1:29" ht="33" customHeight="1" thickBot="1" x14ac:dyDescent="0.3">
      <c r="A26" s="179">
        <v>21</v>
      </c>
      <c r="B26" s="180" t="s">
        <v>211</v>
      </c>
      <c r="C26" s="181" t="s">
        <v>212</v>
      </c>
      <c r="D26" s="182">
        <v>48898423.600000001</v>
      </c>
      <c r="E26" s="182">
        <v>4009670.74</v>
      </c>
      <c r="F26" s="182">
        <v>1269794.26</v>
      </c>
      <c r="G26" s="182">
        <v>54177888.600000001</v>
      </c>
      <c r="H26" s="182">
        <v>56960487.710000001</v>
      </c>
      <c r="I26" s="183">
        <f>I16</f>
        <v>1.2</v>
      </c>
      <c r="J26" s="184">
        <f>ROUND(H26*I26,2)</f>
        <v>68352585.25</v>
      </c>
      <c r="K26" s="185"/>
      <c r="L26" s="185"/>
      <c r="M26" s="185">
        <v>11709977.720000001</v>
      </c>
      <c r="N26" s="185"/>
      <c r="O26" s="185">
        <v>3615838.44</v>
      </c>
      <c r="P26" s="185">
        <f>K26+L26+M26+N26+O26</f>
        <v>15325816.16</v>
      </c>
      <c r="Q26" s="185">
        <f>J26-K26-L26-M26-N26-O26</f>
        <v>53026769.090000004</v>
      </c>
      <c r="R26" s="186" t="str">
        <f>R24</f>
        <v>ждем ВОР</v>
      </c>
      <c r="S26" s="187" t="s">
        <v>207</v>
      </c>
      <c r="T26" s="188">
        <f>P26</f>
        <v>15325816.16</v>
      </c>
      <c r="U26" s="189">
        <f>Q26</f>
        <v>53026769.090000004</v>
      </c>
      <c r="V26" s="190">
        <f>T26+U26</f>
        <v>68352585.25</v>
      </c>
      <c r="W26" s="178"/>
      <c r="X26" s="95"/>
      <c r="Y26" s="191"/>
      <c r="Z26" s="192"/>
      <c r="AA26" s="135" t="s">
        <v>208</v>
      </c>
    </row>
    <row r="27" spans="1:29" s="154" customFormat="1" ht="32.25" customHeight="1" thickTop="1" x14ac:dyDescent="0.25">
      <c r="A27" s="193">
        <v>15</v>
      </c>
      <c r="B27" s="194" t="s">
        <v>213</v>
      </c>
      <c r="C27" s="195" t="str">
        <f>[11]ССР!C30</f>
        <v>Восстановительные работы цеха №121/18. АС 3.</v>
      </c>
      <c r="D27" s="196">
        <v>4505948.67</v>
      </c>
      <c r="E27" s="196">
        <v>369487.79</v>
      </c>
      <c r="F27" s="196">
        <v>117010.48</v>
      </c>
      <c r="G27" s="196">
        <v>4992446.9400000004</v>
      </c>
      <c r="H27" s="196">
        <v>5248861.1100000003</v>
      </c>
      <c r="I27" s="197">
        <f>I7</f>
        <v>1.2</v>
      </c>
      <c r="J27" s="198">
        <f>ROUND(H27*I27,2)</f>
        <v>6298633.3300000001</v>
      </c>
      <c r="K27" s="199"/>
      <c r="L27" s="199"/>
      <c r="M27" s="199"/>
      <c r="N27" s="199">
        <v>5245250.92</v>
      </c>
      <c r="O27" s="199"/>
      <c r="P27" s="200">
        <f>K27+L27+M27+N27+O27</f>
        <v>5245250.92</v>
      </c>
      <c r="Q27" s="200">
        <f>J27-K27-L27-M27-N27-O27</f>
        <v>1053382.4100000001</v>
      </c>
      <c r="R27" s="201" t="s">
        <v>214</v>
      </c>
      <c r="S27" s="202" t="s">
        <v>215</v>
      </c>
      <c r="T27" s="203">
        <f>P27</f>
        <v>5245250.92</v>
      </c>
      <c r="U27" s="204" t="s">
        <v>216</v>
      </c>
      <c r="V27" s="203">
        <f>T27</f>
        <v>5245250.92</v>
      </c>
      <c r="W27" s="205" t="s">
        <v>217</v>
      </c>
      <c r="X27" s="150"/>
      <c r="Y27" s="151"/>
      <c r="Z27" s="152"/>
      <c r="AA27" s="734" t="s">
        <v>218</v>
      </c>
      <c r="AC27" s="154" t="s">
        <v>219</v>
      </c>
    </row>
    <row r="28" spans="1:29" s="154" customFormat="1" ht="32.25" thickBot="1" x14ac:dyDescent="0.3">
      <c r="A28" s="206">
        <v>17</v>
      </c>
      <c r="B28" s="207" t="s">
        <v>56</v>
      </c>
      <c r="C28" s="208" t="str">
        <f>[11]ССР!C45</f>
        <v>Трубопровод ливневых сточных вод от трансбордера. НВК1</v>
      </c>
      <c r="D28" s="209">
        <v>1758763.66</v>
      </c>
      <c r="E28" s="209">
        <v>144218.62</v>
      </c>
      <c r="F28" s="209">
        <v>45671.57</v>
      </c>
      <c r="G28" s="209">
        <v>1948653.85</v>
      </c>
      <c r="H28" s="209">
        <v>2048737.53</v>
      </c>
      <c r="I28" s="210">
        <f>I19</f>
        <v>1.2</v>
      </c>
      <c r="J28" s="211">
        <f>ROUND(H28*I28,2)</f>
        <v>2458485.04</v>
      </c>
      <c r="K28" s="212"/>
      <c r="L28" s="212"/>
      <c r="M28" s="212"/>
      <c r="N28" s="212"/>
      <c r="O28" s="212">
        <v>505496.99</v>
      </c>
      <c r="P28" s="213">
        <f>K28+L28+M28+N28+O28</f>
        <v>505496.99</v>
      </c>
      <c r="Q28" s="213">
        <f>J28-K28-L28-M28-N28-O28</f>
        <v>1952988.05</v>
      </c>
      <c r="R28" s="214" t="str">
        <f>R27</f>
        <v>ВОРа на доп. не будет</v>
      </c>
      <c r="S28" s="215" t="s">
        <v>220</v>
      </c>
      <c r="T28" s="216">
        <f>P28</f>
        <v>505496.99</v>
      </c>
      <c r="U28" s="217" t="s">
        <v>216</v>
      </c>
      <c r="V28" s="218">
        <f>T28</f>
        <v>505496.99</v>
      </c>
      <c r="W28" s="149"/>
      <c r="X28" s="150"/>
      <c r="Y28" s="151"/>
      <c r="Z28" s="152"/>
      <c r="AA28" s="734"/>
      <c r="AC28" s="154" t="s">
        <v>219</v>
      </c>
    </row>
    <row r="29" spans="1:29" ht="35.1" customHeight="1" x14ac:dyDescent="0.25">
      <c r="A29" s="219">
        <v>22</v>
      </c>
      <c r="B29" s="220">
        <v>1</v>
      </c>
      <c r="C29" s="221" t="s">
        <v>221</v>
      </c>
      <c r="D29" s="222"/>
      <c r="E29" s="222"/>
      <c r="F29" s="222"/>
      <c r="G29" s="222"/>
      <c r="H29" s="222"/>
      <c r="I29" s="223"/>
      <c r="J29" s="224"/>
      <c r="K29" s="225"/>
      <c r="L29" s="225"/>
      <c r="M29" s="225"/>
      <c r="N29" s="225"/>
      <c r="O29" s="225"/>
      <c r="P29" s="225">
        <f>T29</f>
        <v>4216719.66</v>
      </c>
      <c r="Q29" s="225"/>
      <c r="R29" s="226" t="s">
        <v>184</v>
      </c>
      <c r="S29" s="227" t="s">
        <v>184</v>
      </c>
      <c r="T29" s="228">
        <v>4216719.66</v>
      </c>
      <c r="U29" s="228">
        <v>0</v>
      </c>
      <c r="V29" s="228">
        <f>T29+U29</f>
        <v>4216719.66</v>
      </c>
      <c r="X29" s="229"/>
      <c r="Y29" s="230"/>
      <c r="Z29" s="230"/>
    </row>
    <row r="30" spans="1:29" ht="35.1" customHeight="1" thickBot="1" x14ac:dyDescent="0.3">
      <c r="A30" s="231">
        <v>23</v>
      </c>
      <c r="B30" s="232">
        <v>1</v>
      </c>
      <c r="C30" s="233" t="s">
        <v>223</v>
      </c>
      <c r="D30" s="234"/>
      <c r="E30" s="234"/>
      <c r="F30" s="234"/>
      <c r="G30" s="234"/>
      <c r="H30" s="234"/>
      <c r="I30" s="235"/>
      <c r="J30" s="236"/>
      <c r="K30" s="237"/>
      <c r="L30" s="237"/>
      <c r="M30" s="237"/>
      <c r="N30" s="237"/>
      <c r="O30" s="237"/>
      <c r="P30" s="237">
        <f>T30</f>
        <v>2160473.5</v>
      </c>
      <c r="Q30" s="237"/>
      <c r="R30" s="238" t="s">
        <v>184</v>
      </c>
      <c r="S30" s="239" t="s">
        <v>184</v>
      </c>
      <c r="T30" s="240">
        <v>2160473.5</v>
      </c>
      <c r="U30" s="240">
        <v>0</v>
      </c>
      <c r="V30" s="241">
        <f t="shared" ref="V30" si="8">T30+U30</f>
        <v>2160473.5</v>
      </c>
      <c r="X30" s="242"/>
      <c r="Y30" s="243"/>
      <c r="Z30" s="244"/>
    </row>
    <row r="31" spans="1:29" ht="31.5" customHeight="1" thickTop="1" thickBot="1" x14ac:dyDescent="0.3">
      <c r="A31" s="245"/>
      <c r="B31" s="246" t="s">
        <v>224</v>
      </c>
      <c r="C31" s="247"/>
      <c r="D31" s="248">
        <f>SUM(D6:D28)</f>
        <v>392033916.06000006</v>
      </c>
      <c r="E31" s="247"/>
      <c r="F31" s="249"/>
      <c r="G31" s="248">
        <f>SUM(G6:G28)</f>
        <v>434361033.93000013</v>
      </c>
      <c r="H31" s="248">
        <f>SUM(H6:H28)</f>
        <v>456670000.00999999</v>
      </c>
      <c r="I31" s="248"/>
      <c r="J31" s="248">
        <f>SUM(J6:J28)</f>
        <v>548004000</v>
      </c>
      <c r="K31" s="250">
        <f>SUM(K6:K28)</f>
        <v>210417570.36000001</v>
      </c>
      <c r="L31" s="250">
        <f>SUM(L6:L28)+0.01</f>
        <v>79978331.210000008</v>
      </c>
      <c r="M31" s="250">
        <f>SUM(M6:M28)</f>
        <v>58868164.759999998</v>
      </c>
      <c r="N31" s="250">
        <f>SUM(N6:N28)</f>
        <v>5245250.92</v>
      </c>
      <c r="O31" s="250">
        <f>SUM(O6:O28)</f>
        <v>8616444.9800000004</v>
      </c>
      <c r="P31" s="250">
        <f>SUM(P6:P30)+0.01</f>
        <v>369502955.39000005</v>
      </c>
      <c r="Q31" s="250">
        <f>J31-P31</f>
        <v>178501044.60999995</v>
      </c>
      <c r="R31" s="250"/>
      <c r="S31" s="250"/>
      <c r="T31" s="251">
        <f>SUM(T6:T30)</f>
        <v>369502955.38000005</v>
      </c>
      <c r="U31" s="251">
        <f>SUM(U6:U30)</f>
        <v>147992834.62</v>
      </c>
      <c r="V31" s="251">
        <f>SUM(V6:V30)</f>
        <v>517495790.00000006</v>
      </c>
      <c r="W31" s="94"/>
      <c r="X31" s="252"/>
      <c r="Y31" s="253">
        <f>SUM(Y6:Y28)</f>
        <v>79922220.22226271</v>
      </c>
      <c r="Z31" s="254">
        <f>SUM(Z6:Z28)</f>
        <v>0</v>
      </c>
    </row>
    <row r="32" spans="1:29" ht="32.25" customHeight="1" x14ac:dyDescent="0.25">
      <c r="A32" s="255"/>
      <c r="B32" s="256"/>
      <c r="C32" s="256"/>
      <c r="D32" s="256"/>
      <c r="E32" s="256"/>
      <c r="F32" s="256"/>
      <c r="G32" s="256"/>
      <c r="H32" s="257"/>
      <c r="I32" s="256"/>
      <c r="J32" s="257"/>
      <c r="K32" s="258"/>
      <c r="L32" s="258"/>
      <c r="M32" s="258"/>
      <c r="N32" s="258"/>
      <c r="O32" s="258"/>
      <c r="P32" s="258"/>
      <c r="Q32" s="258"/>
      <c r="R32" s="258"/>
      <c r="S32" s="258"/>
      <c r="T32" s="735" t="s">
        <v>225</v>
      </c>
      <c r="U32" s="736"/>
      <c r="V32" s="259"/>
      <c r="X32" s="77"/>
      <c r="Y32" s="78"/>
      <c r="Z32" s="78"/>
    </row>
    <row r="33" spans="1:27" ht="35.1" customHeight="1" x14ac:dyDescent="0.25">
      <c r="A33" s="99">
        <v>24</v>
      </c>
      <c r="B33" s="260">
        <v>2</v>
      </c>
      <c r="C33" s="101" t="s">
        <v>226</v>
      </c>
      <c r="D33" s="102"/>
      <c r="E33" s="102"/>
      <c r="F33" s="102"/>
      <c r="G33" s="102"/>
      <c r="H33" s="102"/>
      <c r="I33" s="103"/>
      <c r="J33" s="104"/>
      <c r="K33" s="125"/>
      <c r="L33" s="125"/>
      <c r="M33" s="125"/>
      <c r="N33" s="125"/>
      <c r="O33" s="125"/>
      <c r="P33" s="125"/>
      <c r="Q33" s="125"/>
      <c r="R33" s="261" t="s">
        <v>184</v>
      </c>
      <c r="S33" s="107" t="s">
        <v>191</v>
      </c>
      <c r="T33" s="262">
        <v>0</v>
      </c>
      <c r="U33" s="262">
        <v>705505</v>
      </c>
      <c r="V33" s="262">
        <f t="shared" ref="V33:V42" si="9">T33+U33</f>
        <v>705505</v>
      </c>
      <c r="X33" s="229"/>
      <c r="Y33" s="230"/>
      <c r="Z33" s="230"/>
      <c r="AA33" s="62" t="s">
        <v>227</v>
      </c>
    </row>
    <row r="34" spans="1:27" ht="35.1" customHeight="1" x14ac:dyDescent="0.25">
      <c r="A34" s="263">
        <v>25</v>
      </c>
      <c r="B34" s="260">
        <v>3</v>
      </c>
      <c r="C34" s="101" t="s">
        <v>228</v>
      </c>
      <c r="D34" s="102"/>
      <c r="E34" s="102"/>
      <c r="F34" s="102"/>
      <c r="G34" s="102"/>
      <c r="H34" s="102"/>
      <c r="I34" s="103"/>
      <c r="J34" s="104"/>
      <c r="K34" s="125"/>
      <c r="L34" s="125"/>
      <c r="M34" s="125"/>
      <c r="N34" s="125"/>
      <c r="O34" s="125"/>
      <c r="P34" s="125"/>
      <c r="Q34" s="125"/>
      <c r="R34" s="261" t="s">
        <v>184</v>
      </c>
      <c r="S34" s="107" t="str">
        <f>S33</f>
        <v>ВОР подписан, смета отправлена на проверку 21.06</v>
      </c>
      <c r="T34" s="262">
        <v>0</v>
      </c>
      <c r="U34" s="262">
        <v>85851.36</v>
      </c>
      <c r="V34" s="262">
        <f t="shared" si="9"/>
        <v>85851.36</v>
      </c>
      <c r="X34" s="229"/>
      <c r="Y34" s="264"/>
      <c r="Z34" s="264"/>
    </row>
    <row r="35" spans="1:27" ht="35.1" customHeight="1" x14ac:dyDescent="0.25">
      <c r="A35" s="99">
        <v>26</v>
      </c>
      <c r="B35" s="260">
        <v>4</v>
      </c>
      <c r="C35" s="101" t="s">
        <v>229</v>
      </c>
      <c r="D35" s="102"/>
      <c r="E35" s="102"/>
      <c r="F35" s="102"/>
      <c r="G35" s="102"/>
      <c r="H35" s="102"/>
      <c r="I35" s="103"/>
      <c r="J35" s="104"/>
      <c r="K35" s="125"/>
      <c r="L35" s="125"/>
      <c r="M35" s="125"/>
      <c r="N35" s="125"/>
      <c r="O35" s="125"/>
      <c r="P35" s="125"/>
      <c r="Q35" s="125"/>
      <c r="R35" s="261" t="s">
        <v>184</v>
      </c>
      <c r="S35" s="107" t="str">
        <f>S33</f>
        <v>ВОР подписан, смета отправлена на проверку 21.06</v>
      </c>
      <c r="T35" s="262">
        <v>0</v>
      </c>
      <c r="U35" s="262">
        <v>26314.48</v>
      </c>
      <c r="V35" s="262">
        <f t="shared" si="9"/>
        <v>26314.48</v>
      </c>
      <c r="X35" s="229"/>
      <c r="Y35" s="264"/>
      <c r="Z35" s="264"/>
    </row>
    <row r="36" spans="1:27" ht="35.1" customHeight="1" x14ac:dyDescent="0.25">
      <c r="A36" s="263">
        <v>27</v>
      </c>
      <c r="B36" s="260">
        <v>5</v>
      </c>
      <c r="C36" s="101" t="s">
        <v>140</v>
      </c>
      <c r="D36" s="102"/>
      <c r="E36" s="102"/>
      <c r="F36" s="102"/>
      <c r="G36" s="102"/>
      <c r="H36" s="102"/>
      <c r="I36" s="103"/>
      <c r="J36" s="104"/>
      <c r="K36" s="125"/>
      <c r="L36" s="125"/>
      <c r="M36" s="125"/>
      <c r="N36" s="125"/>
      <c r="O36" s="125"/>
      <c r="P36" s="125"/>
      <c r="Q36" s="125"/>
      <c r="R36" s="261" t="s">
        <v>184</v>
      </c>
      <c r="S36" s="107" t="str">
        <f>S33</f>
        <v>ВОР подписан, смета отправлена на проверку 21.06</v>
      </c>
      <c r="T36" s="262">
        <v>0</v>
      </c>
      <c r="U36" s="262">
        <v>208912.6</v>
      </c>
      <c r="V36" s="262">
        <f t="shared" si="9"/>
        <v>208912.6</v>
      </c>
      <c r="X36" s="229"/>
      <c r="Y36" s="264"/>
      <c r="Z36" s="264"/>
    </row>
    <row r="37" spans="1:27" ht="35.1" customHeight="1" thickBot="1" x14ac:dyDescent="0.3">
      <c r="A37" s="99">
        <v>29</v>
      </c>
      <c r="B37" s="265">
        <v>6</v>
      </c>
      <c r="C37" s="266" t="s">
        <v>230</v>
      </c>
      <c r="D37" s="267"/>
      <c r="E37" s="267"/>
      <c r="F37" s="267"/>
      <c r="G37" s="267"/>
      <c r="H37" s="267"/>
      <c r="I37" s="268"/>
      <c r="J37" s="269"/>
      <c r="K37" s="270"/>
      <c r="L37" s="270"/>
      <c r="M37" s="270"/>
      <c r="N37" s="270"/>
      <c r="O37" s="270"/>
      <c r="P37" s="270"/>
      <c r="Q37" s="270"/>
      <c r="R37" s="271" t="s">
        <v>184</v>
      </c>
      <c r="S37" s="272" t="str">
        <f>S33</f>
        <v>ВОР подписан, смета отправлена на проверку 21.06</v>
      </c>
      <c r="T37" s="273">
        <v>0</v>
      </c>
      <c r="U37" s="273">
        <v>570651.94999999995</v>
      </c>
      <c r="V37" s="262">
        <f t="shared" si="9"/>
        <v>570651.94999999995</v>
      </c>
      <c r="X37" s="242"/>
      <c r="Y37" s="243"/>
      <c r="Z37" s="244"/>
    </row>
    <row r="38" spans="1:27" ht="54.75" customHeight="1" thickTop="1" thickBot="1" x14ac:dyDescent="0.3">
      <c r="A38" s="274">
        <v>32</v>
      </c>
      <c r="B38" s="275">
        <v>9</v>
      </c>
      <c r="C38" s="276" t="s">
        <v>231</v>
      </c>
      <c r="D38" s="277"/>
      <c r="E38" s="277"/>
      <c r="F38" s="277"/>
      <c r="G38" s="277"/>
      <c r="H38" s="277"/>
      <c r="I38" s="278"/>
      <c r="J38" s="279"/>
      <c r="K38" s="280"/>
      <c r="L38" s="280"/>
      <c r="M38" s="280"/>
      <c r="N38" s="280"/>
      <c r="O38" s="280"/>
      <c r="P38" s="280"/>
      <c r="Q38" s="280"/>
      <c r="R38" s="281" t="s">
        <v>184</v>
      </c>
      <c r="S38" s="282" t="s">
        <v>232</v>
      </c>
      <c r="T38" s="283">
        <v>0</v>
      </c>
      <c r="U38" s="283">
        <v>2065078.4</v>
      </c>
      <c r="V38" s="283">
        <f t="shared" si="9"/>
        <v>2065078.4</v>
      </c>
      <c r="X38" s="229"/>
      <c r="Y38" s="264"/>
      <c r="Z38" s="264"/>
    </row>
    <row r="39" spans="1:27" ht="35.1" customHeight="1" thickTop="1" thickBot="1" x14ac:dyDescent="0.3">
      <c r="A39" s="274">
        <v>32</v>
      </c>
      <c r="B39" s="275">
        <v>10</v>
      </c>
      <c r="C39" s="276" t="s">
        <v>233</v>
      </c>
      <c r="D39" s="277"/>
      <c r="E39" s="277"/>
      <c r="F39" s="277"/>
      <c r="G39" s="277"/>
      <c r="H39" s="277"/>
      <c r="I39" s="278"/>
      <c r="J39" s="279"/>
      <c r="K39" s="280"/>
      <c r="L39" s="280"/>
      <c r="M39" s="280"/>
      <c r="N39" s="280"/>
      <c r="O39" s="280"/>
      <c r="P39" s="280"/>
      <c r="Q39" s="280"/>
      <c r="R39" s="281" t="s">
        <v>184</v>
      </c>
      <c r="S39" s="282" t="s">
        <v>234</v>
      </c>
      <c r="T39" s="283">
        <v>0</v>
      </c>
      <c r="U39" s="283">
        <v>78531</v>
      </c>
      <c r="V39" s="283">
        <f t="shared" si="9"/>
        <v>78531</v>
      </c>
      <c r="X39" s="229"/>
      <c r="Y39" s="264"/>
      <c r="Z39" s="264"/>
    </row>
    <row r="40" spans="1:27" ht="46.5" customHeight="1" thickTop="1" x14ac:dyDescent="0.25">
      <c r="A40" s="284">
        <v>33</v>
      </c>
      <c r="B40" s="285">
        <v>10</v>
      </c>
      <c r="C40" s="286" t="s">
        <v>235</v>
      </c>
      <c r="D40" s="287"/>
      <c r="E40" s="287"/>
      <c r="F40" s="287"/>
      <c r="G40" s="287"/>
      <c r="H40" s="287"/>
      <c r="I40" s="288"/>
      <c r="J40" s="289"/>
      <c r="K40" s="381"/>
      <c r="L40" s="381"/>
      <c r="M40" s="381"/>
      <c r="N40" s="381"/>
      <c r="O40" s="381"/>
      <c r="P40" s="382"/>
      <c r="Q40" s="382"/>
      <c r="R40" s="383" t="s">
        <v>184</v>
      </c>
      <c r="S40" s="386" t="s">
        <v>250</v>
      </c>
      <c r="T40" s="384">
        <v>0</v>
      </c>
      <c r="U40" s="384">
        <v>389490.94</v>
      </c>
      <c r="V40" s="385">
        <f t="shared" si="9"/>
        <v>389490.94</v>
      </c>
      <c r="W40" s="290"/>
      <c r="X40" s="291"/>
      <c r="Y40" s="292"/>
      <c r="Z40" s="293"/>
    </row>
    <row r="41" spans="1:27" ht="50.25" customHeight="1" thickBot="1" x14ac:dyDescent="0.3">
      <c r="A41" s="294">
        <v>30</v>
      </c>
      <c r="B41" s="295"/>
      <c r="C41" s="296" t="s">
        <v>236</v>
      </c>
      <c r="D41" s="297"/>
      <c r="E41" s="297"/>
      <c r="F41" s="297"/>
      <c r="G41" s="297"/>
      <c r="H41" s="297"/>
      <c r="I41" s="298"/>
      <c r="J41" s="299"/>
      <c r="K41" s="300"/>
      <c r="L41" s="300"/>
      <c r="M41" s="300"/>
      <c r="N41" s="300"/>
      <c r="O41" s="300"/>
      <c r="P41" s="300"/>
      <c r="Q41" s="300"/>
      <c r="R41" s="301" t="s">
        <v>222</v>
      </c>
      <c r="S41" s="387" t="s">
        <v>249</v>
      </c>
      <c r="T41" s="302">
        <v>0</v>
      </c>
      <c r="U41" s="302">
        <v>9690548.2599999998</v>
      </c>
      <c r="V41" s="303">
        <f t="shared" si="9"/>
        <v>9690548.2599999998</v>
      </c>
      <c r="X41" s="242"/>
      <c r="Y41" s="243"/>
      <c r="Z41" s="244"/>
    </row>
    <row r="42" spans="1:27" ht="35.1" customHeight="1" thickTop="1" thickBot="1" x14ac:dyDescent="0.3">
      <c r="A42" s="304">
        <v>34</v>
      </c>
      <c r="B42" s="305"/>
      <c r="C42" s="306" t="s">
        <v>237</v>
      </c>
      <c r="D42" s="307"/>
      <c r="E42" s="307"/>
      <c r="F42" s="307"/>
      <c r="G42" s="307"/>
      <c r="H42" s="307"/>
      <c r="I42" s="308"/>
      <c r="J42" s="309"/>
      <c r="K42" s="310"/>
      <c r="L42" s="310"/>
      <c r="M42" s="310"/>
      <c r="N42" s="310"/>
      <c r="O42" s="310"/>
      <c r="P42" s="311"/>
      <c r="Q42" s="311"/>
      <c r="R42" s="312" t="s">
        <v>184</v>
      </c>
      <c r="S42" s="312" t="s">
        <v>238</v>
      </c>
      <c r="T42" s="313"/>
      <c r="U42" s="313">
        <v>4746000</v>
      </c>
      <c r="V42" s="314">
        <f t="shared" si="9"/>
        <v>4746000</v>
      </c>
      <c r="X42" s="229"/>
      <c r="Y42" s="315"/>
      <c r="Z42" s="316"/>
    </row>
    <row r="43" spans="1:27" ht="35.1" customHeight="1" thickBot="1" x14ac:dyDescent="0.3">
      <c r="A43" s="317"/>
      <c r="B43" s="318"/>
      <c r="C43" s="319"/>
      <c r="D43" s="320"/>
      <c r="E43" s="320"/>
      <c r="F43" s="320"/>
      <c r="G43" s="320"/>
      <c r="H43" s="320"/>
      <c r="I43" s="321"/>
      <c r="J43" s="322"/>
      <c r="K43" s="323"/>
      <c r="L43" s="323"/>
      <c r="M43" s="323"/>
      <c r="N43" s="323"/>
      <c r="O43" s="323"/>
      <c r="P43" s="323"/>
      <c r="Q43" s="323"/>
      <c r="R43" s="324"/>
      <c r="S43" s="325"/>
      <c r="T43" s="326"/>
      <c r="U43" s="327">
        <f>SUM(U33:U42)</f>
        <v>18566883.990000002</v>
      </c>
      <c r="V43" s="327">
        <f>SUM(V33:V42)</f>
        <v>18566883.990000002</v>
      </c>
      <c r="X43" s="242"/>
      <c r="Y43" s="243"/>
      <c r="Z43" s="244"/>
    </row>
    <row r="44" spans="1:27" ht="33" customHeight="1" x14ac:dyDescent="0.25">
      <c r="A44" s="255"/>
      <c r="B44" s="256"/>
      <c r="C44" s="256"/>
      <c r="D44" s="256"/>
      <c r="E44" s="256"/>
      <c r="F44" s="256"/>
      <c r="G44" s="256"/>
      <c r="H44" s="257"/>
      <c r="I44" s="256"/>
      <c r="J44" s="257"/>
      <c r="K44" s="258"/>
      <c r="L44" s="258"/>
      <c r="M44" s="258"/>
      <c r="N44" s="258"/>
      <c r="O44" s="258"/>
      <c r="P44" s="258"/>
      <c r="Q44" s="258"/>
      <c r="R44" s="258"/>
      <c r="S44" s="328"/>
      <c r="T44" s="735" t="s">
        <v>239</v>
      </c>
      <c r="U44" s="736"/>
      <c r="V44" s="259"/>
      <c r="X44" s="77"/>
      <c r="Y44" s="78"/>
      <c r="Z44" s="78"/>
    </row>
    <row r="45" spans="1:27" ht="40.5" customHeight="1" thickBot="1" x14ac:dyDescent="0.3">
      <c r="A45" s="329">
        <v>37</v>
      </c>
      <c r="B45" s="330"/>
      <c r="C45" s="331" t="s">
        <v>240</v>
      </c>
      <c r="D45" s="332"/>
      <c r="E45" s="332"/>
      <c r="F45" s="332"/>
      <c r="G45" s="332"/>
      <c r="H45" s="332"/>
      <c r="I45" s="333"/>
      <c r="J45" s="334"/>
      <c r="K45" s="335"/>
      <c r="L45" s="335"/>
      <c r="M45" s="335"/>
      <c r="N45" s="335"/>
      <c r="O45" s="335"/>
      <c r="P45" s="336"/>
      <c r="Q45" s="336"/>
      <c r="R45" s="337" t="s">
        <v>216</v>
      </c>
      <c r="S45" s="338"/>
      <c r="T45" s="339"/>
      <c r="U45" s="339"/>
      <c r="V45" s="340">
        <f t="shared" ref="V45" si="10">T45+U45</f>
        <v>0</v>
      </c>
      <c r="X45" s="341"/>
      <c r="Y45" s="342"/>
      <c r="Z45" s="343"/>
    </row>
    <row r="46" spans="1:27" ht="31.5" customHeight="1" thickTop="1" thickBot="1" x14ac:dyDescent="0.3">
      <c r="A46" s="344"/>
      <c r="B46" s="345" t="s">
        <v>224</v>
      </c>
      <c r="C46" s="346"/>
      <c r="D46" s="347">
        <f t="shared" ref="D46:J46" si="11">SUM(D33:D45)</f>
        <v>0</v>
      </c>
      <c r="E46" s="347">
        <f t="shared" si="11"/>
        <v>0</v>
      </c>
      <c r="F46" s="347">
        <f t="shared" si="11"/>
        <v>0</v>
      </c>
      <c r="G46" s="347">
        <f t="shared" si="11"/>
        <v>0</v>
      </c>
      <c r="H46" s="347">
        <f t="shared" si="11"/>
        <v>0</v>
      </c>
      <c r="I46" s="347">
        <f t="shared" si="11"/>
        <v>0</v>
      </c>
      <c r="J46" s="347">
        <f t="shared" si="11"/>
        <v>0</v>
      </c>
      <c r="K46" s="348"/>
      <c r="L46" s="348"/>
      <c r="M46" s="348"/>
      <c r="N46" s="348"/>
      <c r="O46" s="348"/>
      <c r="P46" s="348"/>
      <c r="Q46" s="348"/>
      <c r="R46" s="348"/>
      <c r="S46" s="349"/>
      <c r="T46" s="350">
        <f>SUM(T33:T45)</f>
        <v>0</v>
      </c>
      <c r="U46" s="350">
        <f>SUM(U33:U45)-U43</f>
        <v>18566883.990000002</v>
      </c>
      <c r="V46" s="350">
        <f>SUM(V33:V45)-V43</f>
        <v>18566883.990000002</v>
      </c>
      <c r="W46" s="94"/>
      <c r="X46" s="348"/>
      <c r="Y46" s="350">
        <f>SUM(Y33:Y45)</f>
        <v>0</v>
      </c>
      <c r="Z46" s="351">
        <f>SUM(Z33:Z45)</f>
        <v>0</v>
      </c>
    </row>
    <row r="47" spans="1:27" ht="31.5" customHeight="1" thickBot="1" x14ac:dyDescent="0.3">
      <c r="A47" s="352"/>
      <c r="B47" s="318" t="s">
        <v>241</v>
      </c>
      <c r="C47" s="353"/>
      <c r="D47" s="354">
        <f>D31+D46</f>
        <v>392033916.06000006</v>
      </c>
      <c r="E47" s="353"/>
      <c r="F47" s="355"/>
      <c r="G47" s="354">
        <f>SUM(G21:G46)</f>
        <v>510892223.34000015</v>
      </c>
      <c r="H47" s="354">
        <f>SUM(H21:H46)</f>
        <v>537131863.45000005</v>
      </c>
      <c r="I47" s="354"/>
      <c r="J47" s="354">
        <f t="shared" ref="J47:Q47" si="12">J31+J46</f>
        <v>548004000</v>
      </c>
      <c r="K47" s="354">
        <f t="shared" si="12"/>
        <v>210417570.36000001</v>
      </c>
      <c r="L47" s="354">
        <f t="shared" si="12"/>
        <v>79978331.210000008</v>
      </c>
      <c r="M47" s="354">
        <f t="shared" si="12"/>
        <v>58868164.759999998</v>
      </c>
      <c r="N47" s="354">
        <f t="shared" si="12"/>
        <v>5245250.92</v>
      </c>
      <c r="O47" s="354">
        <f t="shared" si="12"/>
        <v>8616444.9800000004</v>
      </c>
      <c r="P47" s="354">
        <f t="shared" si="12"/>
        <v>369502955.39000005</v>
      </c>
      <c r="Q47" s="354">
        <f t="shared" si="12"/>
        <v>178501044.60999995</v>
      </c>
      <c r="R47" s="354"/>
      <c r="S47" s="356"/>
      <c r="T47" s="327">
        <f>T31+T46</f>
        <v>369502955.38000005</v>
      </c>
      <c r="U47" s="327">
        <f>U31+U46</f>
        <v>166559718.61000001</v>
      </c>
      <c r="V47" s="327">
        <f>V31+V46</f>
        <v>536062673.99000007</v>
      </c>
      <c r="W47" s="94"/>
      <c r="X47" s="354"/>
      <c r="Y47" s="327">
        <f>Y31+Y46</f>
        <v>79922220.22226271</v>
      </c>
      <c r="Z47" s="357">
        <f>Z31+Z46</f>
        <v>0</v>
      </c>
      <c r="AA47" s="62">
        <f>V47/1.0514</f>
        <v>509856071.89461684</v>
      </c>
    </row>
    <row r="48" spans="1:27" x14ac:dyDescent="0.25">
      <c r="AA48" s="358">
        <f>J47/AA47</f>
        <v>1.0748209744048474</v>
      </c>
    </row>
    <row r="50" spans="1:27" x14ac:dyDescent="0.25">
      <c r="V50" s="131"/>
    </row>
    <row r="51" spans="1:27" x14ac:dyDescent="0.25">
      <c r="T51" s="131"/>
      <c r="V51" s="131"/>
    </row>
    <row r="52" spans="1:27" hidden="1" x14ac:dyDescent="0.25">
      <c r="T52" s="131"/>
    </row>
    <row r="53" spans="1:27" ht="35.1" hidden="1" customHeight="1" thickBot="1" x14ac:dyDescent="0.3">
      <c r="A53" s="359">
        <v>31</v>
      </c>
      <c r="B53" s="360">
        <v>8</v>
      </c>
      <c r="C53" s="361" t="s">
        <v>242</v>
      </c>
      <c r="D53" s="362"/>
      <c r="E53" s="362"/>
      <c r="F53" s="362"/>
      <c r="G53" s="362"/>
      <c r="H53" s="362"/>
      <c r="I53" s="363"/>
      <c r="J53" s="364"/>
      <c r="K53" s="365"/>
      <c r="L53" s="365"/>
      <c r="M53" s="365"/>
      <c r="N53" s="365"/>
      <c r="O53" s="365"/>
      <c r="P53" s="366"/>
      <c r="Q53" s="366"/>
      <c r="R53" s="367" t="s">
        <v>184</v>
      </c>
      <c r="S53" s="107" t="s">
        <v>243</v>
      </c>
      <c r="T53" s="368">
        <v>0</v>
      </c>
      <c r="U53" s="368">
        <v>107940.55</v>
      </c>
      <c r="V53" s="369">
        <f>T53+U53</f>
        <v>107940.55</v>
      </c>
      <c r="X53" s="229"/>
      <c r="Y53" s="315"/>
      <c r="Z53" s="316"/>
      <c r="AA53" s="725" t="s">
        <v>244</v>
      </c>
    </row>
    <row r="54" spans="1:27" ht="35.1" hidden="1" customHeight="1" thickTop="1" x14ac:dyDescent="0.25">
      <c r="A54" s="99">
        <v>28</v>
      </c>
      <c r="B54" s="260">
        <v>7</v>
      </c>
      <c r="C54" s="101" t="s">
        <v>245</v>
      </c>
      <c r="D54" s="102"/>
      <c r="E54" s="102"/>
      <c r="F54" s="102"/>
      <c r="G54" s="102"/>
      <c r="H54" s="102"/>
      <c r="I54" s="103"/>
      <c r="J54" s="104"/>
      <c r="K54" s="125"/>
      <c r="L54" s="125"/>
      <c r="M54" s="125"/>
      <c r="N54" s="125"/>
      <c r="O54" s="125"/>
      <c r="P54" s="125"/>
      <c r="Q54" s="125"/>
      <c r="R54" s="370" t="s">
        <v>184</v>
      </c>
      <c r="S54" s="107" t="str">
        <f>S33</f>
        <v>ВОР подписан, смета отправлена на проверку 21.06</v>
      </c>
      <c r="T54" s="371">
        <v>0</v>
      </c>
      <c r="U54" s="371">
        <v>231084.76</v>
      </c>
      <c r="V54" s="262">
        <f>T54+U54</f>
        <v>231084.76</v>
      </c>
      <c r="X54" s="229"/>
      <c r="Y54" s="315"/>
      <c r="Z54" s="316"/>
      <c r="AA54" s="725"/>
    </row>
    <row r="55" spans="1:27" ht="52.5" hidden="1" customHeight="1" x14ac:dyDescent="0.25">
      <c r="A55" s="304">
        <v>36</v>
      </c>
      <c r="B55" s="305"/>
      <c r="C55" s="306" t="s">
        <v>246</v>
      </c>
      <c r="D55" s="307"/>
      <c r="E55" s="307"/>
      <c r="F55" s="307"/>
      <c r="G55" s="307"/>
      <c r="H55" s="307"/>
      <c r="I55" s="308"/>
      <c r="J55" s="309"/>
      <c r="K55" s="310"/>
      <c r="L55" s="310"/>
      <c r="M55" s="310"/>
      <c r="N55" s="310"/>
      <c r="O55" s="310"/>
      <c r="P55" s="311"/>
      <c r="Q55" s="311"/>
      <c r="R55" s="372" t="s">
        <v>216</v>
      </c>
      <c r="S55" s="373"/>
      <c r="T55" s="313"/>
      <c r="U55" s="313"/>
      <c r="V55" s="314">
        <f>T55+U55</f>
        <v>0</v>
      </c>
      <c r="X55" s="229"/>
      <c r="Y55" s="315"/>
      <c r="Z55" s="316"/>
      <c r="AA55" s="374" t="s">
        <v>247</v>
      </c>
    </row>
    <row r="56" spans="1:27" x14ac:dyDescent="0.25">
      <c r="T56" s="131"/>
    </row>
    <row r="57" spans="1:27" x14ac:dyDescent="0.25">
      <c r="V57" s="131"/>
    </row>
    <row r="67" spans="1:27" s="65" customFormat="1" ht="54.95" customHeight="1" x14ac:dyDescent="0.25">
      <c r="A67" s="60"/>
      <c r="B67" s="375"/>
      <c r="C67" s="60"/>
      <c r="D67" s="376"/>
      <c r="E67" s="60"/>
      <c r="F67" s="377"/>
      <c r="G67" s="376"/>
      <c r="H67" s="376"/>
      <c r="I67" s="376"/>
      <c r="J67" s="376"/>
      <c r="K67" s="376"/>
      <c r="M67" s="59"/>
      <c r="O67" s="59"/>
      <c r="P67" s="60"/>
      <c r="Q67" s="60"/>
      <c r="R67" s="60"/>
      <c r="S67" s="60"/>
      <c r="T67" s="60"/>
      <c r="U67" s="60"/>
      <c r="V67" s="60"/>
      <c r="W67" s="61"/>
      <c r="X67" s="60"/>
      <c r="Y67" s="60"/>
      <c r="Z67" s="60"/>
      <c r="AA67" s="378"/>
    </row>
    <row r="68" spans="1:27" s="65" customFormat="1" x14ac:dyDescent="0.25">
      <c r="A68" s="60"/>
      <c r="B68" s="60"/>
      <c r="C68" s="60"/>
      <c r="D68" s="131">
        <f>[11]ССР!H58</f>
        <v>392033.92</v>
      </c>
      <c r="E68" s="60"/>
      <c r="F68" s="131"/>
      <c r="G68" s="131">
        <f>[11]ССР!H76</f>
        <v>434361.04</v>
      </c>
      <c r="H68" s="131">
        <f>[11]ССР!H78</f>
        <v>456670</v>
      </c>
      <c r="I68" s="60"/>
      <c r="J68" s="131"/>
      <c r="K68" s="59"/>
      <c r="M68" s="59"/>
      <c r="O68" s="59"/>
      <c r="P68" s="60"/>
      <c r="Q68" s="60"/>
      <c r="R68" s="60"/>
      <c r="S68" s="60"/>
      <c r="T68" s="60"/>
      <c r="U68" s="60"/>
      <c r="V68" s="60"/>
      <c r="W68" s="61"/>
      <c r="X68" s="60"/>
      <c r="Y68" s="60"/>
      <c r="Z68" s="60"/>
      <c r="AA68" s="378"/>
    </row>
    <row r="69" spans="1:27" s="65" customFormat="1" x14ac:dyDescent="0.25">
      <c r="A69" s="60"/>
      <c r="B69" s="60"/>
      <c r="C69" s="60"/>
      <c r="D69" s="131">
        <f>D31/1000</f>
        <v>392033.91606000008</v>
      </c>
      <c r="E69" s="60"/>
      <c r="F69" s="379"/>
      <c r="G69" s="380">
        <f>G31/1000</f>
        <v>434361.03393000015</v>
      </c>
      <c r="H69" s="380">
        <f>H31/1000</f>
        <v>456670.00001000002</v>
      </c>
      <c r="I69" s="60"/>
      <c r="J69" s="131"/>
      <c r="K69" s="376"/>
      <c r="M69" s="59"/>
      <c r="O69" s="59"/>
      <c r="P69" s="60"/>
      <c r="Q69" s="60"/>
      <c r="R69" s="60"/>
      <c r="S69" s="60"/>
      <c r="T69" s="60"/>
      <c r="U69" s="60"/>
      <c r="V69" s="60"/>
      <c r="W69" s="61"/>
      <c r="X69" s="60"/>
      <c r="Y69" s="60"/>
      <c r="Z69" s="60"/>
      <c r="AA69" s="378"/>
    </row>
    <row r="70" spans="1:27" s="65" customFormat="1" x14ac:dyDescent="0.25">
      <c r="A70" s="60"/>
      <c r="B70" s="60"/>
      <c r="C70" s="60"/>
      <c r="D70" s="131"/>
      <c r="E70" s="131"/>
      <c r="F70" s="379"/>
      <c r="G70" s="60"/>
      <c r="H70" s="60"/>
      <c r="I70" s="60"/>
      <c r="J70" s="60"/>
      <c r="M70" s="59"/>
      <c r="O70" s="59"/>
      <c r="P70" s="60"/>
      <c r="Q70" s="60"/>
      <c r="R70" s="60"/>
      <c r="S70" s="60"/>
      <c r="T70" s="60"/>
      <c r="U70" s="60"/>
      <c r="V70" s="60"/>
      <c r="W70" s="61"/>
      <c r="X70" s="60"/>
      <c r="Y70" s="60"/>
      <c r="Z70" s="60"/>
      <c r="AA70" s="378"/>
    </row>
    <row r="90" spans="1:1" x14ac:dyDescent="0.25">
      <c r="A90" s="60">
        <v>7</v>
      </c>
    </row>
  </sheetData>
  <autoFilter ref="A3:W47" xr:uid="{00000000-0001-0000-0100-000000000000}"/>
  <mergeCells count="14">
    <mergeCell ref="AA53:AA54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1" manualBreakCount="1">
    <brk id="56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1195-A99F-419B-9C4F-FDBDDC5E16DE}">
  <dimension ref="A1:P39"/>
  <sheetViews>
    <sheetView zoomScaleNormal="100" workbookViewId="0">
      <selection activeCell="K15" sqref="K15"/>
    </sheetView>
  </sheetViews>
  <sheetFormatPr defaultRowHeight="15.75" outlineLevelCol="1" x14ac:dyDescent="0.25"/>
  <cols>
    <col min="1" max="1" width="6.42578125" style="57" bestFit="1" customWidth="1"/>
    <col min="2" max="2" width="17" style="2" bestFit="1" customWidth="1"/>
    <col min="3" max="3" width="57.28515625" style="2" customWidth="1"/>
    <col min="4" max="4" width="15.7109375" style="57" hidden="1" customWidth="1" outlineLevel="1"/>
    <col min="5" max="5" width="14.140625" style="9" hidden="1" customWidth="1" outlineLevel="1"/>
    <col min="6" max="6" width="13.42578125" style="9" hidden="1" customWidth="1" outlineLevel="1"/>
    <col min="7" max="8" width="18.28515625" style="2" hidden="1" customWidth="1" outlineLevel="1"/>
    <col min="9" max="9" width="27.85546875" style="2" hidden="1" customWidth="1" outlineLevel="1"/>
    <col min="10" max="10" width="18.85546875" style="2" hidden="1" customWidth="1" outlineLevel="1"/>
    <col min="11" max="11" width="28.140625" style="2" customWidth="1" collapsed="1"/>
    <col min="12" max="12" width="20.7109375" style="57" customWidth="1"/>
    <col min="13" max="14" width="28.5703125" style="2" customWidth="1"/>
    <col min="15" max="15" width="13.7109375" style="2" customWidth="1"/>
    <col min="16" max="16" width="28.5703125" style="2" customWidth="1"/>
    <col min="17" max="16384" width="9.140625" style="2"/>
  </cols>
  <sheetData>
    <row r="1" spans="1:14" x14ac:dyDescent="0.25">
      <c r="A1" s="737" t="s">
        <v>100</v>
      </c>
      <c r="B1" s="737"/>
      <c r="C1" s="2" t="s">
        <v>101</v>
      </c>
      <c r="D1" s="2"/>
    </row>
    <row r="2" spans="1:14" x14ac:dyDescent="0.25">
      <c r="A2" s="737" t="s">
        <v>102</v>
      </c>
      <c r="B2" s="737"/>
      <c r="C2" s="2" t="s">
        <v>107</v>
      </c>
      <c r="D2" s="2"/>
    </row>
    <row r="3" spans="1:14" x14ac:dyDescent="0.25">
      <c r="A3" s="737" t="s">
        <v>103</v>
      </c>
      <c r="B3" s="737"/>
      <c r="C3" s="2" t="s">
        <v>104</v>
      </c>
      <c r="D3" s="2"/>
    </row>
    <row r="4" spans="1:14" x14ac:dyDescent="0.25">
      <c r="A4" s="737" t="s">
        <v>105</v>
      </c>
      <c r="B4" s="737"/>
      <c r="C4" s="21">
        <v>456670000</v>
      </c>
      <c r="D4" s="2"/>
      <c r="G4" s="2" t="s">
        <v>109</v>
      </c>
    </row>
    <row r="5" spans="1:14" x14ac:dyDescent="0.25">
      <c r="B5" s="2" t="s">
        <v>106</v>
      </c>
      <c r="C5" s="21">
        <v>548004000</v>
      </c>
      <c r="D5" s="2"/>
    </row>
    <row r="6" spans="1:14" x14ac:dyDescent="0.25">
      <c r="C6" s="21"/>
      <c r="D6" s="2"/>
    </row>
    <row r="7" spans="1:14" x14ac:dyDescent="0.25">
      <c r="A7" s="738" t="s">
        <v>151</v>
      </c>
      <c r="B7" s="739"/>
      <c r="C7" s="739"/>
      <c r="D7" s="739"/>
      <c r="E7" s="739"/>
    </row>
    <row r="8" spans="1:14" ht="31.5" x14ac:dyDescent="0.25">
      <c r="A8" s="1" t="s">
        <v>0</v>
      </c>
      <c r="B8" s="1" t="s">
        <v>1</v>
      </c>
      <c r="C8" s="1" t="s">
        <v>2</v>
      </c>
      <c r="D8" s="1" t="s">
        <v>3</v>
      </c>
      <c r="E8" s="7" t="s">
        <v>4</v>
      </c>
      <c r="F8" s="7" t="s">
        <v>66</v>
      </c>
      <c r="G8" s="1" t="s">
        <v>75</v>
      </c>
      <c r="H8" s="1" t="s">
        <v>76</v>
      </c>
      <c r="K8" s="39" t="s">
        <v>124</v>
      </c>
      <c r="L8" s="39" t="s">
        <v>145</v>
      </c>
      <c r="M8" s="1" t="s">
        <v>125</v>
      </c>
      <c r="N8" s="1" t="s">
        <v>122</v>
      </c>
    </row>
    <row r="9" spans="1:14" ht="31.5" x14ac:dyDescent="0.25">
      <c r="A9" s="3">
        <v>1</v>
      </c>
      <c r="B9" s="4" t="s">
        <v>7</v>
      </c>
      <c r="C9" s="4" t="s">
        <v>39</v>
      </c>
      <c r="D9" s="3" t="s">
        <v>5</v>
      </c>
      <c r="E9" s="8"/>
      <c r="F9" s="22"/>
      <c r="G9" s="12"/>
      <c r="H9" s="28"/>
      <c r="K9" s="11"/>
      <c r="L9" s="3"/>
      <c r="M9" s="12"/>
      <c r="N9" s="12"/>
    </row>
    <row r="10" spans="1:14" ht="31.5" x14ac:dyDescent="0.25">
      <c r="A10" s="3">
        <v>2</v>
      </c>
      <c r="B10" s="4" t="s">
        <v>8</v>
      </c>
      <c r="C10" s="4" t="s">
        <v>40</v>
      </c>
      <c r="D10" s="3" t="s">
        <v>5</v>
      </c>
      <c r="E10" s="8"/>
      <c r="F10" s="8" t="s">
        <v>69</v>
      </c>
      <c r="G10" s="37">
        <v>32295425.949999999</v>
      </c>
      <c r="H10" s="27" t="s">
        <v>121</v>
      </c>
      <c r="K10" s="11"/>
      <c r="L10" s="3"/>
      <c r="M10" s="12"/>
      <c r="N10" s="12"/>
    </row>
    <row r="11" spans="1:14" ht="31.5" x14ac:dyDescent="0.25">
      <c r="A11" s="3">
        <v>3</v>
      </c>
      <c r="B11" s="4" t="s">
        <v>9</v>
      </c>
      <c r="C11" s="4" t="s">
        <v>41</v>
      </c>
      <c r="D11" s="5">
        <v>45084</v>
      </c>
      <c r="E11" s="8"/>
      <c r="F11" s="8" t="s">
        <v>70</v>
      </c>
      <c r="G11" s="37">
        <v>1940975.39</v>
      </c>
      <c r="H11" s="27" t="s">
        <v>121</v>
      </c>
      <c r="K11" s="40" t="s">
        <v>133</v>
      </c>
      <c r="L11" s="27"/>
      <c r="M11" s="37">
        <v>1443722.84</v>
      </c>
      <c r="N11" s="12">
        <v>1456503.54</v>
      </c>
    </row>
    <row r="12" spans="1:14" ht="31.5" x14ac:dyDescent="0.25">
      <c r="A12" s="3">
        <v>4</v>
      </c>
      <c r="B12" s="29" t="s">
        <v>10</v>
      </c>
      <c r="C12" s="4" t="s">
        <v>42</v>
      </c>
      <c r="D12" s="3" t="s">
        <v>5</v>
      </c>
      <c r="E12" s="10" t="s">
        <v>113</v>
      </c>
      <c r="F12" s="24" t="s">
        <v>55</v>
      </c>
      <c r="G12" s="36"/>
      <c r="H12" s="27">
        <v>45134</v>
      </c>
      <c r="K12" s="11"/>
      <c r="L12" s="3"/>
      <c r="M12" s="12"/>
      <c r="N12" s="12"/>
    </row>
    <row r="13" spans="1:14" ht="31.5" x14ac:dyDescent="0.25">
      <c r="A13" s="3">
        <v>5</v>
      </c>
      <c r="B13" s="4" t="s">
        <v>11</v>
      </c>
      <c r="C13" s="4" t="s">
        <v>43</v>
      </c>
      <c r="D13" s="5">
        <v>45085</v>
      </c>
      <c r="E13" s="8"/>
      <c r="F13" s="24" t="s">
        <v>58</v>
      </c>
      <c r="G13" s="12"/>
      <c r="H13" s="27" t="s">
        <v>120</v>
      </c>
      <c r="I13" s="2" t="s">
        <v>117</v>
      </c>
      <c r="J13" s="2" t="s">
        <v>115</v>
      </c>
      <c r="K13" s="11"/>
      <c r="L13" s="3"/>
      <c r="M13" s="12"/>
      <c r="N13" s="12"/>
    </row>
    <row r="14" spans="1:14" ht="31.5" x14ac:dyDescent="0.25">
      <c r="A14" s="3">
        <v>6</v>
      </c>
      <c r="B14" s="4" t="s">
        <v>12</v>
      </c>
      <c r="C14" s="4" t="s">
        <v>44</v>
      </c>
      <c r="D14" s="5">
        <v>45078</v>
      </c>
      <c r="E14" s="8"/>
      <c r="F14" s="8" t="s">
        <v>64</v>
      </c>
      <c r="G14" s="12"/>
      <c r="H14" s="27" t="s">
        <v>119</v>
      </c>
      <c r="K14" s="11"/>
      <c r="L14" s="3"/>
      <c r="M14" s="12"/>
      <c r="N14" s="12"/>
    </row>
    <row r="15" spans="1:14" x14ac:dyDescent="0.25">
      <c r="A15" s="3">
        <v>1</v>
      </c>
      <c r="B15" s="4" t="s">
        <v>47</v>
      </c>
      <c r="C15" s="4" t="s">
        <v>51</v>
      </c>
      <c r="D15" s="3" t="s">
        <v>5</v>
      </c>
      <c r="E15" s="8"/>
      <c r="F15" s="22"/>
      <c r="G15" s="12"/>
      <c r="H15" s="28"/>
      <c r="K15" s="11"/>
      <c r="L15" s="3"/>
      <c r="M15" s="12"/>
      <c r="N15" s="12"/>
    </row>
    <row r="16" spans="1:14" x14ac:dyDescent="0.25">
      <c r="A16" s="3">
        <v>2</v>
      </c>
      <c r="B16" s="4" t="s">
        <v>48</v>
      </c>
      <c r="C16" s="4" t="s">
        <v>52</v>
      </c>
      <c r="D16" s="3" t="s">
        <v>5</v>
      </c>
      <c r="E16" s="8"/>
      <c r="F16" s="22"/>
      <c r="G16" s="12"/>
      <c r="H16" s="28"/>
      <c r="K16" s="11"/>
      <c r="L16" s="3"/>
      <c r="M16" s="12"/>
      <c r="N16" s="12"/>
    </row>
    <row r="17" spans="1:16" x14ac:dyDescent="0.25">
      <c r="A17" s="3">
        <v>3</v>
      </c>
      <c r="B17" s="4" t="s">
        <v>49</v>
      </c>
      <c r="C17" s="4" t="s">
        <v>53</v>
      </c>
      <c r="D17" s="3" t="s">
        <v>5</v>
      </c>
      <c r="E17" s="8"/>
      <c r="F17" s="22" t="s">
        <v>71</v>
      </c>
      <c r="G17" s="12">
        <v>21770453.52</v>
      </c>
      <c r="H17" s="28"/>
      <c r="K17" s="11"/>
      <c r="L17" s="3"/>
      <c r="M17" s="12"/>
      <c r="N17" s="12"/>
    </row>
    <row r="18" spans="1:16" ht="31.5" x14ac:dyDescent="0.25">
      <c r="A18" s="3">
        <v>4</v>
      </c>
      <c r="B18" s="4" t="s">
        <v>50</v>
      </c>
      <c r="C18" s="4" t="s">
        <v>54</v>
      </c>
      <c r="D18" s="3" t="s">
        <v>5</v>
      </c>
      <c r="E18" s="8"/>
      <c r="F18" s="22" t="s">
        <v>72</v>
      </c>
      <c r="G18" s="12">
        <f>1361289.47+27969973.22</f>
        <v>29331262.689999998</v>
      </c>
      <c r="H18" s="28"/>
      <c r="K18" s="11"/>
      <c r="L18" s="3"/>
      <c r="M18" s="12"/>
      <c r="N18" s="12"/>
    </row>
    <row r="19" spans="1:16" ht="21" customHeight="1" x14ac:dyDescent="0.25">
      <c r="A19" s="3">
        <v>5</v>
      </c>
      <c r="B19" s="4" t="s">
        <v>13</v>
      </c>
      <c r="C19" s="4" t="s">
        <v>45</v>
      </c>
      <c r="D19" s="5">
        <v>45079</v>
      </c>
      <c r="E19" s="8"/>
      <c r="F19" s="22" t="s">
        <v>71</v>
      </c>
      <c r="G19" s="12"/>
      <c r="H19" s="28"/>
      <c r="K19" s="11"/>
      <c r="L19" s="3"/>
      <c r="M19" s="12"/>
      <c r="N19" s="12"/>
    </row>
    <row r="20" spans="1:16" ht="31.5" x14ac:dyDescent="0.25">
      <c r="A20" s="3">
        <v>6</v>
      </c>
      <c r="B20" s="26" t="s">
        <v>14</v>
      </c>
      <c r="C20" s="4" t="s">
        <v>27</v>
      </c>
      <c r="D20" s="5">
        <v>45082</v>
      </c>
      <c r="E20" s="8" t="s">
        <v>113</v>
      </c>
      <c r="F20" s="8" t="s">
        <v>77</v>
      </c>
      <c r="G20" s="25">
        <v>6291781.7999999998</v>
      </c>
      <c r="H20" s="27" t="s">
        <v>110</v>
      </c>
      <c r="I20" s="2" t="s">
        <v>117</v>
      </c>
      <c r="J20" s="2" t="s">
        <v>115</v>
      </c>
      <c r="K20" s="11"/>
      <c r="L20" s="3"/>
      <c r="M20" s="12"/>
      <c r="N20" s="12"/>
    </row>
    <row r="21" spans="1:16" ht="31.5" x14ac:dyDescent="0.25">
      <c r="A21" s="3">
        <v>7</v>
      </c>
      <c r="B21" s="26" t="s">
        <v>15</v>
      </c>
      <c r="C21" s="4" t="s">
        <v>28</v>
      </c>
      <c r="D21" s="5">
        <v>45082</v>
      </c>
      <c r="E21" s="8" t="s">
        <v>113</v>
      </c>
      <c r="F21" s="8" t="s">
        <v>74</v>
      </c>
      <c r="G21" s="12">
        <v>2885803.14</v>
      </c>
      <c r="H21" s="27" t="s">
        <v>112</v>
      </c>
      <c r="I21" s="2" t="s">
        <v>117</v>
      </c>
      <c r="J21" s="2" t="s">
        <v>115</v>
      </c>
      <c r="K21" s="56" t="s">
        <v>150</v>
      </c>
      <c r="L21" s="5" t="s">
        <v>95</v>
      </c>
      <c r="M21" s="12">
        <v>3384444.47</v>
      </c>
      <c r="N21" s="12">
        <v>3262429.24</v>
      </c>
    </row>
    <row r="22" spans="1:16" ht="31.5" x14ac:dyDescent="0.25">
      <c r="A22" s="3">
        <v>8</v>
      </c>
      <c r="B22" s="4" t="s">
        <v>16</v>
      </c>
      <c r="C22" s="4" t="s">
        <v>29</v>
      </c>
      <c r="D22" s="5">
        <v>45065</v>
      </c>
      <c r="E22" s="8" t="s">
        <v>6</v>
      </c>
      <c r="F22" s="8" t="s">
        <v>63</v>
      </c>
      <c r="G22" s="12">
        <v>59019140.100000001</v>
      </c>
      <c r="H22" s="27" t="s">
        <v>119</v>
      </c>
      <c r="I22" s="35" t="s">
        <v>114</v>
      </c>
      <c r="J22" s="35" t="s">
        <v>115</v>
      </c>
      <c r="K22" s="11"/>
      <c r="L22" s="3"/>
      <c r="M22" s="12"/>
      <c r="N22" s="12"/>
    </row>
    <row r="23" spans="1:16" ht="31.5" x14ac:dyDescent="0.25">
      <c r="A23" s="3">
        <v>9</v>
      </c>
      <c r="B23" s="4" t="s">
        <v>17</v>
      </c>
      <c r="C23" s="4" t="s">
        <v>30</v>
      </c>
      <c r="D23" s="5">
        <v>45076</v>
      </c>
      <c r="E23" s="8" t="s">
        <v>113</v>
      </c>
      <c r="F23" s="22" t="s">
        <v>62</v>
      </c>
      <c r="G23" s="12">
        <v>7067783.4100000001</v>
      </c>
      <c r="H23" s="28"/>
      <c r="I23" s="2" t="s">
        <v>117</v>
      </c>
      <c r="J23" s="38" t="s">
        <v>115</v>
      </c>
      <c r="K23" s="55">
        <v>45464</v>
      </c>
      <c r="L23" s="5"/>
      <c r="M23" s="12">
        <v>6207964.7800000003</v>
      </c>
      <c r="N23" s="12"/>
      <c r="O23" s="2" t="s">
        <v>144</v>
      </c>
    </row>
    <row r="24" spans="1:16" ht="47.25" x14ac:dyDescent="0.25">
      <c r="A24" s="3">
        <v>10</v>
      </c>
      <c r="B24" s="4" t="s">
        <v>18</v>
      </c>
      <c r="C24" s="4" t="s">
        <v>31</v>
      </c>
      <c r="D24" s="3" t="s">
        <v>5</v>
      </c>
      <c r="E24" s="8"/>
      <c r="F24" s="8" t="s">
        <v>67</v>
      </c>
      <c r="G24" s="36">
        <v>495458.11</v>
      </c>
      <c r="H24" s="27">
        <v>45134</v>
      </c>
      <c r="K24" s="11" t="s">
        <v>126</v>
      </c>
      <c r="L24" s="3"/>
      <c r="M24" s="12">
        <v>1575220.02</v>
      </c>
      <c r="N24" s="12">
        <v>1031742.17</v>
      </c>
    </row>
    <row r="25" spans="1:16" ht="31.5" x14ac:dyDescent="0.25">
      <c r="A25" s="3">
        <v>11</v>
      </c>
      <c r="B25" s="4" t="s">
        <v>19</v>
      </c>
      <c r="C25" s="4" t="s">
        <v>32</v>
      </c>
      <c r="D25" s="3" t="s">
        <v>5</v>
      </c>
      <c r="E25" s="8"/>
      <c r="F25" s="8" t="s">
        <v>68</v>
      </c>
      <c r="G25" s="36">
        <v>7445703.2199999997</v>
      </c>
      <c r="H25" s="27">
        <v>45134</v>
      </c>
      <c r="K25" s="40" t="s">
        <v>138</v>
      </c>
      <c r="L25" s="27"/>
      <c r="M25" s="37">
        <v>15932592.16</v>
      </c>
      <c r="N25" s="12">
        <v>13422525.939999999</v>
      </c>
      <c r="O25" s="2" t="s">
        <v>135</v>
      </c>
    </row>
    <row r="26" spans="1:16" ht="31.5" x14ac:dyDescent="0.25">
      <c r="A26" s="3">
        <v>12</v>
      </c>
      <c r="B26" s="29" t="s">
        <v>20</v>
      </c>
      <c r="C26" s="4" t="s">
        <v>33</v>
      </c>
      <c r="D26" s="3" t="s">
        <v>5</v>
      </c>
      <c r="E26" s="10" t="s">
        <v>113</v>
      </c>
      <c r="F26" s="23" t="s">
        <v>56</v>
      </c>
      <c r="G26" s="12">
        <v>5998546.8799999999</v>
      </c>
      <c r="H26" s="28"/>
      <c r="I26" s="20"/>
      <c r="K26" s="15" t="s">
        <v>147</v>
      </c>
      <c r="L26" s="5"/>
      <c r="M26" s="37">
        <v>2121713.88</v>
      </c>
      <c r="N26" s="12">
        <v>1726425.23</v>
      </c>
    </row>
    <row r="27" spans="1:16" ht="31.5" x14ac:dyDescent="0.25">
      <c r="A27" s="3">
        <v>13</v>
      </c>
      <c r="B27" s="4" t="s">
        <v>21</v>
      </c>
      <c r="C27" s="4" t="s">
        <v>34</v>
      </c>
      <c r="D27" s="3" t="s">
        <v>5</v>
      </c>
      <c r="E27" s="8"/>
      <c r="F27" s="22" t="s">
        <v>61</v>
      </c>
      <c r="G27" s="12">
        <v>25631687.579999998</v>
      </c>
      <c r="H27" s="28"/>
      <c r="K27" s="15" t="s">
        <v>148</v>
      </c>
      <c r="L27" s="5"/>
      <c r="M27" s="37">
        <v>2987164.98</v>
      </c>
      <c r="N27" s="12">
        <v>2827828.36</v>
      </c>
    </row>
    <row r="28" spans="1:16" s="35" customFormat="1" ht="31.5" x14ac:dyDescent="0.25">
      <c r="A28" s="30">
        <v>14</v>
      </c>
      <c r="B28" s="31" t="s">
        <v>22</v>
      </c>
      <c r="C28" s="31" t="s">
        <v>57</v>
      </c>
      <c r="D28" s="30" t="s">
        <v>5</v>
      </c>
      <c r="E28" s="32"/>
      <c r="F28" s="32" t="s">
        <v>60</v>
      </c>
      <c r="G28" s="33">
        <v>162754676.56</v>
      </c>
      <c r="H28" s="34" t="s">
        <v>116</v>
      </c>
      <c r="I28" s="35" t="s">
        <v>114</v>
      </c>
      <c r="J28" s="35" t="s">
        <v>115</v>
      </c>
      <c r="K28" s="52" t="s">
        <v>143</v>
      </c>
      <c r="L28" s="53"/>
      <c r="M28" s="33">
        <v>48513692.520000003</v>
      </c>
      <c r="N28" s="33"/>
    </row>
    <row r="29" spans="1:16" ht="31.5" x14ac:dyDescent="0.25">
      <c r="A29" s="3">
        <v>15</v>
      </c>
      <c r="B29" s="4" t="s">
        <v>23</v>
      </c>
      <c r="C29" s="4" t="s">
        <v>35</v>
      </c>
      <c r="D29" s="3" t="s">
        <v>5</v>
      </c>
      <c r="E29" s="8"/>
      <c r="F29" s="24" t="s">
        <v>81</v>
      </c>
      <c r="G29" s="12">
        <v>2579037.7999999998</v>
      </c>
      <c r="H29" s="27" t="s">
        <v>118</v>
      </c>
      <c r="I29" s="2" t="s">
        <v>117</v>
      </c>
      <c r="J29" s="2" t="s">
        <v>115</v>
      </c>
      <c r="K29" s="15" t="s">
        <v>147</v>
      </c>
      <c r="L29" s="5"/>
      <c r="M29" s="37">
        <v>1933213.11</v>
      </c>
      <c r="N29" s="12">
        <v>1675854.44</v>
      </c>
      <c r="O29" s="2" t="s">
        <v>123</v>
      </c>
    </row>
    <row r="30" spans="1:16" ht="31.5" x14ac:dyDescent="0.25">
      <c r="A30" s="3">
        <v>16</v>
      </c>
      <c r="B30" s="4" t="s">
        <v>24</v>
      </c>
      <c r="C30" s="4" t="s">
        <v>36</v>
      </c>
      <c r="D30" s="3" t="s">
        <v>5</v>
      </c>
      <c r="E30" s="8"/>
      <c r="F30" s="8" t="s">
        <v>59</v>
      </c>
      <c r="G30" s="12">
        <v>4369925.8899999997</v>
      </c>
      <c r="H30" s="27" t="s">
        <v>119</v>
      </c>
      <c r="K30" s="15" t="s">
        <v>146</v>
      </c>
      <c r="L30" s="5"/>
      <c r="M30" s="37">
        <v>3008860</v>
      </c>
      <c r="N30" s="12">
        <v>2820165.03</v>
      </c>
      <c r="O30" s="38"/>
    </row>
    <row r="31" spans="1:16" ht="31.5" x14ac:dyDescent="0.25">
      <c r="A31" s="3">
        <v>17</v>
      </c>
      <c r="B31" s="26" t="s">
        <v>25</v>
      </c>
      <c r="C31" s="4" t="s">
        <v>37</v>
      </c>
      <c r="D31" s="3" t="s">
        <v>5</v>
      </c>
      <c r="E31" s="8" t="s">
        <v>113</v>
      </c>
      <c r="F31" s="8" t="s">
        <v>108</v>
      </c>
      <c r="G31" s="12">
        <v>623416.30000000005</v>
      </c>
      <c r="H31" s="27" t="s">
        <v>111</v>
      </c>
      <c r="I31" s="2" t="s">
        <v>117</v>
      </c>
      <c r="J31" s="2" t="s">
        <v>115</v>
      </c>
      <c r="K31" s="15" t="s">
        <v>127</v>
      </c>
      <c r="L31" s="5"/>
      <c r="M31" s="12">
        <v>533086.36</v>
      </c>
      <c r="N31" s="12">
        <v>235378.05</v>
      </c>
      <c r="O31" s="2" t="s">
        <v>128</v>
      </c>
      <c r="P31" s="20" t="s">
        <v>131</v>
      </c>
    </row>
    <row r="32" spans="1:16" x14ac:dyDescent="0.25">
      <c r="A32" s="3"/>
      <c r="B32" s="26" t="s">
        <v>25</v>
      </c>
      <c r="C32" s="4" t="s">
        <v>129</v>
      </c>
      <c r="D32" s="3"/>
      <c r="E32" s="8"/>
      <c r="F32" s="8"/>
      <c r="G32" s="12"/>
      <c r="H32" s="27"/>
      <c r="K32" s="15"/>
      <c r="L32" s="5"/>
      <c r="M32" s="12"/>
      <c r="N32" s="12">
        <v>47139.18</v>
      </c>
    </row>
    <row r="33" spans="1:16" ht="24.75" customHeight="1" x14ac:dyDescent="0.25">
      <c r="A33" s="3">
        <v>18</v>
      </c>
      <c r="B33" s="26" t="s">
        <v>26</v>
      </c>
      <c r="C33" s="4" t="s">
        <v>38</v>
      </c>
      <c r="D33" s="3" t="s">
        <v>5</v>
      </c>
      <c r="E33" s="10" t="s">
        <v>113</v>
      </c>
      <c r="F33" s="8" t="s">
        <v>65</v>
      </c>
      <c r="G33" s="36"/>
      <c r="H33" s="27">
        <v>45134</v>
      </c>
      <c r="K33" s="15" t="s">
        <v>149</v>
      </c>
      <c r="L33" s="5"/>
      <c r="M33" s="12">
        <v>6471079.8499999996</v>
      </c>
      <c r="N33" s="12">
        <v>3206824.35</v>
      </c>
      <c r="O33" s="2" t="s">
        <v>128</v>
      </c>
      <c r="P33" s="20" t="s">
        <v>132</v>
      </c>
    </row>
    <row r="34" spans="1:16" x14ac:dyDescent="0.25">
      <c r="A34" s="41"/>
      <c r="B34" s="42" t="s">
        <v>26</v>
      </c>
      <c r="C34" s="43" t="s">
        <v>130</v>
      </c>
      <c r="D34" s="41" t="s">
        <v>5</v>
      </c>
      <c r="E34" s="44" t="s">
        <v>113</v>
      </c>
      <c r="F34" s="45" t="s">
        <v>65</v>
      </c>
      <c r="G34" s="46"/>
      <c r="H34" s="47">
        <v>45134</v>
      </c>
      <c r="K34" s="48"/>
      <c r="L34" s="54"/>
      <c r="M34" s="49"/>
      <c r="N34" s="49">
        <v>130942.19</v>
      </c>
    </row>
    <row r="35" spans="1:16" x14ac:dyDescent="0.25">
      <c r="A35" s="41"/>
      <c r="B35" s="42"/>
      <c r="C35" s="43"/>
      <c r="D35" s="41"/>
      <c r="E35" s="44"/>
      <c r="F35" s="45"/>
      <c r="G35" s="46"/>
      <c r="H35" s="47"/>
      <c r="K35" s="48"/>
      <c r="L35" s="54"/>
      <c r="M35" s="49"/>
      <c r="N35" s="49"/>
    </row>
    <row r="36" spans="1:16" ht="31.5" x14ac:dyDescent="0.25">
      <c r="A36" s="3"/>
      <c r="B36" s="11"/>
      <c r="C36" s="50" t="s">
        <v>134</v>
      </c>
      <c r="D36" s="3"/>
      <c r="E36" s="8"/>
      <c r="F36" s="8"/>
      <c r="G36" s="11"/>
      <c r="H36" s="11"/>
      <c r="I36" s="11"/>
      <c r="J36" s="11"/>
      <c r="K36" s="11" t="s">
        <v>139</v>
      </c>
      <c r="L36" s="3"/>
      <c r="M36" s="12">
        <v>729182.88</v>
      </c>
      <c r="N36" s="11"/>
      <c r="O36" s="2" t="s">
        <v>123</v>
      </c>
    </row>
    <row r="37" spans="1:16" x14ac:dyDescent="0.25">
      <c r="A37" s="3"/>
      <c r="B37" s="11"/>
      <c r="C37" s="11" t="s">
        <v>136</v>
      </c>
      <c r="D37" s="3"/>
      <c r="E37" s="8"/>
      <c r="F37" s="8"/>
      <c r="G37" s="51">
        <v>361959880</v>
      </c>
      <c r="H37" s="11" t="s">
        <v>83</v>
      </c>
      <c r="I37" s="11"/>
      <c r="J37" s="11"/>
      <c r="K37" s="11" t="s">
        <v>137</v>
      </c>
      <c r="L37" s="3"/>
      <c r="M37" s="12">
        <v>26314.48</v>
      </c>
      <c r="N37" s="11"/>
    </row>
    <row r="38" spans="1:16" x14ac:dyDescent="0.25">
      <c r="A38" s="3"/>
      <c r="B38" s="11"/>
      <c r="C38" s="11" t="s">
        <v>140</v>
      </c>
      <c r="D38" s="3"/>
      <c r="E38" s="8"/>
      <c r="F38" s="8"/>
      <c r="G38" s="11"/>
      <c r="H38" s="11"/>
      <c r="I38" s="11"/>
      <c r="J38" s="11"/>
      <c r="K38" s="11" t="s">
        <v>137</v>
      </c>
      <c r="L38" s="3"/>
      <c r="M38" s="11"/>
      <c r="N38" s="11"/>
    </row>
    <row r="39" spans="1:16" x14ac:dyDescent="0.25">
      <c r="A39" s="3"/>
      <c r="B39" s="11"/>
      <c r="C39" s="11" t="s">
        <v>141</v>
      </c>
      <c r="D39" s="3"/>
      <c r="E39" s="8"/>
      <c r="F39" s="8"/>
      <c r="G39" s="11"/>
      <c r="H39" s="11"/>
      <c r="I39" s="11"/>
      <c r="J39" s="11"/>
      <c r="K39" s="11" t="s">
        <v>142</v>
      </c>
      <c r="L39" s="3"/>
      <c r="M39" s="12">
        <v>539478.80000000005</v>
      </c>
      <c r="N39" s="11"/>
    </row>
  </sheetData>
  <mergeCells count="5">
    <mergeCell ref="A1:B1"/>
    <mergeCell ref="A2:B2"/>
    <mergeCell ref="A3:B3"/>
    <mergeCell ref="A4:B4"/>
    <mergeCell ref="A7:E7"/>
  </mergeCell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opLeftCell="A25" zoomScaleNormal="100" workbookViewId="0">
      <selection activeCell="C19" sqref="C19"/>
    </sheetView>
  </sheetViews>
  <sheetFormatPr defaultRowHeight="15.75" outlineLevelCol="1" x14ac:dyDescent="0.25"/>
  <cols>
    <col min="1" max="1" width="6.42578125" style="6" bestFit="1" customWidth="1"/>
    <col min="2" max="2" width="17" style="2" bestFit="1" customWidth="1"/>
    <col min="3" max="3" width="57.28515625" style="2" customWidth="1"/>
    <col min="4" max="4" width="15.7109375" style="6" hidden="1" customWidth="1" outlineLevel="1"/>
    <col min="5" max="5" width="14.140625" style="9" hidden="1" customWidth="1" outlineLevel="1"/>
    <col min="6" max="6" width="13.42578125" style="9" hidden="1" customWidth="1" outlineLevel="1"/>
    <col min="7" max="8" width="18.28515625" style="2" hidden="1" customWidth="1" outlineLevel="1"/>
    <col min="9" max="9" width="27.85546875" style="2" hidden="1" customWidth="1" outlineLevel="1"/>
    <col min="10" max="10" width="18.85546875" style="2" hidden="1" customWidth="1" outlineLevel="1"/>
    <col min="11" max="11" width="28.140625" style="2" customWidth="1" collapsed="1"/>
    <col min="12" max="12" width="20.7109375" style="6" customWidth="1"/>
    <col min="13" max="14" width="28.5703125" style="2" customWidth="1"/>
    <col min="15" max="15" width="13.7109375" style="2" customWidth="1"/>
    <col min="16" max="16" width="28.5703125" style="2" customWidth="1"/>
    <col min="17" max="16384" width="9.140625" style="2"/>
  </cols>
  <sheetData>
    <row r="1" spans="1:14" x14ac:dyDescent="0.25">
      <c r="A1" s="737" t="s">
        <v>100</v>
      </c>
      <c r="B1" s="737"/>
      <c r="C1" s="2" t="s">
        <v>101</v>
      </c>
      <c r="D1" s="2"/>
    </row>
    <row r="2" spans="1:14" x14ac:dyDescent="0.25">
      <c r="A2" s="737" t="s">
        <v>102</v>
      </c>
      <c r="B2" s="737"/>
      <c r="C2" s="2" t="s">
        <v>107</v>
      </c>
      <c r="D2" s="2"/>
    </row>
    <row r="3" spans="1:14" x14ac:dyDescent="0.25">
      <c r="A3" s="737" t="s">
        <v>103</v>
      </c>
      <c r="B3" s="737"/>
      <c r="C3" s="2" t="s">
        <v>104</v>
      </c>
      <c r="D3" s="2"/>
    </row>
    <row r="4" spans="1:14" x14ac:dyDescent="0.25">
      <c r="A4" s="737" t="s">
        <v>105</v>
      </c>
      <c r="B4" s="737"/>
      <c r="C4" s="21">
        <v>456670000</v>
      </c>
      <c r="D4" s="2"/>
      <c r="G4" s="2" t="s">
        <v>109</v>
      </c>
    </row>
    <row r="5" spans="1:14" x14ac:dyDescent="0.25">
      <c r="B5" s="2" t="s">
        <v>106</v>
      </c>
      <c r="C5" s="21">
        <v>548004000</v>
      </c>
      <c r="D5" s="2"/>
    </row>
    <row r="6" spans="1:14" x14ac:dyDescent="0.25">
      <c r="C6" s="21"/>
      <c r="D6" s="2"/>
    </row>
    <row r="7" spans="1:14" x14ac:dyDescent="0.25">
      <c r="A7" s="738" t="s">
        <v>151</v>
      </c>
      <c r="B7" s="739"/>
      <c r="C7" s="739"/>
      <c r="D7" s="739"/>
      <c r="E7" s="739"/>
    </row>
    <row r="8" spans="1:14" ht="31.5" x14ac:dyDescent="0.25">
      <c r="A8" s="1" t="s">
        <v>0</v>
      </c>
      <c r="B8" s="1" t="s">
        <v>1</v>
      </c>
      <c r="C8" s="1" t="s">
        <v>2</v>
      </c>
      <c r="D8" s="1" t="s">
        <v>3</v>
      </c>
      <c r="E8" s="7" t="s">
        <v>4</v>
      </c>
      <c r="F8" s="7" t="s">
        <v>66</v>
      </c>
      <c r="G8" s="1" t="s">
        <v>75</v>
      </c>
      <c r="H8" s="1" t="s">
        <v>76</v>
      </c>
      <c r="K8" s="39" t="s">
        <v>124</v>
      </c>
      <c r="L8" s="39" t="s">
        <v>145</v>
      </c>
      <c r="M8" s="1" t="s">
        <v>125</v>
      </c>
      <c r="N8" s="1" t="s">
        <v>122</v>
      </c>
    </row>
    <row r="9" spans="1:14" ht="31.5" x14ac:dyDescent="0.25">
      <c r="A9" s="3">
        <v>1</v>
      </c>
      <c r="B9" s="4" t="s">
        <v>7</v>
      </c>
      <c r="C9" s="4" t="s">
        <v>39</v>
      </c>
      <c r="D9" s="3" t="s">
        <v>5</v>
      </c>
      <c r="E9" s="8"/>
      <c r="F9" s="22"/>
      <c r="G9" s="12"/>
      <c r="H9" s="28"/>
      <c r="K9" s="11"/>
      <c r="L9" s="3"/>
      <c r="M9" s="12"/>
      <c r="N9" s="12"/>
    </row>
    <row r="10" spans="1:14" ht="31.5" x14ac:dyDescent="0.25">
      <c r="A10" s="3">
        <v>2</v>
      </c>
      <c r="B10" s="4" t="s">
        <v>8</v>
      </c>
      <c r="C10" s="4" t="s">
        <v>40</v>
      </c>
      <c r="D10" s="3" t="s">
        <v>5</v>
      </c>
      <c r="E10" s="8"/>
      <c r="F10" s="8" t="s">
        <v>69</v>
      </c>
      <c r="G10" s="37">
        <v>32295425.949999999</v>
      </c>
      <c r="H10" s="27" t="s">
        <v>121</v>
      </c>
      <c r="K10" s="11"/>
      <c r="L10" s="3"/>
      <c r="M10" s="12"/>
      <c r="N10" s="12"/>
    </row>
    <row r="11" spans="1:14" ht="31.5" x14ac:dyDescent="0.25">
      <c r="A11" s="3">
        <v>3</v>
      </c>
      <c r="B11" s="4" t="s">
        <v>9</v>
      </c>
      <c r="C11" s="4" t="s">
        <v>41</v>
      </c>
      <c r="D11" s="5">
        <v>45084</v>
      </c>
      <c r="E11" s="8"/>
      <c r="F11" s="8" t="s">
        <v>70</v>
      </c>
      <c r="G11" s="37">
        <v>1940975.39</v>
      </c>
      <c r="H11" s="27" t="s">
        <v>121</v>
      </c>
      <c r="K11" s="40" t="s">
        <v>133</v>
      </c>
      <c r="L11" s="27"/>
      <c r="M11" s="37">
        <v>1443722.84</v>
      </c>
      <c r="N11" s="12">
        <v>1456503.54</v>
      </c>
    </row>
    <row r="12" spans="1:14" ht="31.5" x14ac:dyDescent="0.25">
      <c r="A12" s="3">
        <v>4</v>
      </c>
      <c r="B12" s="29" t="s">
        <v>10</v>
      </c>
      <c r="C12" s="4" t="s">
        <v>42</v>
      </c>
      <c r="D12" s="3" t="s">
        <v>5</v>
      </c>
      <c r="E12" s="10" t="s">
        <v>113</v>
      </c>
      <c r="F12" s="24" t="s">
        <v>55</v>
      </c>
      <c r="G12" s="36"/>
      <c r="H12" s="27">
        <v>45134</v>
      </c>
      <c r="K12" s="11"/>
      <c r="L12" s="3"/>
      <c r="M12" s="12"/>
      <c r="N12" s="12"/>
    </row>
    <row r="13" spans="1:14" ht="31.5" x14ac:dyDescent="0.25">
      <c r="A13" s="3">
        <v>5</v>
      </c>
      <c r="B13" s="4" t="s">
        <v>11</v>
      </c>
      <c r="C13" s="4" t="s">
        <v>43</v>
      </c>
      <c r="D13" s="5">
        <v>45085</v>
      </c>
      <c r="E13" s="8"/>
      <c r="F13" s="24" t="s">
        <v>58</v>
      </c>
      <c r="G13" s="12"/>
      <c r="H13" s="27" t="s">
        <v>120</v>
      </c>
      <c r="I13" s="2" t="s">
        <v>117</v>
      </c>
      <c r="J13" s="2" t="s">
        <v>115</v>
      </c>
      <c r="K13" s="11"/>
      <c r="L13" s="3"/>
      <c r="M13" s="12"/>
      <c r="N13" s="12"/>
    </row>
    <row r="14" spans="1:14" ht="31.5" x14ac:dyDescent="0.25">
      <c r="A14" s="3">
        <v>6</v>
      </c>
      <c r="B14" s="4" t="s">
        <v>12</v>
      </c>
      <c r="C14" s="4" t="s">
        <v>44</v>
      </c>
      <c r="D14" s="5">
        <v>45078</v>
      </c>
      <c r="E14" s="8"/>
      <c r="F14" s="8" t="s">
        <v>64</v>
      </c>
      <c r="G14" s="12"/>
      <c r="H14" s="27" t="s">
        <v>119</v>
      </c>
      <c r="K14" s="11"/>
      <c r="L14" s="3"/>
      <c r="M14" s="12"/>
      <c r="N14" s="12"/>
    </row>
    <row r="15" spans="1:14" x14ac:dyDescent="0.25">
      <c r="A15" s="3">
        <v>1</v>
      </c>
      <c r="B15" s="4" t="s">
        <v>47</v>
      </c>
      <c r="C15" s="4" t="s">
        <v>51</v>
      </c>
      <c r="D15" s="3" t="s">
        <v>5</v>
      </c>
      <c r="E15" s="8"/>
      <c r="F15" s="22"/>
      <c r="G15" s="12"/>
      <c r="H15" s="28"/>
      <c r="K15" s="11"/>
      <c r="L15" s="3"/>
      <c r="M15" s="12"/>
      <c r="N15" s="12"/>
    </row>
    <row r="16" spans="1:14" x14ac:dyDescent="0.25">
      <c r="A16" s="3">
        <v>2</v>
      </c>
      <c r="B16" s="4" t="s">
        <v>48</v>
      </c>
      <c r="C16" s="4" t="s">
        <v>52</v>
      </c>
      <c r="D16" s="3" t="s">
        <v>5</v>
      </c>
      <c r="E16" s="8"/>
      <c r="F16" s="22"/>
      <c r="G16" s="12"/>
      <c r="H16" s="28"/>
      <c r="K16" s="11"/>
      <c r="L16" s="3"/>
      <c r="M16" s="12"/>
      <c r="N16" s="12"/>
    </row>
    <row r="17" spans="1:16" x14ac:dyDescent="0.25">
      <c r="A17" s="3">
        <v>3</v>
      </c>
      <c r="B17" s="4" t="s">
        <v>49</v>
      </c>
      <c r="C17" s="4" t="s">
        <v>53</v>
      </c>
      <c r="D17" s="3" t="s">
        <v>5</v>
      </c>
      <c r="E17" s="8"/>
      <c r="F17" s="22" t="s">
        <v>71</v>
      </c>
      <c r="G17" s="12">
        <v>21770453.52</v>
      </c>
      <c r="H17" s="28"/>
      <c r="K17" s="11"/>
      <c r="L17" s="3"/>
      <c r="M17" s="12"/>
      <c r="N17" s="12"/>
    </row>
    <row r="18" spans="1:16" ht="31.5" x14ac:dyDescent="0.25">
      <c r="A18" s="3">
        <v>4</v>
      </c>
      <c r="B18" s="4" t="s">
        <v>50</v>
      </c>
      <c r="C18" s="4" t="s">
        <v>54</v>
      </c>
      <c r="D18" s="3" t="s">
        <v>5</v>
      </c>
      <c r="E18" s="8"/>
      <c r="F18" s="22" t="s">
        <v>72</v>
      </c>
      <c r="G18" s="12">
        <f>1361289.47+27969973.22</f>
        <v>29331262.689999998</v>
      </c>
      <c r="H18" s="28"/>
      <c r="K18" s="11"/>
      <c r="L18" s="3"/>
      <c r="M18" s="12"/>
      <c r="N18" s="12"/>
    </row>
    <row r="19" spans="1:16" ht="21" customHeight="1" x14ac:dyDescent="0.25">
      <c r="A19" s="3">
        <v>5</v>
      </c>
      <c r="B19" s="4" t="s">
        <v>13</v>
      </c>
      <c r="C19" s="4" t="s">
        <v>45</v>
      </c>
      <c r="D19" s="5">
        <v>45079</v>
      </c>
      <c r="E19" s="8"/>
      <c r="F19" s="22" t="s">
        <v>71</v>
      </c>
      <c r="G19" s="12"/>
      <c r="H19" s="28"/>
      <c r="K19" s="11"/>
      <c r="L19" s="3"/>
      <c r="M19" s="12"/>
      <c r="N19" s="12"/>
    </row>
    <row r="20" spans="1:16" ht="31.5" x14ac:dyDescent="0.25">
      <c r="A20" s="3">
        <v>6</v>
      </c>
      <c r="B20" s="26" t="s">
        <v>14</v>
      </c>
      <c r="C20" s="4" t="s">
        <v>27</v>
      </c>
      <c r="D20" s="5">
        <v>45082</v>
      </c>
      <c r="E20" s="8" t="s">
        <v>113</v>
      </c>
      <c r="F20" s="8" t="s">
        <v>77</v>
      </c>
      <c r="G20" s="25">
        <v>6291781.7999999998</v>
      </c>
      <c r="H20" s="27" t="s">
        <v>110</v>
      </c>
      <c r="I20" s="2" t="s">
        <v>117</v>
      </c>
      <c r="J20" s="2" t="s">
        <v>115</v>
      </c>
      <c r="K20" s="11"/>
      <c r="L20" s="3"/>
      <c r="M20" s="12"/>
      <c r="N20" s="12"/>
    </row>
    <row r="21" spans="1:16" ht="31.5" x14ac:dyDescent="0.25">
      <c r="A21" s="3">
        <v>7</v>
      </c>
      <c r="B21" s="26" t="s">
        <v>15</v>
      </c>
      <c r="C21" s="4" t="s">
        <v>28</v>
      </c>
      <c r="D21" s="5">
        <v>45082</v>
      </c>
      <c r="E21" s="8" t="s">
        <v>113</v>
      </c>
      <c r="F21" s="8" t="s">
        <v>74</v>
      </c>
      <c r="G21" s="12">
        <v>2885803.14</v>
      </c>
      <c r="H21" s="27" t="s">
        <v>112</v>
      </c>
      <c r="I21" s="2" t="s">
        <v>117</v>
      </c>
      <c r="J21" s="2" t="s">
        <v>115</v>
      </c>
      <c r="K21" s="56" t="s">
        <v>150</v>
      </c>
      <c r="L21" s="5" t="s">
        <v>95</v>
      </c>
      <c r="M21" s="12">
        <v>3384444.47</v>
      </c>
      <c r="N21" s="12">
        <v>3262429.24</v>
      </c>
    </row>
    <row r="22" spans="1:16" ht="31.5" x14ac:dyDescent="0.25">
      <c r="A22" s="3">
        <v>8</v>
      </c>
      <c r="B22" s="4" t="s">
        <v>16</v>
      </c>
      <c r="C22" s="4" t="s">
        <v>29</v>
      </c>
      <c r="D22" s="5">
        <v>45065</v>
      </c>
      <c r="E22" s="8" t="s">
        <v>6</v>
      </c>
      <c r="F22" s="8" t="s">
        <v>63</v>
      </c>
      <c r="G22" s="12">
        <v>59019140.100000001</v>
      </c>
      <c r="H22" s="27" t="s">
        <v>119</v>
      </c>
      <c r="I22" s="35" t="s">
        <v>114</v>
      </c>
      <c r="J22" s="35" t="s">
        <v>115</v>
      </c>
      <c r="K22" s="11"/>
      <c r="L22" s="3"/>
      <c r="M22" s="12"/>
      <c r="N22" s="12"/>
    </row>
    <row r="23" spans="1:16" ht="31.5" x14ac:dyDescent="0.25">
      <c r="A23" s="3">
        <v>9</v>
      </c>
      <c r="B23" s="4" t="s">
        <v>17</v>
      </c>
      <c r="C23" s="4" t="s">
        <v>30</v>
      </c>
      <c r="D23" s="5">
        <v>45076</v>
      </c>
      <c r="E23" s="8" t="s">
        <v>113</v>
      </c>
      <c r="F23" s="22" t="s">
        <v>62</v>
      </c>
      <c r="G23" s="12">
        <v>7067783.4100000001</v>
      </c>
      <c r="H23" s="28"/>
      <c r="I23" s="2" t="s">
        <v>117</v>
      </c>
      <c r="J23" s="38" t="s">
        <v>115</v>
      </c>
      <c r="K23" s="55">
        <v>45464</v>
      </c>
      <c r="L23" s="5"/>
      <c r="M23" s="12">
        <v>6207964.7800000003</v>
      </c>
      <c r="N23" s="12"/>
      <c r="O23" s="2" t="s">
        <v>144</v>
      </c>
    </row>
    <row r="24" spans="1:16" ht="47.25" x14ac:dyDescent="0.25">
      <c r="A24" s="3">
        <v>10</v>
      </c>
      <c r="B24" s="4" t="s">
        <v>18</v>
      </c>
      <c r="C24" s="4" t="s">
        <v>31</v>
      </c>
      <c r="D24" s="3" t="s">
        <v>5</v>
      </c>
      <c r="E24" s="8"/>
      <c r="F24" s="8" t="s">
        <v>67</v>
      </c>
      <c r="G24" s="36">
        <v>495458.11</v>
      </c>
      <c r="H24" s="27">
        <v>45134</v>
      </c>
      <c r="K24" s="11" t="s">
        <v>126</v>
      </c>
      <c r="L24" s="3"/>
      <c r="M24" s="12">
        <v>1575220.02</v>
      </c>
      <c r="N24" s="12">
        <v>1031742.17</v>
      </c>
    </row>
    <row r="25" spans="1:16" ht="31.5" x14ac:dyDescent="0.25">
      <c r="A25" s="3">
        <v>11</v>
      </c>
      <c r="B25" s="4" t="s">
        <v>19</v>
      </c>
      <c r="C25" s="4" t="s">
        <v>32</v>
      </c>
      <c r="D25" s="3" t="s">
        <v>5</v>
      </c>
      <c r="E25" s="8"/>
      <c r="F25" s="8" t="s">
        <v>68</v>
      </c>
      <c r="G25" s="36">
        <v>7445703.2199999997</v>
      </c>
      <c r="H25" s="27">
        <v>45134</v>
      </c>
      <c r="K25" s="40" t="s">
        <v>138</v>
      </c>
      <c r="L25" s="27"/>
      <c r="M25" s="37">
        <v>15932592.16</v>
      </c>
      <c r="N25" s="12">
        <v>13422525.939999999</v>
      </c>
      <c r="O25" s="2" t="s">
        <v>135</v>
      </c>
    </row>
    <row r="26" spans="1:16" ht="31.5" x14ac:dyDescent="0.25">
      <c r="A26" s="3">
        <v>12</v>
      </c>
      <c r="B26" s="29" t="s">
        <v>20</v>
      </c>
      <c r="C26" s="4" t="s">
        <v>33</v>
      </c>
      <c r="D26" s="3" t="s">
        <v>5</v>
      </c>
      <c r="E26" s="10" t="s">
        <v>113</v>
      </c>
      <c r="F26" s="23" t="s">
        <v>56</v>
      </c>
      <c r="G26" s="12">
        <v>5998546.8799999999</v>
      </c>
      <c r="H26" s="28"/>
      <c r="I26" s="20"/>
      <c r="K26" s="15" t="s">
        <v>147</v>
      </c>
      <c r="L26" s="5"/>
      <c r="M26" s="37">
        <v>2121713.88</v>
      </c>
      <c r="N26" s="12">
        <v>1726425.23</v>
      </c>
    </row>
    <row r="27" spans="1:16" ht="31.5" x14ac:dyDescent="0.25">
      <c r="A27" s="3">
        <v>13</v>
      </c>
      <c r="B27" s="4" t="s">
        <v>21</v>
      </c>
      <c r="C27" s="4" t="s">
        <v>34</v>
      </c>
      <c r="D27" s="3" t="s">
        <v>5</v>
      </c>
      <c r="E27" s="8"/>
      <c r="F27" s="22" t="s">
        <v>61</v>
      </c>
      <c r="G27" s="12">
        <v>25631687.579999998</v>
      </c>
      <c r="H27" s="28"/>
      <c r="K27" s="15" t="s">
        <v>148</v>
      </c>
      <c r="L27" s="5"/>
      <c r="M27" s="37">
        <v>2987164.98</v>
      </c>
      <c r="N27" s="12">
        <v>2827828.36</v>
      </c>
    </row>
    <row r="28" spans="1:16" s="35" customFormat="1" ht="31.5" x14ac:dyDescent="0.25">
      <c r="A28" s="30">
        <v>14</v>
      </c>
      <c r="B28" s="31" t="s">
        <v>22</v>
      </c>
      <c r="C28" s="31" t="s">
        <v>57</v>
      </c>
      <c r="D28" s="30" t="s">
        <v>5</v>
      </c>
      <c r="E28" s="32"/>
      <c r="F28" s="32" t="s">
        <v>60</v>
      </c>
      <c r="G28" s="33">
        <v>162754676.56</v>
      </c>
      <c r="H28" s="34" t="s">
        <v>116</v>
      </c>
      <c r="I28" s="35" t="s">
        <v>114</v>
      </c>
      <c r="J28" s="35" t="s">
        <v>115</v>
      </c>
      <c r="K28" s="52" t="s">
        <v>143</v>
      </c>
      <c r="L28" s="53"/>
      <c r="M28" s="33">
        <v>48513692.520000003</v>
      </c>
      <c r="N28" s="33"/>
    </row>
    <row r="29" spans="1:16" ht="31.5" x14ac:dyDescent="0.25">
      <c r="A29" s="3">
        <v>15</v>
      </c>
      <c r="B29" s="4" t="s">
        <v>23</v>
      </c>
      <c r="C29" s="4" t="s">
        <v>35</v>
      </c>
      <c r="D29" s="3" t="s">
        <v>5</v>
      </c>
      <c r="E29" s="8"/>
      <c r="F29" s="24" t="s">
        <v>81</v>
      </c>
      <c r="G29" s="12">
        <v>2579037.7999999998</v>
      </c>
      <c r="H29" s="27" t="s">
        <v>118</v>
      </c>
      <c r="I29" s="2" t="s">
        <v>117</v>
      </c>
      <c r="J29" s="2" t="s">
        <v>115</v>
      </c>
      <c r="K29" s="15" t="s">
        <v>147</v>
      </c>
      <c r="L29" s="5"/>
      <c r="M29" s="37">
        <v>1933213.11</v>
      </c>
      <c r="N29" s="12">
        <v>1675854.44</v>
      </c>
      <c r="O29" s="2" t="s">
        <v>123</v>
      </c>
    </row>
    <row r="30" spans="1:16" ht="31.5" x14ac:dyDescent="0.25">
      <c r="A30" s="3">
        <v>16</v>
      </c>
      <c r="B30" s="4" t="s">
        <v>24</v>
      </c>
      <c r="C30" s="4" t="s">
        <v>36</v>
      </c>
      <c r="D30" s="3" t="s">
        <v>5</v>
      </c>
      <c r="E30" s="8"/>
      <c r="F30" s="8" t="s">
        <v>59</v>
      </c>
      <c r="G30" s="12">
        <v>4369925.8899999997</v>
      </c>
      <c r="H30" s="27" t="s">
        <v>119</v>
      </c>
      <c r="K30" s="15" t="s">
        <v>146</v>
      </c>
      <c r="L30" s="5"/>
      <c r="M30" s="37">
        <v>3008860</v>
      </c>
      <c r="N30" s="12">
        <v>2820165.03</v>
      </c>
      <c r="O30" s="38"/>
    </row>
    <row r="31" spans="1:16" ht="31.5" x14ac:dyDescent="0.25">
      <c r="A31" s="3">
        <v>17</v>
      </c>
      <c r="B31" s="26" t="s">
        <v>25</v>
      </c>
      <c r="C31" s="4" t="s">
        <v>37</v>
      </c>
      <c r="D31" s="3" t="s">
        <v>5</v>
      </c>
      <c r="E31" s="8" t="s">
        <v>113</v>
      </c>
      <c r="F31" s="8" t="s">
        <v>108</v>
      </c>
      <c r="G31" s="12">
        <v>623416.30000000005</v>
      </c>
      <c r="H31" s="27" t="s">
        <v>111</v>
      </c>
      <c r="I31" s="2" t="s">
        <v>117</v>
      </c>
      <c r="J31" s="2" t="s">
        <v>115</v>
      </c>
      <c r="K31" s="15" t="s">
        <v>127</v>
      </c>
      <c r="L31" s="5"/>
      <c r="M31" s="12">
        <v>533086.36</v>
      </c>
      <c r="N31" s="12">
        <v>235378.05</v>
      </c>
      <c r="O31" s="2" t="s">
        <v>128</v>
      </c>
      <c r="P31" s="20" t="s">
        <v>131</v>
      </c>
    </row>
    <row r="32" spans="1:16" x14ac:dyDescent="0.25">
      <c r="A32" s="3"/>
      <c r="B32" s="26" t="s">
        <v>25</v>
      </c>
      <c r="C32" s="4" t="s">
        <v>129</v>
      </c>
      <c r="D32" s="3"/>
      <c r="E32" s="8"/>
      <c r="F32" s="8"/>
      <c r="G32" s="12"/>
      <c r="H32" s="27"/>
      <c r="K32" s="15"/>
      <c r="L32" s="5"/>
      <c r="M32" s="12"/>
      <c r="N32" s="12">
        <v>47139.18</v>
      </c>
    </row>
    <row r="33" spans="1:16" ht="24.75" customHeight="1" x14ac:dyDescent="0.25">
      <c r="A33" s="3">
        <v>18</v>
      </c>
      <c r="B33" s="26" t="s">
        <v>26</v>
      </c>
      <c r="C33" s="4" t="s">
        <v>38</v>
      </c>
      <c r="D33" s="3" t="s">
        <v>5</v>
      </c>
      <c r="E33" s="10" t="s">
        <v>113</v>
      </c>
      <c r="F33" s="8" t="s">
        <v>65</v>
      </c>
      <c r="G33" s="36"/>
      <c r="H33" s="27">
        <v>45134</v>
      </c>
      <c r="K33" s="15" t="s">
        <v>149</v>
      </c>
      <c r="L33" s="5"/>
      <c r="M33" s="12">
        <v>6471079.8499999996</v>
      </c>
      <c r="N33" s="12">
        <v>3206824.35</v>
      </c>
      <c r="O33" s="2" t="s">
        <v>128</v>
      </c>
      <c r="P33" s="20" t="s">
        <v>132</v>
      </c>
    </row>
    <row r="34" spans="1:16" x14ac:dyDescent="0.25">
      <c r="A34" s="41"/>
      <c r="B34" s="42" t="s">
        <v>26</v>
      </c>
      <c r="C34" s="43" t="s">
        <v>130</v>
      </c>
      <c r="D34" s="41" t="s">
        <v>5</v>
      </c>
      <c r="E34" s="44" t="s">
        <v>113</v>
      </c>
      <c r="F34" s="45" t="s">
        <v>65</v>
      </c>
      <c r="G34" s="46"/>
      <c r="H34" s="47">
        <v>45134</v>
      </c>
      <c r="K34" s="48"/>
      <c r="L34" s="54"/>
      <c r="M34" s="49"/>
      <c r="N34" s="49">
        <v>130942.19</v>
      </c>
    </row>
    <row r="35" spans="1:16" x14ac:dyDescent="0.25">
      <c r="A35" s="41"/>
      <c r="B35" s="42"/>
      <c r="C35" s="43"/>
      <c r="D35" s="41"/>
      <c r="E35" s="44"/>
      <c r="F35" s="45"/>
      <c r="G35" s="46"/>
      <c r="H35" s="47"/>
      <c r="K35" s="48"/>
      <c r="L35" s="54"/>
      <c r="M35" s="49"/>
      <c r="N35" s="49"/>
    </row>
    <row r="36" spans="1:16" ht="31.5" x14ac:dyDescent="0.25">
      <c r="A36" s="3"/>
      <c r="B36" s="11"/>
      <c r="C36" s="50" t="s">
        <v>134</v>
      </c>
      <c r="D36" s="3"/>
      <c r="E36" s="8"/>
      <c r="F36" s="8"/>
      <c r="G36" s="11"/>
      <c r="H36" s="11"/>
      <c r="I36" s="11"/>
      <c r="J36" s="11"/>
      <c r="K36" s="11" t="s">
        <v>139</v>
      </c>
      <c r="L36" s="3"/>
      <c r="M36" s="12">
        <v>729182.88</v>
      </c>
      <c r="N36" s="11"/>
      <c r="O36" s="2" t="s">
        <v>123</v>
      </c>
    </row>
    <row r="37" spans="1:16" x14ac:dyDescent="0.25">
      <c r="A37" s="3"/>
      <c r="B37" s="11"/>
      <c r="C37" s="11" t="s">
        <v>136</v>
      </c>
      <c r="D37" s="3"/>
      <c r="E37" s="8"/>
      <c r="F37" s="8"/>
      <c r="G37" s="51">
        <v>361959880</v>
      </c>
      <c r="H37" s="11" t="s">
        <v>83</v>
      </c>
      <c r="I37" s="11"/>
      <c r="J37" s="11"/>
      <c r="K37" s="11" t="s">
        <v>137</v>
      </c>
      <c r="L37" s="3"/>
      <c r="M37" s="12">
        <v>26314.48</v>
      </c>
      <c r="N37" s="11"/>
    </row>
    <row r="38" spans="1:16" x14ac:dyDescent="0.25">
      <c r="A38" s="3"/>
      <c r="B38" s="11"/>
      <c r="C38" s="11" t="s">
        <v>140</v>
      </c>
      <c r="D38" s="3"/>
      <c r="E38" s="8"/>
      <c r="F38" s="8"/>
      <c r="G38" s="11"/>
      <c r="H38" s="11"/>
      <c r="I38" s="11"/>
      <c r="J38" s="11"/>
      <c r="K38" s="11" t="s">
        <v>137</v>
      </c>
      <c r="L38" s="3"/>
      <c r="M38" s="11"/>
      <c r="N38" s="11"/>
    </row>
    <row r="39" spans="1:16" x14ac:dyDescent="0.25">
      <c r="A39" s="3"/>
      <c r="B39" s="11"/>
      <c r="C39" s="11" t="s">
        <v>141</v>
      </c>
      <c r="D39" s="3"/>
      <c r="E39" s="8"/>
      <c r="F39" s="8"/>
      <c r="G39" s="11"/>
      <c r="H39" s="11"/>
      <c r="I39" s="11"/>
      <c r="J39" s="11"/>
      <c r="K39" s="11" t="s">
        <v>142</v>
      </c>
      <c r="L39" s="3"/>
      <c r="M39" s="12">
        <v>539478.80000000005</v>
      </c>
      <c r="N39" s="11"/>
    </row>
  </sheetData>
  <mergeCells count="5">
    <mergeCell ref="A7:E7"/>
    <mergeCell ref="A1:B1"/>
    <mergeCell ref="A2:B2"/>
    <mergeCell ref="A3:B3"/>
    <mergeCell ref="A4:B4"/>
  </mergeCells>
  <phoneticPr fontId="7" type="noConversion"/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topLeftCell="A4" zoomScaleNormal="100" workbookViewId="0">
      <selection activeCell="C35" sqref="C35"/>
    </sheetView>
  </sheetViews>
  <sheetFormatPr defaultRowHeight="15.75" x14ac:dyDescent="0.25"/>
  <cols>
    <col min="1" max="1" width="6.42578125" style="6" bestFit="1" customWidth="1"/>
    <col min="2" max="2" width="17" style="2" bestFit="1" customWidth="1"/>
    <col min="3" max="3" width="57.28515625" style="2" customWidth="1"/>
    <col min="4" max="4" width="15.7109375" style="6" bestFit="1" customWidth="1"/>
    <col min="5" max="5" width="14.140625" style="9" bestFit="1" customWidth="1"/>
    <col min="6" max="6" width="13.42578125" style="9" customWidth="1"/>
    <col min="7" max="8" width="18.28515625" style="2" customWidth="1"/>
    <col min="9" max="10" width="25.28515625" style="2" customWidth="1"/>
    <col min="11" max="11" width="27.85546875" style="2" customWidth="1"/>
    <col min="12" max="16384" width="9.140625" style="2"/>
  </cols>
  <sheetData>
    <row r="1" spans="1:10" x14ac:dyDescent="0.25">
      <c r="A1" s="737" t="s">
        <v>100</v>
      </c>
      <c r="B1" s="737"/>
      <c r="C1" s="2" t="s">
        <v>101</v>
      </c>
      <c r="D1" s="2"/>
    </row>
    <row r="2" spans="1:10" x14ac:dyDescent="0.25">
      <c r="A2" s="737" t="s">
        <v>102</v>
      </c>
      <c r="B2" s="737"/>
      <c r="C2" s="2" t="s">
        <v>107</v>
      </c>
      <c r="D2" s="2"/>
    </row>
    <row r="3" spans="1:10" x14ac:dyDescent="0.25">
      <c r="A3" s="737" t="s">
        <v>103</v>
      </c>
      <c r="B3" s="737"/>
      <c r="C3" s="2" t="s">
        <v>104</v>
      </c>
      <c r="D3" s="2"/>
    </row>
    <row r="4" spans="1:10" x14ac:dyDescent="0.25">
      <c r="A4" s="737" t="s">
        <v>105</v>
      </c>
      <c r="B4" s="737"/>
      <c r="C4" s="21">
        <v>456670000</v>
      </c>
      <c r="D4" s="2"/>
    </row>
    <row r="5" spans="1:10" x14ac:dyDescent="0.25">
      <c r="B5" s="2" t="s">
        <v>106</v>
      </c>
      <c r="C5" s="21">
        <v>548004000</v>
      </c>
      <c r="D5" s="2"/>
    </row>
    <row r="6" spans="1:10" x14ac:dyDescent="0.25">
      <c r="A6" s="738" t="s">
        <v>46</v>
      </c>
      <c r="B6" s="739"/>
      <c r="C6" s="739"/>
      <c r="D6" s="739"/>
      <c r="E6" s="739"/>
      <c r="I6" s="740" t="s">
        <v>84</v>
      </c>
      <c r="J6" s="740"/>
    </row>
    <row r="7" spans="1:10" x14ac:dyDescent="0.25">
      <c r="A7" s="1" t="s">
        <v>0</v>
      </c>
      <c r="B7" s="1" t="s">
        <v>1</v>
      </c>
      <c r="C7" s="1" t="s">
        <v>2</v>
      </c>
      <c r="D7" s="1" t="s">
        <v>3</v>
      </c>
      <c r="E7" s="7" t="s">
        <v>4</v>
      </c>
      <c r="F7" s="7" t="s">
        <v>66</v>
      </c>
      <c r="G7" s="1" t="s">
        <v>75</v>
      </c>
      <c r="H7" s="1" t="s">
        <v>76</v>
      </c>
      <c r="I7" s="1" t="s">
        <v>85</v>
      </c>
      <c r="J7" s="1" t="s">
        <v>75</v>
      </c>
    </row>
    <row r="8" spans="1:10" ht="31.5" x14ac:dyDescent="0.25">
      <c r="A8" s="3">
        <v>1</v>
      </c>
      <c r="B8" s="4" t="s">
        <v>7</v>
      </c>
      <c r="C8" s="4" t="s">
        <v>39</v>
      </c>
      <c r="D8" s="3" t="s">
        <v>5</v>
      </c>
      <c r="E8" s="8"/>
      <c r="F8" s="8"/>
      <c r="G8" s="12"/>
      <c r="H8" s="11"/>
      <c r="I8" s="11"/>
      <c r="J8" s="11"/>
    </row>
    <row r="9" spans="1:10" ht="31.5" x14ac:dyDescent="0.25">
      <c r="A9" s="3">
        <v>2</v>
      </c>
      <c r="B9" s="13" t="s">
        <v>8</v>
      </c>
      <c r="C9" s="4" t="s">
        <v>40</v>
      </c>
      <c r="D9" s="3" t="s">
        <v>5</v>
      </c>
      <c r="E9" s="8" t="s">
        <v>69</v>
      </c>
      <c r="F9" s="8" t="s">
        <v>74</v>
      </c>
      <c r="G9" s="12">
        <v>13960762.02</v>
      </c>
      <c r="H9" s="11"/>
      <c r="I9" s="15" t="s">
        <v>86</v>
      </c>
      <c r="J9" s="12">
        <v>14754174.82</v>
      </c>
    </row>
    <row r="10" spans="1:10" ht="31.5" x14ac:dyDescent="0.25">
      <c r="A10" s="3">
        <v>3</v>
      </c>
      <c r="B10" s="13" t="s">
        <v>9</v>
      </c>
      <c r="C10" s="4" t="s">
        <v>41</v>
      </c>
      <c r="D10" s="5">
        <v>45084</v>
      </c>
      <c r="E10" s="8" t="s">
        <v>70</v>
      </c>
      <c r="F10" s="8" t="s">
        <v>74</v>
      </c>
      <c r="G10" s="12">
        <v>1953783.3</v>
      </c>
      <c r="H10" s="11"/>
      <c r="I10" s="11" t="s">
        <v>87</v>
      </c>
      <c r="J10" s="12">
        <v>1954553.74</v>
      </c>
    </row>
    <row r="11" spans="1:10" ht="31.5" x14ac:dyDescent="0.25">
      <c r="A11" s="3">
        <v>4</v>
      </c>
      <c r="B11" s="4" t="s">
        <v>10</v>
      </c>
      <c r="C11" s="4" t="s">
        <v>42</v>
      </c>
      <c r="D11" s="3" t="s">
        <v>5</v>
      </c>
      <c r="E11" s="8"/>
      <c r="F11" s="10" t="s">
        <v>55</v>
      </c>
      <c r="G11" s="12">
        <v>1413384.11</v>
      </c>
      <c r="H11" s="11"/>
      <c r="I11" s="11" t="s">
        <v>88</v>
      </c>
      <c r="J11" s="12">
        <v>1413620.05</v>
      </c>
    </row>
    <row r="12" spans="1:10" ht="31.5" x14ac:dyDescent="0.25">
      <c r="A12" s="3">
        <v>5</v>
      </c>
      <c r="B12" s="4" t="s">
        <v>11</v>
      </c>
      <c r="C12" s="4" t="s">
        <v>43</v>
      </c>
      <c r="D12" s="5">
        <v>45085</v>
      </c>
      <c r="E12" s="8" t="s">
        <v>58</v>
      </c>
      <c r="F12" s="10" t="s">
        <v>59</v>
      </c>
      <c r="G12" s="12">
        <v>10740180.609999999</v>
      </c>
      <c r="H12" s="11"/>
      <c r="I12" s="11" t="s">
        <v>89</v>
      </c>
      <c r="J12" s="12">
        <v>10828272.609999999</v>
      </c>
    </row>
    <row r="13" spans="1:10" x14ac:dyDescent="0.25">
      <c r="A13" s="3">
        <v>6</v>
      </c>
      <c r="B13" s="4" t="s">
        <v>12</v>
      </c>
      <c r="C13" s="4" t="s">
        <v>44</v>
      </c>
      <c r="D13" s="5">
        <v>45078</v>
      </c>
      <c r="E13" s="8" t="s">
        <v>64</v>
      </c>
      <c r="F13" s="8" t="s">
        <v>63</v>
      </c>
      <c r="G13" s="12">
        <v>5524634.4100000001</v>
      </c>
      <c r="H13" s="11"/>
      <c r="I13" s="11" t="s">
        <v>90</v>
      </c>
      <c r="J13" s="12">
        <v>5114032.07</v>
      </c>
    </row>
    <row r="14" spans="1:10" x14ac:dyDescent="0.25">
      <c r="A14" s="3">
        <v>1</v>
      </c>
      <c r="B14" s="4" t="s">
        <v>47</v>
      </c>
      <c r="C14" s="4" t="s">
        <v>51</v>
      </c>
      <c r="D14" s="3" t="s">
        <v>5</v>
      </c>
      <c r="E14" s="8"/>
      <c r="F14" s="8"/>
      <c r="G14" s="12"/>
      <c r="H14" s="11"/>
      <c r="I14" s="11"/>
      <c r="J14" s="12"/>
    </row>
    <row r="15" spans="1:10" x14ac:dyDescent="0.25">
      <c r="A15" s="3">
        <v>2</v>
      </c>
      <c r="B15" s="4" t="s">
        <v>48</v>
      </c>
      <c r="C15" s="4" t="s">
        <v>52</v>
      </c>
      <c r="D15" s="3" t="s">
        <v>5</v>
      </c>
      <c r="E15" s="8"/>
      <c r="F15" s="8"/>
      <c r="G15" s="12"/>
      <c r="H15" s="11"/>
      <c r="I15" s="11"/>
      <c r="J15" s="12"/>
    </row>
    <row r="16" spans="1:10" x14ac:dyDescent="0.25">
      <c r="A16" s="3">
        <v>3</v>
      </c>
      <c r="B16" s="4" t="s">
        <v>49</v>
      </c>
      <c r="C16" s="4" t="s">
        <v>53</v>
      </c>
      <c r="D16" s="3" t="s">
        <v>5</v>
      </c>
      <c r="E16" s="8"/>
      <c r="F16" s="17" t="s">
        <v>71</v>
      </c>
      <c r="G16" s="12">
        <v>21770453.52</v>
      </c>
      <c r="H16" s="11"/>
      <c r="I16" s="11"/>
      <c r="J16" s="12"/>
    </row>
    <row r="17" spans="1:11" ht="31.5" x14ac:dyDescent="0.25">
      <c r="A17" s="3">
        <v>4</v>
      </c>
      <c r="B17" s="4" t="s">
        <v>50</v>
      </c>
      <c r="C17" s="4" t="s">
        <v>54</v>
      </c>
      <c r="D17" s="3" t="s">
        <v>5</v>
      </c>
      <c r="E17" s="8"/>
      <c r="F17" s="8" t="s">
        <v>72</v>
      </c>
      <c r="G17" s="12">
        <f>1361289.47+27969973.22</f>
        <v>29331262.689999998</v>
      </c>
      <c r="H17" s="11"/>
      <c r="I17" s="11"/>
      <c r="J17" s="12"/>
    </row>
    <row r="18" spans="1:11" x14ac:dyDescent="0.25">
      <c r="A18" s="3">
        <v>5</v>
      </c>
      <c r="B18" s="4" t="s">
        <v>13</v>
      </c>
      <c r="C18" s="4" t="s">
        <v>45</v>
      </c>
      <c r="D18" s="5">
        <v>45079</v>
      </c>
      <c r="E18" s="8"/>
      <c r="F18" s="17" t="s">
        <v>71</v>
      </c>
      <c r="G18" s="12"/>
      <c r="H18" s="11"/>
      <c r="I18" s="11"/>
      <c r="J18" s="12"/>
    </row>
    <row r="19" spans="1:11" x14ac:dyDescent="0.25">
      <c r="A19" s="3">
        <v>6</v>
      </c>
      <c r="B19" s="13" t="s">
        <v>14</v>
      </c>
      <c r="C19" s="4" t="s">
        <v>27</v>
      </c>
      <c r="D19" s="5">
        <v>45082</v>
      </c>
      <c r="E19" s="8" t="s">
        <v>77</v>
      </c>
      <c r="F19" s="14" t="s">
        <v>69</v>
      </c>
      <c r="G19" s="12">
        <v>7423348.9299999997</v>
      </c>
      <c r="H19" s="11"/>
      <c r="I19" s="11" t="s">
        <v>91</v>
      </c>
      <c r="J19" s="12">
        <v>6647455.0700000003</v>
      </c>
    </row>
    <row r="20" spans="1:11" x14ac:dyDescent="0.25">
      <c r="A20" s="3">
        <v>7</v>
      </c>
      <c r="B20" s="4" t="s">
        <v>15</v>
      </c>
      <c r="C20" s="4" t="s">
        <v>28</v>
      </c>
      <c r="D20" s="5">
        <v>45082</v>
      </c>
      <c r="E20" s="8" t="s">
        <v>74</v>
      </c>
      <c r="F20" s="14" t="s">
        <v>70</v>
      </c>
      <c r="G20" s="12">
        <v>2885803.14</v>
      </c>
      <c r="H20" s="11"/>
      <c r="I20" s="11"/>
      <c r="J20" s="12"/>
    </row>
    <row r="21" spans="1:11" x14ac:dyDescent="0.25">
      <c r="A21" s="3">
        <v>8</v>
      </c>
      <c r="B21" s="4" t="s">
        <v>16</v>
      </c>
      <c r="C21" s="4" t="s">
        <v>29</v>
      </c>
      <c r="D21" s="5">
        <v>45065</v>
      </c>
      <c r="E21" s="8" t="s">
        <v>6</v>
      </c>
      <c r="F21" s="8" t="s">
        <v>64</v>
      </c>
      <c r="G21" s="12">
        <v>53476149.740000002</v>
      </c>
      <c r="H21" s="11" t="s">
        <v>82</v>
      </c>
      <c r="I21" s="11" t="s">
        <v>96</v>
      </c>
      <c r="J21" s="12">
        <v>65333775.159999996</v>
      </c>
    </row>
    <row r="22" spans="1:11" ht="31.5" x14ac:dyDescent="0.25">
      <c r="A22" s="3">
        <v>9</v>
      </c>
      <c r="B22" s="4" t="s">
        <v>17</v>
      </c>
      <c r="C22" s="4" t="s">
        <v>30</v>
      </c>
      <c r="D22" s="5">
        <v>45076</v>
      </c>
      <c r="E22" s="8"/>
      <c r="F22" s="8" t="s">
        <v>62</v>
      </c>
      <c r="G22" s="12">
        <v>7067783.4100000001</v>
      </c>
      <c r="H22" s="11"/>
      <c r="I22" s="11" t="s">
        <v>95</v>
      </c>
      <c r="J22" s="12">
        <v>6988999.6299999999</v>
      </c>
      <c r="K22" s="20" t="s">
        <v>98</v>
      </c>
    </row>
    <row r="23" spans="1:11" ht="47.25" x14ac:dyDescent="0.25">
      <c r="A23" s="3">
        <v>10</v>
      </c>
      <c r="B23" s="4" t="s">
        <v>18</v>
      </c>
      <c r="C23" s="4" t="s">
        <v>31</v>
      </c>
      <c r="D23" s="3" t="s">
        <v>5</v>
      </c>
      <c r="E23" s="8"/>
      <c r="F23" s="8" t="s">
        <v>67</v>
      </c>
      <c r="G23" s="12">
        <v>439944.8</v>
      </c>
      <c r="H23" s="11"/>
      <c r="I23" s="11" t="s">
        <v>94</v>
      </c>
      <c r="J23" s="12">
        <v>433718.58</v>
      </c>
    </row>
    <row r="24" spans="1:11" ht="31.5" x14ac:dyDescent="0.25">
      <c r="A24" s="3">
        <v>11</v>
      </c>
      <c r="B24" s="4" t="s">
        <v>19</v>
      </c>
      <c r="C24" s="4" t="s">
        <v>32</v>
      </c>
      <c r="D24" s="3" t="s">
        <v>5</v>
      </c>
      <c r="E24" s="8"/>
      <c r="F24" s="8" t="s">
        <v>68</v>
      </c>
      <c r="G24" s="12">
        <v>7445703.2199999997</v>
      </c>
      <c r="H24" s="11"/>
      <c r="I24" s="11"/>
      <c r="J24" s="12"/>
    </row>
    <row r="25" spans="1:11" ht="31.5" x14ac:dyDescent="0.25">
      <c r="A25" s="3">
        <v>12</v>
      </c>
      <c r="B25" s="4" t="s">
        <v>20</v>
      </c>
      <c r="C25" s="4" t="s">
        <v>33</v>
      </c>
      <c r="D25" s="3" t="s">
        <v>5</v>
      </c>
      <c r="E25" s="8"/>
      <c r="F25" s="10" t="s">
        <v>56</v>
      </c>
      <c r="G25" s="12">
        <v>5998546.8799999999</v>
      </c>
      <c r="H25" s="11"/>
      <c r="I25" s="11"/>
      <c r="J25" s="12">
        <v>10180276.800000001</v>
      </c>
      <c r="K25" s="20" t="s">
        <v>99</v>
      </c>
    </row>
    <row r="26" spans="1:11" ht="31.5" x14ac:dyDescent="0.25">
      <c r="A26" s="3">
        <v>13</v>
      </c>
      <c r="B26" s="4" t="s">
        <v>21</v>
      </c>
      <c r="C26" s="4" t="s">
        <v>34</v>
      </c>
      <c r="D26" s="3" t="s">
        <v>5</v>
      </c>
      <c r="E26" s="8"/>
      <c r="F26" s="8" t="s">
        <v>61</v>
      </c>
      <c r="G26" s="12">
        <v>25631687.579999998</v>
      </c>
      <c r="H26" s="11"/>
      <c r="I26" s="11"/>
      <c r="J26" s="12"/>
    </row>
    <row r="27" spans="1:11" x14ac:dyDescent="0.25">
      <c r="A27" s="3">
        <v>14</v>
      </c>
      <c r="B27" s="4" t="s">
        <v>22</v>
      </c>
      <c r="C27" s="4" t="s">
        <v>57</v>
      </c>
      <c r="D27" s="3" t="s">
        <v>5</v>
      </c>
      <c r="E27" s="8"/>
      <c r="F27" s="8" t="s">
        <v>60</v>
      </c>
      <c r="G27" s="12">
        <v>162000196.59999999</v>
      </c>
      <c r="H27" s="11"/>
      <c r="I27" s="11" t="s">
        <v>93</v>
      </c>
      <c r="J27" s="12">
        <v>115244654.45</v>
      </c>
      <c r="K27" s="2" t="s">
        <v>97</v>
      </c>
    </row>
    <row r="28" spans="1:11" ht="31.5" x14ac:dyDescent="0.25">
      <c r="A28" s="3">
        <v>15</v>
      </c>
      <c r="B28" s="4" t="s">
        <v>23</v>
      </c>
      <c r="C28" s="4" t="s">
        <v>35</v>
      </c>
      <c r="D28" s="3" t="s">
        <v>5</v>
      </c>
      <c r="E28" s="8" t="s">
        <v>81</v>
      </c>
      <c r="F28" s="8" t="s">
        <v>73</v>
      </c>
      <c r="G28" s="12">
        <v>1948237.14</v>
      </c>
      <c r="H28" s="11"/>
      <c r="I28" s="11"/>
      <c r="J28" s="12">
        <v>2947780.8</v>
      </c>
    </row>
    <row r="29" spans="1:11" x14ac:dyDescent="0.25">
      <c r="A29" s="3">
        <v>16</v>
      </c>
      <c r="B29" s="4" t="s">
        <v>24</v>
      </c>
      <c r="C29" s="4" t="s">
        <v>36</v>
      </c>
      <c r="D29" s="3" t="s">
        <v>5</v>
      </c>
      <c r="E29" s="8" t="s">
        <v>59</v>
      </c>
      <c r="F29" s="8" t="s">
        <v>58</v>
      </c>
      <c r="G29" s="12">
        <v>4369925.8899999997</v>
      </c>
      <c r="H29" s="11"/>
      <c r="I29" s="11"/>
      <c r="J29" s="12"/>
    </row>
    <row r="30" spans="1:11" ht="31.5" x14ac:dyDescent="0.25">
      <c r="A30" s="3">
        <v>17</v>
      </c>
      <c r="B30" s="13" t="s">
        <v>25</v>
      </c>
      <c r="C30" s="4" t="s">
        <v>37</v>
      </c>
      <c r="D30" s="3" t="s">
        <v>5</v>
      </c>
      <c r="E30" s="8" t="s">
        <v>6</v>
      </c>
      <c r="F30" s="8" t="s">
        <v>65</v>
      </c>
      <c r="G30" s="12">
        <v>623416.30000000005</v>
      </c>
      <c r="H30" s="15" t="s">
        <v>78</v>
      </c>
      <c r="I30" s="11" t="s">
        <v>78</v>
      </c>
      <c r="J30" s="12">
        <v>623416.30000000005</v>
      </c>
    </row>
    <row r="31" spans="1:11" x14ac:dyDescent="0.25">
      <c r="A31" s="3">
        <v>18</v>
      </c>
      <c r="B31" s="4" t="s">
        <v>26</v>
      </c>
      <c r="C31" s="4" t="s">
        <v>38</v>
      </c>
      <c r="D31" s="3" t="s">
        <v>5</v>
      </c>
      <c r="E31" s="8"/>
      <c r="F31" s="8" t="s">
        <v>65</v>
      </c>
      <c r="G31" s="12">
        <v>2951526.35</v>
      </c>
      <c r="H31" s="11"/>
      <c r="I31" s="15" t="s">
        <v>92</v>
      </c>
      <c r="J31" s="12">
        <v>2896609.63</v>
      </c>
    </row>
    <row r="32" spans="1:11" x14ac:dyDescent="0.25">
      <c r="A32" s="3"/>
      <c r="B32" s="18"/>
      <c r="C32" s="4" t="s">
        <v>79</v>
      </c>
      <c r="D32" s="3"/>
      <c r="E32" s="8"/>
      <c r="F32" s="8" t="s">
        <v>80</v>
      </c>
      <c r="G32" s="12">
        <v>1036716.16</v>
      </c>
      <c r="H32" s="11"/>
      <c r="I32" s="11"/>
      <c r="J32" s="12"/>
    </row>
    <row r="33" spans="1:10" x14ac:dyDescent="0.25">
      <c r="A33" s="3"/>
      <c r="B33" s="4"/>
      <c r="C33" s="4"/>
      <c r="D33" s="3"/>
      <c r="E33" s="8"/>
      <c r="F33" s="8"/>
      <c r="G33" s="12"/>
      <c r="H33" s="11"/>
      <c r="I33" s="11"/>
      <c r="J33" s="12"/>
    </row>
    <row r="34" spans="1:10" x14ac:dyDescent="0.25">
      <c r="A34" s="3"/>
      <c r="B34" s="4"/>
      <c r="C34" s="4"/>
      <c r="D34" s="3"/>
      <c r="E34" s="8"/>
      <c r="F34" s="8"/>
      <c r="G34" s="12"/>
      <c r="H34" s="11"/>
      <c r="I34" s="11"/>
      <c r="J34" s="12"/>
    </row>
    <row r="35" spans="1:10" x14ac:dyDescent="0.25">
      <c r="A35" s="3"/>
      <c r="B35" s="4"/>
      <c r="C35" s="4"/>
      <c r="D35" s="3"/>
      <c r="E35" s="8"/>
      <c r="F35" s="8"/>
      <c r="G35" s="12"/>
      <c r="H35" s="11"/>
      <c r="I35" s="11"/>
      <c r="J35" s="12"/>
    </row>
    <row r="36" spans="1:10" x14ac:dyDescent="0.25">
      <c r="A36" s="3"/>
      <c r="B36" s="4"/>
      <c r="C36" s="4"/>
      <c r="D36" s="3"/>
      <c r="E36" s="8"/>
      <c r="F36" s="8"/>
      <c r="G36" s="12"/>
      <c r="H36" s="11"/>
      <c r="I36" s="11"/>
      <c r="J36" s="12"/>
    </row>
    <row r="37" spans="1:10" x14ac:dyDescent="0.25">
      <c r="A37" s="3"/>
      <c r="B37" s="4"/>
      <c r="C37" s="4"/>
      <c r="D37" s="3"/>
      <c r="E37" s="8"/>
      <c r="F37" s="8"/>
      <c r="G37" s="12"/>
      <c r="H37" s="11"/>
      <c r="I37" s="11"/>
      <c r="J37" s="12"/>
    </row>
    <row r="38" spans="1:10" x14ac:dyDescent="0.25">
      <c r="A38" s="3"/>
      <c r="B38" s="4"/>
      <c r="C38" s="4"/>
      <c r="D38" s="3"/>
      <c r="E38" s="8"/>
      <c r="F38" s="8"/>
      <c r="G38" s="12"/>
      <c r="H38" s="11"/>
      <c r="I38" s="11"/>
      <c r="J38" s="12"/>
    </row>
    <row r="39" spans="1:10" x14ac:dyDescent="0.25">
      <c r="A39" s="3"/>
      <c r="B39" s="4"/>
      <c r="C39" s="4"/>
      <c r="D39" s="3"/>
      <c r="E39" s="8"/>
      <c r="F39" s="8"/>
      <c r="G39" s="12"/>
      <c r="H39" s="11"/>
      <c r="I39" s="11"/>
      <c r="J39" s="12"/>
    </row>
    <row r="40" spans="1:10" x14ac:dyDescent="0.25">
      <c r="G40" s="16">
        <f>SUM(G8:G39)</f>
        <v>367993446.80000007</v>
      </c>
      <c r="H40" s="16"/>
      <c r="I40" s="16"/>
      <c r="J40" s="16">
        <f t="shared" ref="J40" si="0">SUM(J8:J39)</f>
        <v>245361339.71000001</v>
      </c>
    </row>
    <row r="42" spans="1:10" x14ac:dyDescent="0.25">
      <c r="G42" s="19">
        <v>361959880</v>
      </c>
      <c r="H42" s="2" t="s">
        <v>83</v>
      </c>
    </row>
  </sheetData>
  <mergeCells count="6">
    <mergeCell ref="I6:J6"/>
    <mergeCell ref="A1:B1"/>
    <mergeCell ref="A2:B2"/>
    <mergeCell ref="A3:B3"/>
    <mergeCell ref="A4:B4"/>
    <mergeCell ref="A6:E6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реестр под ФАКТ на 04.07</vt:lpstr>
      <vt:lpstr>реестр под ФАКТ до соглас. </vt:lpstr>
      <vt:lpstr>корр (2)</vt:lpstr>
      <vt:lpstr>корр</vt:lpstr>
      <vt:lpstr>Лист1 (2)</vt:lpstr>
      <vt:lpstr>'реестр под ФАКТ до соглас. '!Область_печати</vt:lpstr>
      <vt:lpstr>'реестр под ФАКТ на 04.07'!Область_печати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Архитектор</dc:creator>
  <cp:lastModifiedBy>Анастасия</cp:lastModifiedBy>
  <cp:lastPrinted>2024-05-15T12:01:43Z</cp:lastPrinted>
  <dcterms:created xsi:type="dcterms:W3CDTF">2015-06-05T18:19:34Z</dcterms:created>
  <dcterms:modified xsi:type="dcterms:W3CDTF">2024-07-04T13:40:32Z</dcterms:modified>
</cp:coreProperties>
</file>