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wnload\"/>
    </mc:Choice>
  </mc:AlternateContent>
  <xr:revisionPtr revIDLastSave="0" documentId="13_ncr:1_{B229DCF5-6A6E-41A4-898C-18EEDEA81AEA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Соль" sheetId="3" r:id="rId1"/>
    <sheet name="ГП доп" sheetId="4" r:id="rId2"/>
    <sheet name="СВОД" sheetId="10" r:id="rId3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4" l="1"/>
  <c r="L29" i="4"/>
  <c r="L32" i="3" l="1"/>
  <c r="E16" i="3" l="1"/>
  <c r="C3" i="10" l="1"/>
  <c r="D16" i="4"/>
  <c r="D15" i="4"/>
  <c r="D4" i="10" l="1"/>
  <c r="D24" i="4" l="1"/>
  <c r="I24" i="4" s="1"/>
  <c r="K24" i="4" s="1"/>
  <c r="F23" i="4"/>
  <c r="K23" i="4" s="1"/>
  <c r="D22" i="4"/>
  <c r="I22" i="4" s="1"/>
  <c r="F21" i="4"/>
  <c r="K21" i="4" s="1"/>
  <c r="H20" i="4"/>
  <c r="I20" i="4" s="1"/>
  <c r="K20" i="4" s="1"/>
  <c r="H19" i="4"/>
  <c r="I19" i="4" s="1"/>
  <c r="F18" i="4"/>
  <c r="G18" i="4" s="1"/>
  <c r="L18" i="4" s="1"/>
  <c r="F17" i="4"/>
  <c r="K17" i="4" s="1"/>
  <c r="I16" i="4"/>
  <c r="K16" i="4" s="1"/>
  <c r="F15" i="4"/>
  <c r="G15" i="4" s="1"/>
  <c r="L15" i="4" s="1"/>
  <c r="H14" i="4"/>
  <c r="I14" i="4" s="1"/>
  <c r="F13" i="4"/>
  <c r="G13" i="4" s="1"/>
  <c r="L13" i="4" s="1"/>
  <c r="F11" i="4"/>
  <c r="K11" i="4" s="1"/>
  <c r="F9" i="4"/>
  <c r="G9" i="4" s="1"/>
  <c r="L9" i="4" s="1"/>
  <c r="E8" i="4"/>
  <c r="F8" i="4" s="1"/>
  <c r="A8" i="4"/>
  <c r="A9" i="4" s="1"/>
  <c r="A11" i="4" s="1"/>
  <c r="A13" i="4" s="1"/>
  <c r="A15" i="4" s="1"/>
  <c r="A17" i="4" s="1"/>
  <c r="A18" i="4" s="1"/>
  <c r="A21" i="4" s="1"/>
  <c r="A23" i="4" s="1"/>
  <c r="G25" i="4" l="1"/>
  <c r="K18" i="4"/>
  <c r="G23" i="4"/>
  <c r="L23" i="4" s="1"/>
  <c r="K13" i="4"/>
  <c r="J14" i="4"/>
  <c r="L14" i="4" s="1"/>
  <c r="I25" i="4"/>
  <c r="J25" i="4" s="1"/>
  <c r="K14" i="4"/>
  <c r="K19" i="4"/>
  <c r="J19" i="4"/>
  <c r="L19" i="4" s="1"/>
  <c r="J22" i="4"/>
  <c r="L22" i="4" s="1"/>
  <c r="K22" i="4"/>
  <c r="K8" i="4"/>
  <c r="G8" i="4"/>
  <c r="L8" i="4" s="1"/>
  <c r="J16" i="4"/>
  <c r="L16" i="4" s="1"/>
  <c r="J20" i="4"/>
  <c r="L20" i="4" s="1"/>
  <c r="J24" i="4"/>
  <c r="L24" i="4" s="1"/>
  <c r="K9" i="4"/>
  <c r="G11" i="4"/>
  <c r="L11" i="4" s="1"/>
  <c r="K15" i="4"/>
  <c r="G17" i="4"/>
  <c r="L17" i="4" s="1"/>
  <c r="G21" i="4"/>
  <c r="L21" i="4" s="1"/>
  <c r="K25" i="4" l="1"/>
  <c r="L25" i="4" s="1"/>
  <c r="D27" i="3" l="1"/>
  <c r="I27" i="3" s="1"/>
  <c r="J27" i="3" s="1"/>
  <c r="L27" i="3" s="1"/>
  <c r="F26" i="3"/>
  <c r="K26" i="3" s="1"/>
  <c r="D25" i="3"/>
  <c r="I25" i="3" s="1"/>
  <c r="F24" i="3"/>
  <c r="K24" i="3" s="1"/>
  <c r="F23" i="3"/>
  <c r="G23" i="3" s="1"/>
  <c r="L23" i="3" s="1"/>
  <c r="F21" i="3"/>
  <c r="G21" i="3" s="1"/>
  <c r="L21" i="3" s="1"/>
  <c r="D19" i="3"/>
  <c r="I19" i="3" s="1"/>
  <c r="F18" i="3"/>
  <c r="K18" i="3" s="1"/>
  <c r="D17" i="3"/>
  <c r="I17" i="3" s="1"/>
  <c r="J17" i="3" s="1"/>
  <c r="L17" i="3" s="1"/>
  <c r="F16" i="3"/>
  <c r="K16" i="3" s="1"/>
  <c r="F14" i="3"/>
  <c r="G14" i="3" s="1"/>
  <c r="L14" i="3" s="1"/>
  <c r="F13" i="3"/>
  <c r="K13" i="3" s="1"/>
  <c r="F11" i="3"/>
  <c r="G11" i="3" s="1"/>
  <c r="L11" i="3" s="1"/>
  <c r="F10" i="3"/>
  <c r="K10" i="3" s="1"/>
  <c r="F9" i="3"/>
  <c r="A9" i="3"/>
  <c r="A10" i="3" s="1"/>
  <c r="A11" i="3" s="1"/>
  <c r="A13" i="3" s="1"/>
  <c r="A14" i="3" s="1"/>
  <c r="A16" i="3" s="1"/>
  <c r="A18" i="3" s="1"/>
  <c r="A21" i="3" s="1"/>
  <c r="A23" i="3" s="1"/>
  <c r="A24" i="3" s="1"/>
  <c r="A26" i="3" s="1"/>
  <c r="E3" i="10" l="1"/>
  <c r="J19" i="3"/>
  <c r="L19" i="3" s="1"/>
  <c r="K19" i="3"/>
  <c r="J25" i="3"/>
  <c r="L25" i="3" s="1"/>
  <c r="K25" i="3"/>
  <c r="G24" i="3"/>
  <c r="L24" i="3" s="1"/>
  <c r="G13" i="3"/>
  <c r="L13" i="3" s="1"/>
  <c r="K14" i="3"/>
  <c r="F28" i="3"/>
  <c r="G28" i="3" s="1"/>
  <c r="G18" i="3"/>
  <c r="L18" i="3" s="1"/>
  <c r="G26" i="3"/>
  <c r="L26" i="3" s="1"/>
  <c r="K21" i="3"/>
  <c r="G16" i="3"/>
  <c r="L16" i="3" s="1"/>
  <c r="K9" i="3"/>
  <c r="G10" i="3"/>
  <c r="L10" i="3" s="1"/>
  <c r="K11" i="3"/>
  <c r="K17" i="3"/>
  <c r="K23" i="3"/>
  <c r="K27" i="3"/>
  <c r="I28" i="3"/>
  <c r="J28" i="3" s="1"/>
  <c r="G9" i="3"/>
  <c r="L9" i="3" s="1"/>
  <c r="K28" i="3" l="1"/>
  <c r="L28" i="3" s="1"/>
  <c r="C2" i="10" s="1"/>
  <c r="E2" i="10" l="1"/>
  <c r="C4" i="10"/>
  <c r="B4" i="10"/>
</calcChain>
</file>

<file path=xl/sharedStrings.xml><?xml version="1.0" encoding="utf-8"?>
<sst xmlns="http://schemas.openxmlformats.org/spreadsheetml/2006/main" count="127" uniqueCount="77">
  <si>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</si>
  <si>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</si>
  <si>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</si>
  <si>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</si>
  <si>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</si>
  <si>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</si>
  <si>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</si>
  <si>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</si>
  <si>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</si>
  <si>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</si>
  <si>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</si>
  <si>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</si>
  <si>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</si>
  <si>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131-23-ПЖ-30</t>
  </si>
  <si>
    <t>Железнодорожный путь №30</t>
  </si>
  <si>
    <t>Земляные работы</t>
  </si>
  <si>
    <t>Разборка балласта щебеночного</t>
  </si>
  <si>
    <t>м3</t>
  </si>
  <si>
    <t>Разработка основания из песка</t>
  </si>
  <si>
    <t>Уплотнение грунта пневматическими трамбовками</t>
  </si>
  <si>
    <t>Демонтажные работы</t>
  </si>
  <si>
    <t>Расшивка шпал деревянных (скрепление) (с сохранением материала)</t>
  </si>
  <si>
    <t>к-т</t>
  </si>
  <si>
    <t>Демонтаж шпал деревянных (5м) (с сохранением материала)</t>
  </si>
  <si>
    <t>шт.</t>
  </si>
  <si>
    <t>Устройство оснований под ж/д пути</t>
  </si>
  <si>
    <t xml:space="preserve">Устройство разделяющей прослойки из геотекстиля </t>
  </si>
  <si>
    <t>м2</t>
  </si>
  <si>
    <t>Геотекстиль</t>
  </si>
  <si>
    <t>Устройство подстилающих и выравнивающих слоев оснований из щебня</t>
  </si>
  <si>
    <t>Щебень балластный кат.2 (материал Заказчика)</t>
  </si>
  <si>
    <t>Устройство верхнего строения пути</t>
  </si>
  <si>
    <t>Монтаж деревянных шпал с комплектом скреплений (эпюра шпал 1840шт/км) (5м) (ранее демонтированные)</t>
  </si>
  <si>
    <t>Рихтовка, выправка и балластировка путей</t>
  </si>
  <si>
    <t>Рихтовка пути</t>
  </si>
  <si>
    <t>м</t>
  </si>
  <si>
    <t xml:space="preserve">Балластировка пути </t>
  </si>
  <si>
    <t>Выправочно-отделочные работы и окончательная выправка пути, балласт щебеночный (12,5м)</t>
  </si>
  <si>
    <t xml:space="preserve">Итого </t>
  </si>
  <si>
    <t>131-23-ГП2 Генеральный план</t>
  </si>
  <si>
    <t xml:space="preserve">Демонтажные работы </t>
  </si>
  <si>
    <t xml:space="preserve">Демонтаж плитки тротуарной </t>
  </si>
  <si>
    <t xml:space="preserve">Разборка асфальтобетонного покрытия  </t>
  </si>
  <si>
    <t>Прочие работы</t>
  </si>
  <si>
    <t>Погрузка строительного мусора в автосамосвалы</t>
  </si>
  <si>
    <t>т</t>
  </si>
  <si>
    <t>Благоустройство (Асфальтовое покрытие проездов)</t>
  </si>
  <si>
    <t>Устройство покрытий из холодного асфальтобетона    h=0,06</t>
  </si>
  <si>
    <t>4.1</t>
  </si>
  <si>
    <t xml:space="preserve">Смесь органоминеральная дорожная ремонтная марка II (холодный асфальтобетон) </t>
  </si>
  <si>
    <t>Укладка асфальтобетона мелкозеристого горячего на битуме   h=0,06</t>
  </si>
  <si>
    <t>5.1</t>
  </si>
  <si>
    <t xml:space="preserve">Асфальтобетон мелкозернистый, плотный горячий на битуме БНД марки 60/90, Тип Б, Марки II </t>
  </si>
  <si>
    <t>Сверление отверстий ф10мм глубиной 100мм для распорных дюбелей</t>
  </si>
  <si>
    <t>Установка столбиков сигнальных</t>
  </si>
  <si>
    <t>7.1</t>
  </si>
  <si>
    <t>Шуруп-дюбель ф10х100мм</t>
  </si>
  <si>
    <t>7.2</t>
  </si>
  <si>
    <t>Столбик гибкий 750мм ССД-750 ТПУ ОРАНЖ.</t>
  </si>
  <si>
    <t>Устройство слоя из щебня  мелкого</t>
  </si>
  <si>
    <t>8.1</t>
  </si>
  <si>
    <t>Щебень фракции  М600 (5-20мм), известняк</t>
  </si>
  <si>
    <t>Устройство слоя из щебня  гранитного</t>
  </si>
  <si>
    <t>9.1</t>
  </si>
  <si>
    <t>Щебень фракции  М1400 (5-20мм)</t>
  </si>
  <si>
    <t>Платил Шеллрокк</t>
  </si>
  <si>
    <t>Раздел</t>
  </si>
  <si>
    <t>Итого</t>
  </si>
  <si>
    <t>ВДЦ с учетом корр. КИК</t>
  </si>
  <si>
    <t>ВДЦ версия ЭЭ</t>
  </si>
  <si>
    <t>КиК закрыто верх (справочно)</t>
  </si>
  <si>
    <t>Отсыпка стрелок+столбики</t>
  </si>
  <si>
    <t>Ремонт пути №30 (Соль)</t>
  </si>
  <si>
    <t>Кф. КиК/верх (справочно)</t>
  </si>
  <si>
    <t>по версии ВДЦ ЭЭ</t>
  </si>
  <si>
    <t>дельта</t>
  </si>
  <si>
    <t>по согл. расценке при закрытии 417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</si>
</sst>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  <numFmt numFmtId="166" formatCode="_-* #,##0.0_-;\-* #,##0.0_-;_-* &quot;-&quot;??_-;_-@_-"/>
    <numFmt numFmtId="167" formatCode="#,##0.00_ ;\-#,##0.00\ 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15" fillId="0" borderId="0"/>
  </cellStyleXfs>
  <cellXfs count="126">
    <xf numFmtId="0" fontId="0" fillId="0" borderId="0" xfId="0"/>
    <xf numFmtId="0" fontId="3" fillId="0" borderId="0" xfId="0" applyFont="1"/>
    <xf numFmtId="4" fontId="2" fillId="0" borderId="1" xfId="0" applyNumberFormat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vertical="center"/>
    </xf>
    <xf numFmtId="1" fontId="2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left" vertical="center" wrapText="1"/>
    </xf>
    <xf numFmtId="165" fontId="2" fillId="2" borderId="1" xfId="0" applyNumberFormat="1" applyFont="1" applyFill="1" applyBorder="1" applyAlignment="1">
      <alignment horizontal="left" vertical="center" wrapText="1"/>
    </xf>
    <xf numFmtId="164" fontId="2" fillId="2" borderId="1" xfId="1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5" fillId="0" borderId="1" xfId="0" applyFont="1" applyBorder="1"/>
    <xf numFmtId="43" fontId="5" fillId="3" borderId="1" xfId="1" applyFont="1" applyFill="1" applyBorder="1" applyAlignment="1">
      <alignment horizontal="center" vertical="center" wrapText="1"/>
    </xf>
    <xf numFmtId="43" fontId="5" fillId="0" borderId="1" xfId="1" applyFont="1" applyBorder="1" applyAlignment="1">
      <alignment vertical="center"/>
    </xf>
    <xf numFmtId="43" fontId="6" fillId="3" borderId="1" xfId="1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2" applyFont="1" applyBorder="1" applyAlignment="1">
      <alignment vertical="center" wrapText="1"/>
    </xf>
    <xf numFmtId="0" fontId="5" fillId="0" borderId="1" xfId="2" applyFont="1" applyBorder="1" applyAlignment="1">
      <alignment horizontal="center" vertical="center" wrapText="1"/>
    </xf>
    <xf numFmtId="2" fontId="5" fillId="0" borderId="1" xfId="2" applyNumberFormat="1" applyFont="1" applyBorder="1" applyAlignment="1">
      <alignment horizontal="right" vertical="center"/>
    </xf>
    <xf numFmtId="43" fontId="5" fillId="0" borderId="1" xfId="1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vertical="center"/>
    </xf>
    <xf numFmtId="43" fontId="5" fillId="0" borderId="1" xfId="1" applyFont="1" applyFill="1" applyBorder="1" applyAlignment="1">
      <alignment horizontal="center"/>
    </xf>
    <xf numFmtId="0" fontId="5" fillId="0" borderId="1" xfId="3" applyFont="1" applyBorder="1" applyAlignment="1">
      <alignment horizontal="left" vertical="center" wrapText="1"/>
    </xf>
    <xf numFmtId="43" fontId="5" fillId="0" borderId="1" xfId="1" applyFont="1" applyFill="1" applyBorder="1" applyAlignment="1">
      <alignment horizontal="right" vertical="center" wrapText="1"/>
    </xf>
    <xf numFmtId="2" fontId="5" fillId="0" borderId="1" xfId="0" applyNumberFormat="1" applyFont="1" applyBorder="1" applyAlignment="1">
      <alignment vertical="center" wrapText="1"/>
    </xf>
    <xf numFmtId="0" fontId="5" fillId="0" borderId="1" xfId="3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43" fontId="6" fillId="0" borderId="1" xfId="1" applyFont="1" applyFill="1" applyBorder="1" applyAlignment="1">
      <alignment horizontal="center" vertical="center" wrapText="1"/>
    </xf>
    <xf numFmtId="43" fontId="5" fillId="0" borderId="11" xfId="1" applyFont="1" applyFill="1" applyBorder="1" applyAlignment="1">
      <alignment vertical="center"/>
    </xf>
    <xf numFmtId="166" fontId="5" fillId="0" borderId="1" xfId="1" applyNumberFormat="1" applyFont="1" applyFill="1" applyBorder="1" applyAlignment="1">
      <alignment horizontal="right" vertical="center" wrapText="1"/>
    </xf>
    <xf numFmtId="43" fontId="5" fillId="0" borderId="1" xfId="1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4" borderId="1" xfId="3" applyFont="1" applyFill="1" applyBorder="1" applyAlignment="1">
      <alignment horizontal="left" vertical="center" wrapText="1"/>
    </xf>
    <xf numFmtId="0" fontId="5" fillId="4" borderId="1" xfId="2" applyFont="1" applyFill="1" applyBorder="1" applyAlignment="1">
      <alignment horizontal="center" vertical="center" wrapText="1"/>
    </xf>
    <xf numFmtId="166" fontId="5" fillId="4" borderId="1" xfId="1" applyNumberFormat="1" applyFont="1" applyFill="1" applyBorder="1" applyAlignment="1">
      <alignment vertical="center" wrapText="1"/>
    </xf>
    <xf numFmtId="43" fontId="6" fillId="4" borderId="1" xfId="1" applyFont="1" applyFill="1" applyBorder="1" applyAlignment="1">
      <alignment horizontal="center" vertical="center" wrapText="1"/>
    </xf>
    <xf numFmtId="43" fontId="5" fillId="4" borderId="1" xfId="1" applyFont="1" applyFill="1" applyBorder="1" applyAlignment="1">
      <alignment vertical="center"/>
    </xf>
    <xf numFmtId="43" fontId="5" fillId="4" borderId="1" xfId="1" applyFont="1" applyFill="1" applyBorder="1" applyAlignment="1">
      <alignment horizontal="center" vertical="center" wrapText="1"/>
    </xf>
    <xf numFmtId="166" fontId="5" fillId="0" borderId="1" xfId="1" applyNumberFormat="1" applyFont="1" applyFill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 wrapText="1"/>
    </xf>
    <xf numFmtId="43" fontId="5" fillId="0" borderId="1" xfId="1" applyFont="1" applyFill="1" applyBorder="1" applyAlignment="1">
      <alignment vertical="center" wrapText="1"/>
    </xf>
    <xf numFmtId="0" fontId="2" fillId="0" borderId="1" xfId="2" applyFont="1" applyBorder="1" applyAlignment="1">
      <alignment vertical="center" wrapText="1"/>
    </xf>
    <xf numFmtId="1" fontId="5" fillId="0" borderId="1" xfId="2" applyNumberFormat="1" applyFont="1" applyBorder="1" applyAlignment="1">
      <alignment horizontal="right" vertical="center"/>
    </xf>
    <xf numFmtId="164" fontId="5" fillId="0" borderId="1" xfId="1" applyNumberFormat="1" applyFont="1" applyFill="1" applyBorder="1" applyAlignment="1">
      <alignment vertical="center" wrapText="1"/>
    </xf>
    <xf numFmtId="43" fontId="8" fillId="0" borderId="1" xfId="1" applyFont="1" applyBorder="1" applyAlignment="1">
      <alignment vertical="center"/>
    </xf>
    <xf numFmtId="164" fontId="9" fillId="0" borderId="1" xfId="1" applyNumberFormat="1" applyFont="1" applyBorder="1" applyAlignment="1">
      <alignment vertical="center"/>
    </xf>
    <xf numFmtId="0" fontId="9" fillId="0" borderId="0" xfId="0" applyFont="1"/>
    <xf numFmtId="164" fontId="3" fillId="0" borderId="0" xfId="1" applyNumberFormat="1" applyFont="1"/>
    <xf numFmtId="164" fontId="10" fillId="0" borderId="1" xfId="1" applyNumberFormat="1" applyFont="1" applyBorder="1" applyAlignment="1">
      <alignment vertical="center"/>
    </xf>
    <xf numFmtId="0" fontId="11" fillId="5" borderId="1" xfId="0" applyFont="1" applyFill="1" applyBorder="1" applyAlignment="1">
      <alignment horizontal="center" vertical="center" wrapText="1"/>
    </xf>
    <xf numFmtId="0" fontId="2" fillId="5" borderId="1" xfId="3" applyFont="1" applyFill="1" applyBorder="1" applyAlignment="1">
      <alignment vertical="center" wrapText="1"/>
    </xf>
    <xf numFmtId="43" fontId="5" fillId="5" borderId="1" xfId="1" applyFont="1" applyFill="1" applyBorder="1" applyAlignment="1">
      <alignment horizontal="center" vertical="center" wrapText="1"/>
    </xf>
    <xf numFmtId="43" fontId="11" fillId="5" borderId="1" xfId="1" applyFont="1" applyFill="1" applyBorder="1" applyAlignment="1">
      <alignment vertical="center"/>
    </xf>
    <xf numFmtId="43" fontId="6" fillId="5" borderId="1" xfId="1" applyFont="1" applyFill="1" applyBorder="1" applyAlignment="1">
      <alignment horizontal="center" vertical="center" wrapText="1"/>
    </xf>
    <xf numFmtId="43" fontId="11" fillId="5" borderId="1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3" fontId="11" fillId="0" borderId="1" xfId="1" applyFont="1" applyFill="1" applyBorder="1" applyAlignment="1">
      <alignment horizontal="center" vertical="center" wrapText="1"/>
    </xf>
    <xf numFmtId="43" fontId="11" fillId="0" borderId="1" xfId="1" applyFont="1" applyFill="1" applyBorder="1" applyAlignment="1">
      <alignment vertical="center"/>
    </xf>
    <xf numFmtId="43" fontId="11" fillId="0" borderId="1" xfId="1" applyFont="1" applyFill="1" applyBorder="1" applyAlignment="1">
      <alignment horizontal="right" vertical="center" wrapText="1"/>
    </xf>
    <xf numFmtId="0" fontId="2" fillId="3" borderId="1" xfId="3" applyFont="1" applyFill="1" applyBorder="1" applyAlignment="1">
      <alignment horizontal="left" vertical="center" wrapText="1"/>
    </xf>
    <xf numFmtId="2" fontId="5" fillId="3" borderId="1" xfId="0" applyNumberFormat="1" applyFont="1" applyFill="1" applyBorder="1" applyAlignment="1">
      <alignment vertical="center" wrapText="1"/>
    </xf>
    <xf numFmtId="43" fontId="12" fillId="0" borderId="1" xfId="1" applyFont="1" applyBorder="1" applyAlignment="1">
      <alignment vertical="center"/>
    </xf>
    <xf numFmtId="43" fontId="11" fillId="0" borderId="1" xfId="1" applyFont="1" applyBorder="1" applyAlignment="1">
      <alignment vertical="center"/>
    </xf>
    <xf numFmtId="43" fontId="11" fillId="3" borderId="1" xfId="1" applyFont="1" applyFill="1" applyBorder="1" applyAlignment="1">
      <alignment vertical="center"/>
    </xf>
    <xf numFmtId="43" fontId="11" fillId="3" borderId="1" xfId="1" applyFont="1" applyFill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right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2" fontId="11" fillId="4" borderId="1" xfId="1" applyNumberFormat="1" applyFont="1" applyFill="1" applyBorder="1" applyAlignment="1">
      <alignment horizontal="right" vertical="center"/>
    </xf>
    <xf numFmtId="43" fontId="11" fillId="4" borderId="1" xfId="1" applyFont="1" applyFill="1" applyBorder="1" applyAlignment="1">
      <alignment vertical="center"/>
    </xf>
    <xf numFmtId="43" fontId="11" fillId="4" borderId="1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1" fontId="11" fillId="4" borderId="1" xfId="1" applyNumberFormat="1" applyFont="1" applyFill="1" applyBorder="1" applyAlignment="1">
      <alignment horizontal="right" vertical="center"/>
    </xf>
    <xf numFmtId="43" fontId="12" fillId="4" borderId="1" xfId="1" applyFont="1" applyFill="1" applyBorder="1" applyAlignment="1">
      <alignment vertical="center"/>
    </xf>
    <xf numFmtId="2" fontId="5" fillId="4" borderId="1" xfId="1" applyNumberFormat="1" applyFont="1" applyFill="1" applyBorder="1" applyAlignment="1">
      <alignment horizontal="right" vertical="center"/>
    </xf>
    <xf numFmtId="43" fontId="10" fillId="0" borderId="1" xfId="1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11" fillId="0" borderId="0" xfId="0" applyFont="1"/>
    <xf numFmtId="164" fontId="11" fillId="0" borderId="1" xfId="1" applyNumberFormat="1" applyFont="1" applyBorder="1" applyAlignment="1">
      <alignment vertical="center"/>
    </xf>
    <xf numFmtId="164" fontId="11" fillId="0" borderId="0" xfId="1" applyNumberFormat="1" applyFont="1"/>
    <xf numFmtId="0" fontId="11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2" fontId="14" fillId="6" borderId="1" xfId="0" applyNumberFormat="1" applyFont="1" applyFill="1" applyBorder="1" applyAlignment="1">
      <alignment horizontal="right" vertical="center" wrapText="1"/>
    </xf>
    <xf numFmtId="2" fontId="14" fillId="6" borderId="1" xfId="1" applyNumberFormat="1" applyFont="1" applyFill="1" applyBorder="1" applyAlignment="1">
      <alignment horizontal="right" vertical="center"/>
    </xf>
    <xf numFmtId="43" fontId="14" fillId="6" borderId="1" xfId="1" applyFont="1" applyFill="1" applyBorder="1" applyAlignment="1">
      <alignment horizontal="center" vertical="center" wrapText="1"/>
    </xf>
    <xf numFmtId="0" fontId="17" fillId="6" borderId="0" xfId="0" applyFont="1" applyFill="1"/>
    <xf numFmtId="43" fontId="14" fillId="6" borderId="1" xfId="1" applyFont="1" applyFill="1" applyBorder="1" applyAlignment="1">
      <alignment horizontal="right" vertical="center"/>
    </xf>
    <xf numFmtId="0" fontId="14" fillId="6" borderId="0" xfId="0" applyFont="1" applyFill="1" applyAlignment="1">
      <alignment vertical="center"/>
    </xf>
    <xf numFmtId="0" fontId="16" fillId="6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6" fillId="0" borderId="1" xfId="0" applyFont="1" applyBorder="1" applyAlignment="1">
      <alignment vertical="center" wrapText="1"/>
    </xf>
    <xf numFmtId="4" fontId="16" fillId="0" borderId="1" xfId="0" applyNumberFormat="1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4" fontId="13" fillId="0" borderId="0" xfId="0" applyNumberFormat="1" applyFont="1" applyAlignment="1">
      <alignment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 wrapText="1"/>
    </xf>
    <xf numFmtId="0" fontId="18" fillId="9" borderId="1" xfId="0" applyFont="1" applyFill="1" applyBorder="1"/>
    <xf numFmtId="4" fontId="18" fillId="9" borderId="1" xfId="0" applyNumberFormat="1" applyFont="1" applyFill="1" applyBorder="1"/>
    <xf numFmtId="167" fontId="18" fillId="9" borderId="1" xfId="0" applyNumberFormat="1" applyFont="1" applyFill="1" applyBorder="1"/>
    <xf numFmtId="4" fontId="19" fillId="6" borderId="1" xfId="0" applyNumberFormat="1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7" fillId="0" borderId="11" xfId="3" applyFont="1" applyBorder="1" applyAlignment="1">
      <alignment horizontal="right" vertical="center" wrapText="1"/>
    </xf>
    <xf numFmtId="0" fontId="7" fillId="0" borderId="12" xfId="3" applyFont="1" applyBorder="1" applyAlignment="1">
      <alignment horizontal="right" vertical="center" wrapText="1"/>
    </xf>
    <xf numFmtId="0" fontId="7" fillId="0" borderId="13" xfId="3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</cellXfs>
  <cellStyles count="5">
    <cellStyle name="ЛокСмМТСН" xfId="2" xr:uid="{D903A42D-58B8-4BC9-A120-BB1837381005}"/>
    <cellStyle name="Обычный" xfId="0" builtinId="0"/>
    <cellStyle name="Обычный 2" xfId="3" xr:uid="{B06D4D54-40D1-4D67-BB45-D2B382D047E6}"/>
    <cellStyle name="Обычный 3" xfId="4" xr:uid="{FF8AF29F-8625-4DF6-B5DE-40DA0E16124C}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M32"/>
  <sheetViews>
    <sheetView tabSelected="1" workbookViewId="0">
      <selection activeCell="M23" sqref="M23"/>
    </sheetView>
  </sheetViews>
  <sheetFormatPr defaultColWidth="8.85546875" defaultRowHeight="15" x14ac:dyDescent="0.25"/>
  <cols>
    <col min="1" max="1" width="8.85546875" style="1"/>
    <col min="2" max="2" width="65.140625" style="1" customWidth="1"/>
    <col min="3" max="3" width="9.28515625" style="1" customWidth="1"/>
    <col min="4" max="4" width="13.28515625" style="1" customWidth="1"/>
    <col min="5" max="5" width="15.140625" style="1" customWidth="1"/>
    <col min="6" max="6" width="17.85546875" style="1" customWidth="1"/>
    <col min="7" max="7" width="17.140625" style="49" customWidth="1"/>
    <col min="8" max="8" width="16.140625" style="49" customWidth="1"/>
    <col min="9" max="9" width="18.42578125" style="1" customWidth="1"/>
    <col min="10" max="11" width="17.7109375" style="1" customWidth="1"/>
    <col min="12" max="12" width="18.140625" style="1" customWidth="1"/>
    <col min="13" max="13" width="38.5703125" style="1" customWidth="1"/>
    <col min="14" max="16384" width="8.85546875" style="1"/>
  </cols>
  <sheetData>
    <row r="1" spans="1:13" ht="14.45" customHeight="1" x14ac:dyDescent="0.25">
      <c r="A1" s="110" t="s">
        <v>0</v>
      </c>
      <c r="B1" s="113" t="s">
        <v>1</v>
      </c>
      <c r="C1" s="116" t="s">
        <v>2</v>
      </c>
      <c r="D1" s="116" t="s">
        <v>3</v>
      </c>
      <c r="E1" s="117" t="s">
        <v>4</v>
      </c>
      <c r="F1" s="118"/>
      <c r="G1" s="118"/>
      <c r="H1" s="118"/>
      <c r="I1" s="118"/>
      <c r="J1" s="118"/>
      <c r="K1" s="118"/>
      <c r="L1" s="118"/>
    </row>
    <row r="2" spans="1:13" ht="14.45" customHeight="1" x14ac:dyDescent="0.25">
      <c r="A2" s="111"/>
      <c r="B2" s="114"/>
      <c r="C2" s="116"/>
      <c r="D2" s="116"/>
      <c r="E2" s="119"/>
      <c r="F2" s="120"/>
      <c r="G2" s="120"/>
      <c r="H2" s="120"/>
      <c r="I2" s="120"/>
      <c r="J2" s="120"/>
      <c r="K2" s="120"/>
      <c r="L2" s="120"/>
    </row>
    <row r="3" spans="1:13" ht="27.75" customHeight="1" x14ac:dyDescent="0.25">
      <c r="A3" s="111"/>
      <c r="B3" s="114"/>
      <c r="C3" s="116"/>
      <c r="D3" s="116"/>
      <c r="E3" s="116" t="s">
        <v>5</v>
      </c>
      <c r="F3" s="116"/>
      <c r="G3" s="116"/>
      <c r="H3" s="116" t="s">
        <v>6</v>
      </c>
      <c r="I3" s="116"/>
      <c r="J3" s="116"/>
      <c r="K3" s="121" t="s">
        <v>7</v>
      </c>
      <c r="L3" s="121"/>
    </row>
    <row r="4" spans="1:13" ht="42.75" x14ac:dyDescent="0.25">
      <c r="A4" s="112"/>
      <c r="B4" s="115"/>
      <c r="C4" s="116"/>
      <c r="D4" s="116"/>
      <c r="E4" s="2" t="s">
        <v>8</v>
      </c>
      <c r="F4" s="2" t="s">
        <v>9</v>
      </c>
      <c r="G4" s="3" t="s">
        <v>10</v>
      </c>
      <c r="H4" s="2" t="s">
        <v>8</v>
      </c>
      <c r="I4" s="2" t="s">
        <v>9</v>
      </c>
      <c r="J4" s="3" t="s">
        <v>10</v>
      </c>
      <c r="K4" s="2" t="s">
        <v>11</v>
      </c>
      <c r="L4" s="2" t="s">
        <v>12</v>
      </c>
    </row>
    <row r="5" spans="1:13" x14ac:dyDescent="0.25">
      <c r="A5" s="4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1"/>
    </row>
    <row r="6" spans="1:13" ht="20.25" customHeight="1" x14ac:dyDescent="0.25">
      <c r="A6" s="6"/>
      <c r="B6" s="105" t="s">
        <v>13</v>
      </c>
      <c r="C6" s="106"/>
      <c r="D6" s="106"/>
      <c r="E6" s="7"/>
      <c r="F6" s="8"/>
      <c r="G6" s="9"/>
      <c r="H6" s="9"/>
      <c r="I6" s="9"/>
      <c r="J6" s="9"/>
      <c r="K6" s="9"/>
      <c r="L6" s="9"/>
    </row>
    <row r="7" spans="1:13" ht="15.75" x14ac:dyDescent="0.25">
      <c r="A7" s="10"/>
      <c r="B7" s="11" t="s">
        <v>14</v>
      </c>
      <c r="C7" s="12"/>
      <c r="D7" s="12"/>
      <c r="E7" s="13"/>
      <c r="F7" s="14"/>
      <c r="G7" s="14"/>
      <c r="H7" s="15"/>
      <c r="I7" s="16"/>
      <c r="J7" s="16"/>
      <c r="K7" s="13"/>
      <c r="L7" s="14"/>
    </row>
    <row r="8" spans="1:13" ht="15.75" x14ac:dyDescent="0.25">
      <c r="A8" s="10"/>
      <c r="B8" s="11" t="s">
        <v>15</v>
      </c>
      <c r="C8" s="12"/>
      <c r="D8" s="12"/>
      <c r="E8" s="13"/>
      <c r="F8" s="14"/>
      <c r="G8" s="14"/>
      <c r="H8" s="15"/>
      <c r="I8" s="16"/>
      <c r="J8" s="16"/>
      <c r="K8" s="13"/>
      <c r="L8" s="14"/>
    </row>
    <row r="9" spans="1:13" x14ac:dyDescent="0.25">
      <c r="A9" s="17">
        <f>1</f>
        <v>1</v>
      </c>
      <c r="B9" s="18" t="s">
        <v>16</v>
      </c>
      <c r="C9" s="19" t="s">
        <v>17</v>
      </c>
      <c r="D9" s="20">
        <v>3.02</v>
      </c>
      <c r="E9" s="21">
        <v>1421.01</v>
      </c>
      <c r="F9" s="22">
        <f t="shared" ref="F9:F11" si="0">ROUND(E9*D9,2)</f>
        <v>4291.45</v>
      </c>
      <c r="G9" s="22">
        <f t="shared" ref="G9:G11" si="1">ROUND(F9*1.2,2)</f>
        <v>5149.74</v>
      </c>
      <c r="H9" s="23"/>
      <c r="I9" s="22"/>
      <c r="J9" s="22"/>
      <c r="K9" s="21">
        <f t="shared" ref="K9:L11" si="2">F9+I9</f>
        <v>4291.45</v>
      </c>
      <c r="L9" s="22">
        <f t="shared" si="2"/>
        <v>5149.74</v>
      </c>
    </row>
    <row r="10" spans="1:13" x14ac:dyDescent="0.25">
      <c r="A10" s="17">
        <f>A9+1</f>
        <v>2</v>
      </c>
      <c r="B10" s="24" t="s">
        <v>18</v>
      </c>
      <c r="C10" s="17" t="s">
        <v>17</v>
      </c>
      <c r="D10" s="25">
        <v>2.02</v>
      </c>
      <c r="E10" s="21">
        <v>1688.1499999999999</v>
      </c>
      <c r="F10" s="22">
        <f t="shared" si="0"/>
        <v>3410.06</v>
      </c>
      <c r="G10" s="22">
        <f t="shared" si="1"/>
        <v>4092.07</v>
      </c>
      <c r="H10" s="23"/>
      <c r="I10" s="22"/>
      <c r="J10" s="22"/>
      <c r="K10" s="21">
        <f t="shared" si="2"/>
        <v>3410.06</v>
      </c>
      <c r="L10" s="22">
        <f t="shared" si="2"/>
        <v>4092.07</v>
      </c>
    </row>
    <row r="11" spans="1:13" x14ac:dyDescent="0.25">
      <c r="A11" s="17">
        <f t="shared" ref="A11" si="3">A10+1</f>
        <v>3</v>
      </c>
      <c r="B11" s="24" t="s">
        <v>19</v>
      </c>
      <c r="C11" s="17" t="s">
        <v>17</v>
      </c>
      <c r="D11" s="26">
        <v>154.79</v>
      </c>
      <c r="E11" s="21">
        <v>188.1</v>
      </c>
      <c r="F11" s="22">
        <f t="shared" si="0"/>
        <v>29116</v>
      </c>
      <c r="G11" s="22">
        <f t="shared" si="1"/>
        <v>34939.199999999997</v>
      </c>
      <c r="H11" s="21"/>
      <c r="I11" s="22"/>
      <c r="J11" s="22"/>
      <c r="K11" s="21">
        <f t="shared" si="2"/>
        <v>29116</v>
      </c>
      <c r="L11" s="22">
        <f t="shared" si="2"/>
        <v>34939.199999999997</v>
      </c>
    </row>
    <row r="12" spans="1:13" ht="17.25" customHeight="1" x14ac:dyDescent="0.25">
      <c r="A12" s="17"/>
      <c r="B12" s="11" t="s">
        <v>20</v>
      </c>
      <c r="C12" s="19"/>
      <c r="D12" s="20"/>
      <c r="E12" s="21"/>
      <c r="F12" s="22"/>
      <c r="G12" s="22"/>
      <c r="H12" s="23"/>
      <c r="I12" s="22"/>
      <c r="J12" s="22"/>
      <c r="K12" s="21"/>
      <c r="L12" s="22"/>
    </row>
    <row r="13" spans="1:13" ht="15.75" x14ac:dyDescent="0.25">
      <c r="A13" s="17">
        <f>A11+1</f>
        <v>4</v>
      </c>
      <c r="B13" s="27" t="s">
        <v>21</v>
      </c>
      <c r="C13" s="17" t="s">
        <v>22</v>
      </c>
      <c r="D13" s="28">
        <v>10</v>
      </c>
      <c r="E13" s="21">
        <v>640.96</v>
      </c>
      <c r="F13" s="22">
        <f t="shared" ref="F13:F14" si="4">ROUND(E13*D13,2)</f>
        <v>6409.6</v>
      </c>
      <c r="G13" s="22">
        <f t="shared" ref="G13:G14" si="5">ROUND(F13*1.2,2)</f>
        <v>7691.52</v>
      </c>
      <c r="H13" s="29"/>
      <c r="I13" s="22"/>
      <c r="J13" s="22"/>
      <c r="K13" s="21">
        <f t="shared" ref="K13:L14" si="6">F13+I13</f>
        <v>6409.6</v>
      </c>
      <c r="L13" s="30">
        <f t="shared" si="6"/>
        <v>7691.52</v>
      </c>
    </row>
    <row r="14" spans="1:13" ht="15.75" x14ac:dyDescent="0.25">
      <c r="A14" s="17">
        <f>A13+1</f>
        <v>5</v>
      </c>
      <c r="B14" s="27" t="s">
        <v>23</v>
      </c>
      <c r="C14" s="17" t="s">
        <v>24</v>
      </c>
      <c r="D14" s="28">
        <v>10</v>
      </c>
      <c r="E14" s="21">
        <v>750</v>
      </c>
      <c r="F14" s="22">
        <f t="shared" si="4"/>
        <v>7500</v>
      </c>
      <c r="G14" s="22">
        <f t="shared" si="5"/>
        <v>9000</v>
      </c>
      <c r="H14" s="29"/>
      <c r="I14" s="22"/>
      <c r="J14" s="22"/>
      <c r="K14" s="21">
        <f t="shared" si="6"/>
        <v>7500</v>
      </c>
      <c r="L14" s="30">
        <f t="shared" si="6"/>
        <v>9000</v>
      </c>
    </row>
    <row r="15" spans="1:13" ht="17.25" customHeight="1" x14ac:dyDescent="0.25">
      <c r="A15" s="17"/>
      <c r="B15" s="11" t="s">
        <v>25</v>
      </c>
      <c r="C15" s="19"/>
      <c r="D15" s="20"/>
      <c r="E15" s="21"/>
      <c r="F15" s="22"/>
      <c r="G15" s="22"/>
      <c r="H15" s="23"/>
      <c r="I15" s="22"/>
      <c r="J15" s="22"/>
      <c r="K15" s="21"/>
      <c r="L15" s="22"/>
    </row>
    <row r="16" spans="1:13" x14ac:dyDescent="0.25">
      <c r="A16" s="17">
        <f>A14+1</f>
        <v>6</v>
      </c>
      <c r="B16" s="18" t="s">
        <v>26</v>
      </c>
      <c r="C16" s="19" t="s">
        <v>27</v>
      </c>
      <c r="D16" s="31">
        <v>20</v>
      </c>
      <c r="E16" s="88">
        <f>183.58*0+77.5</f>
        <v>77.5</v>
      </c>
      <c r="F16" s="22">
        <f t="shared" ref="F16" si="7">ROUND(E16*D16,2)</f>
        <v>1550</v>
      </c>
      <c r="G16" s="22">
        <f t="shared" ref="G16" si="8">ROUND(F16*1.2,2)</f>
        <v>1860</v>
      </c>
      <c r="H16" s="23"/>
      <c r="I16" s="22"/>
      <c r="J16" s="22"/>
      <c r="K16" s="21">
        <f t="shared" ref="K16:L19" si="9">F16+I16</f>
        <v>1550</v>
      </c>
      <c r="L16" s="22">
        <f t="shared" si="9"/>
        <v>1860</v>
      </c>
      <c r="M16" s="87" t="s">
        <v>76</v>
      </c>
    </row>
    <row r="17" spans="1:13" ht="15.75" x14ac:dyDescent="0.25">
      <c r="A17" s="33"/>
      <c r="B17" s="34" t="s">
        <v>28</v>
      </c>
      <c r="C17" s="35" t="s">
        <v>27</v>
      </c>
      <c r="D17" s="36">
        <f>D16*1.1</f>
        <v>22</v>
      </c>
      <c r="E17" s="37"/>
      <c r="F17" s="38"/>
      <c r="G17" s="38"/>
      <c r="H17" s="38">
        <v>153.33000000000001</v>
      </c>
      <c r="I17" s="38">
        <f>ROUND(H17*D17,2)</f>
        <v>3373.26</v>
      </c>
      <c r="J17" s="38">
        <f>ROUND(I17*1.2,2)</f>
        <v>4047.91</v>
      </c>
      <c r="K17" s="39">
        <f t="shared" si="9"/>
        <v>3373.26</v>
      </c>
      <c r="L17" s="38">
        <f t="shared" si="9"/>
        <v>4047.91</v>
      </c>
    </row>
    <row r="18" spans="1:13" ht="30" x14ac:dyDescent="0.25">
      <c r="A18" s="17">
        <f>A16+1</f>
        <v>7</v>
      </c>
      <c r="B18" s="18" t="s">
        <v>29</v>
      </c>
      <c r="C18" s="19" t="s">
        <v>17</v>
      </c>
      <c r="D18" s="40">
        <v>6</v>
      </c>
      <c r="E18" s="21">
        <v>1421.01</v>
      </c>
      <c r="F18" s="22">
        <f t="shared" ref="F18" si="10">ROUND(E18*D18,2)</f>
        <v>8526.06</v>
      </c>
      <c r="G18" s="22">
        <f t="shared" ref="G18" si="11">ROUND(F18*1.2,2)</f>
        <v>10231.27</v>
      </c>
      <c r="H18" s="23"/>
      <c r="I18" s="22"/>
      <c r="J18" s="22"/>
      <c r="K18" s="21">
        <f t="shared" si="9"/>
        <v>8526.06</v>
      </c>
      <c r="L18" s="22">
        <f t="shared" si="9"/>
        <v>10231.27</v>
      </c>
    </row>
    <row r="19" spans="1:13" ht="15.75" x14ac:dyDescent="0.25">
      <c r="A19" s="41"/>
      <c r="B19" s="24" t="s">
        <v>30</v>
      </c>
      <c r="C19" s="19" t="s">
        <v>17</v>
      </c>
      <c r="D19" s="42">
        <f>D18*1.26</f>
        <v>7.5600000000000005</v>
      </c>
      <c r="E19" s="29"/>
      <c r="F19" s="22"/>
      <c r="G19" s="22"/>
      <c r="H19" s="22"/>
      <c r="I19" s="22">
        <f>ROUND(H19*D19,2)</f>
        <v>0</v>
      </c>
      <c r="J19" s="22">
        <f>ROUND(I19*1.2,2)</f>
        <v>0</v>
      </c>
      <c r="K19" s="21">
        <f t="shared" si="9"/>
        <v>0</v>
      </c>
      <c r="L19" s="22">
        <f t="shared" si="9"/>
        <v>0</v>
      </c>
    </row>
    <row r="20" spans="1:13" x14ac:dyDescent="0.25">
      <c r="A20" s="17"/>
      <c r="B20" s="43" t="s">
        <v>31</v>
      </c>
      <c r="C20" s="19"/>
      <c r="D20" s="44"/>
      <c r="E20" s="21"/>
      <c r="F20" s="22"/>
      <c r="G20" s="22"/>
      <c r="H20" s="23"/>
      <c r="I20" s="22"/>
      <c r="J20" s="22"/>
      <c r="K20" s="21"/>
      <c r="L20" s="22"/>
    </row>
    <row r="21" spans="1:13" ht="30" x14ac:dyDescent="0.25">
      <c r="A21" s="17">
        <f>A18+1</f>
        <v>8</v>
      </c>
      <c r="B21" s="27" t="s">
        <v>32</v>
      </c>
      <c r="C21" s="17" t="s">
        <v>24</v>
      </c>
      <c r="D21" s="28">
        <v>10</v>
      </c>
      <c r="E21" s="21">
        <v>2076</v>
      </c>
      <c r="F21" s="22">
        <f t="shared" ref="F21" si="12">ROUND(E21*D21,2)</f>
        <v>20760</v>
      </c>
      <c r="G21" s="22">
        <f t="shared" ref="G21" si="13">ROUND(F21*1.2,2)</f>
        <v>24912</v>
      </c>
      <c r="H21" s="29"/>
      <c r="I21" s="22"/>
      <c r="J21" s="22"/>
      <c r="K21" s="21">
        <f t="shared" ref="K21:L21" si="14">F21+I21</f>
        <v>20760</v>
      </c>
      <c r="L21" s="30">
        <f t="shared" si="14"/>
        <v>24912</v>
      </c>
    </row>
    <row r="22" spans="1:13" ht="15.75" x14ac:dyDescent="0.25">
      <c r="A22" s="41"/>
      <c r="B22" s="43" t="s">
        <v>33</v>
      </c>
      <c r="C22" s="19"/>
      <c r="D22" s="45"/>
      <c r="E22" s="29"/>
      <c r="F22" s="22"/>
      <c r="G22" s="22"/>
      <c r="H22" s="22"/>
      <c r="I22" s="22"/>
      <c r="J22" s="22"/>
      <c r="K22" s="21"/>
      <c r="L22" s="22"/>
    </row>
    <row r="23" spans="1:13" x14ac:dyDescent="0.25">
      <c r="A23" s="17">
        <f>A21+1</f>
        <v>9</v>
      </c>
      <c r="B23" s="18" t="s">
        <v>34</v>
      </c>
      <c r="C23" s="19" t="s">
        <v>35</v>
      </c>
      <c r="D23" s="32">
        <v>12.5</v>
      </c>
      <c r="E23" s="86">
        <v>1500</v>
      </c>
      <c r="F23" s="22">
        <f t="shared" ref="F23:F24" si="15">ROUND(E23*D23,2)</f>
        <v>18750</v>
      </c>
      <c r="G23" s="22">
        <f t="shared" ref="G23:G24" si="16">ROUND(F23*1.2,2)</f>
        <v>22500</v>
      </c>
      <c r="H23" s="23"/>
      <c r="I23" s="22"/>
      <c r="J23" s="22"/>
      <c r="K23" s="21">
        <f t="shared" ref="K23:L27" si="17">F23+I23</f>
        <v>18750</v>
      </c>
      <c r="L23" s="22">
        <f t="shared" si="17"/>
        <v>22500</v>
      </c>
      <c r="M23" s="87" t="s">
        <v>76</v>
      </c>
    </row>
    <row r="24" spans="1:13" x14ac:dyDescent="0.25">
      <c r="A24" s="17">
        <f>A23+1</f>
        <v>10</v>
      </c>
      <c r="B24" s="18" t="s">
        <v>36</v>
      </c>
      <c r="C24" s="19" t="s">
        <v>17</v>
      </c>
      <c r="D24" s="32">
        <v>2.0099999999999998</v>
      </c>
      <c r="E24" s="21">
        <v>1421.01</v>
      </c>
      <c r="F24" s="22">
        <f t="shared" si="15"/>
        <v>2856.23</v>
      </c>
      <c r="G24" s="22">
        <f t="shared" si="16"/>
        <v>3427.48</v>
      </c>
      <c r="H24" s="23"/>
      <c r="I24" s="22"/>
      <c r="J24" s="22"/>
      <c r="K24" s="21">
        <f t="shared" si="17"/>
        <v>2856.23</v>
      </c>
      <c r="L24" s="22">
        <f t="shared" si="17"/>
        <v>3427.48</v>
      </c>
    </row>
    <row r="25" spans="1:13" ht="15.75" x14ac:dyDescent="0.25">
      <c r="A25" s="41"/>
      <c r="B25" s="24" t="s">
        <v>30</v>
      </c>
      <c r="C25" s="19" t="s">
        <v>17</v>
      </c>
      <c r="D25" s="42">
        <f>D24*1.17</f>
        <v>2.3516999999999997</v>
      </c>
      <c r="E25" s="29"/>
      <c r="F25" s="22"/>
      <c r="G25" s="22"/>
      <c r="H25" s="22"/>
      <c r="I25" s="22">
        <f>ROUND(H25*D25,2)</f>
        <v>0</v>
      </c>
      <c r="J25" s="22">
        <f>ROUND(I25*1.2,2)</f>
        <v>0</v>
      </c>
      <c r="K25" s="21">
        <f t="shared" si="17"/>
        <v>0</v>
      </c>
      <c r="L25" s="22">
        <f t="shared" si="17"/>
        <v>0</v>
      </c>
    </row>
    <row r="26" spans="1:13" ht="30" x14ac:dyDescent="0.25">
      <c r="A26" s="17">
        <f>A24+1</f>
        <v>11</v>
      </c>
      <c r="B26" s="18" t="s">
        <v>37</v>
      </c>
      <c r="C26" s="19" t="s">
        <v>17</v>
      </c>
      <c r="D26" s="32">
        <v>0.5</v>
      </c>
      <c r="E26" s="21">
        <v>1377.41</v>
      </c>
      <c r="F26" s="22">
        <f t="shared" ref="F26" si="18">ROUND(E26*D26,2)</f>
        <v>688.71</v>
      </c>
      <c r="G26" s="22">
        <f t="shared" ref="G26" si="19">ROUND(F26*1.2,2)</f>
        <v>826.45</v>
      </c>
      <c r="H26" s="23"/>
      <c r="I26" s="22"/>
      <c r="J26" s="22"/>
      <c r="K26" s="21">
        <f t="shared" si="17"/>
        <v>688.71</v>
      </c>
      <c r="L26" s="22">
        <f t="shared" si="17"/>
        <v>826.45</v>
      </c>
    </row>
    <row r="27" spans="1:13" ht="15.75" x14ac:dyDescent="0.25">
      <c r="A27" s="41"/>
      <c r="B27" s="24" t="s">
        <v>30</v>
      </c>
      <c r="C27" s="19" t="s">
        <v>17</v>
      </c>
      <c r="D27" s="42">
        <f>D26*1.17</f>
        <v>0.58499999999999996</v>
      </c>
      <c r="E27" s="29"/>
      <c r="F27" s="22"/>
      <c r="G27" s="22"/>
      <c r="H27" s="22"/>
      <c r="I27" s="22">
        <f>ROUND(H27*D27,2)</f>
        <v>0</v>
      </c>
      <c r="J27" s="22">
        <f>ROUND(I27*1.2,2)</f>
        <v>0</v>
      </c>
      <c r="K27" s="21">
        <f t="shared" si="17"/>
        <v>0</v>
      </c>
      <c r="L27" s="22">
        <f t="shared" si="17"/>
        <v>0</v>
      </c>
    </row>
    <row r="28" spans="1:13" s="48" customFormat="1" ht="18.75" x14ac:dyDescent="0.25">
      <c r="A28" s="107" t="s">
        <v>38</v>
      </c>
      <c r="B28" s="108"/>
      <c r="C28" s="108"/>
      <c r="D28" s="108"/>
      <c r="E28" s="109"/>
      <c r="F28" s="46">
        <f>SUM(F7:F27)</f>
        <v>103858.11</v>
      </c>
      <c r="G28" s="46">
        <f>ROUND(F28*1.2,2)</f>
        <v>124629.73</v>
      </c>
      <c r="H28" s="47"/>
      <c r="I28" s="46">
        <f>SUM(I7:I27)</f>
        <v>3373.26</v>
      </c>
      <c r="J28" s="46">
        <f>ROUND(I28*1.2,2)</f>
        <v>4047.91</v>
      </c>
      <c r="K28" s="46">
        <f>SUM(K7:K27)</f>
        <v>107231.37</v>
      </c>
      <c r="L28" s="46">
        <f>ROUND(K28*1.2,2)</f>
        <v>128677.64</v>
      </c>
    </row>
    <row r="30" spans="1:13" x14ac:dyDescent="0.25">
      <c r="K30" s="101" t="s">
        <v>74</v>
      </c>
      <c r="L30" s="102">
        <v>168573.56</v>
      </c>
    </row>
    <row r="32" spans="1:13" x14ac:dyDescent="0.25">
      <c r="K32" s="101" t="s">
        <v>75</v>
      </c>
      <c r="L32" s="103">
        <f>L28-L30</f>
        <v>-39895.919999999998</v>
      </c>
    </row>
  </sheetData>
  <mergeCells count="10">
    <mergeCell ref="B6:D6"/>
    <mergeCell ref="A28:E28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A1C93-EF3F-4132-A3F3-1C2AE401F61C}">
  <sheetPr>
    <tabColor rgb="FFFFFF00"/>
  </sheetPr>
  <dimension ref="A1:M29"/>
  <sheetViews>
    <sheetView zoomScaleNormal="100" workbookViewId="0">
      <selection activeCell="M16" sqref="M16"/>
    </sheetView>
  </sheetViews>
  <sheetFormatPr defaultColWidth="8.85546875" defaultRowHeight="15" x14ac:dyDescent="0.25"/>
  <cols>
    <col min="1" max="1" width="8.85546875" style="78"/>
    <col min="2" max="2" width="65.140625" style="78" customWidth="1"/>
    <col min="3" max="3" width="9.28515625" style="78" customWidth="1"/>
    <col min="4" max="4" width="15.85546875" style="78" customWidth="1"/>
    <col min="5" max="6" width="14.140625" style="78" customWidth="1"/>
    <col min="7" max="8" width="14.140625" style="80" customWidth="1"/>
    <col min="9" max="10" width="14.140625" style="78" customWidth="1"/>
    <col min="11" max="12" width="16.85546875" style="78" customWidth="1"/>
    <col min="13" max="13" width="20.28515625" style="78" customWidth="1"/>
    <col min="14" max="16384" width="8.85546875" style="78"/>
  </cols>
  <sheetData>
    <row r="1" spans="1:13" ht="14.45" customHeight="1" x14ac:dyDescent="0.25">
      <c r="A1" s="124" t="s">
        <v>0</v>
      </c>
      <c r="B1" s="116" t="s">
        <v>1</v>
      </c>
      <c r="C1" s="116" t="s">
        <v>2</v>
      </c>
      <c r="D1" s="116" t="s">
        <v>3</v>
      </c>
      <c r="E1" s="116" t="s">
        <v>4</v>
      </c>
      <c r="F1" s="116"/>
      <c r="G1" s="116"/>
      <c r="H1" s="116"/>
      <c r="I1" s="116"/>
      <c r="J1" s="116"/>
      <c r="K1" s="116"/>
      <c r="L1" s="116"/>
    </row>
    <row r="2" spans="1:13" ht="14.45" customHeight="1" x14ac:dyDescent="0.25">
      <c r="A2" s="124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3" ht="27.75" customHeight="1" x14ac:dyDescent="0.25">
      <c r="A3" s="124"/>
      <c r="B3" s="116"/>
      <c r="C3" s="116"/>
      <c r="D3" s="116"/>
      <c r="E3" s="116" t="s">
        <v>5</v>
      </c>
      <c r="F3" s="116"/>
      <c r="G3" s="116"/>
      <c r="H3" s="116" t="s">
        <v>6</v>
      </c>
      <c r="I3" s="116"/>
      <c r="J3" s="116"/>
      <c r="K3" s="125" t="s">
        <v>7</v>
      </c>
      <c r="L3" s="125"/>
    </row>
    <row r="4" spans="1:13" ht="42.75" x14ac:dyDescent="0.25">
      <c r="A4" s="124"/>
      <c r="B4" s="116"/>
      <c r="C4" s="116"/>
      <c r="D4" s="116"/>
      <c r="E4" s="2" t="s">
        <v>8</v>
      </c>
      <c r="F4" s="2" t="s">
        <v>9</v>
      </c>
      <c r="G4" s="50" t="s">
        <v>10</v>
      </c>
      <c r="H4" s="2" t="s">
        <v>8</v>
      </c>
      <c r="I4" s="2" t="s">
        <v>9</v>
      </c>
      <c r="J4" s="50" t="s">
        <v>10</v>
      </c>
      <c r="K4" s="2" t="s">
        <v>11</v>
      </c>
      <c r="L4" s="2" t="s">
        <v>12</v>
      </c>
    </row>
    <row r="5" spans="1:13" x14ac:dyDescent="0.25">
      <c r="A5" s="4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81"/>
      <c r="I5" s="81"/>
      <c r="J5" s="81"/>
      <c r="K5" s="81"/>
      <c r="L5" s="81"/>
    </row>
    <row r="6" spans="1:13" ht="20.25" customHeight="1" x14ac:dyDescent="0.25">
      <c r="A6" s="82"/>
      <c r="B6" s="122" t="s">
        <v>39</v>
      </c>
      <c r="C6" s="122"/>
      <c r="D6" s="122"/>
      <c r="E6" s="7"/>
      <c r="F6" s="8"/>
      <c r="G6" s="9"/>
      <c r="H6" s="9"/>
      <c r="I6" s="9"/>
      <c r="J6" s="9"/>
      <c r="K6" s="9"/>
      <c r="L6" s="9"/>
    </row>
    <row r="7" spans="1:13" ht="15.75" x14ac:dyDescent="0.25">
      <c r="A7" s="51"/>
      <c r="B7" s="52" t="s">
        <v>40</v>
      </c>
      <c r="C7" s="51"/>
      <c r="D7" s="51"/>
      <c r="E7" s="53"/>
      <c r="F7" s="54"/>
      <c r="G7" s="54"/>
      <c r="H7" s="55"/>
      <c r="I7" s="54"/>
      <c r="J7" s="54"/>
      <c r="K7" s="56"/>
      <c r="L7" s="54"/>
    </row>
    <row r="8" spans="1:13" ht="15.75" x14ac:dyDescent="0.25">
      <c r="A8" s="57">
        <f>A3+1</f>
        <v>1</v>
      </c>
      <c r="B8" s="27" t="s">
        <v>41</v>
      </c>
      <c r="C8" s="57" t="s">
        <v>27</v>
      </c>
      <c r="D8" s="58">
        <v>18.27</v>
      </c>
      <c r="E8" s="21">
        <f>2101.14*0.8</f>
        <v>1680.912</v>
      </c>
      <c r="F8" s="59">
        <f t="shared" ref="F8:F9" si="0">ROUND(E8*D8,2)</f>
        <v>30710.26</v>
      </c>
      <c r="G8" s="59">
        <f t="shared" ref="G8:G9" si="1">ROUND(F8*1.2,2)</f>
        <v>36852.31</v>
      </c>
      <c r="H8" s="29"/>
      <c r="I8" s="59"/>
      <c r="J8" s="59"/>
      <c r="K8" s="58">
        <f t="shared" ref="K8:L9" si="2">F8+I8</f>
        <v>30710.26</v>
      </c>
      <c r="L8" s="59">
        <f t="shared" si="2"/>
        <v>36852.31</v>
      </c>
    </row>
    <row r="9" spans="1:13" ht="15.75" x14ac:dyDescent="0.25">
      <c r="A9" s="57">
        <f>A8+1</f>
        <v>2</v>
      </c>
      <c r="B9" s="24" t="s">
        <v>42</v>
      </c>
      <c r="C9" s="57" t="s">
        <v>17</v>
      </c>
      <c r="D9" s="60">
        <v>1.1000000000000001</v>
      </c>
      <c r="E9" s="21">
        <v>4380.38</v>
      </c>
      <c r="F9" s="59">
        <f t="shared" si="0"/>
        <v>4818.42</v>
      </c>
      <c r="G9" s="59">
        <f t="shared" si="1"/>
        <v>5782.1</v>
      </c>
      <c r="H9" s="29"/>
      <c r="I9" s="59"/>
      <c r="J9" s="59"/>
      <c r="K9" s="58">
        <f t="shared" si="2"/>
        <v>4818.42</v>
      </c>
      <c r="L9" s="59">
        <f t="shared" si="2"/>
        <v>5782.1</v>
      </c>
    </row>
    <row r="10" spans="1:13" ht="15.75" x14ac:dyDescent="0.25">
      <c r="A10" s="57"/>
      <c r="B10" s="61" t="s">
        <v>43</v>
      </c>
      <c r="C10" s="17"/>
      <c r="D10" s="62"/>
      <c r="E10" s="63"/>
      <c r="F10" s="64"/>
      <c r="G10" s="64"/>
      <c r="H10" s="15"/>
      <c r="I10" s="65"/>
      <c r="J10" s="65"/>
      <c r="K10" s="66"/>
      <c r="L10" s="64"/>
    </row>
    <row r="11" spans="1:13" ht="15.75" x14ac:dyDescent="0.25">
      <c r="A11" s="57">
        <f>A9+1</f>
        <v>3</v>
      </c>
      <c r="B11" s="27" t="s">
        <v>44</v>
      </c>
      <c r="C11" s="57" t="s">
        <v>45</v>
      </c>
      <c r="D11" s="58">
        <v>5.04</v>
      </c>
      <c r="E11" s="22">
        <v>431.37</v>
      </c>
      <c r="F11" s="59">
        <f t="shared" ref="F11" si="3">ROUND(E11*D11,2)</f>
        <v>2174.1</v>
      </c>
      <c r="G11" s="59">
        <f t="shared" ref="G11" si="4">ROUND(F11*1.2,2)</f>
        <v>2608.92</v>
      </c>
      <c r="H11" s="29"/>
      <c r="I11" s="59"/>
      <c r="J11" s="59"/>
      <c r="K11" s="58">
        <f t="shared" ref="K11:L11" si="5">F11+I11</f>
        <v>2174.1</v>
      </c>
      <c r="L11" s="59">
        <f t="shared" si="5"/>
        <v>2608.92</v>
      </c>
    </row>
    <row r="12" spans="1:13" ht="15.75" x14ac:dyDescent="0.25">
      <c r="A12" s="51"/>
      <c r="B12" s="83" t="s">
        <v>46</v>
      </c>
      <c r="C12" s="51"/>
      <c r="D12" s="51"/>
      <c r="E12" s="53"/>
      <c r="F12" s="54"/>
      <c r="G12" s="54"/>
      <c r="H12" s="55"/>
      <c r="I12" s="54"/>
      <c r="J12" s="54"/>
      <c r="K12" s="56"/>
      <c r="L12" s="54"/>
    </row>
    <row r="13" spans="1:13" ht="15.75" x14ac:dyDescent="0.25">
      <c r="A13" s="57">
        <f>A11+1</f>
        <v>4</v>
      </c>
      <c r="B13" s="27" t="s">
        <v>47</v>
      </c>
      <c r="C13" s="57" t="s">
        <v>27</v>
      </c>
      <c r="D13" s="67">
        <v>18.27</v>
      </c>
      <c r="E13" s="21">
        <v>1000</v>
      </c>
      <c r="F13" s="59">
        <f>ROUND(E13*D13,2)</f>
        <v>18270</v>
      </c>
      <c r="G13" s="59">
        <f>ROUND(F13*1.2,2)</f>
        <v>21924</v>
      </c>
      <c r="H13" s="29"/>
      <c r="I13" s="59"/>
      <c r="J13" s="59"/>
      <c r="K13" s="58">
        <f t="shared" ref="K13:L24" si="6">F13+I13</f>
        <v>18270</v>
      </c>
      <c r="L13" s="59">
        <f t="shared" si="6"/>
        <v>21924</v>
      </c>
    </row>
    <row r="14" spans="1:13" ht="30" x14ac:dyDescent="0.25">
      <c r="A14" s="68" t="s">
        <v>48</v>
      </c>
      <c r="B14" s="34" t="s">
        <v>49</v>
      </c>
      <c r="C14" s="35" t="s">
        <v>45</v>
      </c>
      <c r="D14" s="69">
        <v>2.73</v>
      </c>
      <c r="E14" s="37"/>
      <c r="F14" s="70"/>
      <c r="G14" s="70"/>
      <c r="H14" s="38">
        <f>1659.8</f>
        <v>1659.8</v>
      </c>
      <c r="I14" s="70">
        <f>ROUND(H14*D14,2)</f>
        <v>4531.25</v>
      </c>
      <c r="J14" s="70">
        <f t="shared" ref="J14" si="7">ROUND(I14*1.2,2)</f>
        <v>5437.5</v>
      </c>
      <c r="K14" s="71">
        <f t="shared" si="6"/>
        <v>4531.25</v>
      </c>
      <c r="L14" s="70">
        <f t="shared" si="6"/>
        <v>5437.5</v>
      </c>
    </row>
    <row r="15" spans="1:13" ht="30" x14ac:dyDescent="0.25">
      <c r="A15" s="57">
        <f>A13+1</f>
        <v>5</v>
      </c>
      <c r="B15" s="27" t="s">
        <v>50</v>
      </c>
      <c r="C15" s="57" t="s">
        <v>27</v>
      </c>
      <c r="D15" s="84">
        <f>18.27*0</f>
        <v>0</v>
      </c>
      <c r="E15" s="21">
        <v>2000</v>
      </c>
      <c r="F15" s="59">
        <f t="shared" ref="F15" si="8">ROUND(E15*D15,2)</f>
        <v>0</v>
      </c>
      <c r="G15" s="59">
        <f t="shared" ref="G15" si="9">ROUND(F15*1.2,2)</f>
        <v>0</v>
      </c>
      <c r="H15" s="29"/>
      <c r="I15" s="59"/>
      <c r="J15" s="59"/>
      <c r="K15" s="58">
        <f t="shared" si="6"/>
        <v>0</v>
      </c>
      <c r="L15" s="59">
        <f t="shared" si="6"/>
        <v>0</v>
      </c>
      <c r="M15" s="89" t="s">
        <v>65</v>
      </c>
    </row>
    <row r="16" spans="1:13" ht="30" x14ac:dyDescent="0.25">
      <c r="A16" s="68" t="s">
        <v>51</v>
      </c>
      <c r="B16" s="34" t="s">
        <v>52</v>
      </c>
      <c r="C16" s="35" t="s">
        <v>45</v>
      </c>
      <c r="D16" s="85">
        <f>2.73*0</f>
        <v>0</v>
      </c>
      <c r="E16" s="37"/>
      <c r="F16" s="70"/>
      <c r="G16" s="70"/>
      <c r="H16" s="38">
        <v>4407.05</v>
      </c>
      <c r="I16" s="70">
        <f>ROUND(H16*D16,2)</f>
        <v>0</v>
      </c>
      <c r="J16" s="70">
        <f t="shared" ref="J16" si="10">ROUND(I16*1.2,2)</f>
        <v>0</v>
      </c>
      <c r="K16" s="71">
        <f t="shared" si="6"/>
        <v>0</v>
      </c>
      <c r="L16" s="70">
        <f t="shared" si="6"/>
        <v>0</v>
      </c>
      <c r="M16" s="89" t="s">
        <v>65</v>
      </c>
    </row>
    <row r="17" spans="1:12" ht="30" x14ac:dyDescent="0.25">
      <c r="A17" s="57">
        <f>A15+1</f>
        <v>6</v>
      </c>
      <c r="B17" s="27" t="s">
        <v>53</v>
      </c>
      <c r="C17" s="57" t="s">
        <v>24</v>
      </c>
      <c r="D17" s="72">
        <v>30</v>
      </c>
      <c r="E17" s="21">
        <v>292.94</v>
      </c>
      <c r="F17" s="59">
        <f>ROUND(E17*D17,2)</f>
        <v>8788.2000000000007</v>
      </c>
      <c r="G17" s="59">
        <f>ROUND(F17*1.2,2)</f>
        <v>10545.84</v>
      </c>
      <c r="H17" s="29"/>
      <c r="I17" s="59"/>
      <c r="J17" s="59"/>
      <c r="K17" s="58">
        <f t="shared" si="6"/>
        <v>8788.2000000000007</v>
      </c>
      <c r="L17" s="59">
        <f t="shared" si="6"/>
        <v>10545.84</v>
      </c>
    </row>
    <row r="18" spans="1:12" ht="15.75" x14ac:dyDescent="0.25">
      <c r="A18" s="57">
        <f>A17+1</f>
        <v>7</v>
      </c>
      <c r="B18" s="27" t="s">
        <v>54</v>
      </c>
      <c r="C18" s="57" t="s">
        <v>24</v>
      </c>
      <c r="D18" s="72">
        <v>10</v>
      </c>
      <c r="E18" s="21">
        <v>500</v>
      </c>
      <c r="F18" s="59">
        <f>ROUND(E18*D18,2)</f>
        <v>5000</v>
      </c>
      <c r="G18" s="59">
        <f>ROUND(F18*1.2,2)</f>
        <v>6000</v>
      </c>
      <c r="H18" s="29"/>
      <c r="I18" s="59"/>
      <c r="J18" s="59"/>
      <c r="K18" s="58">
        <f t="shared" si="6"/>
        <v>5000</v>
      </c>
      <c r="L18" s="59">
        <f t="shared" si="6"/>
        <v>6000</v>
      </c>
    </row>
    <row r="19" spans="1:12" ht="15.75" x14ac:dyDescent="0.25">
      <c r="A19" s="68" t="s">
        <v>55</v>
      </c>
      <c r="B19" s="34" t="s">
        <v>56</v>
      </c>
      <c r="C19" s="35" t="s">
        <v>24</v>
      </c>
      <c r="D19" s="73">
        <v>30</v>
      </c>
      <c r="E19" s="37"/>
      <c r="F19" s="70"/>
      <c r="G19" s="70"/>
      <c r="H19" s="74">
        <f>0</f>
        <v>0</v>
      </c>
      <c r="I19" s="70">
        <f>ROUND(H19*D19,2)</f>
        <v>0</v>
      </c>
      <c r="J19" s="70">
        <f t="shared" ref="J19:J20" si="11">ROUND(I19*1.2,2)</f>
        <v>0</v>
      </c>
      <c r="K19" s="71">
        <f t="shared" si="6"/>
        <v>0</v>
      </c>
      <c r="L19" s="70">
        <f t="shared" si="6"/>
        <v>0</v>
      </c>
    </row>
    <row r="20" spans="1:12" ht="15.75" x14ac:dyDescent="0.25">
      <c r="A20" s="68" t="s">
        <v>57</v>
      </c>
      <c r="B20" s="34" t="s">
        <v>58</v>
      </c>
      <c r="C20" s="35" t="s">
        <v>24</v>
      </c>
      <c r="D20" s="73">
        <v>10</v>
      </c>
      <c r="E20" s="37"/>
      <c r="F20" s="70"/>
      <c r="G20" s="70"/>
      <c r="H20" s="74">
        <f>0</f>
        <v>0</v>
      </c>
      <c r="I20" s="70">
        <f>ROUND(H20*D20,2)</f>
        <v>0</v>
      </c>
      <c r="J20" s="70">
        <f t="shared" si="11"/>
        <v>0</v>
      </c>
      <c r="K20" s="71">
        <f t="shared" si="6"/>
        <v>0</v>
      </c>
      <c r="L20" s="70">
        <f t="shared" si="6"/>
        <v>0</v>
      </c>
    </row>
    <row r="21" spans="1:12" ht="15.75" x14ac:dyDescent="0.25">
      <c r="A21" s="57">
        <f>A18+1</f>
        <v>8</v>
      </c>
      <c r="B21" s="27" t="s">
        <v>59</v>
      </c>
      <c r="C21" s="57" t="s">
        <v>17</v>
      </c>
      <c r="D21" s="72">
        <v>43.47</v>
      </c>
      <c r="E21" s="21">
        <v>1666.3</v>
      </c>
      <c r="F21" s="59">
        <f>ROUND(E21*D21,2)</f>
        <v>72434.06</v>
      </c>
      <c r="G21" s="59">
        <f>ROUND(F21*1.2,2)</f>
        <v>86920.87</v>
      </c>
      <c r="H21" s="29"/>
      <c r="I21" s="59"/>
      <c r="J21" s="59"/>
      <c r="K21" s="58">
        <f t="shared" si="6"/>
        <v>72434.06</v>
      </c>
      <c r="L21" s="59">
        <f t="shared" si="6"/>
        <v>86920.87</v>
      </c>
    </row>
    <row r="22" spans="1:12" ht="15.75" x14ac:dyDescent="0.25">
      <c r="A22" s="68" t="s">
        <v>60</v>
      </c>
      <c r="B22" s="34" t="s">
        <v>61</v>
      </c>
      <c r="C22" s="35" t="s">
        <v>17</v>
      </c>
      <c r="D22" s="75">
        <f>D21*1.26</f>
        <v>54.772199999999998</v>
      </c>
      <c r="E22" s="37"/>
      <c r="F22" s="70"/>
      <c r="G22" s="70"/>
      <c r="H22" s="38">
        <v>3200</v>
      </c>
      <c r="I22" s="70">
        <f>ROUND(H22*D22,2)</f>
        <v>175271.04000000001</v>
      </c>
      <c r="J22" s="70">
        <f t="shared" ref="J22" si="12">ROUND(I22*1.2,2)</f>
        <v>210325.25</v>
      </c>
      <c r="K22" s="71">
        <f t="shared" si="6"/>
        <v>175271.04000000001</v>
      </c>
      <c r="L22" s="70">
        <f t="shared" si="6"/>
        <v>210325.25</v>
      </c>
    </row>
    <row r="23" spans="1:12" ht="15.75" x14ac:dyDescent="0.25">
      <c r="A23" s="57">
        <f>A21+1</f>
        <v>9</v>
      </c>
      <c r="B23" s="27" t="s">
        <v>62</v>
      </c>
      <c r="C23" s="57" t="s">
        <v>17</v>
      </c>
      <c r="D23" s="72">
        <v>19.760000000000002</v>
      </c>
      <c r="E23" s="21">
        <v>1666.3</v>
      </c>
      <c r="F23" s="59">
        <f>ROUND(E23*D23,2)</f>
        <v>32926.089999999997</v>
      </c>
      <c r="G23" s="59">
        <f>ROUND(F23*1.2,2)</f>
        <v>39511.31</v>
      </c>
      <c r="H23" s="29"/>
      <c r="I23" s="59"/>
      <c r="J23" s="59"/>
      <c r="K23" s="58">
        <f t="shared" si="6"/>
        <v>32926.089999999997</v>
      </c>
      <c r="L23" s="59">
        <f t="shared" si="6"/>
        <v>39511.31</v>
      </c>
    </row>
    <row r="24" spans="1:12" ht="15.75" x14ac:dyDescent="0.25">
      <c r="A24" s="68" t="s">
        <v>63</v>
      </c>
      <c r="B24" s="34" t="s">
        <v>64</v>
      </c>
      <c r="C24" s="35" t="s">
        <v>17</v>
      </c>
      <c r="D24" s="75">
        <f>D23*1.26</f>
        <v>24.897600000000001</v>
      </c>
      <c r="E24" s="37"/>
      <c r="F24" s="70"/>
      <c r="G24" s="70"/>
      <c r="H24" s="38">
        <v>5250</v>
      </c>
      <c r="I24" s="70">
        <f>ROUND(H24*D24,2)</f>
        <v>130712.4</v>
      </c>
      <c r="J24" s="70">
        <f t="shared" ref="J24" si="13">ROUND(I24*1.2,2)</f>
        <v>156854.88</v>
      </c>
      <c r="K24" s="71">
        <f t="shared" si="6"/>
        <v>130712.4</v>
      </c>
      <c r="L24" s="70">
        <f t="shared" si="6"/>
        <v>156854.88</v>
      </c>
    </row>
    <row r="25" spans="1:12" ht="21.75" customHeight="1" x14ac:dyDescent="0.25">
      <c r="A25" s="123" t="s">
        <v>38</v>
      </c>
      <c r="B25" s="123"/>
      <c r="C25" s="123"/>
      <c r="D25" s="123"/>
      <c r="E25" s="123"/>
      <c r="F25" s="76">
        <f>SUM(F8:F22)</f>
        <v>142195.03999999998</v>
      </c>
      <c r="G25" s="77">
        <f>ROUND(F25*1.2,2)</f>
        <v>170634.05</v>
      </c>
      <c r="H25" s="79"/>
      <c r="I25" s="76">
        <f>SUM(I8:I22)</f>
        <v>179802.29</v>
      </c>
      <c r="J25" s="77">
        <f>ROUND(I25*1.2,2)</f>
        <v>215762.75</v>
      </c>
      <c r="K25" s="76">
        <f>SUM(K8:K22)</f>
        <v>321997.32999999996</v>
      </c>
      <c r="L25" s="77">
        <f>ROUND(K25*1.2,2)</f>
        <v>386396.8</v>
      </c>
    </row>
    <row r="26" spans="1:12" ht="26.25" customHeight="1" x14ac:dyDescent="0.25">
      <c r="K26" s="1"/>
      <c r="L26" s="1"/>
    </row>
    <row r="27" spans="1:12" x14ac:dyDescent="0.25">
      <c r="K27" s="101" t="s">
        <v>74</v>
      </c>
      <c r="L27" s="102">
        <v>444682.3</v>
      </c>
    </row>
    <row r="28" spans="1:12" x14ac:dyDescent="0.25">
      <c r="K28" s="1"/>
      <c r="L28" s="1"/>
    </row>
    <row r="29" spans="1:12" x14ac:dyDescent="0.25">
      <c r="K29" s="101" t="s">
        <v>75</v>
      </c>
      <c r="L29" s="103">
        <f>L25-L27</f>
        <v>-58285.5</v>
      </c>
    </row>
  </sheetData>
  <mergeCells count="10">
    <mergeCell ref="B6:D6"/>
    <mergeCell ref="A25:E25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93E5F-A19E-4101-8960-4D4B35A5FB8B}">
  <sheetPr>
    <tabColor rgb="FF00B050"/>
  </sheetPr>
  <dimension ref="A1:E12"/>
  <sheetViews>
    <sheetView zoomScale="130" zoomScaleNormal="130" workbookViewId="0">
      <pane ySplit="1" topLeftCell="A2" activePane="bottomLeft" state="frozen"/>
      <selection pane="bottomLeft" activeCell="C6" sqref="C6"/>
    </sheetView>
  </sheetViews>
  <sheetFormatPr defaultRowHeight="15.75" x14ac:dyDescent="0.25"/>
  <cols>
    <col min="1" max="1" width="31.85546875" style="94" customWidth="1"/>
    <col min="2" max="4" width="19.42578125" style="94" customWidth="1"/>
    <col min="5" max="5" width="16.28515625" style="94" customWidth="1"/>
    <col min="6" max="16384" width="9.140625" style="94"/>
  </cols>
  <sheetData>
    <row r="1" spans="1:5" s="91" customFormat="1" ht="36" customHeight="1" x14ac:dyDescent="0.25">
      <c r="A1" s="90" t="s">
        <v>66</v>
      </c>
      <c r="B1" s="90" t="s">
        <v>69</v>
      </c>
      <c r="C1" s="99" t="s">
        <v>68</v>
      </c>
      <c r="D1" s="100" t="s">
        <v>70</v>
      </c>
      <c r="E1" s="100" t="s">
        <v>73</v>
      </c>
    </row>
    <row r="2" spans="1:5" ht="36" customHeight="1" x14ac:dyDescent="0.25">
      <c r="A2" s="92" t="s">
        <v>72</v>
      </c>
      <c r="B2" s="93">
        <v>168573.56</v>
      </c>
      <c r="C2" s="93">
        <f>Соль!L28</f>
        <v>128677.64</v>
      </c>
      <c r="D2" s="93">
        <v>241300.86</v>
      </c>
      <c r="E2" s="93">
        <f>C2/D2</f>
        <v>0.53326639614960347</v>
      </c>
    </row>
    <row r="3" spans="1:5" ht="36" customHeight="1" x14ac:dyDescent="0.25">
      <c r="A3" s="92" t="s">
        <v>71</v>
      </c>
      <c r="B3" s="93">
        <v>444682.3</v>
      </c>
      <c r="C3" s="93">
        <f>'ГП доп'!L25</f>
        <v>386396.8</v>
      </c>
      <c r="D3" s="93">
        <v>601467.37</v>
      </c>
      <c r="E3" s="93">
        <f>C3/D3</f>
        <v>0.64242354493810694</v>
      </c>
    </row>
    <row r="4" spans="1:5" s="97" customFormat="1" ht="36" customHeight="1" x14ac:dyDescent="0.25">
      <c r="A4" s="95" t="s">
        <v>67</v>
      </c>
      <c r="B4" s="93">
        <f>SUM(B2:B3)</f>
        <v>613255.86</v>
      </c>
      <c r="C4" s="104">
        <f>SUM(C2:C3)</f>
        <v>515074.44</v>
      </c>
      <c r="D4" s="93">
        <f>SUM(D2:D3)</f>
        <v>842768.23</v>
      </c>
      <c r="E4" s="96"/>
    </row>
    <row r="6" spans="1:5" x14ac:dyDescent="0.25">
      <c r="C6" s="98"/>
    </row>
    <row r="9" spans="1:5" x14ac:dyDescent="0.25">
      <c r="D9" s="98"/>
    </row>
    <row r="10" spans="1:5" x14ac:dyDescent="0.25">
      <c r="D10" s="98"/>
    </row>
    <row r="12" spans="1:5" x14ac:dyDescent="0.25">
      <c r="C12" s="98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Соль</vt:lpstr>
      <vt:lpstr>ГП доп</vt:lpstr>
      <vt:lpstr>СВОД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cp:lastPrinted>2024-12-02T06:25:08Z</cp:lastPrinted>
  <dcterms:created xsi:type="dcterms:W3CDTF">2024-12-02T06:22:59Z</dcterms:created>
  <dcterms:modified xsi:type="dcterms:W3CDTF">2025-01-09T14:23:07Z</dcterms:modified>
</cp:coreProperties>
</file>