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МВМ\ПУТЬ 417\Закрытие\Новая папка\"/>
    </mc:Choice>
  </mc:AlternateContent>
  <bookViews>
    <workbookView xWindow="-105" yWindow="-105" windowWidth="23250" windowHeight="13170" tabRatio="877" firstSheet="1" activeTab="1"/>
  </bookViews>
  <sheets>
    <sheet name="кс-3 апрель" sheetId="54" state="hidden" r:id="rId1"/>
    <sheet name="реестр октябрь" sheetId="11" r:id="rId2"/>
    <sheet name="43 02-01-01(2016)-100%" sheetId="48" state="hidden" r:id="rId3"/>
    <sheet name="кс-3 январь-2" sheetId="45" state="hidden" r:id="rId4"/>
    <sheet name="р январь-2" sheetId="46" state="hidden" r:id="rId5"/>
    <sheet name="46_02-01-01(2016)" sheetId="47" state="hidden" r:id="rId6"/>
    <sheet name="М-29 нояб" sheetId="14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0" hidden="1">'кс-3 апрель'!$A$29:$R$57</definedName>
    <definedName name="_xlnm._FilterDatabase" localSheetId="3" hidden="1">'кс-3 январь-2'!$A$29:$R$55</definedName>
    <definedName name="_xlnm.Print_Titles" localSheetId="5">'46_02-01-01(2016)'!$30:$30</definedName>
    <definedName name="Номер_сметы">[1]Справочник!$A:$A</definedName>
    <definedName name="_xlnm.Print_Area" localSheetId="0">'кс-3 апрель'!$A$1:$O$67</definedName>
    <definedName name="_xlnm.Print_Area" localSheetId="3">'кс-3 январь-2'!$A$1:$O$65</definedName>
    <definedName name="_xlnm.Print_Area" localSheetId="6">'М-29 нояб'!$A$1:$AG$41</definedName>
    <definedName name="_xlnm.Print_Area" localSheetId="4">'р январь-2'!$A$1:$G$15</definedName>
    <definedName name="_xlnm.Print_Area" localSheetId="1">'реестр октябрь'!$A$1:$I$28</definedName>
  </definedNames>
  <calcPr calcId="152511" fullPrecision="0"/>
</workbook>
</file>

<file path=xl/calcChain.xml><?xml version="1.0" encoding="utf-8"?>
<calcChain xmlns="http://schemas.openxmlformats.org/spreadsheetml/2006/main">
  <c r="J13" i="11" l="1"/>
  <c r="M27" i="11"/>
  <c r="L27" i="11"/>
  <c r="N27" i="11" s="1"/>
  <c r="M26" i="11"/>
  <c r="L26" i="11"/>
  <c r="N26" i="11" s="1"/>
  <c r="P26" i="11" s="1"/>
  <c r="L25" i="11"/>
  <c r="M24" i="11"/>
  <c r="N23" i="11"/>
  <c r="M23" i="11"/>
  <c r="L23" i="11"/>
  <c r="M22" i="11"/>
  <c r="L22" i="11"/>
  <c r="N22" i="11"/>
  <c r="P22" i="11" s="1"/>
  <c r="M21" i="11"/>
  <c r="M20" i="11"/>
  <c r="O19" i="11"/>
  <c r="O23" i="11" s="1"/>
  <c r="O27" i="11" s="1"/>
  <c r="M19" i="11"/>
  <c r="L19" i="11"/>
  <c r="N19" i="11" s="1"/>
  <c r="P19" i="11" s="1"/>
  <c r="M18" i="11"/>
  <c r="L18" i="11"/>
  <c r="N18" i="11"/>
  <c r="O17" i="11"/>
  <c r="O21" i="11" s="1"/>
  <c r="O25" i="11" s="1"/>
  <c r="M17" i="11"/>
  <c r="L17" i="11"/>
  <c r="O16" i="11"/>
  <c r="M16" i="11"/>
  <c r="L16" i="11"/>
  <c r="N16" i="11" s="1"/>
  <c r="O15" i="11"/>
  <c r="O18" i="11" s="1"/>
  <c r="O22" i="11" s="1"/>
  <c r="O26" i="11" s="1"/>
  <c r="M15" i="11"/>
  <c r="L15" i="11"/>
  <c r="O14" i="11"/>
  <c r="M14" i="11"/>
  <c r="L14" i="11"/>
  <c r="N14" i="11" s="1"/>
  <c r="P14" i="11" s="1"/>
  <c r="O13" i="11"/>
  <c r="M13" i="11"/>
  <c r="M11" i="11"/>
  <c r="P16" i="11" l="1"/>
  <c r="N15" i="11"/>
  <c r="P15" i="11" s="1"/>
  <c r="N17" i="11"/>
  <c r="P17" i="11" s="1"/>
  <c r="P18" i="11"/>
  <c r="P23" i="11"/>
  <c r="P27" i="11"/>
  <c r="L12" i="11"/>
  <c r="N12" i="11" s="1"/>
  <c r="P12" i="11" s="1"/>
  <c r="O20" i="11"/>
  <c r="O24" i="11" s="1"/>
  <c r="M12" i="11"/>
  <c r="M25" i="11"/>
  <c r="N25" i="11" s="1"/>
  <c r="P25" i="11" s="1"/>
  <c r="K28" i="11"/>
  <c r="L13" i="11"/>
  <c r="N13" i="11" s="1"/>
  <c r="P13" i="11" s="1"/>
  <c r="L20" i="11"/>
  <c r="N20" i="11" s="1"/>
  <c r="P20" i="11" s="1"/>
  <c r="L24" i="11"/>
  <c r="N24" i="11" s="1"/>
  <c r="P24" i="11" s="1"/>
  <c r="L11" i="11"/>
  <c r="N11" i="11" s="1"/>
  <c r="L21" i="11"/>
  <c r="N21" i="11" s="1"/>
  <c r="P21" i="11" s="1"/>
  <c r="P28" i="11" s="1"/>
  <c r="P11" i="11" l="1"/>
  <c r="N28" i="11"/>
  <c r="H18" i="11" l="1"/>
  <c r="F27" i="11"/>
  <c r="J28" i="11"/>
  <c r="H27" i="11"/>
  <c r="F26" i="11"/>
  <c r="F24" i="11"/>
  <c r="F23" i="11"/>
  <c r="F21" i="11"/>
  <c r="F20" i="11"/>
  <c r="F18" i="11"/>
  <c r="E17" i="11"/>
  <c r="F17" i="11"/>
  <c r="E16" i="11"/>
  <c r="H15" i="11"/>
  <c r="H19" i="11" s="1"/>
  <c r="H23" i="11" s="1"/>
  <c r="F15" i="11"/>
  <c r="F22" i="11" l="1"/>
  <c r="E27" i="11"/>
  <c r="G27" i="11" s="1"/>
  <c r="I27" i="11" s="1"/>
  <c r="E26" i="11"/>
  <c r="G26" i="11" s="1"/>
  <c r="E25" i="11"/>
  <c r="F25" i="11"/>
  <c r="E24" i="11"/>
  <c r="G24" i="11" s="1"/>
  <c r="E23" i="11"/>
  <c r="G23" i="11" s="1"/>
  <c r="I23" i="11" s="1"/>
  <c r="E21" i="11"/>
  <c r="G21" i="11" s="1"/>
  <c r="G17" i="11"/>
  <c r="E20" i="11"/>
  <c r="G20" i="11" s="1"/>
  <c r="E19" i="11"/>
  <c r="F19" i="11"/>
  <c r="E18" i="11"/>
  <c r="G18" i="11" s="1"/>
  <c r="F16" i="11"/>
  <c r="G16" i="11" s="1"/>
  <c r="E15" i="11"/>
  <c r="G15" i="11" s="1"/>
  <c r="I15" i="11" s="1"/>
  <c r="E12" i="11"/>
  <c r="E14" i="11"/>
  <c r="F14" i="11"/>
  <c r="E13" i="11"/>
  <c r="F13" i="11"/>
  <c r="H22" i="11"/>
  <c r="H26" i="11" s="1"/>
  <c r="H14" i="11"/>
  <c r="H17" i="11" s="1"/>
  <c r="H13" i="11"/>
  <c r="H16" i="11" s="1"/>
  <c r="H20" i="11" s="1"/>
  <c r="H24" i="11" s="1"/>
  <c r="Y54" i="54"/>
  <c r="Y46" i="54"/>
  <c r="Y45" i="54"/>
  <c r="Y39" i="54"/>
  <c r="Y38" i="54"/>
  <c r="E22" i="11" l="1"/>
  <c r="D28" i="11"/>
  <c r="I26" i="11"/>
  <c r="G25" i="11"/>
  <c r="I24" i="11"/>
  <c r="G22" i="11"/>
  <c r="I22" i="11" s="1"/>
  <c r="I17" i="11"/>
  <c r="H21" i="11"/>
  <c r="H25" i="11" s="1"/>
  <c r="I25" i="11" s="1"/>
  <c r="I21" i="11"/>
  <c r="G19" i="11"/>
  <c r="I19" i="11" s="1"/>
  <c r="E11" i="11"/>
  <c r="I20" i="11"/>
  <c r="I18" i="11"/>
  <c r="I16" i="11"/>
  <c r="G13" i="11"/>
  <c r="I13" i="11" s="1"/>
  <c r="G14" i="11"/>
  <c r="I14" i="11" s="1"/>
  <c r="F12" i="11"/>
  <c r="G12" i="11" s="1"/>
  <c r="I12" i="11" s="1"/>
  <c r="F11" i="11"/>
  <c r="Z39" i="54"/>
  <c r="Z38" i="54"/>
  <c r="L39" i="54"/>
  <c r="H39" i="54" s="1"/>
  <c r="L38" i="54"/>
  <c r="H38" i="54" s="1"/>
  <c r="E38" i="54" s="1"/>
  <c r="H54" i="54"/>
  <c r="H53" i="54"/>
  <c r="H52" i="54"/>
  <c r="H51" i="54"/>
  <c r="H48" i="54"/>
  <c r="H49" i="54"/>
  <c r="H50" i="54"/>
  <c r="H47" i="54"/>
  <c r="H46" i="54"/>
  <c r="H45" i="54"/>
  <c r="H41" i="54"/>
  <c r="H42" i="54"/>
  <c r="H43" i="54"/>
  <c r="H44" i="54"/>
  <c r="H40" i="54"/>
  <c r="H34" i="54"/>
  <c r="H35" i="54"/>
  <c r="H36" i="54"/>
  <c r="H37" i="54"/>
  <c r="H33" i="54"/>
  <c r="P34" i="54"/>
  <c r="P35" i="54"/>
  <c r="P36" i="54"/>
  <c r="P37" i="54"/>
  <c r="P40" i="54"/>
  <c r="P41" i="54"/>
  <c r="P42" i="54"/>
  <c r="P43" i="54"/>
  <c r="P44" i="54"/>
  <c r="P47" i="54"/>
  <c r="P48" i="54"/>
  <c r="P49" i="54"/>
  <c r="P50" i="54"/>
  <c r="P51" i="54"/>
  <c r="P52" i="54"/>
  <c r="P53" i="54"/>
  <c r="P33" i="54"/>
  <c r="G11" i="11" l="1"/>
  <c r="G28" i="11" s="1"/>
  <c r="Z32" i="54"/>
  <c r="Z55" i="54"/>
  <c r="I11" i="11" l="1"/>
  <c r="I28" i="11" s="1"/>
  <c r="Z56" i="54"/>
  <c r="Z57" i="54" s="1"/>
  <c r="E53" i="54"/>
  <c r="P54" i="54" l="1"/>
  <c r="P45" i="54" l="1"/>
  <c r="P46" i="54" l="1"/>
  <c r="P38" i="54"/>
  <c r="R55" i="54"/>
  <c r="S55" i="54"/>
  <c r="T55" i="54"/>
  <c r="U55" i="54"/>
  <c r="V55" i="54"/>
  <c r="W55" i="54"/>
  <c r="X55" i="54"/>
  <c r="Q55" i="54"/>
  <c r="P39" i="54" l="1"/>
  <c r="L55" i="54"/>
  <c r="E54" i="54"/>
  <c r="Y55" i="54" l="1"/>
  <c r="Y32" i="54"/>
  <c r="E50" i="54"/>
  <c r="E46" i="54"/>
  <c r="E43" i="54"/>
  <c r="E42" i="54"/>
  <c r="E41" i="54"/>
  <c r="X32" i="54"/>
  <c r="V56" i="54"/>
  <c r="U56" i="54"/>
  <c r="S56" i="54"/>
  <c r="R56" i="54"/>
  <c r="E52" i="54"/>
  <c r="E51" i="54"/>
  <c r="E47" i="54"/>
  <c r="W32" i="54"/>
  <c r="E37" i="54"/>
  <c r="E36" i="54"/>
  <c r="E35" i="54"/>
  <c r="E34" i="54"/>
  <c r="A34" i="54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V32" i="54"/>
  <c r="U32" i="54"/>
  <c r="T32" i="54"/>
  <c r="S32" i="54"/>
  <c r="R32" i="54"/>
  <c r="Q32" i="54"/>
  <c r="I25" i="54"/>
  <c r="Y56" i="54" l="1"/>
  <c r="Y57" i="54" s="1"/>
  <c r="P55" i="54"/>
  <c r="H55" i="54"/>
  <c r="E49" i="54"/>
  <c r="E40" i="54"/>
  <c r="E45" i="54"/>
  <c r="E44" i="54"/>
  <c r="E48" i="54"/>
  <c r="E33" i="54"/>
  <c r="T56" i="54"/>
  <c r="T57" i="54" s="1"/>
  <c r="X56" i="54"/>
  <c r="X57" i="54" s="1"/>
  <c r="R57" i="54"/>
  <c r="Q56" i="54"/>
  <c r="Q57" i="54" s="1"/>
  <c r="S57" i="54"/>
  <c r="E39" i="54"/>
  <c r="U57" i="54"/>
  <c r="V57" i="54"/>
  <c r="E55" i="54" l="1"/>
  <c r="L56" i="54"/>
  <c r="L57" i="54" s="1"/>
  <c r="P59" i="54" s="1"/>
  <c r="W56" i="54"/>
  <c r="W57" i="54" s="1"/>
  <c r="M128" i="48"/>
  <c r="M129" i="48" s="1"/>
  <c r="M130" i="48" s="1"/>
  <c r="M131" i="48" s="1"/>
  <c r="M132" i="48" s="1"/>
  <c r="M133" i="48" s="1"/>
  <c r="M134" i="48" s="1"/>
  <c r="M24" i="48"/>
  <c r="P56" i="54" l="1"/>
  <c r="P57" i="54" s="1"/>
  <c r="M135" i="48"/>
  <c r="M136" i="48" s="1"/>
  <c r="H39" i="45"/>
  <c r="E39" i="45" s="1"/>
  <c r="H40" i="45"/>
  <c r="H41" i="45"/>
  <c r="H42" i="45"/>
  <c r="E42" i="45" s="1"/>
  <c r="H43" i="45"/>
  <c r="H44" i="45"/>
  <c r="H45" i="45"/>
  <c r="H46" i="45"/>
  <c r="H47" i="45"/>
  <c r="E47" i="45" s="1"/>
  <c r="H48" i="45"/>
  <c r="E48" i="45" s="1"/>
  <c r="H49" i="45"/>
  <c r="E49" i="45" s="1"/>
  <c r="H50" i="45"/>
  <c r="E50" i="45" s="1"/>
  <c r="H51" i="45"/>
  <c r="E51" i="45" s="1"/>
  <c r="M58" i="47"/>
  <c r="M59" i="47" s="1"/>
  <c r="M60" i="47" s="1"/>
  <c r="M61" i="47" s="1"/>
  <c r="M62" i="47" s="1"/>
  <c r="M63" i="47" s="1"/>
  <c r="M64" i="47" s="1"/>
  <c r="E11" i="46" s="1"/>
  <c r="M24" i="47"/>
  <c r="V53" i="45"/>
  <c r="S53" i="45"/>
  <c r="S54" i="45" s="1"/>
  <c r="R53" i="45"/>
  <c r="R54" i="45" s="1"/>
  <c r="Q53" i="45"/>
  <c r="L52" i="45"/>
  <c r="E52" i="45"/>
  <c r="U51" i="45"/>
  <c r="U53" i="45" s="1"/>
  <c r="T51" i="45"/>
  <c r="T53" i="45" s="1"/>
  <c r="P50" i="45"/>
  <c r="L50" i="45"/>
  <c r="P49" i="45"/>
  <c r="L49" i="45"/>
  <c r="P48" i="45"/>
  <c r="L48" i="45"/>
  <c r="P47" i="45"/>
  <c r="L47" i="45"/>
  <c r="P46" i="45"/>
  <c r="L46" i="45"/>
  <c r="P45" i="45"/>
  <c r="L45" i="45"/>
  <c r="P44" i="45"/>
  <c r="L44" i="45"/>
  <c r="P43" i="45"/>
  <c r="L43" i="45"/>
  <c r="E43" i="45"/>
  <c r="P42" i="45"/>
  <c r="L42" i="45"/>
  <c r="P41" i="45"/>
  <c r="L41" i="45"/>
  <c r="E41" i="45" s="1"/>
  <c r="P40" i="45"/>
  <c r="L40" i="45"/>
  <c r="E40" i="45"/>
  <c r="P39" i="45"/>
  <c r="P37" i="45"/>
  <c r="L37" i="45"/>
  <c r="E37" i="45"/>
  <c r="P36" i="45"/>
  <c r="L36" i="45"/>
  <c r="E36" i="45"/>
  <c r="P35" i="45"/>
  <c r="L35" i="45"/>
  <c r="E35" i="45"/>
  <c r="A35" i="45"/>
  <c r="A36" i="45" s="1"/>
  <c r="A37" i="45" s="1"/>
  <c r="A38" i="45" s="1"/>
  <c r="A39" i="45" s="1"/>
  <c r="A40" i="45" s="1"/>
  <c r="A41" i="45" s="1"/>
  <c r="A42" i="45" s="1"/>
  <c r="A43" i="45" s="1"/>
  <c r="A44" i="45" s="1"/>
  <c r="A45" i="45" s="1"/>
  <c r="A46" i="45" s="1"/>
  <c r="A47" i="45" s="1"/>
  <c r="A48" i="45" s="1"/>
  <c r="A49" i="45" s="1"/>
  <c r="A50" i="45" s="1"/>
  <c r="A51" i="45" s="1"/>
  <c r="P34" i="45"/>
  <c r="L34" i="45"/>
  <c r="E34" i="45"/>
  <c r="A34" i="45"/>
  <c r="P33" i="45"/>
  <c r="L33" i="45"/>
  <c r="V32" i="45"/>
  <c r="T32" i="45"/>
  <c r="S32" i="45"/>
  <c r="R32" i="45"/>
  <c r="Q32" i="45"/>
  <c r="I25" i="45"/>
  <c r="E44" i="45" l="1"/>
  <c r="U32" i="45"/>
  <c r="E15" i="46"/>
  <c r="X38" i="45"/>
  <c r="V54" i="45"/>
  <c r="V55" i="45" s="1"/>
  <c r="E45" i="45"/>
  <c r="E46" i="45"/>
  <c r="M65" i="47"/>
  <c r="F11" i="46" s="1"/>
  <c r="F15" i="46" s="1"/>
  <c r="T54" i="45"/>
  <c r="T55" i="45" s="1"/>
  <c r="U54" i="45"/>
  <c r="U55" i="45" s="1"/>
  <c r="W53" i="45"/>
  <c r="P53" i="45" s="1"/>
  <c r="R55" i="45"/>
  <c r="S55" i="45"/>
  <c r="Q54" i="45"/>
  <c r="Q55" i="45" s="1"/>
  <c r="G11" i="46" l="1"/>
  <c r="M66" i="47"/>
  <c r="H11" i="46" s="1"/>
  <c r="H15" i="46" s="1"/>
  <c r="H38" i="45"/>
  <c r="E38" i="45" s="1"/>
  <c r="P38" i="45"/>
  <c r="L38" i="45"/>
  <c r="X53" i="45"/>
  <c r="G15" i="46"/>
  <c r="I15" i="46" s="1"/>
  <c r="I11" i="46"/>
  <c r="P54" i="45"/>
  <c r="P55" i="45" s="1"/>
  <c r="L53" i="45"/>
  <c r="E33" i="45"/>
  <c r="E53" i="45" l="1"/>
  <c r="H53" i="45"/>
  <c r="L54" i="45"/>
  <c r="L55" i="45" s="1"/>
  <c r="P57" i="45" s="1"/>
  <c r="AD19" i="14" l="1"/>
  <c r="AD20" i="14" l="1"/>
  <c r="AB17" i="14"/>
  <c r="Z17" i="14"/>
  <c r="Z20" i="14" l="1"/>
  <c r="AJ22" i="14"/>
  <c r="X20" i="14"/>
  <c r="R20" i="14"/>
  <c r="J20" i="14"/>
  <c r="H20" i="14"/>
  <c r="F20" i="14"/>
  <c r="T18" i="14"/>
  <c r="T20" i="14" s="1"/>
  <c r="V17" i="14"/>
  <c r="AF17" i="14" s="1"/>
  <c r="N16" i="14"/>
  <c r="N20" i="14" s="1"/>
  <c r="L16" i="14"/>
  <c r="E15" i="14"/>
  <c r="I15" i="14" s="1"/>
  <c r="K15" i="14" s="1"/>
  <c r="AF14" i="14"/>
  <c r="Q14" i="14"/>
  <c r="O14" i="14"/>
  <c r="M14" i="14"/>
  <c r="K14" i="14"/>
  <c r="I14" i="14"/>
  <c r="G14" i="14"/>
  <c r="P13" i="14"/>
  <c r="Q13" i="14" s="1"/>
  <c r="O13" i="14"/>
  <c r="L13" i="14"/>
  <c r="M13" i="14" s="1"/>
  <c r="K13" i="14"/>
  <c r="I13" i="14"/>
  <c r="G13" i="14"/>
  <c r="V20" i="14" l="1"/>
  <c r="AF19" i="14"/>
  <c r="AB20" i="14"/>
  <c r="AF16" i="14"/>
  <c r="AF13" i="14"/>
  <c r="O15" i="14"/>
  <c r="Q15" i="14"/>
  <c r="L15" i="14"/>
  <c r="AF15" i="14" s="1"/>
  <c r="S15" i="14"/>
  <c r="U15" i="14"/>
  <c r="W15" i="14"/>
  <c r="P20" i="14"/>
  <c r="E16" i="14"/>
  <c r="G15" i="14"/>
  <c r="AF18" i="14"/>
  <c r="AF20" i="14" l="1"/>
  <c r="M15" i="14"/>
  <c r="L20" i="14"/>
  <c r="K16" i="14"/>
  <c r="I16" i="14"/>
  <c r="E17" i="14"/>
  <c r="G16" i="14"/>
  <c r="W16" i="14"/>
  <c r="U16" i="14"/>
  <c r="S16" i="14"/>
  <c r="Q16" i="14"/>
  <c r="M16" i="14"/>
  <c r="O16" i="14"/>
  <c r="AC17" i="14" l="1"/>
  <c r="AC20" i="14" s="1"/>
  <c r="AA17" i="14"/>
  <c r="AA20" i="14" s="1"/>
  <c r="E18" i="14"/>
  <c r="I17" i="14"/>
  <c r="K17" i="14" s="1"/>
  <c r="G17" i="14"/>
  <c r="Y17" i="14"/>
  <c r="Y20" i="14" s="1"/>
  <c r="O17" i="14"/>
  <c r="M17" i="14"/>
  <c r="W17" i="14"/>
  <c r="W20" i="14" s="1"/>
  <c r="U17" i="14"/>
  <c r="S17" i="14"/>
  <c r="Q17" i="14"/>
  <c r="E19" i="14" l="1"/>
  <c r="I18" i="14"/>
  <c r="U18" i="14"/>
  <c r="U20" i="14" s="1"/>
  <c r="S18" i="14"/>
  <c r="K18" i="14"/>
  <c r="Q18" i="14"/>
  <c r="O18" i="14"/>
  <c r="M18" i="14"/>
  <c r="G18" i="14"/>
  <c r="AC19" i="14" l="1"/>
  <c r="AE19" i="14"/>
  <c r="AE20" i="14" s="1"/>
  <c r="AG19" i="14"/>
  <c r="S19" i="14"/>
  <c r="S20" i="14" s="1"/>
  <c r="I19" i="14"/>
  <c r="I20" i="14" s="1"/>
  <c r="Q19" i="14"/>
  <c r="O19" i="14"/>
  <c r="O20" i="14" s="1"/>
  <c r="M19" i="14"/>
  <c r="M20" i="14" s="1"/>
  <c r="K19" i="14"/>
  <c r="K20" i="14" s="1"/>
  <c r="G19" i="14"/>
  <c r="Q20" i="14"/>
  <c r="AG18" i="14"/>
  <c r="AG20" i="14" l="1"/>
  <c r="G20" i="14"/>
</calcChain>
</file>

<file path=xl/comments1.xml><?xml version="1.0" encoding="utf-8"?>
<comments xmlns="http://schemas.openxmlformats.org/spreadsheetml/2006/main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comments2.xml><?xml version="1.0" encoding="utf-8"?>
<comments xmlns="http://schemas.openxmlformats.org/spreadsheetml/2006/main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sharedStrings.xml><?xml version="1.0" encoding="utf-8"?>
<sst xmlns="http://schemas.openxmlformats.org/spreadsheetml/2006/main" count="1340" uniqueCount="703">
  <si>
    <t>Код</t>
  </si>
  <si>
    <t>Форма по ОКУД</t>
  </si>
  <si>
    <t>0322005</t>
  </si>
  <si>
    <t>Инвестор</t>
  </si>
  <si>
    <t>по ОКПО</t>
  </si>
  <si>
    <t>(организация, адрес, телефон, факс)</t>
  </si>
  <si>
    <t>(наименование, адрес)</t>
  </si>
  <si>
    <t>(наименование)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</si>
  <si>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</si>
  <si>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</si>
  <si>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</si>
  <si>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</si>
  <si>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</si>
  <si>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</si>
  <si>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</si>
  <si>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</si>
  <si>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</si>
  <si>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</si>
  <si>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</si>
  <si>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</si>
  <si>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16</t>
  </si>
  <si>
    <t>2</t>
  </si>
  <si>
    <t>17</t>
  </si>
  <si>
    <t>3</t>
  </si>
  <si>
    <t>19</t>
  </si>
  <si>
    <t>4</t>
  </si>
  <si>
    <t>Итоги по акту:</t>
  </si>
  <si>
    <t>Сдал:</t>
  </si>
  <si>
    <t>Принял:</t>
  </si>
  <si>
    <t>Заказчик:</t>
  </si>
  <si>
    <t>07516652</t>
  </si>
  <si>
    <t>Генподрядчик:</t>
  </si>
  <si>
    <t>ИГК</t>
  </si>
  <si>
    <t>00000000020956180093</t>
  </si>
  <si>
    <t>2035000000122000001-2</t>
  </si>
  <si>
    <t>Дополнительное соглашение</t>
  </si>
  <si>
    <t>Итого с зимним удорожанием</t>
  </si>
  <si>
    <t>ИТОГО</t>
  </si>
  <si>
    <t>НДС 20%</t>
  </si>
  <si>
    <t>ВСЕГО с НДС</t>
  </si>
  <si>
    <t>(должность, подпись, Ф.И.О)</t>
  </si>
  <si>
    <t>М.П.</t>
  </si>
  <si>
    <t xml:space="preserve"> И.С. Самарин</t>
  </si>
  <si>
    <t>5</t>
  </si>
  <si>
    <r>
      <rPr>
        <b/>
        <sz val="10"/>
        <rFont val="Times New Roman"/>
        <family val="1"/>
        <charset val="204"/>
      </rPr>
      <t xml:space="preserve">АО «ПСЗ «Янтарь» </t>
    </r>
    <r>
      <rPr>
        <sz val="10"/>
        <rFont val="Times New Roman"/>
        <family val="1"/>
        <charset val="204"/>
      </rPr>
      <t>236005, Российская Федерация, г. Калининград,  площадь Гуськова, д. 1
Тел./Факс. 8 (4012) 61-30-01</t>
    </r>
  </si>
  <si>
    <r>
      <rPr>
        <b/>
        <sz val="10"/>
        <rFont val="Times New Roman"/>
        <family val="1"/>
        <charset val="204"/>
      </rPr>
      <t>ООО "Концерн Ленпромстрой"</t>
    </r>
    <r>
      <rPr>
        <sz val="10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</si>
  <si>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Стройка:</t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</si>
  <si>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этап» открытого акционерного общества «Прибалтийский судостроительный завод «Янтарь», г.Калининград, Калининградская область</t>
  </si>
  <si>
    <t>Объект:</t>
  </si>
  <si>
    <t>Достроечная набережная №5  (Локальная смета № 02-01-01)</t>
  </si>
  <si>
    <t>30</t>
  </si>
  <si>
    <t>мая</t>
  </si>
  <si>
    <t>09</t>
  </si>
  <si>
    <t>июня</t>
  </si>
  <si>
    <t>12</t>
  </si>
  <si>
    <t>№ п.п.</t>
  </si>
  <si>
    <t>№ по смете</t>
  </si>
  <si>
    <t>Код норматива,
Наименование,
Единица измерения</t>
  </si>
  <si>
    <t>Объем</t>
  </si>
  <si>
    <t>Базисная стоимость за единицу</t>
  </si>
  <si>
    <t>Базисная стоимость всего</t>
  </si>
  <si>
    <t>Индекс / Цена</t>
  </si>
  <si>
    <t>Текущая стоимость всего</t>
  </si>
  <si>
    <t xml:space="preserve">Всего </t>
  </si>
  <si>
    <t>Осн. З/п</t>
  </si>
  <si>
    <t xml:space="preserve">Эксп.
</t>
  </si>
  <si>
    <t>Осн. з/п</t>
  </si>
  <si>
    <t>Эксп.</t>
  </si>
  <si>
    <t>Материал</t>
  </si>
  <si>
    <t>В т.ч. з/п</t>
  </si>
  <si>
    <t>Раздел 1. Строительно-монтажные работы.</t>
  </si>
  <si>
    <t>130%</t>
  </si>
  <si>
    <t>80%</t>
  </si>
  <si>
    <t>Всего с НР и СП</t>
  </si>
  <si>
    <t>105%</t>
  </si>
  <si>
    <t>65%</t>
  </si>
  <si>
    <t>6</t>
  </si>
  <si>
    <t>7</t>
  </si>
  <si>
    <t>8</t>
  </si>
  <si>
    <t>9</t>
  </si>
  <si>
    <t>10</t>
  </si>
  <si>
    <t>11</t>
  </si>
  <si>
    <t>90%</t>
  </si>
  <si>
    <t>85%</t>
  </si>
  <si>
    <t>13</t>
  </si>
  <si>
    <t>14</t>
  </si>
  <si>
    <t xml:space="preserve"> ФЕР39-01-016-01
---------------------------------
Погрузка и перемещение на первый километр металлических конструкций плавучими средствами: в условиях закрытой акватории
(1 т конструкций) </t>
  </si>
  <si>
    <t>129,77</t>
  </si>
  <si>
    <t>1,64</t>
  </si>
  <si>
    <t>128,13
----------
24,3</t>
  </si>
  <si>
    <t>15</t>
  </si>
  <si>
    <t>18</t>
  </si>
  <si>
    <t xml:space="preserve">70
</t>
  </si>
  <si>
    <t xml:space="preserve"> ФЕР39-01-015-04
---------------------------------
Установка анкерных тяг в закрытой акватории при подачи элементов конструкций: с воды плавучим краном
(1 т конструкций) </t>
  </si>
  <si>
    <t>2169,17</t>
  </si>
  <si>
    <t>185,8
----------
263,68</t>
  </si>
  <si>
    <t>1719,69
----------
146,45</t>
  </si>
  <si>
    <t xml:space="preserve">71
</t>
  </si>
  <si>
    <t xml:space="preserve"> ФЕР39-Прил.39.1-4
---------------------------------
Исключать стоимость окраски из расценки: 39-01-015-04) </t>
  </si>
  <si>
    <t>139,86</t>
  </si>
  <si>
    <t>62,7
----------
62,15</t>
  </si>
  <si>
    <t>15,01</t>
  </si>
  <si>
    <t>20</t>
  </si>
  <si>
    <t xml:space="preserve">72
</t>
  </si>
  <si>
    <t xml:space="preserve"> ФССЦ-201-0794
---------------------------------
Тяги анкерные
(т) </t>
  </si>
  <si>
    <t>12783,19</t>
  </si>
  <si>
    <t xml:space="preserve">
----------
12783,19</t>
  </si>
  <si>
    <t>21</t>
  </si>
  <si>
    <t xml:space="preserve">73
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</si>
  <si>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</si>
  <si>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</si>
  <si>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</si>
  <si>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</si>
  <si>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</si>
  <si>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</si>
  <si>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</si>
  <si>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</si>
  <si>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81
</t>
  </si>
  <si>
    <t xml:space="preserve"> ФЕР13-06-003-01
---------------------------------
Очистка поверхности щетками поверхностей анкерных тяг и распредпоясов до степени SA 2,5 перед антикоррозийным покрытием
(1 м2 очищаемой поверхности) </t>
  </si>
  <si>
    <t>7,68</t>
  </si>
  <si>
    <t>70%</t>
  </si>
  <si>
    <t xml:space="preserve">82
</t>
  </si>
  <si>
    <t xml:space="preserve"> ФЕР13-06-004-01
---------------------------------
То же, обеспыливание
(1 м2 обеспыливаемой поверхности) </t>
  </si>
  <si>
    <t>1,12</t>
  </si>
  <si>
    <t>0,85</t>
  </si>
  <si>
    <t>0,27</t>
  </si>
  <si>
    <t>31</t>
  </si>
  <si>
    <t xml:space="preserve">83
</t>
  </si>
  <si>
    <t xml:space="preserve"> ФЕР13-07-001-02
---------------------------------
То же, обезжиривание уйат-спиритом
(100 м2 обезжириваемой поверхности) </t>
  </si>
  <si>
    <t>304,46</t>
  </si>
  <si>
    <t>79,36
----------
222,44</t>
  </si>
  <si>
    <t>2,66
----------
0,1</t>
  </si>
  <si>
    <t>32</t>
  </si>
  <si>
    <t xml:space="preserve">84
</t>
  </si>
  <si>
    <t xml:space="preserve"> ФЕР13-03-002-12
---------------------------------
То же, огрунтовка  за один раз: грунтовкой эп-0263с
(100 м2 окрашиваемой поверхности) 
---------------------------------
(1.13.7.ОП При нанесении лакокрасочных материалов ручным способом ОЗП=1,1; ТЗ=1,1)</t>
  </si>
  <si>
    <t>1298,81</t>
  </si>
  <si>
    <t>55,84
----------
1233,54</t>
  </si>
  <si>
    <t>9,43
----------
0,1</t>
  </si>
  <si>
    <t>33</t>
  </si>
  <si>
    <t xml:space="preserve">85
</t>
  </si>
  <si>
    <t xml:space="preserve"> ФЕР13-03-004-01
---------------------------------
То же, окраска металлических огрунтованных поверхностей: эмалью ХС-436с за 4 раза
(100 м2 окрашиваемой поверхности) 
---------------------------------
(За 4 раза ПЗ=4 (ОЗП=4; ЭМ=4 к расх.; ЗПМ=4; МАТ=4 к расх.; ТЗ=4; ТЗМ=4);
1.13.7.ОП При нанесении лакокрасочных материалов ручным способом ОЗП=1,1; ТЗ=1,1)</t>
  </si>
  <si>
    <t>5594,32</t>
  </si>
  <si>
    <t>110,92
----------
5416,08</t>
  </si>
  <si>
    <t>67,32
----------
0,4</t>
  </si>
  <si>
    <t>34</t>
  </si>
  <si>
    <t xml:space="preserve">91
</t>
  </si>
  <si>
    <t xml:space="preserve"> ФЕР06-01-001-01
---------------------------------
Устройство бетонной подготовки под монолитный железобетон
(100 м3 бетона, бутобетона и железобетона в деле) </t>
  </si>
  <si>
    <t>58585,02</t>
  </si>
  <si>
    <t>1404
----------
55590,49</t>
  </si>
  <si>
    <t>1590,53
----------
243</t>
  </si>
  <si>
    <t>35</t>
  </si>
  <si>
    <t xml:space="preserve">92
</t>
  </si>
  <si>
    <t xml:space="preserve"> ФССЦ-401-0061
---------------------------------
Бетон тяжелый, крупность заполнителя: 20 мм, класс В3,5 (М50)
(м3) </t>
  </si>
  <si>
    <t>520</t>
  </si>
  <si>
    <t xml:space="preserve">
----------
520</t>
  </si>
  <si>
    <t>36</t>
  </si>
  <si>
    <t xml:space="preserve">93
</t>
  </si>
  <si>
    <t xml:space="preserve"> ФССЦ-401-0063
---------------------------------
Бетон тяжелый, крупность заполнителя: 20 мм, класс В7,5 (М100)
(м3) </t>
  </si>
  <si>
    <t>535,46</t>
  </si>
  <si>
    <t xml:space="preserve">
----------
535,46</t>
  </si>
  <si>
    <t>37</t>
  </si>
  <si>
    <t xml:space="preserve">96
</t>
  </si>
  <si>
    <t xml:space="preserve"> ФЕР37-03-031-02
---------------------------------
Устройство оголовка кранами на гусеничном ходу
(100 м3 железобетона в конструкции) </t>
  </si>
  <si>
    <t>172862,36</t>
  </si>
  <si>
    <t>4600,94
----------
162311,27</t>
  </si>
  <si>
    <t>5950,15
----------
446,72</t>
  </si>
  <si>
    <t>120%</t>
  </si>
  <si>
    <t xml:space="preserve">97
</t>
  </si>
  <si>
    <t xml:space="preserve"> ФССЦ-401-0011
---------------------------------
Бетон тяжелый, класс в30 (м400)
(м3) </t>
  </si>
  <si>
    <t>790</t>
  </si>
  <si>
    <t xml:space="preserve">
----------
790</t>
  </si>
  <si>
    <t xml:space="preserve">98
</t>
  </si>
  <si>
    <t xml:space="preserve"> ФССЦ-204-0064
---------------------------------
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
(т) </t>
  </si>
  <si>
    <t>6800</t>
  </si>
  <si>
    <t xml:space="preserve">
----------
6800</t>
  </si>
  <si>
    <t xml:space="preserve">99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</si>
  <si>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</si>
  <si>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>7917</t>
  </si>
  <si>
    <t xml:space="preserve">
----------
7917</t>
  </si>
  <si>
    <t xml:space="preserve">100
</t>
  </si>
  <si>
    <t xml:space="preserve"> ФССЦ-401-0211
---------------------------------
Бетон гидротехнический, класс В30 (М400), F300, W8
(м3) 
---------------------------------
(Тех. часть, п.п.4,5, тб.1,2 МАТ = 923,27+847,57*0,02*2)</t>
  </si>
  <si>
    <t>957,17</t>
  </si>
  <si>
    <t xml:space="preserve">
----------
957,17</t>
  </si>
  <si>
    <t xml:space="preserve">105
</t>
  </si>
  <si>
    <t xml:space="preserve"> ФССЦ-204-0026
---------------------------------
Горячекатаная арматурная сталь периодического профиля класса А-III, диаметром 25-28 мм
(т) </t>
  </si>
  <si>
    <t>7792,12</t>
  </si>
  <si>
    <t xml:space="preserve">
----------
7792,12</t>
  </si>
  <si>
    <t xml:space="preserve">106
</t>
  </si>
  <si>
    <t xml:space="preserve"> ФССЦ-204-0053
---------------------------------
Надбавки к ценам заготовок за сборку и сварку каркасов и сеток пространственных, диаметром 25-28 мм
(т) </t>
  </si>
  <si>
    <t>1441,85</t>
  </si>
  <si>
    <t xml:space="preserve">
----------
1441,85</t>
  </si>
  <si>
    <t xml:space="preserve">107
</t>
  </si>
  <si>
    <t xml:space="preserve">170
</t>
  </si>
  <si>
    <t xml:space="preserve"> ФЕР37-03-066-14
---------------------------------
Установка кранами на автомобильном ходу тумбы чугунной сменяемой: стопорной (ТСС) на швартовое усилие до 80 т
(1 шт.) </t>
  </si>
  <si>
    <t>6544,5</t>
  </si>
  <si>
    <t>414,53
----------
5689,09</t>
  </si>
  <si>
    <t>440,88
----------
50,63</t>
  </si>
  <si>
    <t xml:space="preserve">171
</t>
  </si>
  <si>
    <t xml:space="preserve"> ФССЦ-509-1243
---------------------------------
Тумба  на швартовое усилие до 80 т ТСС
(т) </t>
  </si>
  <si>
    <t>6659,43</t>
  </si>
  <si>
    <t xml:space="preserve">
----------
6659,43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</si>
  <si>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</si>
  <si>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</si>
  <si>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</si>
  <si>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</si>
  <si>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</si>
  <si>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</si>
  <si>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</si>
  <si>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 xml:space="preserve">    Материалы для строительных работ:</t>
  </si>
  <si>
    <t xml:space="preserve">    Свайные работы:</t>
  </si>
  <si>
    <t xml:space="preserve">    Бетонные и железобетонные монолитные конструкции в промышленном строительстве:</t>
  </si>
  <si>
    <t xml:space="preserve">    Металлические конструкции гидротехнических сооружений:</t>
  </si>
  <si>
    <t xml:space="preserve">    Защита строительных конструкций и оборудования от коррозии:</t>
  </si>
  <si>
    <t xml:space="preserve">    Бетонные и железобетонные конструкции гидротехнических сооружений:</t>
  </si>
  <si>
    <t xml:space="preserve">    Итого</t>
  </si>
  <si>
    <t xml:space="preserve">    Всего с учетом " СМР=7,38"</t>
  </si>
  <si>
    <t xml:space="preserve">    ВСЕГО по акту</t>
  </si>
  <si>
    <t>Производство работ в зимнее время – 0,96%</t>
  </si>
  <si>
    <t>Понижающий коэффициент 0,9833333333</t>
  </si>
  <si>
    <t>Индекс фактической инфляции К1= 1,25085</t>
  </si>
  <si>
    <t>Индекс фактической инфляции К2= 1,07521</t>
  </si>
  <si>
    <t>Индекс прогнозной инфляции К3= 1,0338</t>
  </si>
  <si>
    <t>Генеральный директор ООО "Концерн "Ленпромстрой"                                                                                                                                   Ю.А. Алексашин</t>
  </si>
  <si>
    <t xml:space="preserve">Генеральный директор АО «ПСЗ «Янтарь»                                                                                                                                                    </t>
  </si>
  <si>
    <t>т</t>
  </si>
  <si>
    <r>
      <rPr>
        <b/>
        <sz val="11"/>
        <color theme="1"/>
        <rFont val="Times New Roman"/>
        <family val="1"/>
        <charset val="204"/>
      </rPr>
      <t>АО «ПСЗ «Янтарь»</t>
    </r>
    <r>
      <rPr>
        <sz val="11"/>
        <color theme="1"/>
        <rFont val="Times New Roman"/>
        <family val="1"/>
        <charset val="204"/>
      </rPr>
      <t xml:space="preserve"> 236005, Российская Федерация, г. Калининград,  площадь Гуськова, д. 1
Тел./Факс. 8 (4012) 61-30-01</t>
    </r>
  </si>
  <si>
    <t>организация, адрес, телефон, факс</t>
  </si>
  <si>
    <r>
      <rPr>
        <b/>
        <sz val="11"/>
        <color theme="1"/>
        <rFont val="Times New Roman"/>
        <family val="1"/>
        <charset val="204"/>
      </rPr>
      <t>ООО "Концерн Ленпромстрой"</t>
    </r>
    <r>
      <rPr>
        <sz val="11"/>
        <color theme="1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</si>
  <si>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"Реконструкция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</si>
  <si>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>наименование, адрес</t>
  </si>
  <si>
    <t>№</t>
  </si>
  <si>
    <t>№ СМЕТЫ</t>
  </si>
  <si>
    <t>Наименование сметы</t>
  </si>
  <si>
    <t>№ кс-2</t>
  </si>
  <si>
    <t xml:space="preserve">итого без НДС </t>
  </si>
  <si>
    <t>ндс 20%</t>
  </si>
  <si>
    <t>итого с ндс</t>
  </si>
  <si>
    <t>проверка</t>
  </si>
  <si>
    <t xml:space="preserve"> 02-01-01</t>
  </si>
  <si>
    <t xml:space="preserve">Достроечная набережная №5  </t>
  </si>
  <si>
    <t>Унифицированная форма № КС-3</t>
  </si>
  <si>
    <t>Утверждена постановлением Госкомстата России</t>
  </si>
  <si>
    <t>от 11 ноября 1999 г. № 100</t>
  </si>
  <si>
    <t>0322001</t>
  </si>
  <si>
    <t>Инвестор:</t>
  </si>
  <si>
    <r>
      <rPr>
        <b/>
        <sz val="11"/>
        <rFont val="Times New Roman"/>
        <family val="1"/>
        <charset val="204"/>
      </rPr>
      <t xml:space="preserve">АО «ПСЗ «Янтарь» </t>
    </r>
    <r>
      <rPr>
        <sz val="11"/>
        <rFont val="Times New Roman"/>
        <family val="1"/>
        <charset val="204"/>
      </rPr>
      <t>236005, Российская Федерация, г. Калининград,  площадь Гуськова, д. 1Тел./Факс. 8 (4012) 61-30-01</t>
    </r>
  </si>
  <si>
    <r>
      <rPr>
        <b/>
        <sz val="11"/>
        <rFont val="Times New Roman"/>
        <family val="1"/>
        <charset val="204"/>
      </rPr>
      <t xml:space="preserve">ООО "Концерн Ленпромстрой" </t>
    </r>
    <r>
      <rPr>
        <sz val="11"/>
        <rFont val="Times New Roman"/>
        <family val="1"/>
        <charset val="204"/>
      </rPr>
      <t xml:space="preserve">190031, Российская Федерация, г. Санкт-Петербург", наб.реки Фонтанки, д.113, лит. А,пом.18-Н, офис 33  тел. (812) 327-22-80 </t>
    </r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</si>
  <si>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</si>
  <si>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 xml:space="preserve">                                                                                                  ИГК</t>
  </si>
  <si>
    <t xml:space="preserve">номер </t>
  </si>
  <si>
    <t>06</t>
  </si>
  <si>
    <t>СПРАВКА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</si>
  <si>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</si>
  <si>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</si>
  <si>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</si>
  <si>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 руб.</t>
  </si>
  <si>
    <t>с начала проведения работ</t>
  </si>
  <si>
    <t>с начала года</t>
  </si>
  <si>
    <t>в том числе за отчетный период</t>
  </si>
  <si>
    <t>ВСЕГО</t>
  </si>
  <si>
    <t>№1 июль</t>
  </si>
  <si>
    <t>№2 август</t>
  </si>
  <si>
    <t>№3 сентябрь</t>
  </si>
  <si>
    <t>№4 октябрь</t>
  </si>
  <si>
    <t>№5 ноябрь</t>
  </si>
  <si>
    <t>№6 декабрь</t>
  </si>
  <si>
    <t>№9 март</t>
  </si>
  <si>
    <t>Всего работ и затрат, включаемых в стоимость работ:</t>
  </si>
  <si>
    <r>
      <rPr>
        <b/>
        <sz val="11"/>
        <rFont val="Times New Roman"/>
        <family val="1"/>
        <charset val="204"/>
      </rPr>
      <t xml:space="preserve">Акт №6. </t>
    </r>
    <r>
      <rPr>
        <sz val="11"/>
        <rFont val="Times New Roman"/>
        <family val="1"/>
        <charset val="204"/>
      </rPr>
      <t>Локальная смета №01-01-01 ДОБ. Подготовительные работы. Набережная №5</t>
    </r>
  </si>
  <si>
    <r>
      <rPr>
        <b/>
        <sz val="11"/>
        <rFont val="Times New Roman"/>
        <family val="1"/>
        <charset val="204"/>
      </rPr>
      <t>Акт №2.</t>
    </r>
    <r>
      <rPr>
        <sz val="11"/>
        <rFont val="Times New Roman"/>
        <family val="1"/>
        <charset val="204"/>
      </rPr>
      <t xml:space="preserve"> Локальная смета №1. Разборка временной дороги.</t>
    </r>
  </si>
  <si>
    <r>
      <rPr>
        <b/>
        <sz val="11"/>
        <rFont val="Times New Roman"/>
        <family val="1"/>
        <charset val="204"/>
      </rPr>
      <t>Акт №1. Акт №7.Акт №14.Акт №20</t>
    </r>
    <r>
      <rPr>
        <sz val="11"/>
        <rFont val="Times New Roman"/>
        <family val="1"/>
        <charset val="204"/>
      </rPr>
      <t xml:space="preserve"> Локальная смета №01-02-01. Разборка существующих конструкций. Достроечная набережная №5 </t>
    </r>
  </si>
  <si>
    <r>
      <rPr>
        <b/>
        <sz val="11"/>
        <rFont val="Times New Roman"/>
        <family val="1"/>
        <charset val="204"/>
      </rPr>
      <t>Акт №3. Акт №12.Акт №26</t>
    </r>
    <r>
      <rPr>
        <sz val="11"/>
        <rFont val="Times New Roman"/>
        <family val="1"/>
        <charset val="204"/>
      </rPr>
      <t xml:space="preserve"> Локальная смета №09-02-01 ДОБ. Плата за негативное воздействие при перемещении отходов производства и потребления на полигоне ТБО.</t>
    </r>
  </si>
  <si>
    <r>
      <rPr>
        <b/>
        <sz val="11"/>
        <rFont val="Times New Roman"/>
        <family val="1"/>
        <charset val="204"/>
      </rPr>
      <t>Акт №8.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№21</t>
    </r>
    <r>
      <rPr>
        <sz val="11"/>
        <rFont val="Times New Roman"/>
        <family val="1"/>
        <charset val="204"/>
      </rPr>
      <t xml:space="preserve">. Локальная смета №01-02-01 ДОБ. Разборка существующих конструкций. Достроечная набережная №5  </t>
    </r>
  </si>
  <si>
    <r>
      <rPr>
        <b/>
        <sz val="11"/>
        <rFont val="Times New Roman"/>
        <family val="1"/>
        <charset val="204"/>
      </rPr>
      <t>Акт №18 .</t>
    </r>
    <r>
      <rPr>
        <sz val="11"/>
        <rFont val="Times New Roman"/>
        <family val="1"/>
        <charset val="204"/>
      </rPr>
      <t xml:space="preserve"> Локальная смета №3 (Непредвиденные расходы). Лидерное бурение под анкерные сваи в районе ТП153</t>
    </r>
  </si>
  <si>
    <r>
      <rPr>
        <b/>
        <sz val="11"/>
        <rFont val="Times New Roman"/>
        <family val="1"/>
        <charset val="204"/>
      </rPr>
      <t>Акт №19 .</t>
    </r>
    <r>
      <rPr>
        <sz val="11"/>
        <rFont val="Times New Roman"/>
        <family val="1"/>
        <charset val="204"/>
      </rPr>
      <t xml:space="preserve"> Локальная смета №4 (Временные здания и сооружения). Устройство площадки складирования для армирования ростверка.</t>
    </r>
  </si>
  <si>
    <t>Сумма НДС</t>
  </si>
  <si>
    <t>Всего с учетом НДС 20 %</t>
  </si>
  <si>
    <t>Генеральный директор АО "ПСЗ "Янтарь"</t>
  </si>
  <si>
    <t>(подпись)</t>
  </si>
  <si>
    <t>(расшифровка подписи)</t>
  </si>
  <si>
    <t>Генеральный подрядчик:</t>
  </si>
  <si>
    <t xml:space="preserve"> </t>
  </si>
  <si>
    <t>Генеральный директор ООО "Концерн "Ленпромстрой"</t>
  </si>
  <si>
    <t>Ю.А. Алексашин</t>
  </si>
  <si>
    <t>Итого:</t>
  </si>
  <si>
    <r>
      <rPr>
        <b/>
        <sz val="11"/>
        <rFont val="Times New Roman"/>
        <family val="1"/>
        <charset val="204"/>
      </rPr>
      <t>Акт №5. Акт №11.Акт №17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№29</t>
    </r>
    <r>
      <rPr>
        <sz val="11"/>
        <rFont val="Times New Roman"/>
        <family val="1"/>
        <charset val="204"/>
      </rPr>
      <t>.Локальная смета №02-01-01 ДМ. Давальческие материалы. 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</si>
  <si>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№24. Акт №30. </t>
    </r>
    <r>
      <rPr>
        <sz val="11"/>
        <rFont val="Times New Roman"/>
        <family val="1"/>
        <charset val="204"/>
      </rPr>
      <t>Локальная смета №02-01-02. Устройство покрытий.Набережная №5.</t>
    </r>
  </si>
  <si>
    <r>
      <rPr>
        <b/>
        <sz val="11"/>
        <rFont val="Times New Roman"/>
        <family val="1"/>
        <charset val="204"/>
      </rPr>
      <t>Акт №32.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</si>
  <si>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Отчет об использовании материалов, переданных Заказчиком</t>
  </si>
  <si>
    <t xml:space="preserve">по Контракту № 2035000000122000001-2 от « 30 » мая  2022 года
</t>
  </si>
  <si>
    <t>г. Калининград</t>
  </si>
  <si>
    <r>
      <t>«</t>
    </r>
    <r>
      <rPr>
        <sz val="12"/>
        <rFont val="Verdana"/>
        <family val="2"/>
        <charset val="204"/>
      </rPr>
      <t>25</t>
    </r>
    <r>
      <rPr>
        <u/>
        <sz val="12"/>
        <rFont val="Verdana"/>
        <family val="2"/>
        <charset val="204"/>
      </rPr>
      <t>» октября 2022 г</t>
    </r>
    <r>
      <rPr>
        <sz val="12"/>
        <rFont val="Verdana"/>
        <family val="2"/>
        <charset val="204"/>
      </rPr>
      <t>.</t>
    </r>
  </si>
  <si>
    <t>Генеральным подрядчиком были получены от Заказчика и использованы при выполнении работ за период  материалы в следующем объеме:</t>
  </si>
  <si>
    <t>Наименование вида работ</t>
  </si>
  <si>
    <t>№ и дата накладной</t>
  </si>
  <si>
    <t>Ед. изм.</t>
  </si>
  <si>
    <t>Цена за ед. изм., руб., без НДС</t>
  </si>
  <si>
    <t>Получено материалов от Заказчика</t>
  </si>
  <si>
    <r>
      <t>Фактически использовано материалов (</t>
    </r>
    <r>
      <rPr>
        <b/>
        <sz val="12"/>
        <rFont val="Verdana"/>
        <family val="2"/>
        <charset val="204"/>
      </rPr>
      <t>кс2 №4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</si>
  <si>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№5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</si>
  <si>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№9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</si>
  <si>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№10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</si>
  <si>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№11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</si>
  <si>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№15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</si>
  <si>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№16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</si>
  <si>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№17 от 25.09.2022г.</t>
    </r>
    <r>
      <rPr>
        <sz val="12"/>
        <rFont val="Verdana"/>
        <family val="2"/>
        <charset val="204"/>
      </rPr>
      <t>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</si>
  <si>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 xml:space="preserve">(кс2 №23 от 25.10.2022г. </t>
    </r>
    <r>
      <rPr>
        <sz val="12"/>
        <rFont val="Verdana"/>
        <family val="2"/>
        <charset val="204"/>
      </rPr>
      <t>)</t>
    </r>
  </si>
  <si>
    <t>Остатки не использованных материалов</t>
  </si>
  <si>
    <t>Кол-во</t>
  </si>
  <si>
    <t>Сумма, руб.</t>
  </si>
  <si>
    <t>Шпунт Ларсена Л5-УМ  L=13,2м, 112шт</t>
  </si>
  <si>
    <t>№1 от 25.07.2022г.</t>
  </si>
  <si>
    <t>П.20</t>
  </si>
  <si>
    <t>ЗАКРЫТО</t>
  </si>
  <si>
    <t>Шпунт Ларсена Л5-УМ  L=18,5м, 32 шт</t>
  </si>
  <si>
    <t>П.4</t>
  </si>
  <si>
    <t>Шпунт Ларсена Л5-УМ  L=13,2м, 40шт</t>
  </si>
  <si>
    <t>№2 от 25.08.2022г.</t>
  </si>
  <si>
    <t>Шпунт Ларсена Л5-УМ  L=18,5м, 114 шт</t>
  </si>
  <si>
    <t>Шпунт Ларсена Л5-УМ  L=16,2м, 256 шт</t>
  </si>
  <si>
    <t>№3 от 25.09.2022г.</t>
  </si>
  <si>
    <t>Шпунт Ларсена Л5-УМ  L=18,5м, 38 шт</t>
  </si>
  <si>
    <t>Коробчатые сваи из шпунта Ларсена Л5-УМ  L=16,2м, 14 шт</t>
  </si>
  <si>
    <t>№4 от 25.09.2022г.</t>
  </si>
  <si>
    <t>И.С. Самарин</t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</si>
  <si>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№28 от 25.11.2022г.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</si>
  <si>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№29 от 25.11.2022г. )</t>
    </r>
  </si>
  <si>
    <r>
      <rPr>
        <b/>
        <sz val="11"/>
        <rFont val="Times New Roman"/>
        <family val="1"/>
        <charset val="204"/>
      </rPr>
      <t>Акт №13 .Акт №35</t>
    </r>
    <r>
      <rPr>
        <sz val="11"/>
        <rFont val="Times New Roman"/>
        <family val="1"/>
        <charset val="204"/>
      </rPr>
      <t xml:space="preserve"> Локальная смета №2 (ВЗиС). Устройство  временной дороги (секция 15-18)</t>
    </r>
  </si>
  <si>
    <r>
      <rPr>
        <b/>
        <sz val="11"/>
        <rFont val="Times New Roman"/>
        <family val="1"/>
        <charset val="204"/>
      </rPr>
      <t>Акт №36.</t>
    </r>
    <r>
      <rPr>
        <sz val="11"/>
        <rFont val="Times New Roman"/>
        <family val="1"/>
        <charset val="204"/>
      </rPr>
      <t xml:space="preserve"> Локальная смета №6 (Временные здания и сооружения).Устройство временной дороги (секция 9-14).</t>
    </r>
  </si>
  <si>
    <r>
      <rPr>
        <b/>
        <sz val="11"/>
        <rFont val="Times New Roman"/>
        <family val="1"/>
        <charset val="204"/>
      </rPr>
      <t>Акт №37.</t>
    </r>
    <r>
      <rPr>
        <sz val="11"/>
        <rFont val="Times New Roman"/>
        <family val="1"/>
        <charset val="204"/>
      </rPr>
      <t xml:space="preserve"> Локальная смета №7 (Непредвиденные расходы).Устройство водоотлива.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</si>
  <si>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№31 от 25.11.2022г. )</t>
    </r>
  </si>
  <si>
    <t xml:space="preserve">86
</t>
  </si>
  <si>
    <t xml:space="preserve"> ФЕР05-01-061-01
---------------------------------
Установка в сваи-оболочки арматурного каркаса
(1 шт) </t>
  </si>
  <si>
    <t>439,47</t>
  </si>
  <si>
    <t>33,37
----------
12,38</t>
  </si>
  <si>
    <t>393,72
----------
45,36</t>
  </si>
  <si>
    <t xml:space="preserve">87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</si>
  <si>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</si>
  <si>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 xml:space="preserve">88
</t>
  </si>
  <si>
    <t xml:space="preserve"> ФССЦ-204-0052
---------------------------------
Надбавки к ценам заготовок за сборку и сварку каркасов и сеток пространственных, диаметром 20-22 мм
(т) </t>
  </si>
  <si>
    <t>1477,46</t>
  </si>
  <si>
    <t xml:space="preserve">
----------
1477,46</t>
  </si>
  <si>
    <t xml:space="preserve">89
</t>
  </si>
  <si>
    <t xml:space="preserve"> ФЕР05-01-062-01
---------------------------------
Устройство бетонной пробки в сваях-оболочках
(1 м3 конструктивного объема свай) </t>
  </si>
  <si>
    <t>203,42</t>
  </si>
  <si>
    <t>5,88
----------
150,2</t>
  </si>
  <si>
    <t>47,34
----------
4,73</t>
  </si>
  <si>
    <t xml:space="preserve">90
</t>
  </si>
  <si>
    <t>19633,5</t>
  </si>
  <si>
    <t>1243,59
----------
17067,27</t>
  </si>
  <si>
    <t>1322,64
----------
151,89</t>
  </si>
  <si>
    <t xml:space="preserve">1322,64
----------
151,89
</t>
  </si>
  <si>
    <t>Накладные расходы от ФОТ(1395,48 руб.)</t>
  </si>
  <si>
    <t>1674,58</t>
  </si>
  <si>
    <t>Сметная прибыль от ФОТ(1395,48 руб.)</t>
  </si>
  <si>
    <t>907,06</t>
  </si>
  <si>
    <t>22215,14</t>
  </si>
  <si>
    <t>1,8537</t>
  </si>
  <si>
    <t>12344,59</t>
  </si>
  <si>
    <t xml:space="preserve">
----------
12344,59</t>
  </si>
  <si>
    <r>
      <rPr>
        <b/>
        <sz val="11"/>
        <rFont val="Times New Roman"/>
        <family val="1"/>
        <charset val="204"/>
      </rPr>
      <t xml:space="preserve">Акт №25.Акт №31.Акт №40.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</si>
  <si>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 xml:space="preserve">Акт №33. Акт №41. </t>
    </r>
    <r>
      <rPr>
        <sz val="11"/>
        <rFont val="Times New Roman"/>
        <family val="1"/>
        <charset val="204"/>
      </rPr>
      <t xml:space="preserve">Локальная смета №12-01-01. Выполнение статических испытаний свай при реконструкции гидротехнических сооружений.  </t>
    </r>
  </si>
  <si>
    <r>
      <rPr>
        <b/>
        <sz val="11"/>
        <rFont val="Times New Roman"/>
        <family val="1"/>
        <charset val="204"/>
      </rPr>
      <t>Акт №34. Акт № 42</t>
    </r>
    <r>
      <rPr>
        <sz val="11"/>
        <rFont val="Times New Roman"/>
        <family val="1"/>
        <charset val="204"/>
      </rPr>
      <t xml:space="preserve">. Локальная смета №12-01-01 ДОБ. Выполнение статических испытаний свай при реконструкции гидротехнических сооружений.  </t>
    </r>
  </si>
  <si>
    <t>к оплате</t>
  </si>
  <si>
    <t>ноября</t>
  </si>
  <si>
    <t>19,22</t>
  </si>
  <si>
    <t>41691,45</t>
  </si>
  <si>
    <t>3571,08
----------
5067,93</t>
  </si>
  <si>
    <t>33052,44
----------
2814,77</t>
  </si>
  <si>
    <t xml:space="preserve">33052,44
----------
2814,77
</t>
  </si>
  <si>
    <t>Накладные расходы от ФОТ(6385,85 руб.)</t>
  </si>
  <si>
    <t>5747,27</t>
  </si>
  <si>
    <t>Сметная прибыль от ФОТ(6385,85 руб.)</t>
  </si>
  <si>
    <t>5427,97</t>
  </si>
  <si>
    <t>52866,69</t>
  </si>
  <si>
    <t>-19,22</t>
  </si>
  <si>
    <t>-2688,11</t>
  </si>
  <si>
    <t>-1205,09
----------
-1194,53</t>
  </si>
  <si>
    <t>-288,49</t>
  </si>
  <si>
    <t>Накладные расходы от ФОТ(-1205,09 руб.)</t>
  </si>
  <si>
    <t>-1084,58</t>
  </si>
  <si>
    <t>Сметная прибыль от ФОТ(-1205,09 руб.)</t>
  </si>
  <si>
    <t>-1024,33</t>
  </si>
  <si>
    <t>-4797,02</t>
  </si>
  <si>
    <t>245692,91</t>
  </si>
  <si>
    <t xml:space="preserve">
----------
245692,91</t>
  </si>
  <si>
    <t>2494,18</t>
  </si>
  <si>
    <t>31,52</t>
  </si>
  <si>
    <t>2462,66
----------
467,05</t>
  </si>
  <si>
    <t xml:space="preserve">2462,66
----------
467,05
</t>
  </si>
  <si>
    <t>Накладные расходы от ФОТ(498,57 руб.)</t>
  </si>
  <si>
    <t>448,71</t>
  </si>
  <si>
    <t>Сметная прибыль от ФОТ(498,57 руб.)</t>
  </si>
  <si>
    <t>423,78</t>
  </si>
  <si>
    <t>3366,67</t>
  </si>
  <si>
    <t>290,42</t>
  </si>
  <si>
    <t>2230,43</t>
  </si>
  <si>
    <t>Накладные расходы от ФОТ(2230,43 руб.)</t>
  </si>
  <si>
    <t>2007,39</t>
  </si>
  <si>
    <t>Сметная прибыль от ФОТ(2230,43 руб.)</t>
  </si>
  <si>
    <t>1561,3</t>
  </si>
  <si>
    <t>5799,12</t>
  </si>
  <si>
    <t>325,27</t>
  </si>
  <si>
    <t>246,86</t>
  </si>
  <si>
    <t>78,41</t>
  </si>
  <si>
    <t>Накладные расходы от ФОТ(246,86 руб.)</t>
  </si>
  <si>
    <t>222,17</t>
  </si>
  <si>
    <t>Сметная прибыль от ФОТ(246,86 руб.)</t>
  </si>
  <si>
    <t>172,8</t>
  </si>
  <si>
    <t>720,24</t>
  </si>
  <si>
    <t>2,9</t>
  </si>
  <si>
    <t>882,93</t>
  </si>
  <si>
    <t>230,14
----------
645,08</t>
  </si>
  <si>
    <t>7,71
----------
0,29</t>
  </si>
  <si>
    <t xml:space="preserve">7,71
----------
0,29
</t>
  </si>
  <si>
    <t>Накладные расходы от ФОТ(230,43 руб.)</t>
  </si>
  <si>
    <t>207,39</t>
  </si>
  <si>
    <t>Сметная прибыль от ФОТ(230,43 руб.)</t>
  </si>
  <si>
    <t>161,3</t>
  </si>
  <si>
    <t>1251,62</t>
  </si>
  <si>
    <t>3766,55</t>
  </si>
  <si>
    <t>161,94
----------
3577,26</t>
  </si>
  <si>
    <t>27,35
----------
0,29</t>
  </si>
  <si>
    <t xml:space="preserve">27,35
----------
0,29
</t>
  </si>
  <si>
    <t>Накладные расходы от ФОТ(162,23 руб.)</t>
  </si>
  <si>
    <t>146,01</t>
  </si>
  <si>
    <t>Сметная прибыль от ФОТ(162,23 руб.)</t>
  </si>
  <si>
    <t>113,56</t>
  </si>
  <si>
    <t>4026,12</t>
  </si>
  <si>
    <t>16223,53</t>
  </si>
  <si>
    <t>321,67
----------
15706,63</t>
  </si>
  <si>
    <t>195,23
----------
1,16</t>
  </si>
  <si>
    <t xml:space="preserve">195,23
----------
1,16
</t>
  </si>
  <si>
    <t>Накладные расходы от ФОТ(322,83 руб.)</t>
  </si>
  <si>
    <t>290,55</t>
  </si>
  <si>
    <t>Сметная прибыль от ФОТ(322,83 руб.)</t>
  </si>
  <si>
    <t>225,98</t>
  </si>
  <si>
    <t>16740,06</t>
  </si>
  <si>
    <t>5273,64</t>
  </si>
  <si>
    <t>400,44
----------
148,56</t>
  </si>
  <si>
    <t>4724,64
----------
544,32</t>
  </si>
  <si>
    <t xml:space="preserve">4724,64
----------
544,32
</t>
  </si>
  <si>
    <t>Накладные расходы от ФОТ(944,76 руб.)</t>
  </si>
  <si>
    <t>1228,19</t>
  </si>
  <si>
    <t>Сметная прибыль от ФОТ(944,76 руб.)</t>
  </si>
  <si>
    <t>755,81</t>
  </si>
  <si>
    <t>7257,64</t>
  </si>
  <si>
    <t>0,32</t>
  </si>
  <si>
    <t>2533,44</t>
  </si>
  <si>
    <t xml:space="preserve">
----------
2533,44</t>
  </si>
  <si>
    <t>472,79</t>
  </si>
  <si>
    <t xml:space="preserve">
----------
472,79</t>
  </si>
  <si>
    <t>0,64</t>
  </si>
  <si>
    <t>130,19</t>
  </si>
  <si>
    <t>3,76
----------
96,13</t>
  </si>
  <si>
    <t>30,3
----------
3,03</t>
  </si>
  <si>
    <t xml:space="preserve">30,3
----------
3,03
</t>
  </si>
  <si>
    <t>Накладные расходы от ФОТ(6,79 руб.)</t>
  </si>
  <si>
    <t>8,83</t>
  </si>
  <si>
    <t>Сметная прибыль от ФОТ(6,79 руб.)</t>
  </si>
  <si>
    <t>5,43</t>
  </si>
  <si>
    <t>144,45</t>
  </si>
  <si>
    <t>0,6528
----------
(0,64*1,02)</t>
  </si>
  <si>
    <t>624,84</t>
  </si>
  <si>
    <t xml:space="preserve">
----------
624,84</t>
  </si>
  <si>
    <t>0,24</t>
  </si>
  <si>
    <t>14060,4</t>
  </si>
  <si>
    <t>336,96
----------
13341,71</t>
  </si>
  <si>
    <t>381,73
----------
58,32</t>
  </si>
  <si>
    <t xml:space="preserve">381,73
----------
58,32
</t>
  </si>
  <si>
    <t>Накладные расходы от ФОТ(395,28 руб.)</t>
  </si>
  <si>
    <t>415,04</t>
  </si>
  <si>
    <t>Сметная прибыль от ФОТ(395,28 руб.)</t>
  </si>
  <si>
    <t>256,93</t>
  </si>
  <si>
    <t>14732,37</t>
  </si>
  <si>
    <t>-24,48</t>
  </si>
  <si>
    <t>-12729,6</t>
  </si>
  <si>
    <t xml:space="preserve">
----------
-12729,6</t>
  </si>
  <si>
    <t>24,48</t>
  </si>
  <si>
    <t>13108,06</t>
  </si>
  <si>
    <t xml:space="preserve">
----------
13108,06</t>
  </si>
  <si>
    <t>0,81</t>
  </si>
  <si>
    <t>140018,51</t>
  </si>
  <si>
    <t>3726,76
----------
131472,13</t>
  </si>
  <si>
    <t>4819,62
----------
361,84</t>
  </si>
  <si>
    <t xml:space="preserve">4819,62
----------
361,84
</t>
  </si>
  <si>
    <t>Накладные расходы от ФОТ(4088,6 руб.)</t>
  </si>
  <si>
    <t>4906,32</t>
  </si>
  <si>
    <t>Сметная прибыль от ФОТ(4088,6 руб.)</t>
  </si>
  <si>
    <t>2657,59</t>
  </si>
  <si>
    <t>147582,42</t>
  </si>
  <si>
    <t>-81,29</t>
  </si>
  <si>
    <t>-64219,1</t>
  </si>
  <si>
    <t xml:space="preserve">
----------
-64219,1</t>
  </si>
  <si>
    <t>-1,04</t>
  </si>
  <si>
    <t>-7072</t>
  </si>
  <si>
    <t xml:space="preserve">
----------
-7072</t>
  </si>
  <si>
    <t>-5,08</t>
  </si>
  <si>
    <t>-40218,36</t>
  </si>
  <si>
    <t xml:space="preserve">
----------
-40218,36</t>
  </si>
  <si>
    <t>82,29</t>
  </si>
  <si>
    <t>78765,52</t>
  </si>
  <si>
    <t xml:space="preserve">
----------
78765,52</t>
  </si>
  <si>
    <t>1,06</t>
  </si>
  <si>
    <t>8259,65</t>
  </si>
  <si>
    <t xml:space="preserve">
----------
8259,65</t>
  </si>
  <si>
    <t>1528,36</t>
  </si>
  <si>
    <t xml:space="preserve">
----------
1528,36</t>
  </si>
  <si>
    <t>1,02</t>
  </si>
  <si>
    <t>6936</t>
  </si>
  <si>
    <t xml:space="preserve">
----------
6936</t>
  </si>
  <si>
    <t xml:space="preserve">108
</t>
  </si>
  <si>
    <t xml:space="preserve"> ФЕР37-03-056-01
---------------------------------
Устройство подкрановых балок монолитных кранами на гусеничном ходу
(100 м3 железобетона в конструкции) </t>
  </si>
  <si>
    <t>126697,71</t>
  </si>
  <si>
    <t>5745,53
----------
106833,27</t>
  </si>
  <si>
    <t>14118,91
----------
1539,33</t>
  </si>
  <si>
    <t xml:space="preserve">109
</t>
  </si>
  <si>
    <t xml:space="preserve"> ФССЦ-204-0062
---------------------------------
Детали закладные и накладные изготовленные без применения сварки, гнутья, сверления (пробивки) отверстий поставляемые отдельно
(т) </t>
  </si>
  <si>
    <t>5804</t>
  </si>
  <si>
    <t xml:space="preserve">
----------
5804</t>
  </si>
  <si>
    <t xml:space="preserve">110
</t>
  </si>
  <si>
    <t xml:space="preserve">111
</t>
  </si>
  <si>
    <t xml:space="preserve">114
</t>
  </si>
  <si>
    <t xml:space="preserve"> ФССЦ-204-0024
---------------------------------
Горячекатаная арматурная сталь периодического профиля класса А-III, диаметром 16-18 мм
(т) </t>
  </si>
  <si>
    <t>7956,21</t>
  </si>
  <si>
    <t xml:space="preserve">
----------
7956,21</t>
  </si>
  <si>
    <t xml:space="preserve">115
</t>
  </si>
  <si>
    <t xml:space="preserve"> ФССЦ-204-0051
---------------------------------
Надбавки к ценам заготовок за сборку и сварку каркасов и сеток пространственных, диаметром 16-18 мм
(т) </t>
  </si>
  <si>
    <t>1728,06</t>
  </si>
  <si>
    <t xml:space="preserve">
----------
1728,06</t>
  </si>
  <si>
    <t xml:space="preserve">116
</t>
  </si>
  <si>
    <t xml:space="preserve">117
</t>
  </si>
  <si>
    <t xml:space="preserve">118
</t>
  </si>
  <si>
    <t xml:space="preserve"> ФССЦ-204-0027
---------------------------------
Горячекатаная арматурная сталь периодического профиля класса А-III, диаметром 32-40 мм
(т) </t>
  </si>
  <si>
    <t>7664</t>
  </si>
  <si>
    <t xml:space="preserve">
----------
7664</t>
  </si>
  <si>
    <t xml:space="preserve">119
</t>
  </si>
  <si>
    <t xml:space="preserve"> ФССЦ-204-0054
---------------------------------
Надбавки к ценам заготовок за сборку и сварку каркасов и сеток пространственных, диаметром 32-40 мм
(т) </t>
  </si>
  <si>
    <t>1341,28</t>
  </si>
  <si>
    <t xml:space="preserve">
----------
1341,28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</si>
  <si>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№8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</si>
  <si>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>. Локальная смета №02-01-01 ДОБ. Достроечная набережная №5</t>
    </r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</si>
  <si>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</si>
  <si>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t>№7 январь-1</t>
  </si>
  <si>
    <t>№8 январь-2</t>
  </si>
  <si>
    <t>Реестр актов выполненных работ к КС-3 №8 от 31.01.2023 г. ( Контракт  №2035000000122000001-2)</t>
  </si>
  <si>
    <t>1,548</t>
  </si>
  <si>
    <t>196128,06</t>
  </si>
  <si>
    <t>8894,08
----------
165377,91</t>
  </si>
  <si>
    <t>21856,07
----------
2382,88</t>
  </si>
  <si>
    <t xml:space="preserve">21856,07
----------
2382,88
</t>
  </si>
  <si>
    <t>Накладные расходы от ФОТ(11276,96 руб.)</t>
  </si>
  <si>
    <t>13532,35</t>
  </si>
  <si>
    <t>Сметная прибыль от ФОТ(11276,96 руб.)</t>
  </si>
  <si>
    <t>7330,02</t>
  </si>
  <si>
    <t>216990,43</t>
  </si>
  <si>
    <t>-0,91</t>
  </si>
  <si>
    <t>-5281,64</t>
  </si>
  <si>
    <t xml:space="preserve">
----------
-5281,64</t>
  </si>
  <si>
    <t>-18,11</t>
  </si>
  <si>
    <t>-143376,87</t>
  </si>
  <si>
    <t xml:space="preserve">
----------
-143376,87</t>
  </si>
  <si>
    <t>157,12</t>
  </si>
  <si>
    <t>150390,55</t>
  </si>
  <si>
    <t xml:space="preserve">
----------
150390,55</t>
  </si>
  <si>
    <t>2,42</t>
  </si>
  <si>
    <t>19254,03</t>
  </si>
  <si>
    <t xml:space="preserve">
----------
19254,03</t>
  </si>
  <si>
    <t>2,46</t>
  </si>
  <si>
    <t>4251,03</t>
  </si>
  <si>
    <t xml:space="preserve">
----------
4251,03</t>
  </si>
  <si>
    <t>6,4</t>
  </si>
  <si>
    <t>49869,57</t>
  </si>
  <si>
    <t xml:space="preserve">
----------
49869,57</t>
  </si>
  <si>
    <t>9227,84</t>
  </si>
  <si>
    <t xml:space="preserve">
----------
9227,84</t>
  </si>
  <si>
    <t>10,36</t>
  </si>
  <si>
    <t>79399,04</t>
  </si>
  <si>
    <t xml:space="preserve">
----------
79399,04</t>
  </si>
  <si>
    <t>13895,66</t>
  </si>
  <si>
    <t xml:space="preserve">
----------
13895,66</t>
  </si>
  <si>
    <t xml:space="preserve">373757,27
</t>
  </si>
  <si>
    <t xml:space="preserve">8894,08
343007,12
</t>
  </si>
  <si>
    <t>21856,07
2382,88</t>
  </si>
  <si>
    <t>373757,27</t>
  </si>
  <si>
    <t>8894,08
343007,12</t>
  </si>
  <si>
    <t xml:space="preserve">11276,96
</t>
  </si>
  <si>
    <t>11276,96</t>
  </si>
  <si>
    <t xml:space="preserve">343007,12
</t>
  </si>
  <si>
    <t>343007,12</t>
  </si>
  <si>
    <t xml:space="preserve">21856,07
</t>
  </si>
  <si>
    <t>21856,07</t>
  </si>
  <si>
    <t xml:space="preserve">13532,35
</t>
  </si>
  <si>
    <t xml:space="preserve">7330,02
</t>
  </si>
  <si>
    <t xml:space="preserve">394619,64
</t>
  </si>
  <si>
    <t>394619,64</t>
  </si>
  <si>
    <t>2912292,94</t>
  </si>
  <si>
    <t>№9 февраль</t>
  </si>
  <si>
    <t>2,738</t>
  </si>
  <si>
    <t>346898,33</t>
  </si>
  <si>
    <t>15731,26
----------
292509,49</t>
  </si>
  <si>
    <t>38657,58
----------
4214,69</t>
  </si>
  <si>
    <t xml:space="preserve">38657,58
----------
4214,69
</t>
  </si>
  <si>
    <t>Накладные расходы от ФОТ(19945,95 руб.)</t>
  </si>
  <si>
    <t>23935,14</t>
  </si>
  <si>
    <t>Сметная прибыль от ФОТ(19945,95 руб.)</t>
  </si>
  <si>
    <t>12964,87</t>
  </si>
  <si>
    <t>383798,34</t>
  </si>
  <si>
    <t>-1,62</t>
  </si>
  <si>
    <t>-9402,48</t>
  </si>
  <si>
    <t xml:space="preserve">
----------
-9402,48</t>
  </si>
  <si>
    <t>-32,03</t>
  </si>
  <si>
    <t>-253581,51</t>
  </si>
  <si>
    <t xml:space="preserve">
----------
-253581,51</t>
  </si>
  <si>
    <t>277,91</t>
  </si>
  <si>
    <t>266007,11</t>
  </si>
  <si>
    <t xml:space="preserve">
----------
266007,11</t>
  </si>
  <si>
    <t>4,27</t>
  </si>
  <si>
    <t>33973,02</t>
  </si>
  <si>
    <t xml:space="preserve">
----------
33973,02</t>
  </si>
  <si>
    <t>4,36</t>
  </si>
  <si>
    <t>7534,34</t>
  </si>
  <si>
    <t xml:space="preserve">
----------
7534,34</t>
  </si>
  <si>
    <t>11,32</t>
  </si>
  <si>
    <t>88206,8</t>
  </si>
  <si>
    <t xml:space="preserve">
----------
88206,8</t>
  </si>
  <si>
    <t>16321,74</t>
  </si>
  <si>
    <t xml:space="preserve">
----------
16321,74</t>
  </si>
  <si>
    <t>18,33</t>
  </si>
  <si>
    <t>140481,12</t>
  </si>
  <si>
    <t xml:space="preserve">
----------
140481,12</t>
  </si>
  <si>
    <t>24585,66</t>
  </si>
  <si>
    <t xml:space="preserve">
----------
24585,66</t>
  </si>
  <si>
    <t xml:space="preserve">1151093,70
</t>
  </si>
  <si>
    <t xml:space="preserve">27031,32
1038590,56
</t>
  </si>
  <si>
    <t>85471,82
8617,65</t>
  </si>
  <si>
    <t>1151093,70</t>
  </si>
  <si>
    <t>27031,32
1038590,56</t>
  </si>
  <si>
    <t xml:space="preserve">35648,97
</t>
  </si>
  <si>
    <t>35648,97</t>
  </si>
  <si>
    <t xml:space="preserve">1038590,56
</t>
  </si>
  <si>
    <t>1038590,56</t>
  </si>
  <si>
    <t xml:space="preserve">85471,82
</t>
  </si>
  <si>
    <t>85471,82</t>
  </si>
  <si>
    <t xml:space="preserve">40153
</t>
  </si>
  <si>
    <t>40153</t>
  </si>
  <si>
    <t xml:space="preserve">24610,07
</t>
  </si>
  <si>
    <t>24610,07</t>
  </si>
  <si>
    <t xml:space="preserve">1215856,77
</t>
  </si>
  <si>
    <t>1215856,77</t>
  </si>
  <si>
    <t>8973022,96</t>
  </si>
  <si>
    <t>№8 февраль</t>
  </si>
  <si>
    <t>№7 январь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</si>
  <si>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№5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</si>
  <si>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№46.</t>
    </r>
    <r>
      <rPr>
        <sz val="11"/>
        <rFont val="Times New Roman"/>
        <family val="1"/>
        <charset val="204"/>
      </rPr>
      <t xml:space="preserve"> Локальная смета №9 (Временные здания и сооружения).Устройство площадки складирования для армирования ростверка (секции 5-11).</t>
    </r>
  </si>
  <si>
    <r>
      <rPr>
        <b/>
        <sz val="11"/>
        <rFont val="Times New Roman"/>
        <family val="1"/>
        <charset val="204"/>
      </rPr>
      <t>Акт №50</t>
    </r>
    <r>
      <rPr>
        <sz val="11"/>
        <rFont val="Times New Roman"/>
        <family val="1"/>
        <charset val="204"/>
      </rPr>
      <t xml:space="preserve"> Локальная смета №8 (Непредвиденные расходы). Восстановление повреждений м/к. Набережная №5.</t>
    </r>
  </si>
  <si>
    <r>
      <rPr>
        <b/>
        <sz val="11"/>
        <rFont val="Times New Roman"/>
        <family val="1"/>
        <charset val="204"/>
      </rPr>
      <t xml:space="preserve">Акт №25.Акт №31.Акт №40. Акт №54.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</si>
  <si>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>Акт №55</t>
    </r>
    <r>
      <rPr>
        <sz val="11"/>
        <rFont val="Times New Roman"/>
        <family val="1"/>
        <charset val="204"/>
      </rPr>
      <t xml:space="preserve"> Локальная смета №10 (Непредвиденные расходы). Укладка трубопроводов.Достроечная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</si>
  <si>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№32.Акт №49.Акт №53 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</si>
  <si>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№10 апрель</t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</si>
  <si>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Акт №47.Акт №51.Акт №56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</si>
  <si>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№48. Акт №52.Акт №57</t>
    </r>
    <r>
      <rPr>
        <sz val="11"/>
        <rFont val="Times New Roman"/>
        <family val="1"/>
        <charset val="204"/>
      </rPr>
      <t xml:space="preserve"> Локальная смета №02-01-01 ДОБ. Достроечная набережная №5</t>
    </r>
  </si>
  <si>
    <t>Реестр актов выполненных работ к КС-3 №___ от ______ 2023 г. (Договор  №________________)</t>
  </si>
  <si>
    <t>ЗУ-2,4%</t>
  </si>
  <si>
    <t>ВЗиС-8,2%</t>
  </si>
  <si>
    <t xml:space="preserve">всего без НДС </t>
  </si>
  <si>
    <t>Выполнение работ по ликвидации объектов по трассе ж.д. путей, подготовке трассы ж.д. путей.</t>
  </si>
  <si>
    <t>01-01-01</t>
  </si>
  <si>
    <t>Переустройство кабельных линий.ЭС2</t>
  </si>
  <si>
    <t>04-02-05</t>
  </si>
  <si>
    <t>Верхнее строение пути</t>
  </si>
  <si>
    <t>05-03-01</t>
  </si>
  <si>
    <t>Переустройство хозяйственно-бытовой канализации.НВК4</t>
  </si>
  <si>
    <t>06-02-03</t>
  </si>
  <si>
    <t>Генеральный план. Трансбордер. ГП1</t>
  </si>
  <si>
    <t>СМР с материалами всего с ндс</t>
  </si>
  <si>
    <t>01-01-02</t>
  </si>
  <si>
    <t xml:space="preserve"> Корпус 121. Демонтажные работы.</t>
  </si>
  <si>
    <t>01-01-03</t>
  </si>
  <si>
    <t>Корпус 121. Демонтаж сетей и систем  инженерного обоспечения.</t>
  </si>
  <si>
    <t>02-02-03</t>
  </si>
  <si>
    <t>АС3 СМР 121 цех</t>
  </si>
  <si>
    <t>02-02-04</t>
  </si>
  <si>
    <t>ЭС1 Кабель 121 цеха</t>
  </si>
  <si>
    <t>06-03-02</t>
  </si>
  <si>
    <t xml:space="preserve">АС4 </t>
  </si>
  <si>
    <t>02-03-01</t>
  </si>
  <si>
    <t>АС1 Трансбордер</t>
  </si>
  <si>
    <t>06-02-01</t>
  </si>
  <si>
    <t>НВК2 водопровод В1</t>
  </si>
  <si>
    <t>06-02-02</t>
  </si>
  <si>
    <t>НВК3</t>
  </si>
  <si>
    <t>остаток закупленных материалов с НДС</t>
  </si>
  <si>
    <t>НВК4</t>
  </si>
  <si>
    <t>НВК5</t>
  </si>
  <si>
    <t>06-02-04</t>
  </si>
  <si>
    <t>06-04-01</t>
  </si>
  <si>
    <t>ГСН</t>
  </si>
  <si>
    <t>02-02-05</t>
  </si>
  <si>
    <t>НВК1</t>
  </si>
  <si>
    <t>07-04-01</t>
  </si>
  <si>
    <t>итого без НДС по данным тех заказчика</t>
  </si>
  <si>
    <t>СМР с материалами всего с ндс по данным тех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</si>
</sst>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0.000000"/>
    <numFmt numFmtId="165" formatCode="General;\-General;"/>
    <numFmt numFmtId="166" formatCode="_-* #,##0\ _₽_-;\-* #,##0\ _₽_-;_-* &quot;-&quot;??\ _₽_-;_-@_-"/>
    <numFmt numFmtId="167" formatCode="0.000"/>
    <numFmt numFmtId="168" formatCode="#,##0.00\ _₽"/>
    <numFmt numFmtId="169" formatCode="_-* #,##0.00_р_._-;\-* #,##0.00_р_._-;_-* &quot;-&quot;??_р_._-;_-@_-"/>
    <numFmt numFmtId="170" formatCode="_-* #,##0&quot;р.&quot;_-;\-* #,##0&quot;р.&quot;_-;_-* &quot;-&quot;&quot;р.&quot;_-;_-@_-"/>
    <numFmt numFmtId="171" formatCode="#,##0.000"/>
    <numFmt numFmtId="172" formatCode="#,##0.000000"/>
    <numFmt numFmtId="173" formatCode="#,##0.00000"/>
    <numFmt numFmtId="174" formatCode="#,##0.0000"/>
    <numFmt numFmtId="175" formatCode="0.0000000"/>
    <numFmt numFmtId="176" formatCode="#,##0.0"/>
  </numFmts>
  <fonts count="5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Verdana"/>
      <family val="2"/>
      <charset val="204"/>
    </font>
    <font>
      <b/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2"/>
      <color rgb="FFFF0000"/>
      <name val="Verdana"/>
      <family val="2"/>
      <charset val="204"/>
    </font>
    <font>
      <sz val="12"/>
      <name val="Verdana"/>
      <family val="2"/>
      <charset val="204"/>
    </font>
    <font>
      <u/>
      <sz val="12"/>
      <color rgb="FFFF0000"/>
      <name val="Verdana"/>
      <family val="2"/>
      <charset val="204"/>
    </font>
    <font>
      <u/>
      <sz val="12"/>
      <color theme="1"/>
      <name val="Verdana"/>
      <family val="2"/>
      <charset val="204"/>
    </font>
    <font>
      <u/>
      <sz val="12"/>
      <name val="Verdana"/>
      <family val="2"/>
      <charset val="204"/>
    </font>
    <font>
      <b/>
      <sz val="12"/>
      <name val="Verdana"/>
      <family val="2"/>
      <charset val="204"/>
    </font>
    <font>
      <sz val="12"/>
      <color rgb="FF000000"/>
      <name val="Verdana"/>
      <family val="2"/>
      <charset val="204"/>
    </font>
    <font>
      <sz val="16"/>
      <color theme="1"/>
      <name val="Verdana"/>
      <family val="2"/>
      <charset val="204"/>
    </font>
    <font>
      <sz val="16"/>
      <name val="Verdana"/>
      <family val="2"/>
      <charset val="204"/>
    </font>
    <font>
      <b/>
      <sz val="16"/>
      <name val="Verdana"/>
      <family val="2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b/>
      <sz val="14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9"/>
      <name val="Tahoma"/>
      <family val="2"/>
      <charset val="204"/>
    </font>
    <font>
      <sz val="10"/>
      <name val="Tahoma"/>
      <family val="2"/>
      <charset val="204"/>
    </font>
    <font>
      <sz val="9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7" fillId="0" borderId="0">
      <alignment vertical="top"/>
      <protection locked="0"/>
    </xf>
    <xf numFmtId="0" fontId="6" fillId="0" borderId="0">
      <alignment horizontal="right" vertical="top" wrapText="1"/>
    </xf>
    <xf numFmtId="0" fontId="6" fillId="0" borderId="9" applyFill="0" applyProtection="0">
      <alignment horizontal="center"/>
    </xf>
    <xf numFmtId="0" fontId="5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0" fontId="4" fillId="0" borderId="0"/>
    <xf numFmtId="0" fontId="17" fillId="0" borderId="0"/>
    <xf numFmtId="0" fontId="17" fillId="0" borderId="0"/>
    <xf numFmtId="0" fontId="11" fillId="0" borderId="0" applyProtection="0"/>
    <xf numFmtId="0" fontId="6" fillId="0" borderId="0">
      <alignment horizontal="center"/>
    </xf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3" fillId="0" borderId="0"/>
    <xf numFmtId="0" fontId="2" fillId="0" borderId="0"/>
    <xf numFmtId="0" fontId="28" fillId="0" borderId="9" applyBorder="0" applyAlignment="0">
      <alignment horizontal="center" wrapText="1"/>
    </xf>
    <xf numFmtId="0" fontId="6" fillId="0" borderId="0">
      <alignment horizontal="left" vertical="top"/>
    </xf>
    <xf numFmtId="0" fontId="1" fillId="0" borderId="0"/>
  </cellStyleXfs>
  <cellXfs count="497">
    <xf numFmtId="0" fontId="0" fillId="0" borderId="0" xfId="0"/>
    <xf numFmtId="0" fontId="6" fillId="0" borderId="0" xfId="2" applyFont="1"/>
    <xf numFmtId="49" fontId="6" fillId="0" borderId="0" xfId="3" applyNumberFormat="1" applyFont="1" applyAlignment="1">
      <alignment horizontal="right" vertical="top"/>
      <protection locked="0"/>
    </xf>
    <xf numFmtId="49" fontId="6" fillId="0" borderId="10" xfId="3" applyNumberFormat="1" applyFont="1" applyBorder="1" applyAlignment="1">
      <protection locked="0"/>
    </xf>
    <xf numFmtId="0" fontId="6" fillId="0" borderId="0" xfId="5" applyBorder="1">
      <alignment horizontal="center"/>
    </xf>
    <xf numFmtId="0" fontId="6" fillId="0" borderId="0" xfId="3" applyFont="1" applyAlignment="1" applyProtection="1"/>
    <xf numFmtId="0" fontId="6" fillId="0" borderId="0" xfId="3" applyFont="1" applyAlignment="1" applyProtection="1">
      <alignment horizontal="left"/>
    </xf>
    <xf numFmtId="49" fontId="9" fillId="0" borderId="0" xfId="3" applyNumberFormat="1" applyFont="1" applyAlignment="1">
      <alignment horizontal="center" vertical="top"/>
      <protection locked="0"/>
    </xf>
    <xf numFmtId="0" fontId="6" fillId="0" borderId="0" xfId="4">
      <alignment horizontal="right" vertical="top" wrapText="1"/>
    </xf>
    <xf numFmtId="0" fontId="6" fillId="0" borderId="0" xfId="3" applyFont="1" applyAlignment="1" applyProtection="1">
      <alignment horizontal="left" vertical="top"/>
    </xf>
    <xf numFmtId="165" fontId="6" fillId="0" borderId="0" xfId="3" applyNumberFormat="1" applyFont="1" applyAlignment="1">
      <alignment horizontal="left" vertical="top" wrapText="1"/>
      <protection locked="0"/>
    </xf>
    <xf numFmtId="49" fontId="6" fillId="0" borderId="0" xfId="3" applyNumberFormat="1" applyFont="1" applyAlignment="1">
      <alignment horizontal="left" vertical="top"/>
      <protection locked="0"/>
    </xf>
    <xf numFmtId="49" fontId="6" fillId="0" borderId="10" xfId="3" applyNumberFormat="1" applyFont="1" applyBorder="1">
      <alignment vertical="top"/>
      <protection locked="0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>
      <alignment horizontal="center" vertical="top"/>
    </xf>
    <xf numFmtId="0" fontId="6" fillId="0" borderId="0" xfId="2" applyFont="1" applyAlignment="1">
      <alignment horizontal="left" vertical="top"/>
    </xf>
    <xf numFmtId="0" fontId="9" fillId="0" borderId="0" xfId="2" applyFont="1" applyAlignment="1">
      <alignment horizontal="center" vertical="top" wrapText="1"/>
    </xf>
    <xf numFmtId="0" fontId="6" fillId="0" borderId="0" xfId="2" applyFont="1" applyAlignment="1">
      <alignment horizontal="right" vertical="top" wrapText="1"/>
    </xf>
    <xf numFmtId="0" fontId="6" fillId="0" borderId="0" xfId="6" applyFont="1"/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right"/>
    </xf>
    <xf numFmtId="0" fontId="6" fillId="2" borderId="0" xfId="2" applyFont="1" applyFill="1"/>
    <xf numFmtId="0" fontId="6" fillId="2" borderId="5" xfId="2" applyFont="1" applyFill="1" applyBorder="1"/>
    <xf numFmtId="0" fontId="6" fillId="0" borderId="5" xfId="2" applyFont="1" applyBorder="1"/>
    <xf numFmtId="0" fontId="9" fillId="0" borderId="5" xfId="2" applyFont="1" applyBorder="1" applyAlignment="1">
      <alignment horizontal="center"/>
    </xf>
    <xf numFmtId="49" fontId="6" fillId="0" borderId="0" xfId="2" applyNumberFormat="1" applyFont="1" applyAlignment="1">
      <alignment horizontal="right" vertical="center"/>
    </xf>
    <xf numFmtId="49" fontId="6" fillId="0" borderId="0" xfId="2" applyNumberFormat="1" applyFont="1"/>
    <xf numFmtId="49" fontId="6" fillId="0" borderId="9" xfId="2" applyNumberFormat="1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8" fillId="0" borderId="0" xfId="2" applyFont="1" applyAlignment="1">
      <alignment horizontal="center"/>
    </xf>
    <xf numFmtId="14" fontId="6" fillId="0" borderId="9" xfId="7" applyNumberFormat="1" applyFont="1" applyBorder="1" applyAlignment="1">
      <alignment horizontal="center"/>
    </xf>
    <xf numFmtId="0" fontId="6" fillId="0" borderId="0" xfId="8" applyFont="1"/>
    <xf numFmtId="0" fontId="6" fillId="0" borderId="0" xfId="8" applyFont="1" applyAlignment="1">
      <alignment horizontal="center" vertical="top"/>
    </xf>
    <xf numFmtId="0" fontId="6" fillId="0" borderId="0" xfId="8" applyFont="1" applyAlignment="1">
      <alignment horizontal="left" vertical="top" wrapText="1"/>
    </xf>
    <xf numFmtId="0" fontId="6" fillId="0" borderId="0" xfId="8" applyFont="1" applyAlignment="1">
      <alignment horizontal="center" vertical="top" wrapText="1"/>
    </xf>
    <xf numFmtId="0" fontId="6" fillId="0" borderId="0" xfId="8" applyFont="1" applyAlignment="1">
      <alignment horizontal="right" vertical="top"/>
    </xf>
    <xf numFmtId="0" fontId="6" fillId="0" borderId="9" xfId="8" applyFont="1" applyBorder="1" applyAlignment="1">
      <alignment horizontal="center" vertical="center" wrapText="1"/>
    </xf>
    <xf numFmtId="0" fontId="6" fillId="0" borderId="11" xfId="8" applyFont="1" applyBorder="1" applyAlignment="1">
      <alignment horizontal="center" vertical="center" wrapText="1"/>
    </xf>
    <xf numFmtId="0" fontId="6" fillId="0" borderId="9" xfId="8" applyFont="1" applyBorder="1" applyAlignment="1">
      <alignment horizontal="center"/>
    </xf>
    <xf numFmtId="49" fontId="6" fillId="0" borderId="15" xfId="8" applyNumberFormat="1" applyFont="1" applyBorder="1" applyAlignment="1">
      <alignment horizontal="center" vertical="top" wrapText="1"/>
    </xf>
    <xf numFmtId="49" fontId="6" fillId="0" borderId="13" xfId="8" applyNumberFormat="1" applyFont="1" applyBorder="1" applyAlignment="1">
      <alignment horizontal="center" vertical="top" wrapText="1"/>
    </xf>
    <xf numFmtId="0" fontId="6" fillId="0" borderId="13" xfId="8" applyFont="1" applyBorder="1" applyAlignment="1">
      <alignment horizontal="left" vertical="top" wrapText="1"/>
    </xf>
    <xf numFmtId="0" fontId="6" fillId="0" borderId="13" xfId="8" applyFont="1" applyBorder="1" applyAlignment="1">
      <alignment horizontal="center" vertical="top" wrapText="1"/>
    </xf>
    <xf numFmtId="0" fontId="6" fillId="0" borderId="13" xfId="8" applyFont="1" applyBorder="1" applyAlignment="1">
      <alignment horizontal="right" vertical="top"/>
    </xf>
    <xf numFmtId="0" fontId="6" fillId="0" borderId="13" xfId="8" applyFont="1" applyBorder="1" applyAlignment="1">
      <alignment horizontal="right" vertical="top" wrapText="1"/>
    </xf>
    <xf numFmtId="49" fontId="9" fillId="0" borderId="15" xfId="8" applyNumberFormat="1" applyFont="1" applyBorder="1" applyAlignment="1">
      <alignment horizontal="center" vertical="top"/>
    </xf>
    <xf numFmtId="49" fontId="9" fillId="0" borderId="13" xfId="8" applyNumberFormat="1" applyFont="1" applyBorder="1" applyAlignment="1">
      <alignment horizontal="center" vertical="top"/>
    </xf>
    <xf numFmtId="0" fontId="9" fillId="0" borderId="13" xfId="8" applyFont="1" applyBorder="1" applyAlignment="1">
      <alignment horizontal="left" vertical="top" wrapText="1"/>
    </xf>
    <xf numFmtId="0" fontId="9" fillId="0" borderId="13" xfId="8" applyFont="1" applyBorder="1" applyAlignment="1">
      <alignment horizontal="center" vertical="top"/>
    </xf>
    <xf numFmtId="0" fontId="9" fillId="0" borderId="13" xfId="8" applyFont="1" applyBorder="1" applyAlignment="1">
      <alignment horizontal="right" vertical="top" wrapText="1"/>
    </xf>
    <xf numFmtId="0" fontId="9" fillId="0" borderId="13" xfId="8" applyFont="1" applyBorder="1" applyAlignment="1">
      <alignment horizontal="right" vertical="top"/>
    </xf>
    <xf numFmtId="0" fontId="8" fillId="0" borderId="13" xfId="8" applyFont="1" applyBorder="1" applyAlignment="1">
      <alignment horizontal="right" vertical="top" wrapText="1"/>
    </xf>
    <xf numFmtId="0" fontId="8" fillId="0" borderId="13" xfId="8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 wrapText="1"/>
    </xf>
    <xf numFmtId="0" fontId="8" fillId="0" borderId="13" xfId="2" applyFont="1" applyBorder="1" applyAlignment="1">
      <alignment horizontal="right" vertical="top"/>
    </xf>
    <xf numFmtId="166" fontId="8" fillId="0" borderId="13" xfId="10" applyNumberFormat="1" applyFont="1" applyFill="1" applyBorder="1" applyAlignment="1" applyProtection="1">
      <alignment horizontal="right" vertical="top" wrapText="1"/>
    </xf>
    <xf numFmtId="166" fontId="8" fillId="0" borderId="13" xfId="2" applyNumberFormat="1" applyFont="1" applyBorder="1" applyAlignment="1">
      <alignment horizontal="right" vertical="top" wrapText="1"/>
    </xf>
    <xf numFmtId="43" fontId="8" fillId="0" borderId="13" xfId="10" applyFont="1" applyFill="1" applyBorder="1" applyAlignment="1" applyProtection="1">
      <alignment horizontal="right" vertical="top" wrapText="1"/>
    </xf>
    <xf numFmtId="49" fontId="6" fillId="0" borderId="0" xfId="2" applyNumberFormat="1" applyFont="1" applyAlignment="1">
      <alignment horizontal="center" vertical="top"/>
    </xf>
    <xf numFmtId="0" fontId="6" fillId="2" borderId="0" xfId="2" applyFont="1" applyFill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right" vertical="top"/>
    </xf>
    <xf numFmtId="0" fontId="6" fillId="2" borderId="0" xfId="2" applyFont="1" applyFill="1" applyAlignment="1">
      <alignment horizontal="right" vertical="top" wrapText="1"/>
    </xf>
    <xf numFmtId="49" fontId="6" fillId="2" borderId="10" xfId="3" applyNumberFormat="1" applyFont="1" applyFill="1" applyBorder="1" applyAlignment="1">
      <protection locked="0"/>
    </xf>
    <xf numFmtId="0" fontId="6" fillId="2" borderId="0" xfId="3" applyFont="1" applyFill="1" applyAlignment="1" applyProtection="1">
      <alignment horizontal="left"/>
    </xf>
    <xf numFmtId="49" fontId="6" fillId="2" borderId="0" xfId="3" applyNumberFormat="1" applyFont="1" applyFill="1" applyAlignment="1">
      <alignment horizontal="left" vertical="top"/>
      <protection locked="0"/>
    </xf>
    <xf numFmtId="0" fontId="6" fillId="0" borderId="0" xfId="2" applyFont="1" applyAlignment="1">
      <alignment horizontal="left"/>
    </xf>
    <xf numFmtId="0" fontId="6" fillId="2" borderId="0" xfId="2" applyFont="1" applyFill="1" applyAlignment="1">
      <alignment horizontal="left"/>
    </xf>
    <xf numFmtId="49" fontId="6" fillId="2" borderId="10" xfId="3" applyNumberFormat="1" applyFont="1" applyFill="1" applyBorder="1">
      <alignment vertical="top"/>
      <protection locked="0"/>
    </xf>
    <xf numFmtId="0" fontId="6" fillId="0" borderId="10" xfId="2" applyFont="1" applyBorder="1"/>
    <xf numFmtId="0" fontId="6" fillId="2" borderId="0" xfId="3" applyFont="1" applyFill="1" applyAlignment="1" applyProtection="1"/>
    <xf numFmtId="0" fontId="12" fillId="0" borderId="0" xfId="2" applyFont="1"/>
    <xf numFmtId="0" fontId="13" fillId="0" borderId="0" xfId="2" applyFont="1"/>
    <xf numFmtId="0" fontId="14" fillId="2" borderId="0" xfId="12" applyFont="1" applyFill="1"/>
    <xf numFmtId="0" fontId="15" fillId="2" borderId="0" xfId="12" applyFont="1" applyFill="1" applyAlignment="1">
      <alignment horizontal="center" vertical="center"/>
    </xf>
    <xf numFmtId="0" fontId="16" fillId="2" borderId="0" xfId="12" applyFont="1" applyFill="1"/>
    <xf numFmtId="0" fontId="16" fillId="0" borderId="0" xfId="12" applyFont="1"/>
    <xf numFmtId="0" fontId="18" fillId="2" borderId="0" xfId="13" applyFont="1" applyFill="1" applyAlignment="1">
      <alignment vertical="center"/>
    </xf>
    <xf numFmtId="0" fontId="15" fillId="2" borderId="0" xfId="13" applyFont="1" applyFill="1" applyAlignment="1">
      <alignment horizontal="center" vertical="center"/>
    </xf>
    <xf numFmtId="0" fontId="20" fillId="2" borderId="0" xfId="13" applyFont="1" applyFill="1" applyAlignment="1">
      <alignment vertical="top"/>
    </xf>
    <xf numFmtId="0" fontId="18" fillId="2" borderId="0" xfId="13" applyFont="1" applyFill="1" applyAlignment="1">
      <alignment vertical="center" wrapText="1"/>
    </xf>
    <xf numFmtId="0" fontId="14" fillId="2" borderId="0" xfId="14" applyFont="1" applyFill="1"/>
    <xf numFmtId="0" fontId="15" fillId="2" borderId="0" xfId="13" applyFont="1" applyFill="1" applyAlignment="1">
      <alignment horizontal="center" vertical="center" wrapText="1"/>
    </xf>
    <xf numFmtId="0" fontId="16" fillId="2" borderId="0" xfId="13" applyFont="1" applyFill="1" applyAlignment="1">
      <alignment vertical="center" wrapText="1"/>
    </xf>
    <xf numFmtId="0" fontId="21" fillId="2" borderId="0" xfId="13" applyFont="1" applyFill="1" applyAlignment="1">
      <alignment horizontal="center" vertical="center"/>
    </xf>
    <xf numFmtId="0" fontId="22" fillId="2" borderId="0" xfId="13" applyFont="1" applyFill="1" applyAlignment="1">
      <alignment vertical="center"/>
    </xf>
    <xf numFmtId="0" fontId="14" fillId="2" borderId="0" xfId="14" applyFont="1" applyFill="1" applyAlignment="1">
      <alignment horizontal="center"/>
    </xf>
    <xf numFmtId="0" fontId="14" fillId="0" borderId="9" xfId="12" applyFont="1" applyBorder="1" applyAlignment="1">
      <alignment horizontal="center" vertical="center"/>
    </xf>
    <xf numFmtId="0" fontId="15" fillId="0" borderId="16" xfId="12" applyFont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left" vertical="center" wrapText="1"/>
    </xf>
    <xf numFmtId="3" fontId="20" fillId="2" borderId="9" xfId="12" applyNumberFormat="1" applyFont="1" applyFill="1" applyBorder="1" applyAlignment="1">
      <alignment horizontal="center" vertical="center"/>
    </xf>
    <xf numFmtId="4" fontId="15" fillId="0" borderId="0" xfId="12" applyNumberFormat="1" applyFont="1" applyAlignment="1">
      <alignment horizontal="center" vertical="center"/>
    </xf>
    <xf numFmtId="4" fontId="16" fillId="0" borderId="0" xfId="12" applyNumberFormat="1" applyFont="1"/>
    <xf numFmtId="0" fontId="20" fillId="2" borderId="17" xfId="12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 wrapText="1"/>
    </xf>
    <xf numFmtId="0" fontId="20" fillId="2" borderId="17" xfId="12" applyFont="1" applyFill="1" applyBorder="1" applyAlignment="1">
      <alignment horizontal="left" vertical="center" wrapText="1"/>
    </xf>
    <xf numFmtId="3" fontId="20" fillId="2" borderId="17" xfId="12" applyNumberFormat="1" applyFont="1" applyFill="1" applyBorder="1" applyAlignment="1">
      <alignment horizontal="center" vertical="center"/>
    </xf>
    <xf numFmtId="4" fontId="20" fillId="2" borderId="17" xfId="12" applyNumberFormat="1" applyFont="1" applyFill="1" applyBorder="1" applyAlignment="1">
      <alignment horizontal="center" vertical="center"/>
    </xf>
    <xf numFmtId="4" fontId="18" fillId="2" borderId="17" xfId="12" applyNumberFormat="1" applyFont="1" applyFill="1" applyBorder="1" applyAlignment="1">
      <alignment horizontal="center" vertical="center"/>
    </xf>
    <xf numFmtId="0" fontId="14" fillId="2" borderId="15" xfId="12" applyFont="1" applyFill="1" applyBorder="1"/>
    <xf numFmtId="0" fontId="19" fillId="2" borderId="15" xfId="12" applyFont="1" applyFill="1" applyBorder="1" applyAlignment="1">
      <alignment horizontal="center" vertical="center"/>
    </xf>
    <xf numFmtId="4" fontId="19" fillId="2" borderId="15" xfId="12" applyNumberFormat="1" applyFont="1" applyFill="1" applyBorder="1" applyAlignment="1">
      <alignment horizontal="center" vertical="center"/>
    </xf>
    <xf numFmtId="4" fontId="23" fillId="0" borderId="0" xfId="12" applyNumberFormat="1" applyFont="1"/>
    <xf numFmtId="0" fontId="15" fillId="0" borderId="0" xfId="12" applyFont="1" applyAlignment="1">
      <alignment horizontal="center" vertical="center"/>
    </xf>
    <xf numFmtId="4" fontId="14" fillId="2" borderId="0" xfId="12" applyNumberFormat="1" applyFont="1" applyFill="1"/>
    <xf numFmtId="4" fontId="15" fillId="2" borderId="0" xfId="12" applyNumberFormat="1" applyFont="1" applyFill="1" applyAlignment="1">
      <alignment horizontal="center" vertical="center"/>
    </xf>
    <xf numFmtId="4" fontId="23" fillId="2" borderId="0" xfId="12" applyNumberFormat="1" applyFont="1" applyFill="1"/>
    <xf numFmtId="0" fontId="14" fillId="0" borderId="0" xfId="12" applyFont="1"/>
    <xf numFmtId="0" fontId="6" fillId="2" borderId="0" xfId="12" applyFont="1" applyFill="1" applyAlignment="1">
      <alignment horizontal="right" wrapText="1"/>
    </xf>
    <xf numFmtId="0" fontId="24" fillId="2" borderId="0" xfId="12" applyFont="1" applyFill="1"/>
    <xf numFmtId="0" fontId="6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vertical="top" wrapText="1"/>
    </xf>
    <xf numFmtId="0" fontId="20" fillId="2" borderId="0" xfId="15" applyFont="1" applyFill="1" applyAlignment="1">
      <alignment horizontal="left"/>
    </xf>
    <xf numFmtId="0" fontId="20" fillId="2" borderId="0" xfId="12" applyFont="1" applyFill="1" applyAlignment="1">
      <alignment vertical="top" wrapText="1"/>
    </xf>
    <xf numFmtId="49" fontId="6" fillId="2" borderId="0" xfId="12" applyNumberFormat="1" applyFont="1" applyFill="1" applyAlignment="1">
      <alignment horizontal="center" vertical="top" wrapText="1"/>
    </xf>
    <xf numFmtId="0" fontId="20" fillId="2" borderId="10" xfId="12" applyFont="1" applyFill="1" applyBorder="1" applyAlignment="1">
      <alignment vertical="top" wrapText="1"/>
    </xf>
    <xf numFmtId="0" fontId="20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0" xfId="15" applyFont="1" applyFill="1" applyAlignment="1">
      <alignment horizontal="left" vertical="center"/>
    </xf>
    <xf numFmtId="49" fontId="6" fillId="2" borderId="0" xfId="12" applyNumberFormat="1" applyFont="1" applyFill="1" applyAlignment="1">
      <alignment horizontal="center" vertical="center" wrapText="1"/>
    </xf>
    <xf numFmtId="0" fontId="20" fillId="2" borderId="10" xfId="12" applyFont="1" applyFill="1" applyBorder="1" applyAlignment="1">
      <alignment horizontal="left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center" vertical="center" wrapText="1"/>
    </xf>
    <xf numFmtId="0" fontId="20" fillId="2" borderId="2" xfId="12" applyFont="1" applyFill="1" applyBorder="1" applyAlignment="1">
      <alignment horizontal="left" vertical="top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0" xfId="16" applyFont="1" applyFill="1" applyAlignment="1">
      <alignment horizontal="left"/>
    </xf>
    <xf numFmtId="0" fontId="25" fillId="2" borderId="0" xfId="12" applyFont="1" applyFill="1" applyAlignment="1">
      <alignment vertical="top" wrapText="1"/>
    </xf>
    <xf numFmtId="0" fontId="20" fillId="2" borderId="1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/>
    </xf>
    <xf numFmtId="49" fontId="18" fillId="2" borderId="9" xfId="12" applyNumberFormat="1" applyFont="1" applyFill="1" applyBorder="1" applyAlignment="1">
      <alignment horizontal="center" vertical="center" wrapText="1"/>
    </xf>
    <xf numFmtId="0" fontId="18" fillId="2" borderId="9" xfId="12" applyFont="1" applyFill="1" applyBorder="1" applyAlignment="1">
      <alignment horizontal="center" vertical="center" wrapText="1"/>
    </xf>
    <xf numFmtId="0" fontId="8" fillId="2" borderId="0" xfId="12" applyFont="1" applyFill="1" applyAlignment="1">
      <alignment horizontal="center" vertical="center" wrapText="1"/>
    </xf>
    <xf numFmtId="0" fontId="20" fillId="2" borderId="9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 wrapText="1"/>
    </xf>
    <xf numFmtId="0" fontId="6" fillId="2" borderId="0" xfId="12" applyFont="1" applyFill="1"/>
    <xf numFmtId="0" fontId="20" fillId="2" borderId="0" xfId="12" applyFont="1" applyFill="1" applyAlignment="1">
      <alignment horizontal="center" vertical="top" wrapText="1"/>
    </xf>
    <xf numFmtId="16" fontId="20" fillId="2" borderId="0" xfId="12" applyNumberFormat="1" applyFont="1" applyFill="1" applyAlignment="1">
      <alignment horizontal="center" vertical="top" wrapText="1"/>
    </xf>
    <xf numFmtId="14" fontId="20" fillId="2" borderId="0" xfId="12" applyNumberFormat="1" applyFont="1" applyFill="1" applyAlignment="1">
      <alignment horizontal="center" vertical="top" wrapText="1"/>
    </xf>
    <xf numFmtId="0" fontId="20" fillId="2" borderId="9" xfId="12" applyFont="1" applyFill="1" applyBorder="1" applyAlignment="1">
      <alignment horizontal="center" vertical="center" wrapText="1"/>
    </xf>
    <xf numFmtId="0" fontId="26" fillId="2" borderId="9" xfId="12" applyFont="1" applyFill="1" applyBorder="1" applyAlignment="1">
      <alignment horizontal="center" vertical="center"/>
    </xf>
    <xf numFmtId="0" fontId="8" fillId="2" borderId="9" xfId="12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top" wrapText="1"/>
    </xf>
    <xf numFmtId="2" fontId="18" fillId="2" borderId="3" xfId="12" applyNumberFormat="1" applyFont="1" applyFill="1" applyBorder="1" applyAlignment="1">
      <alignment horizontal="center" vertical="center" wrapText="1"/>
    </xf>
    <xf numFmtId="4" fontId="8" fillId="2" borderId="9" xfId="12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 applyAlignment="1">
      <alignment horizontal="center" vertical="center"/>
    </xf>
    <xf numFmtId="2" fontId="18" fillId="2" borderId="9" xfId="12" applyNumberFormat="1" applyFont="1" applyFill="1" applyBorder="1" applyAlignment="1">
      <alignment horizontal="center" vertical="center" wrapText="1"/>
    </xf>
    <xf numFmtId="4" fontId="6" fillId="2" borderId="3" xfId="12" applyNumberFormat="1" applyFont="1" applyFill="1" applyBorder="1" applyAlignment="1">
      <alignment horizontal="center" vertical="center" wrapText="1"/>
    </xf>
    <xf numFmtId="4" fontId="24" fillId="2" borderId="9" xfId="12" applyNumberFormat="1" applyFont="1" applyFill="1" applyBorder="1" applyAlignment="1">
      <alignment horizontal="center" vertical="center"/>
    </xf>
    <xf numFmtId="4" fontId="6" fillId="2" borderId="9" xfId="12" applyNumberFormat="1" applyFont="1" applyFill="1" applyBorder="1" applyAlignment="1">
      <alignment horizontal="center" vertical="center"/>
    </xf>
    <xf numFmtId="0" fontId="24" fillId="2" borderId="9" xfId="12" applyFont="1" applyFill="1" applyBorder="1"/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8" fillId="2" borderId="3" xfId="12" applyNumberFormat="1" applyFont="1" applyFill="1" applyBorder="1" applyAlignment="1">
      <alignment horizontal="center" vertical="center" wrapText="1"/>
    </xf>
    <xf numFmtId="4" fontId="26" fillId="2" borderId="9" xfId="12" applyNumberFormat="1" applyFont="1" applyFill="1" applyBorder="1" applyAlignment="1">
      <alignment horizontal="center"/>
    </xf>
    <xf numFmtId="4" fontId="16" fillId="2" borderId="0" xfId="12" applyNumberFormat="1" applyFont="1" applyFill="1"/>
    <xf numFmtId="168" fontId="20" fillId="2" borderId="9" xfId="12" applyNumberFormat="1" applyFont="1" applyFill="1" applyBorder="1" applyAlignment="1">
      <alignment horizontal="center" vertical="center" wrapText="1"/>
    </xf>
    <xf numFmtId="4" fontId="24" fillId="2" borderId="9" xfId="17" applyNumberFormat="1" applyFont="1" applyFill="1" applyBorder="1" applyAlignment="1">
      <alignment horizontal="center" vertical="center"/>
    </xf>
    <xf numFmtId="4" fontId="6" fillId="2" borderId="9" xfId="17" applyNumberFormat="1" applyFont="1" applyFill="1" applyBorder="1" applyAlignment="1">
      <alignment horizontal="center" vertical="center"/>
    </xf>
    <xf numFmtId="4" fontId="24" fillId="2" borderId="9" xfId="12" applyNumberFormat="1" applyFont="1" applyFill="1" applyBorder="1" applyAlignment="1">
      <alignment horizontal="center"/>
    </xf>
    <xf numFmtId="4" fontId="8" fillId="2" borderId="9" xfId="17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/>
    <xf numFmtId="4" fontId="18" fillId="2" borderId="0" xfId="12" applyNumberFormat="1" applyFont="1" applyFill="1" applyAlignment="1">
      <alignment horizontal="center" vertical="top" wrapText="1"/>
    </xf>
    <xf numFmtId="4" fontId="6" fillId="2" borderId="0" xfId="12" applyNumberFormat="1" applyFont="1" applyFill="1"/>
    <xf numFmtId="3" fontId="20" fillId="2" borderId="0" xfId="12" applyNumberFormat="1" applyFont="1" applyFill="1" applyAlignment="1">
      <alignment horizontal="right" vertical="top" wrapText="1"/>
    </xf>
    <xf numFmtId="2" fontId="24" fillId="2" borderId="0" xfId="12" applyNumberFormat="1" applyFont="1" applyFill="1"/>
    <xf numFmtId="0" fontId="20" fillId="2" borderId="10" xfId="12" applyFont="1" applyFill="1" applyBorder="1" applyAlignment="1">
      <alignment horizontal="right" vertical="top" wrapText="1"/>
    </xf>
    <xf numFmtId="0" fontId="8" fillId="2" borderId="0" xfId="12" applyFont="1" applyFill="1" applyAlignment="1">
      <alignment horizontal="center" wrapText="1"/>
    </xf>
    <xf numFmtId="4" fontId="24" fillId="2" borderId="0" xfId="12" applyNumberFormat="1" applyFont="1" applyFill="1"/>
    <xf numFmtId="0" fontId="20" fillId="2" borderId="10" xfId="12" applyFont="1" applyFill="1" applyBorder="1" applyAlignment="1">
      <alignment wrapText="1"/>
    </xf>
    <xf numFmtId="0" fontId="20" fillId="2" borderId="10" xfId="12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left" vertical="top" wrapText="1"/>
    </xf>
    <xf numFmtId="0" fontId="27" fillId="2" borderId="0" xfId="12" applyFont="1" applyFill="1"/>
    <xf numFmtId="0" fontId="20" fillId="2" borderId="0" xfId="12" applyFont="1" applyFill="1" applyAlignment="1">
      <alignment horizontal="left" vertical="top" wrapText="1"/>
    </xf>
    <xf numFmtId="0" fontId="29" fillId="0" borderId="0" xfId="19" applyFont="1"/>
    <xf numFmtId="0" fontId="31" fillId="0" borderId="0" xfId="19" applyFont="1"/>
    <xf numFmtId="0" fontId="32" fillId="0" borderId="0" xfId="19" applyFont="1"/>
    <xf numFmtId="0" fontId="33" fillId="0" borderId="0" xfId="19" applyFont="1" applyAlignment="1">
      <alignment horizontal="center" vertical="center"/>
    </xf>
    <xf numFmtId="0" fontId="34" fillId="0" borderId="0" xfId="19" applyFont="1" applyAlignment="1">
      <alignment horizontal="center" vertical="center"/>
    </xf>
    <xf numFmtId="0" fontId="35" fillId="0" borderId="0" xfId="19" applyFont="1" applyAlignment="1">
      <alignment horizontal="center" vertical="center"/>
    </xf>
    <xf numFmtId="0" fontId="31" fillId="0" borderId="0" xfId="19" applyFont="1" applyAlignment="1">
      <alignment horizontal="center" vertical="center"/>
    </xf>
    <xf numFmtId="0" fontId="29" fillId="0" borderId="0" xfId="19" applyFont="1" applyAlignment="1">
      <alignment horizontal="center" vertical="center"/>
    </xf>
    <xf numFmtId="0" fontId="32" fillId="0" borderId="0" xfId="19" applyFont="1" applyAlignment="1">
      <alignment horizontal="center" vertical="center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9" xfId="19" applyFont="1" applyFill="1" applyBorder="1" applyAlignment="1">
      <alignment horizontal="center" vertical="center" wrapText="1"/>
    </xf>
    <xf numFmtId="0" fontId="29" fillId="2" borderId="9" xfId="19" applyFont="1" applyFill="1" applyBorder="1" applyAlignment="1">
      <alignment horizontal="center" vertical="center" wrapText="1"/>
    </xf>
    <xf numFmtId="0" fontId="37" fillId="2" borderId="9" xfId="19" applyFont="1" applyFill="1" applyBorder="1" applyAlignment="1">
      <alignment vertical="center" wrapText="1"/>
    </xf>
    <xf numFmtId="4" fontId="29" fillId="2" borderId="9" xfId="19" applyNumberFormat="1" applyFont="1" applyFill="1" applyBorder="1" applyAlignment="1">
      <alignment horizontal="center" vertical="center" wrapText="1"/>
    </xf>
    <xf numFmtId="167" fontId="30" fillId="2" borderId="9" xfId="19" applyNumberFormat="1" applyFont="1" applyFill="1" applyBorder="1" applyAlignment="1">
      <alignment horizontal="center" vertical="center" wrapText="1"/>
    </xf>
    <xf numFmtId="164" fontId="36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right" vertical="center" wrapText="1"/>
    </xf>
    <xf numFmtId="164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right" vertical="center" wrapText="1"/>
    </xf>
    <xf numFmtId="4" fontId="29" fillId="2" borderId="9" xfId="19" applyNumberFormat="1" applyFont="1" applyFill="1" applyBorder="1" applyAlignment="1">
      <alignment horizontal="right" vertical="center" wrapText="1"/>
    </xf>
    <xf numFmtId="171" fontId="32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center" vertical="center" wrapText="1"/>
    </xf>
    <xf numFmtId="167" fontId="36" fillId="2" borderId="9" xfId="19" applyNumberFormat="1" applyFont="1" applyFill="1" applyBorder="1" applyAlignment="1">
      <alignment horizontal="center" vertical="center" wrapText="1"/>
    </xf>
    <xf numFmtId="0" fontId="38" fillId="0" borderId="0" xfId="19" applyFont="1"/>
    <xf numFmtId="164" fontId="38" fillId="0" borderId="0" xfId="19" applyNumberFormat="1" applyFont="1"/>
    <xf numFmtId="171" fontId="30" fillId="2" borderId="9" xfId="19" applyNumberFormat="1" applyFont="1" applyFill="1" applyBorder="1" applyAlignment="1">
      <alignment horizontal="center" vertical="center" wrapText="1"/>
    </xf>
    <xf numFmtId="172" fontId="36" fillId="2" borderId="9" xfId="19" applyNumberFormat="1" applyFont="1" applyFill="1" applyBorder="1" applyAlignment="1">
      <alignment horizontal="center" vertical="center" wrapText="1"/>
    </xf>
    <xf numFmtId="172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center" vertical="center" wrapText="1"/>
    </xf>
    <xf numFmtId="171" fontId="32" fillId="2" borderId="9" xfId="19" applyNumberFormat="1" applyFont="1" applyFill="1" applyBorder="1" applyAlignment="1">
      <alignment horizontal="right" vertical="center" wrapText="1"/>
    </xf>
    <xf numFmtId="0" fontId="38" fillId="0" borderId="0" xfId="19" applyFont="1" applyAlignment="1">
      <alignment horizontal="left"/>
    </xf>
    <xf numFmtId="0" fontId="32" fillId="2" borderId="9" xfId="19" applyFont="1" applyFill="1" applyBorder="1" applyAlignment="1">
      <alignment vertical="center" wrapText="1"/>
    </xf>
    <xf numFmtId="171" fontId="36" fillId="2" borderId="9" xfId="19" applyNumberFormat="1" applyFont="1" applyFill="1" applyBorder="1" applyAlignment="1">
      <alignment horizontal="center" vertical="center" wrapText="1"/>
    </xf>
    <xf numFmtId="0" fontId="32" fillId="2" borderId="9" xfId="19" applyFont="1" applyFill="1" applyBorder="1"/>
    <xf numFmtId="172" fontId="32" fillId="2" borderId="9" xfId="19" applyNumberFormat="1" applyFont="1" applyFill="1" applyBorder="1" applyAlignment="1">
      <alignment horizontal="center" vertical="center" wrapText="1"/>
    </xf>
    <xf numFmtId="0" fontId="39" fillId="3" borderId="0" xfId="19" applyFont="1" applyFill="1" applyAlignment="1">
      <alignment horizontal="left"/>
    </xf>
    <xf numFmtId="0" fontId="39" fillId="3" borderId="0" xfId="19" applyFont="1" applyFill="1"/>
    <xf numFmtId="0" fontId="39" fillId="3" borderId="0" xfId="19" applyFont="1" applyFill="1" applyAlignment="1">
      <alignment horizontal="center"/>
    </xf>
    <xf numFmtId="0" fontId="32" fillId="3" borderId="0" xfId="19" applyFont="1" applyFill="1"/>
    <xf numFmtId="173" fontId="32" fillId="2" borderId="9" xfId="19" applyNumberFormat="1" applyFont="1" applyFill="1" applyBorder="1" applyAlignment="1">
      <alignment horizontal="center" vertical="center" wrapText="1"/>
    </xf>
    <xf numFmtId="167" fontId="39" fillId="3" borderId="0" xfId="19" applyNumberFormat="1" applyFont="1" applyFill="1" applyAlignment="1">
      <alignment horizontal="center"/>
    </xf>
    <xf numFmtId="171" fontId="39" fillId="3" borderId="0" xfId="19" applyNumberFormat="1" applyFont="1" applyFill="1"/>
    <xf numFmtId="172" fontId="36" fillId="0" borderId="9" xfId="19" applyNumberFormat="1" applyFont="1" applyBorder="1" applyAlignment="1">
      <alignment horizontal="center" vertical="center" wrapText="1"/>
    </xf>
    <xf numFmtId="4" fontId="32" fillId="0" borderId="9" xfId="19" applyNumberFormat="1" applyFont="1" applyBorder="1" applyAlignment="1">
      <alignment horizontal="right" vertical="center" wrapText="1"/>
    </xf>
    <xf numFmtId="172" fontId="32" fillId="0" borderId="9" xfId="19" applyNumberFormat="1" applyFont="1" applyBorder="1" applyAlignment="1">
      <alignment horizontal="center" vertical="center" wrapText="1"/>
    </xf>
    <xf numFmtId="0" fontId="39" fillId="0" borderId="0" xfId="19" applyFont="1" applyAlignment="1">
      <alignment horizontal="left"/>
    </xf>
    <xf numFmtId="0" fontId="39" fillId="0" borderId="0" xfId="19" applyFont="1"/>
    <xf numFmtId="171" fontId="39" fillId="0" borderId="0" xfId="19" applyNumberFormat="1" applyFont="1"/>
    <xf numFmtId="4" fontId="32" fillId="0" borderId="9" xfId="19" applyNumberFormat="1" applyFont="1" applyBorder="1" applyAlignment="1">
      <alignment horizontal="center" vertical="center" wrapText="1"/>
    </xf>
    <xf numFmtId="174" fontId="32" fillId="2" borderId="9" xfId="19" applyNumberFormat="1" applyFont="1" applyFill="1" applyBorder="1" applyAlignment="1">
      <alignment horizontal="right" vertical="center" wrapText="1"/>
    </xf>
    <xf numFmtId="173" fontId="32" fillId="2" borderId="9" xfId="19" applyNumberFormat="1" applyFont="1" applyFill="1" applyBorder="1" applyAlignment="1">
      <alignment horizontal="right" vertical="center" wrapText="1"/>
    </xf>
    <xf numFmtId="4" fontId="36" fillId="2" borderId="9" xfId="19" applyNumberFormat="1" applyFont="1" applyFill="1" applyBorder="1" applyAlignment="1">
      <alignment horizontal="right" vertical="center" wrapText="1"/>
    </xf>
    <xf numFmtId="171" fontId="36" fillId="2" borderId="9" xfId="19" applyNumberFormat="1" applyFont="1" applyFill="1" applyBorder="1" applyAlignment="1">
      <alignment horizontal="right" vertical="center" wrapText="1"/>
    </xf>
    <xf numFmtId="174" fontId="36" fillId="2" borderId="9" xfId="19" applyNumberFormat="1" applyFont="1" applyFill="1" applyBorder="1" applyAlignment="1">
      <alignment horizontal="right" vertical="center" wrapText="1"/>
    </xf>
    <xf numFmtId="174" fontId="38" fillId="0" borderId="0" xfId="19" applyNumberFormat="1" applyFont="1"/>
    <xf numFmtId="49" fontId="38" fillId="0" borderId="0" xfId="19" applyNumberFormat="1" applyFont="1"/>
    <xf numFmtId="173" fontId="38" fillId="0" borderId="0" xfId="19" applyNumberFormat="1" applyFont="1"/>
    <xf numFmtId="4" fontId="31" fillId="0" borderId="0" xfId="19" applyNumberFormat="1" applyFont="1"/>
    <xf numFmtId="4" fontId="29" fillId="0" borderId="0" xfId="19" applyNumberFormat="1" applyFont="1"/>
    <xf numFmtId="2" fontId="32" fillId="0" borderId="0" xfId="19" applyNumberFormat="1" applyFont="1"/>
    <xf numFmtId="175" fontId="38" fillId="0" borderId="0" xfId="19" applyNumberFormat="1" applyFont="1"/>
    <xf numFmtId="2" fontId="31" fillId="0" borderId="0" xfId="19" applyNumberFormat="1" applyFont="1"/>
    <xf numFmtId="2" fontId="29" fillId="0" borderId="0" xfId="19" applyNumberFormat="1" applyFont="1"/>
    <xf numFmtId="4" fontId="32" fillId="0" borderId="0" xfId="19" applyNumberFormat="1" applyFont="1"/>
    <xf numFmtId="0" fontId="29" fillId="0" borderId="0" xfId="19" applyFont="1" applyAlignment="1">
      <alignment vertical="center" wrapText="1"/>
    </xf>
    <xf numFmtId="0" fontId="34" fillId="0" borderId="0" xfId="19" applyFont="1" applyAlignment="1">
      <alignment horizontal="justify" vertical="center" wrapText="1"/>
    </xf>
    <xf numFmtId="0" fontId="32" fillId="0" borderId="0" xfId="19" applyFont="1" applyAlignment="1">
      <alignment horizontal="right" vertical="top" wrapText="1"/>
    </xf>
    <xf numFmtId="0" fontId="31" fillId="0" borderId="0" xfId="19" applyFont="1" applyAlignment="1">
      <alignment horizontal="right" vertical="top" wrapText="1"/>
    </xf>
    <xf numFmtId="171" fontId="32" fillId="0" borderId="0" xfId="19" applyNumberFormat="1" applyFont="1" applyAlignment="1">
      <alignment horizontal="right" vertical="top" wrapText="1"/>
    </xf>
    <xf numFmtId="3" fontId="39" fillId="0" borderId="0" xfId="19" applyNumberFormat="1" applyFont="1" applyAlignment="1">
      <alignment horizontal="right" vertical="top" wrapText="1"/>
    </xf>
    <xf numFmtId="0" fontId="32" fillId="0" borderId="10" xfId="19" applyFont="1" applyBorder="1" applyAlignment="1">
      <alignment horizontal="right" vertical="top" wrapText="1"/>
    </xf>
    <xf numFmtId="0" fontId="31" fillId="0" borderId="10" xfId="19" applyFont="1" applyBorder="1" applyAlignment="1">
      <alignment horizontal="right" vertical="top" wrapText="1"/>
    </xf>
    <xf numFmtId="0" fontId="32" fillId="0" borderId="0" xfId="19" applyFont="1" applyAlignment="1">
      <alignment vertical="top"/>
    </xf>
    <xf numFmtId="0" fontId="32" fillId="0" borderId="0" xfId="19" applyFont="1" applyAlignment="1">
      <alignment horizontal="center" vertical="top" wrapText="1"/>
    </xf>
    <xf numFmtId="167" fontId="32" fillId="0" borderId="0" xfId="19" applyNumberFormat="1" applyFont="1" applyAlignment="1">
      <alignment horizontal="right" vertical="top" wrapText="1"/>
    </xf>
    <xf numFmtId="0" fontId="32" fillId="0" borderId="0" xfId="19" applyFont="1" applyAlignment="1">
      <alignment vertical="top" wrapText="1"/>
    </xf>
    <xf numFmtId="0" fontId="32" fillId="0" borderId="10" xfId="19" applyFont="1" applyBorder="1" applyAlignment="1">
      <alignment wrapText="1"/>
    </xf>
    <xf numFmtId="0" fontId="32" fillId="0" borderId="10" xfId="19" applyFont="1" applyBorder="1" applyAlignment="1">
      <alignment horizontal="center" vertical="top" wrapText="1"/>
    </xf>
    <xf numFmtId="174" fontId="32" fillId="2" borderId="9" xfId="19" applyNumberFormat="1" applyFont="1" applyFill="1" applyBorder="1" applyAlignment="1">
      <alignment horizontal="center" vertical="center" wrapText="1"/>
    </xf>
    <xf numFmtId="49" fontId="39" fillId="0" borderId="0" xfId="19" applyNumberFormat="1" applyFont="1" applyAlignment="1">
      <alignment horizontal="left"/>
    </xf>
    <xf numFmtId="4" fontId="36" fillId="2" borderId="9" xfId="19" applyNumberFormat="1" applyFont="1" applyFill="1" applyBorder="1" applyAlignment="1">
      <alignment horizontal="center" vertical="center" wrapText="1"/>
    </xf>
    <xf numFmtId="49" fontId="6" fillId="0" borderId="9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49" fontId="6" fillId="0" borderId="0" xfId="2" applyNumberFormat="1" applyFont="1" applyAlignment="1">
      <alignment horizontal="center"/>
    </xf>
    <xf numFmtId="0" fontId="12" fillId="0" borderId="0" xfId="8" applyFont="1"/>
    <xf numFmtId="0" fontId="6" fillId="2" borderId="9" xfId="12" applyFont="1" applyFill="1" applyBorder="1"/>
    <xf numFmtId="0" fontId="41" fillId="2" borderId="0" xfId="12" applyFont="1" applyFill="1"/>
    <xf numFmtId="0" fontId="6" fillId="0" borderId="0" xfId="2" applyFont="1" applyAlignment="1">
      <alignment horizontal="left" vertical="top" wrapText="1"/>
    </xf>
    <xf numFmtId="43" fontId="6" fillId="0" borderId="0" xfId="2" applyNumberFormat="1" applyFont="1"/>
    <xf numFmtId="0" fontId="42" fillId="0" borderId="0" xfId="8" applyFont="1"/>
    <xf numFmtId="0" fontId="20" fillId="2" borderId="18" xfId="12" applyFont="1" applyFill="1" applyBorder="1" applyAlignment="1">
      <alignment horizontal="center" vertical="center"/>
    </xf>
    <xf numFmtId="49" fontId="20" fillId="2" borderId="18" xfId="12" applyNumberFormat="1" applyFont="1" applyFill="1" applyBorder="1" applyAlignment="1">
      <alignment horizontal="center" vertical="center" wrapText="1"/>
    </xf>
    <xf numFmtId="0" fontId="20" fillId="2" borderId="18" xfId="12" applyFont="1" applyFill="1" applyBorder="1" applyAlignment="1">
      <alignment horizontal="left" vertical="center" wrapText="1"/>
    </xf>
    <xf numFmtId="3" fontId="20" fillId="2" borderId="18" xfId="12" applyNumberFormat="1" applyFont="1" applyFill="1" applyBorder="1" applyAlignment="1">
      <alignment horizontal="center" vertical="center"/>
    </xf>
    <xf numFmtId="4" fontId="20" fillId="2" borderId="18" xfId="12" applyNumberFormat="1" applyFont="1" applyFill="1" applyBorder="1" applyAlignment="1">
      <alignment horizontal="center" vertical="center"/>
    </xf>
    <xf numFmtId="4" fontId="18" fillId="2" borderId="18" xfId="12" applyNumberFormat="1" applyFont="1" applyFill="1" applyBorder="1" applyAlignment="1">
      <alignment horizontal="center" vertical="center"/>
    </xf>
    <xf numFmtId="4" fontId="8" fillId="2" borderId="0" xfId="12" applyNumberFormat="1" applyFont="1" applyFill="1" applyAlignment="1">
      <alignment horizontal="left" wrapText="1"/>
    </xf>
    <xf numFmtId="4" fontId="44" fillId="2" borderId="0" xfId="12" applyNumberFormat="1" applyFont="1" applyFill="1" applyAlignment="1">
      <alignment horizontal="left" vertical="top" wrapText="1"/>
    </xf>
    <xf numFmtId="4" fontId="43" fillId="2" borderId="0" xfId="12" applyNumberFormat="1" applyFont="1" applyFill="1" applyAlignment="1">
      <alignment horizontal="center" vertical="top" wrapText="1"/>
    </xf>
    <xf numFmtId="0" fontId="24" fillId="2" borderId="0" xfId="12" applyFont="1" applyFill="1" applyAlignment="1">
      <alignment horizontal="center" vertical="center"/>
    </xf>
    <xf numFmtId="0" fontId="24" fillId="2" borderId="9" xfId="12" applyFont="1" applyFill="1" applyBorder="1" applyAlignment="1">
      <alignment horizontal="center" vertical="center"/>
    </xf>
    <xf numFmtId="3" fontId="24" fillId="2" borderId="9" xfId="12" applyNumberFormat="1" applyFont="1" applyFill="1" applyBorder="1" applyAlignment="1">
      <alignment horizontal="center" vertical="center"/>
    </xf>
    <xf numFmtId="0" fontId="6" fillId="2" borderId="9" xfId="12" applyFont="1" applyFill="1" applyBorder="1" applyAlignment="1">
      <alignment horizontal="center" vertical="center"/>
    </xf>
    <xf numFmtId="0" fontId="13" fillId="0" borderId="0" xfId="8" applyFont="1"/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right" vertical="top" wrapText="1"/>
    </xf>
    <xf numFmtId="0" fontId="12" fillId="0" borderId="0" xfId="8" applyFont="1" applyAlignment="1">
      <alignment horizontal="center"/>
    </xf>
    <xf numFmtId="0" fontId="12" fillId="0" borderId="0" xfId="8" applyFont="1" applyAlignment="1">
      <alignment horizontal="right" vertical="top" wrapText="1"/>
    </xf>
    <xf numFmtId="0" fontId="20" fillId="2" borderId="15" xfId="12" applyFont="1" applyFill="1" applyBorder="1" applyAlignment="1">
      <alignment horizontal="center" vertical="center"/>
    </xf>
    <xf numFmtId="49" fontId="20" fillId="2" borderId="15" xfId="12" applyNumberFormat="1" applyFont="1" applyFill="1" applyBorder="1" applyAlignment="1">
      <alignment horizontal="center" vertical="center"/>
    </xf>
    <xf numFmtId="0" fontId="20" fillId="2" borderId="15" xfId="12" applyFont="1" applyFill="1" applyBorder="1" applyAlignment="1">
      <alignment horizontal="left" vertical="center" wrapText="1"/>
    </xf>
    <xf numFmtId="3" fontId="20" fillId="2" borderId="15" xfId="12" applyNumberFormat="1" applyFont="1" applyFill="1" applyBorder="1" applyAlignment="1">
      <alignment horizontal="center" vertical="center"/>
    </xf>
    <xf numFmtId="4" fontId="20" fillId="2" borderId="15" xfId="12" applyNumberFormat="1" applyFont="1" applyFill="1" applyBorder="1" applyAlignment="1">
      <alignment horizontal="center" vertical="center"/>
    </xf>
    <xf numFmtId="4" fontId="18" fillId="2" borderId="15" xfId="12" applyNumberFormat="1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/>
    </xf>
    <xf numFmtId="0" fontId="49" fillId="0" borderId="0" xfId="8" applyFont="1"/>
    <xf numFmtId="0" fontId="49" fillId="0" borderId="0" xfId="8" applyFont="1" applyAlignment="1">
      <alignment horizontal="center"/>
    </xf>
    <xf numFmtId="0" fontId="49" fillId="0" borderId="0" xfId="8" applyFont="1" applyAlignment="1">
      <alignment horizontal="right" vertical="top" wrapText="1"/>
    </xf>
    <xf numFmtId="0" fontId="50" fillId="2" borderId="0" xfId="12" applyFont="1" applyFill="1"/>
    <xf numFmtId="0" fontId="51" fillId="2" borderId="0" xfId="12" applyFont="1" applyFill="1"/>
    <xf numFmtId="0" fontId="50" fillId="2" borderId="0" xfId="12" applyFont="1" applyFill="1" applyAlignment="1">
      <alignment horizontal="center" vertical="center"/>
    </xf>
    <xf numFmtId="0" fontId="52" fillId="2" borderId="9" xfId="12" applyFont="1" applyFill="1" applyBorder="1" applyAlignment="1">
      <alignment horizontal="center" vertical="center"/>
    </xf>
    <xf numFmtId="0" fontId="53" fillId="2" borderId="9" xfId="12" applyFont="1" applyFill="1" applyBorder="1" applyAlignment="1">
      <alignment horizontal="center" vertical="center"/>
    </xf>
    <xf numFmtId="4" fontId="53" fillId="2" borderId="9" xfId="12" applyNumberFormat="1" applyFont="1" applyFill="1" applyBorder="1" applyAlignment="1">
      <alignment horizontal="center" vertical="center"/>
    </xf>
    <xf numFmtId="4" fontId="51" fillId="2" borderId="9" xfId="12" applyNumberFormat="1" applyFont="1" applyFill="1" applyBorder="1" applyAlignment="1">
      <alignment horizontal="center" vertical="center"/>
    </xf>
    <xf numFmtId="0" fontId="51" fillId="2" borderId="9" xfId="12" applyFont="1" applyFill="1" applyBorder="1" applyAlignment="1">
      <alignment horizontal="center" vertical="center"/>
    </xf>
    <xf numFmtId="4" fontId="51" fillId="2" borderId="9" xfId="17" applyNumberFormat="1" applyFont="1" applyFill="1" applyBorder="1" applyAlignment="1">
      <alignment horizontal="center" vertical="center"/>
    </xf>
    <xf numFmtId="4" fontId="53" fillId="2" borderId="9" xfId="17" applyNumberFormat="1" applyFont="1" applyFill="1" applyBorder="1" applyAlignment="1">
      <alignment horizontal="center" vertical="center"/>
    </xf>
    <xf numFmtId="4" fontId="51" fillId="2" borderId="0" xfId="12" applyNumberFormat="1" applyFont="1" applyFill="1"/>
    <xf numFmtId="0" fontId="54" fillId="2" borderId="0" xfId="12" applyFont="1" applyFill="1"/>
    <xf numFmtId="3" fontId="51" fillId="2" borderId="9" xfId="12" applyNumberFormat="1" applyFont="1" applyFill="1" applyBorder="1" applyAlignment="1">
      <alignment horizontal="center" vertical="center"/>
    </xf>
    <xf numFmtId="49" fontId="20" fillId="2" borderId="9" xfId="12" applyNumberFormat="1" applyFont="1" applyFill="1" applyBorder="1" applyAlignment="1">
      <alignment horizontal="center" vertical="center" wrapText="1"/>
    </xf>
    <xf numFmtId="4" fontId="41" fillId="2" borderId="0" xfId="12" applyNumberFormat="1" applyFont="1" applyFill="1"/>
    <xf numFmtId="4" fontId="51" fillId="2" borderId="0" xfId="12" applyNumberFormat="1" applyFont="1" applyFill="1" applyAlignment="1">
      <alignment horizontal="center" vertical="center"/>
    </xf>
    <xf numFmtId="0" fontId="51" fillId="2" borderId="0" xfId="12" applyFont="1" applyFill="1" applyAlignment="1">
      <alignment horizontal="center" vertical="center"/>
    </xf>
    <xf numFmtId="4" fontId="55" fillId="2" borderId="0" xfId="12" applyNumberFormat="1" applyFont="1" applyFill="1" applyAlignment="1">
      <alignment horizontal="left" vertical="top" wrapText="1"/>
    </xf>
    <xf numFmtId="2" fontId="51" fillId="2" borderId="0" xfId="12" applyNumberFormat="1" applyFont="1" applyFill="1"/>
    <xf numFmtId="0" fontId="20" fillId="2" borderId="0" xfId="12" applyFont="1" applyFill="1"/>
    <xf numFmtId="176" fontId="20" fillId="2" borderId="9" xfId="12" applyNumberFormat="1" applyFont="1" applyFill="1" applyBorder="1" applyAlignment="1">
      <alignment horizontal="center" vertical="center"/>
    </xf>
    <xf numFmtId="4" fontId="16" fillId="0" borderId="9" xfId="12" applyNumberFormat="1" applyFont="1" applyBorder="1" applyAlignment="1">
      <alignment horizontal="center" vertical="center" wrapText="1"/>
    </xf>
    <xf numFmtId="4" fontId="15" fillId="0" borderId="9" xfId="12" applyNumberFormat="1" applyFont="1" applyBorder="1" applyAlignment="1">
      <alignment horizontal="center" vertical="center"/>
    </xf>
    <xf numFmtId="4" fontId="18" fillId="2" borderId="9" xfId="12" applyNumberFormat="1" applyFont="1" applyFill="1" applyBorder="1" applyAlignment="1">
      <alignment horizontal="center" vertical="center"/>
    </xf>
    <xf numFmtId="49" fontId="20" fillId="3" borderId="9" xfId="12" applyNumberFormat="1" applyFont="1" applyFill="1" applyBorder="1" applyAlignment="1">
      <alignment horizontal="center" vertical="center"/>
    </xf>
    <xf numFmtId="0" fontId="20" fillId="3" borderId="9" xfId="12" applyFont="1" applyFill="1" applyBorder="1" applyAlignment="1">
      <alignment horizontal="left" vertical="center" wrapText="1"/>
    </xf>
    <xf numFmtId="3" fontId="20" fillId="3" borderId="9" xfId="12" applyNumberFormat="1" applyFont="1" applyFill="1" applyBorder="1" applyAlignment="1">
      <alignment horizontal="center" vertical="center"/>
    </xf>
    <xf numFmtId="176" fontId="20" fillId="3" borderId="9" xfId="12" applyNumberFormat="1" applyFont="1" applyFill="1" applyBorder="1" applyAlignment="1">
      <alignment horizontal="center" vertical="center"/>
    </xf>
    <xf numFmtId="49" fontId="20" fillId="4" borderId="9" xfId="12" applyNumberFormat="1" applyFont="1" applyFill="1" applyBorder="1" applyAlignment="1">
      <alignment horizontal="center" vertical="center"/>
    </xf>
    <xf numFmtId="0" fontId="20" fillId="4" borderId="9" xfId="12" applyFont="1" applyFill="1" applyBorder="1" applyAlignment="1">
      <alignment horizontal="left" vertical="center" wrapText="1"/>
    </xf>
    <xf numFmtId="3" fontId="20" fillId="4" borderId="9" xfId="12" applyNumberFormat="1" applyFont="1" applyFill="1" applyBorder="1" applyAlignment="1">
      <alignment horizontal="center" vertical="center"/>
    </xf>
    <xf numFmtId="176" fontId="20" fillId="4" borderId="9" xfId="12" applyNumberFormat="1" applyFont="1" applyFill="1" applyBorder="1" applyAlignment="1">
      <alignment horizontal="center" vertical="center"/>
    </xf>
    <xf numFmtId="4" fontId="16" fillId="4" borderId="9" xfId="12" applyNumberFormat="1" applyFont="1" applyFill="1" applyBorder="1"/>
    <xf numFmtId="0" fontId="20" fillId="4" borderId="9" xfId="12" applyFont="1" applyFill="1" applyBorder="1" applyAlignment="1">
      <alignment horizontal="center" vertical="center"/>
    </xf>
    <xf numFmtId="49" fontId="20" fillId="4" borderId="9" xfId="12" applyNumberFormat="1" applyFont="1" applyFill="1" applyBorder="1" applyAlignment="1">
      <alignment horizontal="center" vertical="center" wrapText="1"/>
    </xf>
    <xf numFmtId="4" fontId="18" fillId="4" borderId="9" xfId="12" applyNumberFormat="1" applyFont="1" applyFill="1" applyBorder="1" applyAlignment="1">
      <alignment horizontal="center" vertical="center"/>
    </xf>
    <xf numFmtId="4" fontId="15" fillId="4" borderId="9" xfId="12" applyNumberFormat="1" applyFont="1" applyFill="1" applyBorder="1" applyAlignment="1">
      <alignment horizontal="center" vertical="center"/>
    </xf>
    <xf numFmtId="4" fontId="15" fillId="3" borderId="9" xfId="12" applyNumberFormat="1" applyFont="1" applyFill="1" applyBorder="1" applyAlignment="1">
      <alignment horizontal="center" vertical="center"/>
    </xf>
    <xf numFmtId="0" fontId="14" fillId="0" borderId="9" xfId="12" applyFont="1" applyBorder="1" applyAlignment="1">
      <alignment horizontal="center" vertical="center" wrapText="1"/>
    </xf>
    <xf numFmtId="0" fontId="14" fillId="0" borderId="9" xfId="12" applyFont="1" applyBorder="1" applyAlignment="1">
      <alignment horizontal="center" vertical="center" wrapText="1" shrinkToFit="1"/>
    </xf>
    <xf numFmtId="0" fontId="20" fillId="3" borderId="9" xfId="12" applyFont="1" applyFill="1" applyBorder="1" applyAlignment="1">
      <alignment horizontal="center" vertical="center"/>
    </xf>
    <xf numFmtId="4" fontId="18" fillId="3" borderId="9" xfId="12" applyNumberFormat="1" applyFont="1" applyFill="1" applyBorder="1" applyAlignment="1">
      <alignment horizontal="center" vertical="center"/>
    </xf>
    <xf numFmtId="0" fontId="14" fillId="2" borderId="9" xfId="12" applyFont="1" applyFill="1" applyBorder="1"/>
    <xf numFmtId="0" fontId="19" fillId="2" borderId="9" xfId="12" applyFont="1" applyFill="1" applyBorder="1" applyAlignment="1">
      <alignment horizontal="center" vertical="center"/>
    </xf>
    <xf numFmtId="4" fontId="19" fillId="2" borderId="9" xfId="12" applyNumberFormat="1" applyFont="1" applyFill="1" applyBorder="1" applyAlignment="1">
      <alignment horizontal="center" vertical="center"/>
    </xf>
    <xf numFmtId="49" fontId="20" fillId="3" borderId="9" xfId="12" applyNumberFormat="1" applyFont="1" applyFill="1" applyBorder="1" applyAlignment="1">
      <alignment horizontal="center" vertical="center" wrapText="1"/>
    </xf>
    <xf numFmtId="0" fontId="20" fillId="2" borderId="0" xfId="12" applyFont="1" applyFill="1" applyAlignment="1">
      <alignment horizontal="left" vertical="top" wrapText="1"/>
    </xf>
    <xf numFmtId="0" fontId="18" fillId="2" borderId="0" xfId="12" applyFont="1" applyFill="1" applyAlignment="1">
      <alignment horizontal="left" wrapText="1"/>
    </xf>
    <xf numFmtId="0" fontId="18" fillId="2" borderId="10" xfId="12" applyFont="1" applyFill="1" applyBorder="1" applyAlignment="1">
      <alignment horizontal="center" wrapText="1"/>
    </xf>
    <xf numFmtId="0" fontId="20" fillId="2" borderId="0" xfId="12" applyFont="1" applyFill="1" applyAlignment="1">
      <alignment horizontal="center" vertical="top" wrapText="1"/>
    </xf>
    <xf numFmtId="0" fontId="20" fillId="2" borderId="5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center" vertical="center" wrapText="1"/>
    </xf>
    <xf numFmtId="0" fontId="20" fillId="2" borderId="0" xfId="12" applyFont="1" applyFill="1" applyAlignment="1">
      <alignment horizontal="left" wrapText="1"/>
    </xf>
    <xf numFmtId="0" fontId="18" fillId="2" borderId="1" xfId="12" applyFont="1" applyFill="1" applyBorder="1" applyAlignment="1">
      <alignment horizontal="right" vertical="center" wrapText="1"/>
    </xf>
    <xf numFmtId="0" fontId="18" fillId="2" borderId="2" xfId="12" applyFont="1" applyFill="1" applyBorder="1" applyAlignment="1">
      <alignment horizontal="right" vertical="center" wrapText="1"/>
    </xf>
    <xf numFmtId="0" fontId="18" fillId="2" borderId="3" xfId="12" applyFont="1" applyFill="1" applyBorder="1" applyAlignment="1">
      <alignment horizontal="right" vertical="center" wrapText="1"/>
    </xf>
    <xf numFmtId="168" fontId="18" fillId="2" borderId="1" xfId="12" applyNumberFormat="1" applyFont="1" applyFill="1" applyBorder="1" applyAlignment="1">
      <alignment horizontal="center" vertical="center" wrapText="1"/>
    </xf>
    <xf numFmtId="168" fontId="18" fillId="2" borderId="2" xfId="12" applyNumberFormat="1" applyFont="1" applyFill="1" applyBorder="1" applyAlignment="1">
      <alignment horizontal="center" vertical="center" wrapText="1"/>
    </xf>
    <xf numFmtId="168" fontId="18" fillId="2" borderId="3" xfId="12" applyNumberFormat="1" applyFont="1" applyFill="1" applyBorder="1" applyAlignment="1">
      <alignment horizontal="center" vertical="center" wrapText="1"/>
    </xf>
    <xf numFmtId="4" fontId="18" fillId="2" borderId="1" xfId="12" applyNumberFormat="1" applyFont="1" applyFill="1" applyBorder="1" applyAlignment="1">
      <alignment horizontal="center" vertical="center" wrapText="1"/>
    </xf>
    <xf numFmtId="4" fontId="18" fillId="2" borderId="2" xfId="12" applyNumberFormat="1" applyFont="1" applyFill="1" applyBorder="1" applyAlignment="1">
      <alignment horizontal="center" vertical="center" wrapText="1"/>
    </xf>
    <xf numFmtId="4" fontId="18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right" vertical="center" wrapText="1"/>
    </xf>
    <xf numFmtId="0" fontId="20" fillId="2" borderId="2" xfId="12" applyFont="1" applyFill="1" applyBorder="1" applyAlignment="1">
      <alignment horizontal="right" vertical="center" wrapText="1"/>
    </xf>
    <xf numFmtId="0" fontId="20" fillId="2" borderId="3" xfId="12" applyFont="1" applyFill="1" applyBorder="1" applyAlignment="1">
      <alignment horizontal="right" vertical="center" wrapText="1"/>
    </xf>
    <xf numFmtId="168" fontId="20" fillId="2" borderId="1" xfId="12" applyNumberFormat="1" applyFont="1" applyFill="1" applyBorder="1" applyAlignment="1">
      <alignment horizontal="center" vertical="center" wrapText="1"/>
    </xf>
    <xf numFmtId="168" fontId="20" fillId="2" borderId="2" xfId="12" applyNumberFormat="1" applyFont="1" applyFill="1" applyBorder="1" applyAlignment="1">
      <alignment horizontal="center" vertical="center" wrapText="1"/>
    </xf>
    <xf numFmtId="168" fontId="20" fillId="2" borderId="3" xfId="12" applyNumberFormat="1" applyFont="1" applyFill="1" applyBorder="1" applyAlignment="1">
      <alignment horizontal="center" vertical="center" wrapText="1"/>
    </xf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20" fillId="2" borderId="3" xfId="12" applyNumberFormat="1" applyFont="1" applyFill="1" applyBorder="1" applyAlignment="1">
      <alignment horizontal="center" vertical="center" wrapText="1"/>
    </xf>
    <xf numFmtId="49" fontId="20" fillId="2" borderId="1" xfId="12" applyNumberFormat="1" applyFont="1" applyFill="1" applyBorder="1" applyAlignment="1">
      <alignment horizontal="left" vertical="center" wrapText="1"/>
    </xf>
    <xf numFmtId="49" fontId="20" fillId="2" borderId="3" xfId="12" applyNumberFormat="1" applyFont="1" applyFill="1" applyBorder="1" applyAlignment="1">
      <alignment horizontal="left" vertical="center" wrapText="1"/>
    </xf>
    <xf numFmtId="0" fontId="20" fillId="2" borderId="9" xfId="12" applyFont="1" applyFill="1" applyBorder="1" applyAlignment="1">
      <alignment horizontal="center" vertical="center" wrapText="1"/>
    </xf>
    <xf numFmtId="4" fontId="8" fillId="2" borderId="11" xfId="12" applyNumberFormat="1" applyFont="1" applyFill="1" applyBorder="1" applyAlignment="1">
      <alignment horizontal="center" vertical="center" wrapText="1"/>
    </xf>
    <xf numFmtId="4" fontId="8" fillId="2" borderId="15" xfId="12" applyNumberFormat="1" applyFont="1" applyFill="1" applyBorder="1" applyAlignment="1">
      <alignment horizontal="center" vertical="center" wrapText="1"/>
    </xf>
    <xf numFmtId="0" fontId="18" fillId="2" borderId="1" xfId="12" applyFont="1" applyFill="1" applyBorder="1" applyAlignment="1">
      <alignment horizontal="left" vertical="center" wrapText="1"/>
    </xf>
    <xf numFmtId="0" fontId="18" fillId="2" borderId="3" xfId="12" applyFont="1" applyFill="1" applyBorder="1" applyAlignment="1">
      <alignment horizontal="left" vertical="center" wrapText="1"/>
    </xf>
    <xf numFmtId="0" fontId="20" fillId="2" borderId="10" xfId="12" applyFont="1" applyFill="1" applyBorder="1" applyAlignment="1">
      <alignment horizontal="center" vertical="top" wrapText="1"/>
    </xf>
    <xf numFmtId="0" fontId="20" fillId="2" borderId="4" xfId="12" applyFont="1" applyFill="1" applyBorder="1" applyAlignment="1">
      <alignment horizontal="center" vertical="center" wrapText="1"/>
    </xf>
    <xf numFmtId="0" fontId="20" fillId="2" borderId="5" xfId="12" applyFont="1" applyFill="1" applyBorder="1" applyAlignment="1">
      <alignment horizontal="center" vertical="center" wrapText="1"/>
    </xf>
    <xf numFmtId="0" fontId="20" fillId="2" borderId="12" xfId="12" applyFont="1" applyFill="1" applyBorder="1" applyAlignment="1">
      <alignment horizontal="center" vertical="center" wrapText="1"/>
    </xf>
    <xf numFmtId="0" fontId="20" fillId="2" borderId="10" xfId="12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center" wrapText="1"/>
    </xf>
    <xf numFmtId="0" fontId="20" fillId="2" borderId="2" xfId="12" applyFont="1" applyFill="1" applyBorder="1" applyAlignment="1">
      <alignment horizontal="center" vertical="center" wrapText="1"/>
    </xf>
    <xf numFmtId="0" fontId="20" fillId="2" borderId="3" xfId="12" applyFont="1" applyFill="1" applyBorder="1" applyAlignment="1">
      <alignment horizontal="center" vertical="center" wrapText="1"/>
    </xf>
    <xf numFmtId="0" fontId="20" fillId="2" borderId="9" xfId="12" applyFont="1" applyFill="1" applyBorder="1" applyAlignment="1">
      <alignment horizontal="center" vertical="top" wrapText="1"/>
    </xf>
    <xf numFmtId="49" fontId="20" fillId="2" borderId="1" xfId="12" applyNumberFormat="1" applyFont="1" applyFill="1" applyBorder="1" applyAlignment="1">
      <alignment horizontal="center" vertical="center" wrapText="1"/>
    </xf>
    <xf numFmtId="49" fontId="20" fillId="2" borderId="2" xfId="12" applyNumberFormat="1" applyFont="1" applyFill="1" applyBorder="1" applyAlignment="1">
      <alignment horizontal="center" vertical="center" wrapText="1"/>
    </xf>
    <xf numFmtId="49" fontId="20" fillId="2" borderId="3" xfId="12" applyNumberFormat="1" applyFont="1" applyFill="1" applyBorder="1" applyAlignment="1">
      <alignment horizontal="center" vertical="center" wrapText="1"/>
    </xf>
    <xf numFmtId="14" fontId="20" fillId="2" borderId="1" xfId="12" applyNumberFormat="1" applyFont="1" applyFill="1" applyBorder="1" applyAlignment="1">
      <alignment horizontal="center" vertical="center" wrapText="1"/>
    </xf>
    <xf numFmtId="14" fontId="20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right" vertical="top" wrapText="1"/>
    </xf>
    <xf numFmtId="49" fontId="18" fillId="2" borderId="1" xfId="12" applyNumberFormat="1" applyFont="1" applyFill="1" applyBorder="1" applyAlignment="1">
      <alignment horizontal="center" vertical="center" wrapText="1"/>
    </xf>
    <xf numFmtId="49" fontId="18" fillId="2" borderId="2" xfId="12" applyNumberFormat="1" applyFont="1" applyFill="1" applyBorder="1" applyAlignment="1">
      <alignment horizontal="center" vertical="center" wrapText="1"/>
    </xf>
    <xf numFmtId="49" fontId="18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2" xfId="12" applyFont="1" applyFill="1" applyBorder="1" applyAlignment="1">
      <alignment horizontal="left" vertical="center" wrapText="1"/>
    </xf>
    <xf numFmtId="0" fontId="20" fillId="2" borderId="12" xfId="12" applyFont="1" applyFill="1" applyBorder="1" applyAlignment="1">
      <alignment horizontal="center" vertical="top" wrapText="1"/>
    </xf>
    <xf numFmtId="0" fontId="20" fillId="2" borderId="13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right" vertical="center" wrapText="1"/>
    </xf>
    <xf numFmtId="0" fontId="20" fillId="2" borderId="8" xfId="12" applyFont="1" applyFill="1" applyBorder="1" applyAlignment="1">
      <alignment horizontal="right" vertical="center" wrapText="1"/>
    </xf>
    <xf numFmtId="49" fontId="18" fillId="2" borderId="1" xfId="12" applyNumberFormat="1" applyFont="1" applyFill="1" applyBorder="1" applyAlignment="1">
      <alignment horizontal="center" vertical="center"/>
    </xf>
    <xf numFmtId="49" fontId="18" fillId="2" borderId="2" xfId="12" applyNumberFormat="1" applyFont="1" applyFill="1" applyBorder="1" applyAlignment="1">
      <alignment horizontal="center" vertical="center"/>
    </xf>
    <xf numFmtId="49" fontId="18" fillId="2" borderId="3" xfId="12" applyNumberFormat="1" applyFont="1" applyFill="1" applyBorder="1" applyAlignment="1">
      <alignment horizontal="center" vertical="center"/>
    </xf>
    <xf numFmtId="0" fontId="20" fillId="2" borderId="0" xfId="12" applyFont="1" applyFill="1" applyAlignment="1">
      <alignment horizontal="right" wrapText="1"/>
    </xf>
    <xf numFmtId="0" fontId="20" fillId="2" borderId="1" xfId="12" quotePrefix="1" applyFont="1" applyFill="1" applyBorder="1" applyAlignment="1">
      <alignment horizontal="center" vertical="center" wrapText="1"/>
    </xf>
    <xf numFmtId="0" fontId="20" fillId="2" borderId="4" xfId="12" applyFont="1" applyFill="1" applyBorder="1" applyAlignment="1">
      <alignment horizontal="center" vertical="top" wrapText="1"/>
    </xf>
    <xf numFmtId="0" fontId="20" fillId="2" borderId="6" xfId="12" applyFont="1" applyFill="1" applyBorder="1" applyAlignment="1">
      <alignment horizontal="center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18" fillId="2" borderId="0" xfId="13" applyFont="1" applyFill="1" applyAlignment="1">
      <alignment horizontal="center" vertical="center"/>
    </xf>
    <xf numFmtId="0" fontId="14" fillId="2" borderId="10" xfId="13" applyFont="1" applyFill="1" applyBorder="1" applyAlignment="1">
      <alignment horizontal="left" wrapText="1"/>
    </xf>
    <xf numFmtId="0" fontId="20" fillId="2" borderId="5" xfId="13" applyFont="1" applyFill="1" applyBorder="1" applyAlignment="1">
      <alignment horizontal="center" vertical="top"/>
    </xf>
    <xf numFmtId="0" fontId="14" fillId="2" borderId="10" xfId="13" applyFont="1" applyFill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right" vertical="top" wrapText="1"/>
    </xf>
    <xf numFmtId="49" fontId="8" fillId="0" borderId="2" xfId="2" applyNumberFormat="1" applyFont="1" applyBorder="1" applyAlignment="1">
      <alignment horizontal="right" vertical="top" wrapText="1"/>
    </xf>
    <xf numFmtId="49" fontId="8" fillId="0" borderId="3" xfId="2" applyNumberFormat="1" applyFont="1" applyBorder="1" applyAlignment="1">
      <alignment horizontal="right" vertical="top" wrapText="1"/>
    </xf>
    <xf numFmtId="49" fontId="9" fillId="0" borderId="5" xfId="3" applyNumberFormat="1" applyFont="1" applyBorder="1" applyAlignment="1">
      <alignment horizontal="center" vertical="top"/>
      <protection locked="0"/>
    </xf>
    <xf numFmtId="49" fontId="9" fillId="0" borderId="5" xfId="3" applyNumberFormat="1" applyFont="1" applyBorder="1" applyAlignment="1">
      <alignment horizontal="center" vertical="top" wrapText="1"/>
      <protection locked="0"/>
    </xf>
    <xf numFmtId="49" fontId="6" fillId="0" borderId="7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8" xfId="2" applyNumberFormat="1" applyFont="1" applyBorder="1" applyAlignment="1">
      <alignment horizontal="center"/>
    </xf>
    <xf numFmtId="0" fontId="6" fillId="0" borderId="0" xfId="2" applyFont="1" applyAlignment="1">
      <alignment horizontal="right"/>
    </xf>
    <xf numFmtId="0" fontId="6" fillId="0" borderId="8" xfId="2" applyFont="1" applyBorder="1" applyAlignment="1">
      <alignment horizontal="right"/>
    </xf>
    <xf numFmtId="49" fontId="6" fillId="0" borderId="1" xfId="2" applyNumberFormat="1" applyFont="1" applyBorder="1" applyAlignment="1">
      <alignment horizontal="center"/>
    </xf>
    <xf numFmtId="49" fontId="6" fillId="0" borderId="2" xfId="2" applyNumberFormat="1" applyFont="1" applyBorder="1" applyAlignment="1">
      <alignment horizontal="center"/>
    </xf>
    <xf numFmtId="49" fontId="6" fillId="0" borderId="3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8" xfId="2" applyFont="1" applyBorder="1" applyAlignment="1">
      <alignment horizontal="center"/>
    </xf>
    <xf numFmtId="49" fontId="6" fillId="0" borderId="15" xfId="8" applyNumberFormat="1" applyFont="1" applyBorder="1" applyAlignment="1">
      <alignment horizontal="left" vertical="top" wrapText="1"/>
    </xf>
    <xf numFmtId="49" fontId="6" fillId="0" borderId="13" xfId="8" applyNumberFormat="1" applyFont="1" applyBorder="1" applyAlignment="1">
      <alignment horizontal="left" vertical="top"/>
    </xf>
    <xf numFmtId="49" fontId="8" fillId="0" borderId="15" xfId="8" applyNumberFormat="1" applyFont="1" applyBorder="1" applyAlignment="1">
      <alignment horizontal="left" vertical="top" wrapText="1"/>
    </xf>
    <xf numFmtId="49" fontId="8" fillId="0" borderId="13" xfId="8" applyNumberFormat="1" applyFont="1" applyBorder="1" applyAlignment="1">
      <alignment horizontal="left" vertical="top"/>
    </xf>
    <xf numFmtId="0" fontId="6" fillId="0" borderId="1" xfId="8" applyFont="1" applyBorder="1" applyAlignment="1">
      <alignment horizontal="center" vertical="center" wrapText="1"/>
    </xf>
    <xf numFmtId="0" fontId="6" fillId="0" borderId="3" xfId="8" applyFont="1" applyBorder="1" applyAlignment="1">
      <alignment horizontal="center" vertical="center" wrapText="1"/>
    </xf>
    <xf numFmtId="0" fontId="6" fillId="0" borderId="2" xfId="8" applyFont="1" applyBorder="1" applyAlignment="1">
      <alignment horizontal="center" vertical="center" wrapText="1"/>
    </xf>
    <xf numFmtId="0" fontId="6" fillId="0" borderId="11" xfId="8" applyFont="1" applyBorder="1" applyAlignment="1">
      <alignment horizontal="center" vertical="center" wrapText="1"/>
    </xf>
    <xf numFmtId="0" fontId="6" fillId="0" borderId="14" xfId="8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49" fontId="6" fillId="0" borderId="9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/>
    </xf>
    <xf numFmtId="49" fontId="6" fillId="0" borderId="5" xfId="2" applyNumberFormat="1" applyFont="1" applyBorder="1" applyAlignment="1">
      <alignment horizontal="center"/>
    </xf>
    <xf numFmtId="49" fontId="6" fillId="0" borderId="6" xfId="2" applyNumberFormat="1" applyFont="1" applyBorder="1" applyAlignment="1">
      <alignment horizontal="center"/>
    </xf>
    <xf numFmtId="0" fontId="6" fillId="0" borderId="0" xfId="2" applyFont="1" applyAlignment="1">
      <alignment horizontal="left" vertical="top" wrapText="1"/>
    </xf>
    <xf numFmtId="0" fontId="6" fillId="0" borderId="7" xfId="2" applyFont="1" applyBorder="1" applyAlignment="1">
      <alignment horizontal="center"/>
    </xf>
    <xf numFmtId="49" fontId="18" fillId="0" borderId="9" xfId="8" applyNumberFormat="1" applyFont="1" applyBorder="1" applyAlignment="1">
      <alignment horizontal="left" vertical="top" wrapText="1"/>
    </xf>
    <xf numFmtId="49" fontId="6" fillId="0" borderId="3" xfId="8" applyNumberFormat="1" applyFont="1" applyBorder="1" applyAlignment="1">
      <alignment horizontal="left" vertical="top"/>
    </xf>
    <xf numFmtId="49" fontId="6" fillId="0" borderId="9" xfId="2" applyNumberFormat="1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/>
    </xf>
    <xf numFmtId="0" fontId="6" fillId="0" borderId="0" xfId="2" applyFont="1" applyAlignment="1">
      <alignment horizontal="left" vertical="top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10" xfId="2" applyFont="1" applyBorder="1" applyAlignment="1">
      <alignment horizontal="left" vertical="center" wrapText="1"/>
    </xf>
    <xf numFmtId="49" fontId="6" fillId="0" borderId="7" xfId="2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0" fontId="32" fillId="0" borderId="5" xfId="19" applyFont="1" applyBorder="1" applyAlignment="1">
      <alignment horizontal="center" vertical="top" wrapText="1"/>
    </xf>
    <xf numFmtId="0" fontId="32" fillId="0" borderId="0" xfId="19" applyFont="1" applyAlignment="1">
      <alignment horizontal="center" vertical="top" wrapText="1"/>
    </xf>
    <xf numFmtId="0" fontId="32" fillId="0" borderId="0" xfId="19" applyFont="1" applyAlignment="1">
      <alignment horizontal="left" wrapText="1"/>
    </xf>
    <xf numFmtId="0" fontId="32" fillId="2" borderId="9" xfId="19" applyFont="1" applyFill="1" applyBorder="1" applyAlignment="1">
      <alignment horizontal="center" vertical="center" wrapText="1"/>
    </xf>
    <xf numFmtId="0" fontId="32" fillId="0" borderId="0" xfId="19" applyFont="1" applyAlignment="1">
      <alignment horizontal="center"/>
    </xf>
    <xf numFmtId="0" fontId="40" fillId="0" borderId="0" xfId="19" applyFont="1" applyAlignment="1">
      <alignment horizontal="center" vertical="top" wrapText="1"/>
    </xf>
    <xf numFmtId="0" fontId="36" fillId="0" borderId="0" xfId="19" applyFont="1" applyAlignment="1">
      <alignment horizontal="left" wrapText="1"/>
    </xf>
    <xf numFmtId="0" fontId="36" fillId="2" borderId="1" xfId="19" applyFont="1" applyFill="1" applyBorder="1" applyAlignment="1">
      <alignment horizontal="right" vertical="center" wrapText="1"/>
    </xf>
    <xf numFmtId="0" fontId="36" fillId="2" borderId="2" xfId="19" applyFont="1" applyFill="1" applyBorder="1" applyAlignment="1">
      <alignment horizontal="right" vertical="center" wrapText="1"/>
    </xf>
    <xf numFmtId="0" fontId="36" fillId="2" borderId="3" xfId="19" applyFont="1" applyFill="1" applyBorder="1" applyAlignment="1">
      <alignment horizontal="right" vertical="center" wrapText="1"/>
    </xf>
    <xf numFmtId="0" fontId="32" fillId="0" borderId="0" xfId="19" applyFont="1" applyAlignment="1">
      <alignment horizontal="left" vertical="top" wrapText="1"/>
    </xf>
    <xf numFmtId="0" fontId="36" fillId="0" borderId="0" xfId="19" applyFont="1" applyAlignment="1">
      <alignment horizontal="center" vertical="top" wrapText="1"/>
    </xf>
    <xf numFmtId="0" fontId="32" fillId="0" borderId="0" xfId="19" applyFont="1" applyAlignment="1">
      <alignment horizontal="center" vertical="center" wrapText="1"/>
    </xf>
    <xf numFmtId="0" fontId="30" fillId="0" borderId="0" xfId="19" applyFont="1" applyAlignment="1">
      <alignment horizontal="left" vertical="center"/>
    </xf>
    <xf numFmtId="0" fontId="30" fillId="0" borderId="0" xfId="19" applyFont="1" applyAlignment="1">
      <alignment horizontal="left" wrapText="1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1" xfId="19" applyFont="1" applyFill="1" applyBorder="1" applyAlignment="1">
      <alignment horizontal="center" vertical="center" wrapText="1"/>
    </xf>
    <xf numFmtId="0" fontId="32" fillId="2" borderId="3" xfId="19" applyFont="1" applyFill="1" applyBorder="1" applyAlignment="1">
      <alignment horizontal="center" vertical="center" wrapText="1"/>
    </xf>
  </cellXfs>
  <cellStyles count="24">
    <cellStyle name="Денежный [0] 2" xfId="18"/>
    <cellStyle name="Итоги" xfId="4"/>
    <cellStyle name="ЛокСмета" xfId="5"/>
    <cellStyle name="Обычный" xfId="0" builtinId="0"/>
    <cellStyle name="Обычный 10" xfId="3"/>
    <cellStyle name="Обычный 2" xfId="8"/>
    <cellStyle name="Обычный 2 2" xfId="13"/>
    <cellStyle name="Обычный 2 3" xfId="7"/>
    <cellStyle name="Обычный 2 4" xfId="2"/>
    <cellStyle name="Обычный 29" xfId="1"/>
    <cellStyle name="Обычный 3" xfId="12"/>
    <cellStyle name="Обычный 3 2" xfId="14"/>
    <cellStyle name="Обычный 31 2" xfId="6"/>
    <cellStyle name="Обычный 4" xfId="19"/>
    <cellStyle name="Обычный 5" xfId="20"/>
    <cellStyle name="Обычный 5 2" xfId="23"/>
    <cellStyle name="Обычный 9" xfId="11"/>
    <cellStyle name="Обычный_Мои данные" xfId="15"/>
    <cellStyle name="ПИР" xfId="21"/>
    <cellStyle name="Титул" xfId="16"/>
    <cellStyle name="Финансовый 2" xfId="9"/>
    <cellStyle name="Финансовый 2 2" xfId="10"/>
    <cellStyle name="Финансовый 3" xfId="17"/>
    <cellStyle name="Хвост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1%20&#1071;&#1085;&#1090;&#1072;&#1088;&#1100;-&#1085;&#1072;&#1073;&#1077;&#1088;&#1077;&#1078;&#1085;&#1072;&#1103;\&#1082;&#1089;-2,3\&#1084;&#1072;&#1088;&#1090;\!!!%20&#1056;&#1045;&#1045;&#1057;&#1058;&#1056;%20&#1084;&#1072;&#1088;&#1090;+&#1082;&#1089;-3%20&#8470;9%20&#1082;&#1089;-2%20(&#8470;51-55)_29.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4;&#1099;&#1087;&#1086;&#1083;&#1085;&#1077;&#1085;&#1080;&#1077;%20&#1086;&#1082;&#1090;&#1103;&#1073;&#1088;&#1100;/&#1074;&#1099;&#1087;&#1086;&#1083;&#1085;&#1077;&#1085;&#1080;&#1077;%20&#1086;&#1082;&#1090;&#1103;&#1073;&#1088;&#1100;/05-03-01%20&#1055;&#1046;%20&#1089;%20&#1086;&#1090;&#1084;&#1077;&#1090;&#1082;&#1072;&#1084;&#1080;%20&#1074;&#1099;&#1087;&#1086;&#1083;&#1085;&#1077;&#1085;&#1080;&#1103;%2009.10.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&#1071;&#1085;&#1090;&#1072;&#1088;&#1100;\&#1082;&#1089;-2,3\&#1086;&#1082;&#1090;&#1103;&#1073;&#1088;&#1100;\09.11.22%20!!!%20&#1056;&#1045;&#1045;&#1057;&#1058;&#1056;%20&#1086;&#1082;&#1090;&#1103;&#1073;&#1088;&#1100;+&#1082;&#1089;-3%20&#8470;4,%20&#1082;&#1089;-2%20(&#8470;20-28)_&#1071;&#1085;&#1090;&#1072;&#1088;&#1100;_&#1082;&#1086;&#1088;&#1088;.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март"/>
      <sheetName val="р март"/>
      <sheetName val="51 02-01-01 (2016)"/>
      <sheetName val="43 02-01-01(2016)-100%"/>
      <sheetName val="52 02-01-01 ДОБ"/>
      <sheetName val="53_06-01-01 ДОБ "/>
      <sheetName val="54_02-01-03 ДОБ"/>
      <sheetName val="№10_(Непредвиденные расходы "/>
      <sheetName val="кс-3 январь-2"/>
      <sheetName val="р январь-2"/>
      <sheetName val="46_02-01-01(2016)"/>
      <sheetName val="М-29 нояб"/>
    </sheetNames>
    <sheetDataSet>
      <sheetData sheetId="0"/>
      <sheetData sheetId="1">
        <row r="11">
          <cell r="E11">
            <v>6377978</v>
          </cell>
        </row>
        <row r="12">
          <cell r="E12">
            <v>3611065</v>
          </cell>
        </row>
        <row r="13">
          <cell r="E13">
            <v>6097</v>
          </cell>
        </row>
        <row r="14">
          <cell r="E14">
            <v>551265</v>
          </cell>
        </row>
        <row r="15">
          <cell r="E15">
            <v>46418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-03-01 (в.5) ПЖ - ЛСР по Мето"/>
    </sheetNames>
    <sheetDataSet>
      <sheetData sheetId="0">
        <row r="892">
          <cell r="U892">
            <v>76799412.425999999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окт"/>
      <sheetName val="р октябрь"/>
      <sheetName val="20_01-02-01(2016)"/>
      <sheetName val="21_01-02-01 ДОБ"/>
      <sheetName val="22_02-01-01 (2016)"/>
      <sheetName val="23_02-01-01 ДОБ "/>
      <sheetName val="24_02-01-02(2016)"/>
      <sheetName val="25_02-01-03 ДОБ "/>
      <sheetName val="26_09-02-01ДОБ"/>
      <sheetName val="М-29 окт"/>
      <sheetName val="М-29-ЯНТАРЬ (авгус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8"/>
  <sheetViews>
    <sheetView view="pageBreakPreview" topLeftCell="C52" zoomScale="90" zoomScaleNormal="82" zoomScaleSheetLayoutView="90" workbookViewId="0">
      <selection activeCell="N25" sqref="N25:O25"/>
    </sheetView>
  </sheetViews>
  <sheetFormatPr defaultColWidth="9.140625" defaultRowHeight="15" outlineLevelCol="1" x14ac:dyDescent="0.25"/>
  <cols>
    <col min="1" max="1" width="18" style="80" customWidth="1"/>
    <col min="2" max="2" width="9.140625" style="80"/>
    <col min="3" max="3" width="53.85546875" style="80" customWidth="1"/>
    <col min="4" max="4" width="7.5703125" style="80" customWidth="1"/>
    <col min="5" max="5" width="6.7109375" style="80" customWidth="1"/>
    <col min="6" max="6" width="5.5703125" style="80" customWidth="1"/>
    <col min="7" max="7" width="10.28515625" style="80" customWidth="1"/>
    <col min="8" max="8" width="5.7109375" style="80" customWidth="1"/>
    <col min="9" max="9" width="6.7109375" style="80" customWidth="1"/>
    <col min="10" max="10" width="11.140625" style="80" customWidth="1"/>
    <col min="11" max="11" width="9.140625" style="80" hidden="1" customWidth="1"/>
    <col min="12" max="12" width="10.7109375" style="80" customWidth="1"/>
    <col min="13" max="13" width="13" style="80" customWidth="1"/>
    <col min="14" max="14" width="12.28515625" style="80" customWidth="1"/>
    <col min="15" max="15" width="12.42578125" style="80" customWidth="1"/>
    <col min="16" max="16" width="18.7109375" style="117" customWidth="1"/>
    <col min="17" max="19" width="10.7109375" style="308" customWidth="1" outlineLevel="1"/>
    <col min="20" max="20" width="10.7109375" style="309" customWidth="1" outlineLevel="1"/>
    <col min="21" max="22" width="10.7109375" style="308" customWidth="1" outlineLevel="1"/>
    <col min="23" max="26" width="10.7109375" style="310" customWidth="1" outlineLevel="1"/>
    <col min="27" max="27" width="13" style="82" customWidth="1"/>
    <col min="28" max="29" width="9.140625" style="82"/>
    <col min="30" max="30" width="17.140625" style="82" customWidth="1"/>
    <col min="31" max="31" width="9.140625" style="82"/>
    <col min="32" max="32" width="12.5703125" style="82" customWidth="1"/>
    <col min="33" max="16384" width="9.140625" style="82"/>
  </cols>
  <sheetData>
    <row r="1" spans="1:16" x14ac:dyDescent="0.25">
      <c r="A1" s="354"/>
      <c r="B1" s="354"/>
      <c r="C1" s="354"/>
      <c r="D1" s="354"/>
      <c r="E1" s="354"/>
      <c r="F1" s="354"/>
      <c r="G1" s="418" t="s">
        <v>240</v>
      </c>
      <c r="H1" s="418"/>
      <c r="I1" s="418"/>
      <c r="J1" s="418"/>
      <c r="K1" s="418"/>
      <c r="L1" s="418"/>
      <c r="M1" s="418"/>
      <c r="N1" s="418"/>
      <c r="O1" s="418"/>
      <c r="P1" s="116"/>
    </row>
    <row r="2" spans="1:16" x14ac:dyDescent="0.2">
      <c r="A2" s="354"/>
      <c r="B2" s="354"/>
      <c r="C2" s="354"/>
      <c r="D2" s="354"/>
      <c r="E2" s="354"/>
      <c r="F2" s="354"/>
      <c r="G2" s="404" t="s">
        <v>241</v>
      </c>
      <c r="H2" s="404"/>
      <c r="I2" s="404"/>
      <c r="J2" s="404"/>
      <c r="K2" s="404"/>
      <c r="L2" s="404"/>
      <c r="M2" s="404"/>
      <c r="N2" s="404"/>
      <c r="O2" s="404"/>
      <c r="P2" s="118"/>
    </row>
    <row r="3" spans="1:16" x14ac:dyDescent="0.2">
      <c r="A3" s="354"/>
      <c r="B3" s="354"/>
      <c r="C3" s="354"/>
      <c r="D3" s="354"/>
      <c r="E3" s="354"/>
      <c r="F3" s="354"/>
      <c r="G3" s="404" t="s">
        <v>242</v>
      </c>
      <c r="H3" s="404"/>
      <c r="I3" s="404"/>
      <c r="J3" s="404"/>
      <c r="K3" s="404"/>
      <c r="L3" s="404"/>
      <c r="M3" s="404"/>
      <c r="N3" s="404"/>
      <c r="O3" s="404"/>
      <c r="P3" s="118"/>
    </row>
    <row r="4" spans="1:16" x14ac:dyDescent="0.2">
      <c r="A4" s="35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420" t="s">
        <v>0</v>
      </c>
      <c r="N4" s="358"/>
      <c r="O4" s="421"/>
      <c r="P4" s="119"/>
    </row>
    <row r="5" spans="1:16" ht="24.95" customHeight="1" x14ac:dyDescent="0.25">
      <c r="A5" s="120"/>
      <c r="B5" s="121"/>
      <c r="C5" s="121"/>
      <c r="D5" s="121"/>
      <c r="E5" s="121"/>
      <c r="F5" s="121"/>
      <c r="G5" s="121"/>
      <c r="H5" s="121"/>
      <c r="I5" s="121"/>
      <c r="J5" s="404" t="s">
        <v>1</v>
      </c>
      <c r="K5" s="404"/>
      <c r="L5" s="404"/>
      <c r="M5" s="422" t="s">
        <v>243</v>
      </c>
      <c r="N5" s="423"/>
      <c r="O5" s="424"/>
      <c r="P5" s="122"/>
    </row>
    <row r="6" spans="1:16" ht="24.95" customHeight="1" x14ac:dyDescent="0.25">
      <c r="A6" s="120" t="s">
        <v>244</v>
      </c>
      <c r="B6" s="123"/>
      <c r="C6" s="123"/>
      <c r="D6" s="123"/>
      <c r="E6" s="123"/>
      <c r="F6" s="123"/>
      <c r="G6" s="123"/>
      <c r="H6" s="123"/>
      <c r="I6" s="123"/>
      <c r="J6" s="123"/>
      <c r="K6" s="121"/>
      <c r="L6" s="124" t="s">
        <v>4</v>
      </c>
      <c r="M6" s="400"/>
      <c r="N6" s="401"/>
      <c r="O6" s="402"/>
      <c r="P6" s="125"/>
    </row>
    <row r="7" spans="1:16" ht="24.95" customHeight="1" x14ac:dyDescent="0.25">
      <c r="A7" s="120"/>
      <c r="B7" s="123"/>
      <c r="C7" s="403" t="s">
        <v>5</v>
      </c>
      <c r="D7" s="403"/>
      <c r="E7" s="403"/>
      <c r="F7" s="403"/>
      <c r="G7" s="403"/>
      <c r="H7" s="403"/>
      <c r="I7" s="123"/>
      <c r="J7" s="123"/>
      <c r="K7" s="121"/>
      <c r="L7" s="124"/>
      <c r="M7" s="126"/>
      <c r="N7" s="127"/>
      <c r="O7" s="128"/>
      <c r="P7" s="125"/>
    </row>
    <row r="8" spans="1:16" ht="44.25" customHeight="1" x14ac:dyDescent="0.2">
      <c r="A8" s="129" t="s">
        <v>29</v>
      </c>
      <c r="B8" s="410" t="s">
        <v>245</v>
      </c>
      <c r="C8" s="410"/>
      <c r="D8" s="410"/>
      <c r="E8" s="410"/>
      <c r="F8" s="410"/>
      <c r="G8" s="410"/>
      <c r="H8" s="410"/>
      <c r="I8" s="410"/>
      <c r="J8" s="410"/>
      <c r="K8" s="124"/>
      <c r="L8" s="124" t="s">
        <v>4</v>
      </c>
      <c r="M8" s="395" t="s">
        <v>30</v>
      </c>
      <c r="N8" s="396"/>
      <c r="O8" s="397"/>
      <c r="P8" s="130"/>
    </row>
    <row r="9" spans="1:16" ht="24.95" customHeight="1" x14ac:dyDescent="0.2">
      <c r="A9" s="129"/>
      <c r="B9" s="131"/>
      <c r="C9" s="403" t="s">
        <v>5</v>
      </c>
      <c r="D9" s="403"/>
      <c r="E9" s="403"/>
      <c r="F9" s="403"/>
      <c r="G9" s="403"/>
      <c r="H9" s="403"/>
      <c r="I9" s="131"/>
      <c r="J9" s="131"/>
      <c r="K9" s="124"/>
      <c r="L9" s="124"/>
      <c r="M9" s="132"/>
      <c r="N9" s="133"/>
      <c r="O9" s="134"/>
      <c r="P9" s="122"/>
    </row>
    <row r="10" spans="1:16" ht="38.25" customHeight="1" x14ac:dyDescent="0.2">
      <c r="A10" s="129" t="s">
        <v>31</v>
      </c>
      <c r="B10" s="410" t="s">
        <v>246</v>
      </c>
      <c r="C10" s="410"/>
      <c r="D10" s="410"/>
      <c r="E10" s="410"/>
      <c r="F10" s="410"/>
      <c r="G10" s="410"/>
      <c r="H10" s="410"/>
      <c r="I10" s="410"/>
      <c r="J10" s="410"/>
      <c r="K10" s="121"/>
      <c r="L10" s="124" t="s">
        <v>4</v>
      </c>
      <c r="M10" s="419">
        <v>79730368</v>
      </c>
      <c r="N10" s="392"/>
      <c r="O10" s="393"/>
      <c r="P10" s="135"/>
    </row>
    <row r="11" spans="1:16" ht="24.95" customHeight="1" x14ac:dyDescent="0.25">
      <c r="A11" s="120"/>
      <c r="B11" s="136"/>
      <c r="C11" s="403" t="s">
        <v>5</v>
      </c>
      <c r="D11" s="403"/>
      <c r="E11" s="403"/>
      <c r="F11" s="403"/>
      <c r="G11" s="403"/>
      <c r="H11" s="403"/>
      <c r="I11" s="136"/>
      <c r="J11" s="136"/>
      <c r="K11" s="121"/>
      <c r="L11" s="124"/>
      <c r="M11" s="137"/>
      <c r="N11" s="138"/>
      <c r="O11" s="139"/>
      <c r="P11" s="119"/>
    </row>
    <row r="12" spans="1:16" ht="55.5" customHeight="1" x14ac:dyDescent="0.2">
      <c r="A12" s="129" t="s">
        <v>46</v>
      </c>
      <c r="B12" s="410" t="s">
        <v>247</v>
      </c>
      <c r="C12" s="410"/>
      <c r="D12" s="410"/>
      <c r="E12" s="410"/>
      <c r="F12" s="410"/>
      <c r="G12" s="410"/>
      <c r="H12" s="410"/>
      <c r="I12" s="410"/>
      <c r="J12" s="410"/>
      <c r="K12" s="121"/>
      <c r="L12" s="124" t="s">
        <v>4</v>
      </c>
      <c r="M12" s="408"/>
      <c r="N12" s="403"/>
      <c r="O12" s="409"/>
      <c r="P12" s="119"/>
    </row>
    <row r="13" spans="1:16" ht="24.95" customHeight="1" x14ac:dyDescent="0.25">
      <c r="A13" s="121"/>
      <c r="B13" s="140"/>
      <c r="C13" s="141"/>
      <c r="D13" s="121"/>
      <c r="E13" s="121"/>
      <c r="F13" s="121"/>
      <c r="G13" s="121"/>
      <c r="H13" s="121"/>
      <c r="I13" s="121"/>
      <c r="J13" s="124"/>
      <c r="K13" s="124"/>
      <c r="L13" s="124"/>
      <c r="M13" s="411"/>
      <c r="N13" s="386"/>
      <c r="O13" s="412"/>
      <c r="P13" s="119"/>
    </row>
    <row r="14" spans="1:16" ht="24.95" customHeight="1" x14ac:dyDescent="0.2">
      <c r="A14" s="413" t="s">
        <v>248</v>
      </c>
      <c r="B14" s="413"/>
      <c r="C14" s="413"/>
      <c r="D14" s="413"/>
      <c r="E14" s="413"/>
      <c r="F14" s="413"/>
      <c r="G14" s="413"/>
      <c r="H14" s="413"/>
      <c r="I14" s="413"/>
      <c r="J14" s="413"/>
      <c r="K14" s="413"/>
      <c r="L14" s="414"/>
      <c r="M14" s="395" t="s">
        <v>33</v>
      </c>
      <c r="N14" s="396"/>
      <c r="O14" s="397"/>
      <c r="P14" s="130"/>
    </row>
    <row r="15" spans="1:16" ht="24.95" customHeight="1" x14ac:dyDescent="0.2">
      <c r="A15" s="404" t="s">
        <v>8</v>
      </c>
      <c r="B15" s="404"/>
      <c r="C15" s="404"/>
      <c r="D15" s="404"/>
      <c r="E15" s="404"/>
      <c r="F15" s="404"/>
      <c r="G15" s="404"/>
      <c r="H15" s="404"/>
      <c r="I15" s="404"/>
      <c r="J15" s="404"/>
      <c r="K15" s="404"/>
      <c r="L15" s="142" t="s">
        <v>249</v>
      </c>
      <c r="M15" s="415" t="s">
        <v>34</v>
      </c>
      <c r="N15" s="416"/>
      <c r="O15" s="417"/>
      <c r="P15" s="143"/>
    </row>
    <row r="16" spans="1:16" ht="24.95" customHeight="1" x14ac:dyDescent="0.2">
      <c r="A16" s="404"/>
      <c r="B16" s="404"/>
      <c r="C16" s="404"/>
      <c r="D16" s="404"/>
      <c r="E16" s="404"/>
      <c r="F16" s="404"/>
      <c r="G16" s="404"/>
      <c r="H16" s="404"/>
      <c r="I16" s="404"/>
      <c r="J16" s="404"/>
      <c r="K16" s="404"/>
      <c r="L16" s="142" t="s">
        <v>10</v>
      </c>
      <c r="M16" s="144" t="s">
        <v>50</v>
      </c>
      <c r="N16" s="144" t="s">
        <v>51</v>
      </c>
      <c r="O16" s="145">
        <v>2022</v>
      </c>
      <c r="P16" s="146"/>
    </row>
    <row r="17" spans="1:26" ht="18" hidden="1" customHeight="1" x14ac:dyDescent="0.2">
      <c r="A17" s="124"/>
      <c r="B17" s="124"/>
      <c r="C17" s="124"/>
      <c r="D17" s="124"/>
      <c r="E17" s="124"/>
      <c r="F17" s="124"/>
      <c r="G17" s="357" t="s">
        <v>35</v>
      </c>
      <c r="H17" s="357"/>
      <c r="I17" s="357"/>
      <c r="J17" s="357"/>
      <c r="K17" s="124"/>
      <c r="L17" s="147" t="s">
        <v>249</v>
      </c>
      <c r="M17" s="405" t="s">
        <v>18</v>
      </c>
      <c r="N17" s="406"/>
      <c r="O17" s="407"/>
      <c r="P17" s="148"/>
    </row>
    <row r="18" spans="1:26" ht="24.95" hidden="1" customHeight="1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47" t="s">
        <v>10</v>
      </c>
      <c r="M18" s="144" t="s">
        <v>52</v>
      </c>
      <c r="N18" s="144" t="s">
        <v>250</v>
      </c>
      <c r="O18" s="145">
        <v>2022</v>
      </c>
      <c r="P18" s="146"/>
    </row>
    <row r="19" spans="1:26" ht="18" customHeight="1" x14ac:dyDescent="0.2">
      <c r="A19" s="124"/>
      <c r="B19" s="124"/>
      <c r="C19" s="124"/>
      <c r="D19" s="124"/>
      <c r="E19" s="124"/>
      <c r="F19" s="124"/>
      <c r="G19" s="357" t="s">
        <v>35</v>
      </c>
      <c r="H19" s="357"/>
      <c r="I19" s="357"/>
      <c r="J19" s="357"/>
      <c r="K19" s="124"/>
      <c r="L19" s="147" t="s">
        <v>249</v>
      </c>
      <c r="M19" s="405" t="s">
        <v>25</v>
      </c>
      <c r="N19" s="406"/>
      <c r="O19" s="407"/>
      <c r="P19" s="148"/>
    </row>
    <row r="20" spans="1:26" ht="24.95" customHeight="1" x14ac:dyDescent="0.2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47" t="s">
        <v>10</v>
      </c>
      <c r="M20" s="144" t="s">
        <v>50</v>
      </c>
      <c r="N20" s="144" t="s">
        <v>81</v>
      </c>
      <c r="O20" s="145">
        <v>2022</v>
      </c>
      <c r="P20" s="146"/>
    </row>
    <row r="21" spans="1:26" ht="24.95" customHeight="1" x14ac:dyDescent="0.2">
      <c r="A21" s="404" t="s">
        <v>11</v>
      </c>
      <c r="B21" s="404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8"/>
      <c r="N21" s="403"/>
      <c r="O21" s="409"/>
      <c r="P21" s="119"/>
    </row>
    <row r="22" spans="1:26" ht="9" customHeight="1" x14ac:dyDescent="0.2">
      <c r="A22" s="357"/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119"/>
    </row>
    <row r="23" spans="1:26" ht="24.95" customHeight="1" x14ac:dyDescent="0.2">
      <c r="A23" s="357"/>
      <c r="B23" s="357"/>
      <c r="C23" s="357"/>
      <c r="D23" s="357"/>
      <c r="E23" s="357"/>
      <c r="F23" s="381" t="s">
        <v>12</v>
      </c>
      <c r="G23" s="381"/>
      <c r="H23" s="381"/>
      <c r="I23" s="381" t="s">
        <v>13</v>
      </c>
      <c r="J23" s="381"/>
      <c r="K23" s="394"/>
      <c r="L23" s="394" t="s">
        <v>14</v>
      </c>
      <c r="M23" s="394"/>
      <c r="N23" s="394"/>
      <c r="O23" s="394"/>
      <c r="P23" s="119"/>
    </row>
    <row r="24" spans="1:26" ht="24.95" customHeight="1" x14ac:dyDescent="0.2">
      <c r="A24" s="357"/>
      <c r="B24" s="357"/>
      <c r="C24" s="357"/>
      <c r="D24" s="357"/>
      <c r="E24" s="357"/>
      <c r="F24" s="381"/>
      <c r="G24" s="381"/>
      <c r="H24" s="381"/>
      <c r="I24" s="381"/>
      <c r="J24" s="381"/>
      <c r="K24" s="394"/>
      <c r="L24" s="394" t="s">
        <v>15</v>
      </c>
      <c r="M24" s="394"/>
      <c r="N24" s="394" t="s">
        <v>16</v>
      </c>
      <c r="O24" s="394"/>
      <c r="P24" s="119"/>
    </row>
    <row r="25" spans="1:26" ht="21" customHeight="1" x14ac:dyDescent="0.2">
      <c r="A25" s="357"/>
      <c r="B25" s="357"/>
      <c r="C25" s="357"/>
      <c r="D25" s="357"/>
      <c r="E25" s="357"/>
      <c r="F25" s="395" t="s">
        <v>80</v>
      </c>
      <c r="G25" s="396"/>
      <c r="H25" s="397"/>
      <c r="I25" s="398">
        <f>N25</f>
        <v>45041</v>
      </c>
      <c r="J25" s="399"/>
      <c r="K25" s="394"/>
      <c r="L25" s="398">
        <v>45011</v>
      </c>
      <c r="M25" s="393"/>
      <c r="N25" s="398">
        <v>45041</v>
      </c>
      <c r="O25" s="393"/>
      <c r="P25" s="135"/>
    </row>
    <row r="26" spans="1:26" ht="8.25" customHeight="1" x14ac:dyDescent="0.2">
      <c r="A26" s="150"/>
      <c r="B26" s="150"/>
      <c r="C26" s="150"/>
      <c r="D26" s="150"/>
      <c r="E26" s="150"/>
      <c r="F26" s="151"/>
      <c r="G26" s="150"/>
      <c r="H26" s="150"/>
      <c r="I26" s="152"/>
      <c r="J26" s="150"/>
      <c r="K26" s="150"/>
      <c r="L26" s="150"/>
      <c r="M26" s="150"/>
      <c r="N26" s="152"/>
      <c r="O26" s="150"/>
      <c r="P26" s="119"/>
    </row>
    <row r="27" spans="1:26" ht="12.75" customHeight="1" x14ac:dyDescent="0.2">
      <c r="A27" s="357" t="s">
        <v>251</v>
      </c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119"/>
    </row>
    <row r="28" spans="1:26" ht="12.75" customHeight="1" x14ac:dyDescent="0.2">
      <c r="A28" s="386" t="s">
        <v>252</v>
      </c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119"/>
    </row>
    <row r="29" spans="1:26" ht="18" customHeight="1" x14ac:dyDescent="0.2">
      <c r="A29" s="381" t="s">
        <v>253</v>
      </c>
      <c r="B29" s="387" t="s">
        <v>254</v>
      </c>
      <c r="C29" s="388"/>
      <c r="D29" s="387" t="s">
        <v>0</v>
      </c>
      <c r="E29" s="391" t="s">
        <v>255</v>
      </c>
      <c r="F29" s="392"/>
      <c r="G29" s="392"/>
      <c r="H29" s="392"/>
      <c r="I29" s="392"/>
      <c r="J29" s="392"/>
      <c r="K29" s="392"/>
      <c r="L29" s="392"/>
      <c r="M29" s="392"/>
      <c r="N29" s="392"/>
      <c r="O29" s="393"/>
      <c r="P29" s="135"/>
    </row>
    <row r="30" spans="1:26" ht="36.75" customHeight="1" x14ac:dyDescent="0.2">
      <c r="A30" s="381"/>
      <c r="B30" s="389"/>
      <c r="C30" s="390"/>
      <c r="D30" s="389"/>
      <c r="E30" s="391" t="s">
        <v>256</v>
      </c>
      <c r="F30" s="392"/>
      <c r="G30" s="392"/>
      <c r="H30" s="391" t="s">
        <v>257</v>
      </c>
      <c r="I30" s="392"/>
      <c r="J30" s="392"/>
      <c r="K30" s="392"/>
      <c r="L30" s="391" t="s">
        <v>258</v>
      </c>
      <c r="M30" s="392"/>
      <c r="N30" s="392"/>
      <c r="O30" s="393"/>
      <c r="P30" s="135"/>
    </row>
    <row r="31" spans="1:26" ht="17.25" customHeight="1" x14ac:dyDescent="0.2">
      <c r="A31" s="153">
        <v>1</v>
      </c>
      <c r="B31" s="381">
        <v>2</v>
      </c>
      <c r="C31" s="381"/>
      <c r="D31" s="153">
        <v>3</v>
      </c>
      <c r="E31" s="381">
        <v>4</v>
      </c>
      <c r="F31" s="381"/>
      <c r="G31" s="381"/>
      <c r="H31" s="381">
        <v>5</v>
      </c>
      <c r="I31" s="381"/>
      <c r="J31" s="381"/>
      <c r="K31" s="381"/>
      <c r="L31" s="381">
        <v>6</v>
      </c>
      <c r="M31" s="381"/>
      <c r="N31" s="381"/>
      <c r="O31" s="381"/>
      <c r="P31" s="382" t="s">
        <v>259</v>
      </c>
      <c r="Q31" s="311" t="s">
        <v>260</v>
      </c>
      <c r="R31" s="311" t="s">
        <v>261</v>
      </c>
      <c r="S31" s="311" t="s">
        <v>262</v>
      </c>
      <c r="T31" s="312" t="s">
        <v>263</v>
      </c>
      <c r="U31" s="311" t="s">
        <v>264</v>
      </c>
      <c r="V31" s="311" t="s">
        <v>265</v>
      </c>
      <c r="W31" s="311" t="s">
        <v>652</v>
      </c>
      <c r="X31" s="311" t="s">
        <v>651</v>
      </c>
      <c r="Y31" s="311" t="s">
        <v>266</v>
      </c>
      <c r="Z31" s="311" t="s">
        <v>659</v>
      </c>
    </row>
    <row r="32" spans="1:26" s="276" customFormat="1" ht="23.25" customHeight="1" x14ac:dyDescent="0.2">
      <c r="A32" s="153"/>
      <c r="B32" s="384" t="s">
        <v>267</v>
      </c>
      <c r="C32" s="385"/>
      <c r="D32" s="156"/>
      <c r="E32" s="367"/>
      <c r="F32" s="368"/>
      <c r="G32" s="369"/>
      <c r="H32" s="367"/>
      <c r="I32" s="368"/>
      <c r="J32" s="368"/>
      <c r="K32" s="157"/>
      <c r="L32" s="367"/>
      <c r="M32" s="368"/>
      <c r="N32" s="368"/>
      <c r="O32" s="369"/>
      <c r="P32" s="383"/>
      <c r="Q32" s="313">
        <f>SUM(Q33:Q45)</f>
        <v>3343116</v>
      </c>
      <c r="R32" s="313">
        <f t="shared" ref="R32:T32" si="0">SUM(R33:R45)</f>
        <v>16959455</v>
      </c>
      <c r="S32" s="313">
        <f t="shared" si="0"/>
        <v>16778150</v>
      </c>
      <c r="T32" s="313">
        <f t="shared" si="0"/>
        <v>32470175</v>
      </c>
      <c r="U32" s="313">
        <f>SUM(U33:U51)</f>
        <v>25944077</v>
      </c>
      <c r="V32" s="313">
        <f>SUM(V33:V51)</f>
        <v>6707148</v>
      </c>
      <c r="W32" s="313">
        <f>SUM(W33:W51)</f>
        <v>13066079</v>
      </c>
      <c r="X32" s="313">
        <f>SUM(X33:X51)</f>
        <v>11787355</v>
      </c>
      <c r="Y32" s="313">
        <f>SUM(Y33:Y54)</f>
        <v>10592823</v>
      </c>
      <c r="Z32" s="313">
        <f>SUM(Z33:Z54)</f>
        <v>49469910</v>
      </c>
    </row>
    <row r="33" spans="1:26" s="276" customFormat="1" ht="40.5" customHeight="1" x14ac:dyDescent="0.2">
      <c r="A33" s="153">
        <v>1</v>
      </c>
      <c r="B33" s="379" t="s">
        <v>268</v>
      </c>
      <c r="C33" s="380"/>
      <c r="D33" s="156"/>
      <c r="E33" s="376">
        <f>59845+H33</f>
        <v>59845</v>
      </c>
      <c r="F33" s="377"/>
      <c r="G33" s="378"/>
      <c r="H33" s="376">
        <f>0+L33</f>
        <v>0</v>
      </c>
      <c r="I33" s="377"/>
      <c r="J33" s="377"/>
      <c r="K33" s="160"/>
      <c r="L33" s="376"/>
      <c r="M33" s="377"/>
      <c r="N33" s="377"/>
      <c r="O33" s="378"/>
      <c r="P33" s="161">
        <f>SUM(Q33:Z33)</f>
        <v>59845</v>
      </c>
      <c r="Q33" s="314"/>
      <c r="R33" s="314">
        <v>59845</v>
      </c>
      <c r="S33" s="314"/>
      <c r="T33" s="314">
        <v>0</v>
      </c>
      <c r="U33" s="314"/>
      <c r="V33" s="314"/>
      <c r="W33" s="315"/>
      <c r="X33" s="315"/>
      <c r="Y33" s="315"/>
      <c r="Z33" s="315"/>
    </row>
    <row r="34" spans="1:26" s="276" customFormat="1" ht="28.5" customHeight="1" x14ac:dyDescent="0.2">
      <c r="A34" s="153">
        <f>A33+1</f>
        <v>2</v>
      </c>
      <c r="B34" s="379" t="s">
        <v>269</v>
      </c>
      <c r="C34" s="380"/>
      <c r="D34" s="156"/>
      <c r="E34" s="376">
        <f>286013+H34</f>
        <v>286013</v>
      </c>
      <c r="F34" s="377"/>
      <c r="G34" s="378"/>
      <c r="H34" s="376">
        <f t="shared" ref="H34:H37" si="1">0+L34</f>
        <v>0</v>
      </c>
      <c r="I34" s="377"/>
      <c r="J34" s="377"/>
      <c r="K34" s="165"/>
      <c r="L34" s="376"/>
      <c r="M34" s="377"/>
      <c r="N34" s="377"/>
      <c r="O34" s="378"/>
      <c r="P34" s="161">
        <f t="shared" ref="P34:P54" si="2">SUM(Q34:Z34)</f>
        <v>286013</v>
      </c>
      <c r="Q34" s="314">
        <v>286013</v>
      </c>
      <c r="R34" s="314"/>
      <c r="S34" s="314"/>
      <c r="T34" s="314"/>
      <c r="U34" s="314"/>
      <c r="V34" s="314"/>
      <c r="W34" s="315"/>
      <c r="X34" s="315"/>
      <c r="Y34" s="315"/>
      <c r="Z34" s="315"/>
    </row>
    <row r="35" spans="1:26" s="276" customFormat="1" ht="39.950000000000003" customHeight="1" x14ac:dyDescent="0.2">
      <c r="A35" s="153">
        <f t="shared" ref="A35:A54" si="3">A34+1</f>
        <v>3</v>
      </c>
      <c r="B35" s="379" t="s">
        <v>270</v>
      </c>
      <c r="C35" s="380"/>
      <c r="D35" s="156"/>
      <c r="E35" s="376">
        <f>314815+H35</f>
        <v>314815</v>
      </c>
      <c r="F35" s="377"/>
      <c r="G35" s="378"/>
      <c r="H35" s="376">
        <f t="shared" si="1"/>
        <v>0</v>
      </c>
      <c r="I35" s="377"/>
      <c r="J35" s="377"/>
      <c r="K35" s="165"/>
      <c r="L35" s="376"/>
      <c r="M35" s="377"/>
      <c r="N35" s="377"/>
      <c r="O35" s="378"/>
      <c r="P35" s="161">
        <f t="shared" si="2"/>
        <v>314815</v>
      </c>
      <c r="Q35" s="314">
        <v>77654</v>
      </c>
      <c r="R35" s="314">
        <v>228227</v>
      </c>
      <c r="S35" s="314">
        <v>1417</v>
      </c>
      <c r="T35" s="314">
        <v>7517</v>
      </c>
      <c r="U35" s="314"/>
      <c r="V35" s="314"/>
      <c r="W35" s="315"/>
      <c r="X35" s="315"/>
      <c r="Y35" s="315"/>
      <c r="Z35" s="315"/>
    </row>
    <row r="36" spans="1:26" s="276" customFormat="1" ht="45" customHeight="1" x14ac:dyDescent="0.2">
      <c r="A36" s="153">
        <f t="shared" si="3"/>
        <v>4</v>
      </c>
      <c r="B36" s="379" t="s">
        <v>271</v>
      </c>
      <c r="C36" s="380"/>
      <c r="D36" s="156"/>
      <c r="E36" s="376">
        <f>1828452+H36</f>
        <v>1828452</v>
      </c>
      <c r="F36" s="377"/>
      <c r="G36" s="378"/>
      <c r="H36" s="376">
        <f t="shared" si="1"/>
        <v>0</v>
      </c>
      <c r="I36" s="377"/>
      <c r="J36" s="377"/>
      <c r="K36" s="165"/>
      <c r="L36" s="376"/>
      <c r="M36" s="377"/>
      <c r="N36" s="377"/>
      <c r="O36" s="378"/>
      <c r="P36" s="161">
        <f t="shared" si="2"/>
        <v>1828452</v>
      </c>
      <c r="Q36" s="314">
        <v>305724</v>
      </c>
      <c r="R36" s="314">
        <v>466229</v>
      </c>
      <c r="S36" s="314"/>
      <c r="T36" s="314">
        <v>1056499</v>
      </c>
      <c r="U36" s="314"/>
      <c r="V36" s="314"/>
      <c r="W36" s="315"/>
      <c r="X36" s="315"/>
      <c r="Y36" s="315"/>
      <c r="Z36" s="315"/>
    </row>
    <row r="37" spans="1:26" s="276" customFormat="1" ht="39.950000000000003" customHeight="1" x14ac:dyDescent="0.2">
      <c r="A37" s="153">
        <f t="shared" si="3"/>
        <v>5</v>
      </c>
      <c r="B37" s="379" t="s">
        <v>272</v>
      </c>
      <c r="C37" s="380"/>
      <c r="D37" s="156"/>
      <c r="E37" s="376">
        <f>624196+H37</f>
        <v>624196</v>
      </c>
      <c r="F37" s="377"/>
      <c r="G37" s="378"/>
      <c r="H37" s="376">
        <f t="shared" si="1"/>
        <v>0</v>
      </c>
      <c r="I37" s="377"/>
      <c r="J37" s="377"/>
      <c r="K37" s="165"/>
      <c r="L37" s="376"/>
      <c r="M37" s="377"/>
      <c r="N37" s="377"/>
      <c r="O37" s="378"/>
      <c r="P37" s="161">
        <f t="shared" si="2"/>
        <v>624196</v>
      </c>
      <c r="Q37" s="314"/>
      <c r="R37" s="314">
        <v>37172</v>
      </c>
      <c r="S37" s="314"/>
      <c r="T37" s="314">
        <v>587024</v>
      </c>
      <c r="U37" s="314"/>
      <c r="V37" s="314"/>
      <c r="W37" s="315"/>
      <c r="X37" s="315"/>
      <c r="Y37" s="315"/>
      <c r="Z37" s="315"/>
    </row>
    <row r="38" spans="1:26" s="276" customFormat="1" ht="42.75" customHeight="1" x14ac:dyDescent="0.2">
      <c r="A38" s="153">
        <f t="shared" si="3"/>
        <v>6</v>
      </c>
      <c r="B38" s="379" t="s">
        <v>660</v>
      </c>
      <c r="C38" s="380"/>
      <c r="D38" s="156"/>
      <c r="E38" s="376">
        <f>60486559+H38</f>
        <v>138451528</v>
      </c>
      <c r="F38" s="377"/>
      <c r="G38" s="378"/>
      <c r="H38" s="376">
        <f>29820252+L38</f>
        <v>77964969</v>
      </c>
      <c r="I38" s="377"/>
      <c r="J38" s="378"/>
      <c r="K38" s="165"/>
      <c r="L38" s="376">
        <f>'реестр октябрь'!D11</f>
        <v>48144717</v>
      </c>
      <c r="M38" s="377"/>
      <c r="N38" s="377"/>
      <c r="O38" s="378"/>
      <c r="P38" s="161">
        <f t="shared" si="2"/>
        <v>138451528</v>
      </c>
      <c r="Q38" s="314">
        <v>2561956</v>
      </c>
      <c r="R38" s="314">
        <v>10931291</v>
      </c>
      <c r="S38" s="314">
        <v>8862280</v>
      </c>
      <c r="T38" s="314">
        <v>19693597</v>
      </c>
      <c r="U38" s="314">
        <v>13037957</v>
      </c>
      <c r="V38" s="314">
        <v>5399478</v>
      </c>
      <c r="W38" s="320">
        <v>12223817</v>
      </c>
      <c r="X38" s="320">
        <v>11218457</v>
      </c>
      <c r="Y38" s="320">
        <f>'[2]р март'!E11</f>
        <v>6377978</v>
      </c>
      <c r="Z38" s="320">
        <f>'реестр октябрь'!D11</f>
        <v>48144717</v>
      </c>
    </row>
    <row r="39" spans="1:26" s="276" customFormat="1" ht="44.25" customHeight="1" x14ac:dyDescent="0.2">
      <c r="A39" s="153">
        <f t="shared" si="3"/>
        <v>7</v>
      </c>
      <c r="B39" s="379" t="s">
        <v>661</v>
      </c>
      <c r="C39" s="380"/>
      <c r="D39" s="156"/>
      <c r="E39" s="376">
        <f>24162551+H39</f>
        <v>30011224</v>
      </c>
      <c r="F39" s="377"/>
      <c r="G39" s="378"/>
      <c r="H39" s="376">
        <f>4523480+L39</f>
        <v>5848673</v>
      </c>
      <c r="I39" s="377"/>
      <c r="J39" s="378"/>
      <c r="K39" s="165"/>
      <c r="L39" s="376">
        <f>'реестр октябрь'!D12</f>
        <v>1325193</v>
      </c>
      <c r="M39" s="377"/>
      <c r="N39" s="377"/>
      <c r="O39" s="378"/>
      <c r="P39" s="161">
        <f t="shared" si="2"/>
        <v>30011224</v>
      </c>
      <c r="Q39" s="314"/>
      <c r="R39" s="314">
        <v>3522345</v>
      </c>
      <c r="S39" s="314">
        <v>4771674</v>
      </c>
      <c r="T39" s="314">
        <v>9028097</v>
      </c>
      <c r="U39" s="314">
        <v>6140773</v>
      </c>
      <c r="V39" s="314">
        <v>699662</v>
      </c>
      <c r="W39" s="320">
        <v>505422</v>
      </c>
      <c r="X39" s="320">
        <v>406993</v>
      </c>
      <c r="Y39" s="320">
        <f>'[2]р март'!E12</f>
        <v>3611065</v>
      </c>
      <c r="Z39" s="320">
        <f>'реестр октябрь'!D12</f>
        <v>1325193</v>
      </c>
    </row>
    <row r="40" spans="1:26" s="276" customFormat="1" ht="39.950000000000003" customHeight="1" x14ac:dyDescent="0.2">
      <c r="A40" s="153">
        <f t="shared" si="3"/>
        <v>8</v>
      </c>
      <c r="B40" s="379" t="s">
        <v>285</v>
      </c>
      <c r="C40" s="380"/>
      <c r="D40" s="156"/>
      <c r="E40" s="376">
        <f>3120454+H40</f>
        <v>3120454</v>
      </c>
      <c r="F40" s="377"/>
      <c r="G40" s="378"/>
      <c r="H40" s="376">
        <f>0+L40</f>
        <v>0</v>
      </c>
      <c r="I40" s="377"/>
      <c r="J40" s="378"/>
      <c r="K40" s="165"/>
      <c r="L40" s="376"/>
      <c r="M40" s="377"/>
      <c r="N40" s="377"/>
      <c r="O40" s="378"/>
      <c r="P40" s="161">
        <f t="shared" si="2"/>
        <v>3120454</v>
      </c>
      <c r="Q40" s="314">
        <v>111769</v>
      </c>
      <c r="R40" s="314">
        <v>128924</v>
      </c>
      <c r="S40" s="314">
        <v>530207</v>
      </c>
      <c r="T40" s="314">
        <v>0</v>
      </c>
      <c r="U40" s="314">
        <v>2349554</v>
      </c>
      <c r="V40" s="314"/>
      <c r="W40" s="315"/>
      <c r="X40" s="315"/>
      <c r="Y40" s="315"/>
      <c r="Z40" s="315"/>
    </row>
    <row r="41" spans="1:26" s="276" customFormat="1" ht="39.950000000000003" customHeight="1" x14ac:dyDescent="0.2">
      <c r="A41" s="153">
        <f t="shared" si="3"/>
        <v>9</v>
      </c>
      <c r="B41" s="379" t="s">
        <v>327</v>
      </c>
      <c r="C41" s="380"/>
      <c r="D41" s="156"/>
      <c r="E41" s="376">
        <f>1599618+H41</f>
        <v>1599618</v>
      </c>
      <c r="F41" s="377"/>
      <c r="G41" s="378"/>
      <c r="H41" s="376">
        <f t="shared" ref="H41:H44" si="4">0+L41</f>
        <v>0</v>
      </c>
      <c r="I41" s="377"/>
      <c r="J41" s="378"/>
      <c r="K41" s="165"/>
      <c r="L41" s="376"/>
      <c r="M41" s="377"/>
      <c r="N41" s="377"/>
      <c r="O41" s="378"/>
      <c r="P41" s="161">
        <f t="shared" si="2"/>
        <v>1599618</v>
      </c>
      <c r="Q41" s="314"/>
      <c r="R41" s="314">
        <v>1585422</v>
      </c>
      <c r="S41" s="314"/>
      <c r="T41" s="314"/>
      <c r="U41" s="314">
        <v>14196</v>
      </c>
      <c r="V41" s="314"/>
      <c r="W41" s="315"/>
      <c r="X41" s="315"/>
      <c r="Y41" s="315"/>
      <c r="Z41" s="315"/>
    </row>
    <row r="42" spans="1:26" s="276" customFormat="1" ht="39.950000000000003" customHeight="1" x14ac:dyDescent="0.2">
      <c r="A42" s="153">
        <f t="shared" si="3"/>
        <v>10</v>
      </c>
      <c r="B42" s="379" t="s">
        <v>273</v>
      </c>
      <c r="C42" s="380"/>
      <c r="D42" s="156"/>
      <c r="E42" s="376">
        <f>2540351+H42</f>
        <v>2540351</v>
      </c>
      <c r="F42" s="377"/>
      <c r="G42" s="378"/>
      <c r="H42" s="376">
        <f t="shared" si="4"/>
        <v>0</v>
      </c>
      <c r="I42" s="377"/>
      <c r="J42" s="378"/>
      <c r="K42" s="165"/>
      <c r="L42" s="376"/>
      <c r="M42" s="377"/>
      <c r="N42" s="377"/>
      <c r="O42" s="378"/>
      <c r="P42" s="161">
        <f t="shared" si="2"/>
        <v>2540351</v>
      </c>
      <c r="Q42" s="314"/>
      <c r="R42" s="314"/>
      <c r="S42" s="314">
        <v>2540351</v>
      </c>
      <c r="T42" s="314"/>
      <c r="U42" s="314"/>
      <c r="V42" s="314"/>
      <c r="W42" s="315"/>
      <c r="X42" s="315"/>
      <c r="Y42" s="315"/>
      <c r="Z42" s="315"/>
    </row>
    <row r="43" spans="1:26" s="276" customFormat="1" ht="39.950000000000003" customHeight="1" x14ac:dyDescent="0.2">
      <c r="A43" s="153">
        <f t="shared" si="3"/>
        <v>11</v>
      </c>
      <c r="B43" s="379" t="s">
        <v>274</v>
      </c>
      <c r="C43" s="380"/>
      <c r="D43" s="156"/>
      <c r="E43" s="376">
        <f>72221+H43</f>
        <v>72221</v>
      </c>
      <c r="F43" s="377"/>
      <c r="G43" s="378"/>
      <c r="H43" s="376">
        <f t="shared" si="4"/>
        <v>0</v>
      </c>
      <c r="I43" s="377"/>
      <c r="J43" s="378"/>
      <c r="K43" s="165"/>
      <c r="L43" s="376"/>
      <c r="M43" s="377"/>
      <c r="N43" s="377"/>
      <c r="O43" s="378"/>
      <c r="P43" s="161">
        <f t="shared" si="2"/>
        <v>72221</v>
      </c>
      <c r="Q43" s="314"/>
      <c r="R43" s="314"/>
      <c r="S43" s="314">
        <v>72221</v>
      </c>
      <c r="T43" s="314"/>
      <c r="U43" s="314"/>
      <c r="V43" s="314"/>
      <c r="W43" s="315"/>
      <c r="X43" s="315"/>
      <c r="Y43" s="315"/>
      <c r="Z43" s="315"/>
    </row>
    <row r="44" spans="1:26" s="276" customFormat="1" ht="39.950000000000003" customHeight="1" x14ac:dyDescent="0.2">
      <c r="A44" s="153">
        <f t="shared" si="3"/>
        <v>12</v>
      </c>
      <c r="B44" s="379" t="s">
        <v>286</v>
      </c>
      <c r="C44" s="380"/>
      <c r="D44" s="156"/>
      <c r="E44" s="376">
        <f>1012231+H44</f>
        <v>1012231</v>
      </c>
      <c r="F44" s="377"/>
      <c r="G44" s="378"/>
      <c r="H44" s="376">
        <f t="shared" si="4"/>
        <v>0</v>
      </c>
      <c r="I44" s="377"/>
      <c r="J44" s="378"/>
      <c r="K44" s="165"/>
      <c r="L44" s="376"/>
      <c r="M44" s="377"/>
      <c r="N44" s="377"/>
      <c r="O44" s="378"/>
      <c r="P44" s="161">
        <f t="shared" si="2"/>
        <v>1012231</v>
      </c>
      <c r="Q44" s="314"/>
      <c r="R44" s="314"/>
      <c r="S44" s="314"/>
      <c r="T44" s="314">
        <v>958566</v>
      </c>
      <c r="U44" s="314">
        <v>53665</v>
      </c>
      <c r="V44" s="314"/>
      <c r="W44" s="315"/>
      <c r="X44" s="315"/>
      <c r="Y44" s="315"/>
      <c r="Z44" s="315"/>
    </row>
    <row r="45" spans="1:26" s="276" customFormat="1" ht="39.950000000000003" customHeight="1" x14ac:dyDescent="0.2">
      <c r="A45" s="153">
        <f t="shared" si="3"/>
        <v>13</v>
      </c>
      <c r="B45" s="379" t="s">
        <v>656</v>
      </c>
      <c r="C45" s="380"/>
      <c r="D45" s="156"/>
      <c r="E45" s="376">
        <f>2896272+H45</f>
        <v>3447537</v>
      </c>
      <c r="F45" s="377"/>
      <c r="G45" s="378"/>
      <c r="H45" s="376">
        <f>551265+L45</f>
        <v>551265</v>
      </c>
      <c r="I45" s="377"/>
      <c r="J45" s="378"/>
      <c r="K45" s="165"/>
      <c r="L45" s="376"/>
      <c r="M45" s="377"/>
      <c r="N45" s="377"/>
      <c r="O45" s="378"/>
      <c r="P45" s="161">
        <f t="shared" si="2"/>
        <v>3447537</v>
      </c>
      <c r="Q45" s="314"/>
      <c r="R45" s="314"/>
      <c r="S45" s="314"/>
      <c r="T45" s="314">
        <v>1138875</v>
      </c>
      <c r="U45" s="314">
        <v>1727675</v>
      </c>
      <c r="V45" s="314">
        <v>29722</v>
      </c>
      <c r="W45" s="315"/>
      <c r="X45" s="315"/>
      <c r="Y45" s="320">
        <f>'[2]р март'!E14</f>
        <v>551265</v>
      </c>
      <c r="Z45" s="320"/>
    </row>
    <row r="46" spans="1:26" s="276" customFormat="1" ht="39.950000000000003" customHeight="1" x14ac:dyDescent="0.2">
      <c r="A46" s="153">
        <f t="shared" si="3"/>
        <v>14</v>
      </c>
      <c r="B46" s="379" t="s">
        <v>658</v>
      </c>
      <c r="C46" s="380"/>
      <c r="D46" s="156"/>
      <c r="E46" s="376">
        <f>263147+H46</f>
        <v>431149</v>
      </c>
      <c r="F46" s="377"/>
      <c r="G46" s="378"/>
      <c r="H46" s="376">
        <f>168002+L46</f>
        <v>168002</v>
      </c>
      <c r="I46" s="377"/>
      <c r="J46" s="378"/>
      <c r="K46" s="165"/>
      <c r="L46" s="376"/>
      <c r="M46" s="377"/>
      <c r="N46" s="377"/>
      <c r="O46" s="378"/>
      <c r="P46" s="161">
        <f t="shared" si="2"/>
        <v>431149</v>
      </c>
      <c r="Q46" s="314"/>
      <c r="R46" s="314"/>
      <c r="S46" s="314"/>
      <c r="T46" s="314"/>
      <c r="U46" s="314">
        <v>263147</v>
      </c>
      <c r="V46" s="314"/>
      <c r="W46" s="315"/>
      <c r="X46" s="320">
        <v>161905</v>
      </c>
      <c r="Y46" s="320">
        <f>'[2]р март'!E13</f>
        <v>6097</v>
      </c>
      <c r="Z46" s="320"/>
    </row>
    <row r="47" spans="1:26" s="276" customFormat="1" ht="47.25" customHeight="1" x14ac:dyDescent="0.2">
      <c r="A47" s="153">
        <f t="shared" si="3"/>
        <v>15</v>
      </c>
      <c r="B47" s="379" t="s">
        <v>361</v>
      </c>
      <c r="C47" s="380"/>
      <c r="D47" s="156"/>
      <c r="E47" s="376">
        <f>1227220+H47</f>
        <v>1227220</v>
      </c>
      <c r="F47" s="377"/>
      <c r="G47" s="378"/>
      <c r="H47" s="376">
        <f>0+L47</f>
        <v>0</v>
      </c>
      <c r="I47" s="377"/>
      <c r="J47" s="378"/>
      <c r="K47" s="165"/>
      <c r="L47" s="376"/>
      <c r="M47" s="377"/>
      <c r="N47" s="377"/>
      <c r="O47" s="378"/>
      <c r="P47" s="161">
        <f t="shared" si="2"/>
        <v>1227220</v>
      </c>
      <c r="Q47" s="314"/>
      <c r="R47" s="314"/>
      <c r="S47" s="314"/>
      <c r="T47" s="314"/>
      <c r="U47" s="314">
        <v>818186</v>
      </c>
      <c r="V47" s="314">
        <v>409034</v>
      </c>
      <c r="W47" s="315"/>
      <c r="X47" s="315"/>
      <c r="Y47" s="315"/>
      <c r="Z47" s="315"/>
    </row>
    <row r="48" spans="1:26" s="276" customFormat="1" ht="45" customHeight="1" x14ac:dyDescent="0.2">
      <c r="A48" s="153">
        <f t="shared" si="3"/>
        <v>16</v>
      </c>
      <c r="B48" s="379" t="s">
        <v>362</v>
      </c>
      <c r="C48" s="380"/>
      <c r="D48" s="156"/>
      <c r="E48" s="376">
        <f>507755+H48</f>
        <v>507755</v>
      </c>
      <c r="F48" s="377"/>
      <c r="G48" s="378"/>
      <c r="H48" s="376">
        <f t="shared" ref="H48:H50" si="5">0+L48</f>
        <v>0</v>
      </c>
      <c r="I48" s="377"/>
      <c r="J48" s="378"/>
      <c r="K48" s="165"/>
      <c r="L48" s="376"/>
      <c r="M48" s="377"/>
      <c r="N48" s="377"/>
      <c r="O48" s="378"/>
      <c r="P48" s="161">
        <f t="shared" si="2"/>
        <v>507755</v>
      </c>
      <c r="Q48" s="314"/>
      <c r="R48" s="314"/>
      <c r="S48" s="314"/>
      <c r="T48" s="314"/>
      <c r="U48" s="314">
        <v>338503</v>
      </c>
      <c r="V48" s="314">
        <v>169252</v>
      </c>
      <c r="W48" s="315"/>
      <c r="X48" s="315"/>
      <c r="Y48" s="315"/>
      <c r="Z48" s="315"/>
    </row>
    <row r="49" spans="1:30" s="276" customFormat="1" ht="39.950000000000003" customHeight="1" x14ac:dyDescent="0.2">
      <c r="A49" s="153">
        <f t="shared" si="3"/>
        <v>17</v>
      </c>
      <c r="B49" s="379" t="s">
        <v>328</v>
      </c>
      <c r="C49" s="380"/>
      <c r="D49" s="156"/>
      <c r="E49" s="376">
        <f>1053296+H49</f>
        <v>1053296</v>
      </c>
      <c r="F49" s="377"/>
      <c r="G49" s="378"/>
      <c r="H49" s="376">
        <f t="shared" si="5"/>
        <v>0</v>
      </c>
      <c r="I49" s="377"/>
      <c r="J49" s="378"/>
      <c r="K49" s="165"/>
      <c r="L49" s="376"/>
      <c r="M49" s="377"/>
      <c r="N49" s="377"/>
      <c r="O49" s="378"/>
      <c r="P49" s="161">
        <f t="shared" si="2"/>
        <v>1053296</v>
      </c>
      <c r="Q49" s="314"/>
      <c r="R49" s="314"/>
      <c r="S49" s="314"/>
      <c r="T49" s="314"/>
      <c r="U49" s="314">
        <v>1053296</v>
      </c>
      <c r="V49" s="314"/>
      <c r="W49" s="315"/>
      <c r="X49" s="315"/>
      <c r="Y49" s="315"/>
      <c r="Z49" s="315"/>
    </row>
    <row r="50" spans="1:30" s="276" customFormat="1" ht="39.950000000000003" customHeight="1" x14ac:dyDescent="0.2">
      <c r="A50" s="153">
        <f t="shared" si="3"/>
        <v>18</v>
      </c>
      <c r="B50" s="379" t="s">
        <v>329</v>
      </c>
      <c r="C50" s="380"/>
      <c r="D50" s="156"/>
      <c r="E50" s="376">
        <f>147125+H50</f>
        <v>147125</v>
      </c>
      <c r="F50" s="377"/>
      <c r="G50" s="378"/>
      <c r="H50" s="376">
        <f t="shared" si="5"/>
        <v>0</v>
      </c>
      <c r="I50" s="377"/>
      <c r="J50" s="378"/>
      <c r="K50" s="165"/>
      <c r="L50" s="376"/>
      <c r="M50" s="377"/>
      <c r="N50" s="377"/>
      <c r="O50" s="378"/>
      <c r="P50" s="161">
        <f t="shared" si="2"/>
        <v>147125</v>
      </c>
      <c r="Q50" s="314"/>
      <c r="R50" s="314"/>
      <c r="S50" s="314"/>
      <c r="T50" s="314">
        <v>0</v>
      </c>
      <c r="U50" s="314">
        <v>147125</v>
      </c>
      <c r="V50" s="314"/>
      <c r="W50" s="315"/>
      <c r="X50" s="315"/>
      <c r="Y50" s="315"/>
      <c r="Z50" s="315"/>
    </row>
    <row r="51" spans="1:30" s="276" customFormat="1" ht="43.5" customHeight="1" x14ac:dyDescent="0.2">
      <c r="A51" s="153">
        <f t="shared" si="3"/>
        <v>19</v>
      </c>
      <c r="B51" s="379" t="s">
        <v>653</v>
      </c>
      <c r="C51" s="380"/>
      <c r="D51" s="156"/>
      <c r="E51" s="376">
        <f>H51</f>
        <v>336840</v>
      </c>
      <c r="F51" s="377"/>
      <c r="G51" s="378"/>
      <c r="H51" s="376">
        <f>336840+L51</f>
        <v>336840</v>
      </c>
      <c r="I51" s="377"/>
      <c r="J51" s="377"/>
      <c r="K51" s="157"/>
      <c r="L51" s="376"/>
      <c r="M51" s="377"/>
      <c r="N51" s="377"/>
      <c r="O51" s="378"/>
      <c r="P51" s="161">
        <f t="shared" si="2"/>
        <v>336840</v>
      </c>
      <c r="Q51" s="314"/>
      <c r="R51" s="314"/>
      <c r="S51" s="314"/>
      <c r="T51" s="314">
        <v>0</v>
      </c>
      <c r="U51" s="314">
        <v>0</v>
      </c>
      <c r="V51" s="314"/>
      <c r="W51" s="320">
        <v>336840</v>
      </c>
      <c r="X51" s="315"/>
      <c r="Y51" s="315"/>
      <c r="Z51" s="315"/>
    </row>
    <row r="52" spans="1:30" s="276" customFormat="1" ht="43.5" customHeight="1" x14ac:dyDescent="0.2">
      <c r="A52" s="153">
        <f t="shared" si="3"/>
        <v>20</v>
      </c>
      <c r="B52" s="379" t="s">
        <v>654</v>
      </c>
      <c r="C52" s="380"/>
      <c r="D52" s="156"/>
      <c r="E52" s="376">
        <f>H52</f>
        <v>137565</v>
      </c>
      <c r="F52" s="377"/>
      <c r="G52" s="378"/>
      <c r="H52" s="376">
        <f>137565+L52</f>
        <v>137565</v>
      </c>
      <c r="I52" s="377"/>
      <c r="J52" s="377"/>
      <c r="K52" s="157"/>
      <c r="L52" s="376"/>
      <c r="M52" s="377"/>
      <c r="N52" s="377"/>
      <c r="O52" s="378"/>
      <c r="P52" s="161">
        <f t="shared" si="2"/>
        <v>137565</v>
      </c>
      <c r="Q52" s="314"/>
      <c r="R52" s="314"/>
      <c r="S52" s="314"/>
      <c r="T52" s="314"/>
      <c r="U52" s="314"/>
      <c r="V52" s="314"/>
      <c r="W52" s="320">
        <v>137565</v>
      </c>
      <c r="X52" s="315"/>
      <c r="Y52" s="315"/>
      <c r="Z52" s="315"/>
    </row>
    <row r="53" spans="1:30" s="276" customFormat="1" ht="36.75" customHeight="1" x14ac:dyDescent="0.2">
      <c r="A53" s="153">
        <f t="shared" si="3"/>
        <v>21</v>
      </c>
      <c r="B53" s="379" t="s">
        <v>655</v>
      </c>
      <c r="C53" s="380"/>
      <c r="D53" s="156"/>
      <c r="E53" s="376">
        <f>0+H53</f>
        <v>22740</v>
      </c>
      <c r="F53" s="377"/>
      <c r="G53" s="378"/>
      <c r="H53" s="376">
        <f>22740+L53</f>
        <v>22740</v>
      </c>
      <c r="I53" s="377"/>
      <c r="J53" s="378"/>
      <c r="K53" s="165"/>
      <c r="L53" s="376"/>
      <c r="M53" s="377"/>
      <c r="N53" s="377"/>
      <c r="O53" s="378"/>
      <c r="P53" s="161">
        <f t="shared" si="2"/>
        <v>22740</v>
      </c>
      <c r="Q53" s="314"/>
      <c r="R53" s="314"/>
      <c r="S53" s="314"/>
      <c r="T53" s="314"/>
      <c r="U53" s="314"/>
      <c r="V53" s="314"/>
      <c r="W53" s="315"/>
      <c r="X53" s="320">
        <v>22740</v>
      </c>
      <c r="Y53" s="315"/>
      <c r="Z53" s="315"/>
    </row>
    <row r="54" spans="1:30" s="276" customFormat="1" ht="36.75" customHeight="1" x14ac:dyDescent="0.2">
      <c r="A54" s="153">
        <f t="shared" si="3"/>
        <v>22</v>
      </c>
      <c r="B54" s="379" t="s">
        <v>657</v>
      </c>
      <c r="C54" s="380"/>
      <c r="D54" s="156"/>
      <c r="E54" s="376">
        <f>0+H54</f>
        <v>46418</v>
      </c>
      <c r="F54" s="377"/>
      <c r="G54" s="378"/>
      <c r="H54" s="376">
        <f>46418+L54</f>
        <v>46418</v>
      </c>
      <c r="I54" s="377"/>
      <c r="J54" s="378"/>
      <c r="K54" s="165"/>
      <c r="L54" s="376"/>
      <c r="M54" s="377"/>
      <c r="N54" s="377"/>
      <c r="O54" s="378"/>
      <c r="P54" s="161">
        <f t="shared" si="2"/>
        <v>46418</v>
      </c>
      <c r="Q54" s="314"/>
      <c r="R54" s="314"/>
      <c r="S54" s="314"/>
      <c r="T54" s="314"/>
      <c r="U54" s="314"/>
      <c r="V54" s="314"/>
      <c r="W54" s="315"/>
      <c r="X54" s="320"/>
      <c r="Y54" s="320">
        <f>'[2]р март'!E15</f>
        <v>46418</v>
      </c>
      <c r="Z54" s="320"/>
    </row>
    <row r="55" spans="1:30" s="276" customFormat="1" ht="22.5" customHeight="1" x14ac:dyDescent="0.2">
      <c r="A55" s="147"/>
      <c r="B55" s="361" t="s">
        <v>37</v>
      </c>
      <c r="C55" s="363"/>
      <c r="D55" s="153"/>
      <c r="E55" s="367">
        <f>SUM(E33:G54)</f>
        <v>187278593</v>
      </c>
      <c r="F55" s="368"/>
      <c r="G55" s="369"/>
      <c r="H55" s="367">
        <f>SUM(H33:J54)</f>
        <v>85076472</v>
      </c>
      <c r="I55" s="368"/>
      <c r="J55" s="369"/>
      <c r="K55" s="157"/>
      <c r="L55" s="367">
        <f>SUM(L33:O54)</f>
        <v>49469910</v>
      </c>
      <c r="M55" s="368"/>
      <c r="N55" s="368"/>
      <c r="O55" s="369"/>
      <c r="P55" s="167">
        <f>SUM(Q55:Z55)</f>
        <v>187278593</v>
      </c>
      <c r="Q55" s="313">
        <f>SUM(Q33:Q54)</f>
        <v>3343116</v>
      </c>
      <c r="R55" s="313">
        <f>SUM(R33:R43)</f>
        <v>16959455</v>
      </c>
      <c r="S55" s="313">
        <f>SUM(S33:S43)</f>
        <v>16778150</v>
      </c>
      <c r="T55" s="313">
        <f>SUM(T33:T52)</f>
        <v>32470175</v>
      </c>
      <c r="U55" s="313">
        <f>SUM(U33:U51)</f>
        <v>25944077</v>
      </c>
      <c r="V55" s="313">
        <f>SUM(V33:V51)</f>
        <v>6707148</v>
      </c>
      <c r="W55" s="313">
        <f>SUM(W33:W52)</f>
        <v>13203644</v>
      </c>
      <c r="X55" s="313">
        <f>SUM(X33:X54)</f>
        <v>11810095</v>
      </c>
      <c r="Y55" s="313">
        <f>SUM(Y33:Y54)</f>
        <v>10592823</v>
      </c>
      <c r="Z55" s="313">
        <f>SUM(Z33:Z54)</f>
        <v>49469910</v>
      </c>
      <c r="AD55" s="322"/>
    </row>
    <row r="56" spans="1:30" s="276" customFormat="1" ht="21.75" customHeight="1" x14ac:dyDescent="0.2">
      <c r="A56" s="370" t="s">
        <v>275</v>
      </c>
      <c r="B56" s="371"/>
      <c r="C56" s="372"/>
      <c r="D56" s="153"/>
      <c r="E56" s="373"/>
      <c r="F56" s="374"/>
      <c r="G56" s="375"/>
      <c r="H56" s="373"/>
      <c r="I56" s="374"/>
      <c r="J56" s="375"/>
      <c r="K56" s="170"/>
      <c r="L56" s="376">
        <f>ROUND(L55*0.2,2)</f>
        <v>9893982</v>
      </c>
      <c r="M56" s="377"/>
      <c r="N56" s="377"/>
      <c r="O56" s="378"/>
      <c r="P56" s="161">
        <f t="shared" ref="P56:X56" si="6">P55*0.2</f>
        <v>37455718.600000001</v>
      </c>
      <c r="Q56" s="316">
        <f t="shared" si="6"/>
        <v>668623.19999999995</v>
      </c>
      <c r="R56" s="316">
        <f t="shared" si="6"/>
        <v>3391891</v>
      </c>
      <c r="S56" s="316">
        <f t="shared" si="6"/>
        <v>3355630</v>
      </c>
      <c r="T56" s="316">
        <f t="shared" si="6"/>
        <v>6494035</v>
      </c>
      <c r="U56" s="316">
        <f t="shared" si="6"/>
        <v>5188815.4000000004</v>
      </c>
      <c r="V56" s="316">
        <f t="shared" si="6"/>
        <v>1341429.6000000001</v>
      </c>
      <c r="W56" s="316">
        <f t="shared" si="6"/>
        <v>2640728.7999999998</v>
      </c>
      <c r="X56" s="316">
        <f t="shared" si="6"/>
        <v>2362019</v>
      </c>
      <c r="Y56" s="316">
        <f t="shared" ref="Y56:Z56" si="7">Y55*0.2</f>
        <v>2118564.6</v>
      </c>
      <c r="Z56" s="316">
        <f t="shared" si="7"/>
        <v>9893982</v>
      </c>
    </row>
    <row r="57" spans="1:30" s="276" customFormat="1" ht="23.25" customHeight="1" x14ac:dyDescent="0.2">
      <c r="A57" s="361" t="s">
        <v>276</v>
      </c>
      <c r="B57" s="362"/>
      <c r="C57" s="363"/>
      <c r="D57" s="153"/>
      <c r="E57" s="364"/>
      <c r="F57" s="365"/>
      <c r="G57" s="366"/>
      <c r="H57" s="364"/>
      <c r="I57" s="365"/>
      <c r="J57" s="366"/>
      <c r="K57" s="170"/>
      <c r="L57" s="367">
        <f>L55+L56</f>
        <v>59363892</v>
      </c>
      <c r="M57" s="368"/>
      <c r="N57" s="368"/>
      <c r="O57" s="369"/>
      <c r="P57" s="167">
        <f t="shared" ref="P57:X57" si="8">P55+P56</f>
        <v>224734311.59999999</v>
      </c>
      <c r="Q57" s="317">
        <f t="shared" si="8"/>
        <v>4011739.2</v>
      </c>
      <c r="R57" s="317">
        <f t="shared" si="8"/>
        <v>20351346</v>
      </c>
      <c r="S57" s="317">
        <f t="shared" si="8"/>
        <v>20133780</v>
      </c>
      <c r="T57" s="317">
        <f t="shared" si="8"/>
        <v>38964210</v>
      </c>
      <c r="U57" s="317">
        <f t="shared" si="8"/>
        <v>31132892.399999999</v>
      </c>
      <c r="V57" s="317">
        <f t="shared" si="8"/>
        <v>8048577.5999999996</v>
      </c>
      <c r="W57" s="317">
        <f t="shared" si="8"/>
        <v>15844372.800000001</v>
      </c>
      <c r="X57" s="317">
        <f t="shared" si="8"/>
        <v>14172114</v>
      </c>
      <c r="Y57" s="317">
        <f t="shared" ref="Y57:Z57" si="9">Y55+Y56</f>
        <v>12711387.6</v>
      </c>
      <c r="Z57" s="317">
        <f t="shared" si="9"/>
        <v>59363892</v>
      </c>
    </row>
    <row r="58" spans="1:30" s="276" customFormat="1" ht="16.5" customHeight="1" x14ac:dyDescent="0.2">
      <c r="A58" s="124"/>
      <c r="B58" s="124"/>
      <c r="C58" s="124"/>
      <c r="D58" s="124"/>
      <c r="E58" s="176"/>
      <c r="F58" s="176"/>
      <c r="G58" s="176"/>
      <c r="H58" s="176"/>
      <c r="I58" s="176"/>
      <c r="J58" s="176"/>
      <c r="K58" s="124"/>
      <c r="L58" s="176"/>
      <c r="M58" s="176"/>
      <c r="N58" s="176"/>
      <c r="O58" s="176"/>
      <c r="P58" s="288" t="s">
        <v>363</v>
      </c>
      <c r="Q58" s="309"/>
      <c r="R58" s="309"/>
      <c r="S58" s="309"/>
      <c r="T58" s="318"/>
      <c r="U58" s="318"/>
      <c r="V58" s="309"/>
      <c r="W58" s="323"/>
      <c r="X58" s="324"/>
      <c r="Y58" s="324"/>
      <c r="Z58" s="324"/>
    </row>
    <row r="59" spans="1:30" s="276" customFormat="1" ht="18.75" x14ac:dyDescent="0.25">
      <c r="A59" s="360" t="s">
        <v>29</v>
      </c>
      <c r="B59" s="360"/>
      <c r="C59" s="124"/>
      <c r="D59" s="124"/>
      <c r="E59" s="124"/>
      <c r="F59" s="124"/>
      <c r="G59" s="124"/>
      <c r="H59" s="124"/>
      <c r="I59" s="124"/>
      <c r="J59" s="124"/>
      <c r="K59" s="124"/>
      <c r="L59" s="178"/>
      <c r="M59" s="178"/>
      <c r="N59" s="178"/>
      <c r="O59" s="178"/>
      <c r="P59" s="325">
        <f>L57*0.85</f>
        <v>50459308.200000003</v>
      </c>
      <c r="Q59" s="309"/>
      <c r="R59" s="326"/>
      <c r="S59" s="309"/>
      <c r="T59" s="318"/>
      <c r="U59" s="318"/>
      <c r="V59" s="309"/>
      <c r="W59" s="324"/>
      <c r="X59" s="324"/>
      <c r="Y59" s="324"/>
      <c r="Z59" s="324"/>
    </row>
    <row r="60" spans="1:30" s="276" customFormat="1" ht="28.5" customHeight="1" x14ac:dyDescent="0.2">
      <c r="A60" s="355" t="s">
        <v>277</v>
      </c>
      <c r="B60" s="355"/>
      <c r="C60" s="355"/>
      <c r="D60" s="355"/>
      <c r="E60" s="124"/>
      <c r="F60" s="180"/>
      <c r="G60" s="180"/>
      <c r="H60" s="180"/>
      <c r="I60" s="180"/>
      <c r="J60" s="124"/>
      <c r="K60" s="124"/>
      <c r="L60" s="356" t="s">
        <v>42</v>
      </c>
      <c r="M60" s="356"/>
      <c r="N60" s="356"/>
      <c r="O60" s="356"/>
      <c r="P60" s="286"/>
      <c r="Q60" s="309"/>
      <c r="R60" s="318"/>
      <c r="S60" s="309"/>
      <c r="T60" s="318"/>
      <c r="U60" s="309"/>
      <c r="V60" s="309"/>
      <c r="W60" s="324"/>
      <c r="X60" s="324"/>
      <c r="Y60" s="324"/>
      <c r="Z60" s="324"/>
    </row>
    <row r="61" spans="1:30" s="276" customFormat="1" ht="12.75" customHeight="1" x14ac:dyDescent="0.25">
      <c r="A61" s="360"/>
      <c r="B61" s="360"/>
      <c r="C61" s="124"/>
      <c r="D61" s="124"/>
      <c r="E61" s="124"/>
      <c r="F61" s="358" t="s">
        <v>278</v>
      </c>
      <c r="G61" s="358"/>
      <c r="H61" s="358"/>
      <c r="I61" s="358"/>
      <c r="J61" s="121"/>
      <c r="K61" s="357" t="s">
        <v>279</v>
      </c>
      <c r="L61" s="357"/>
      <c r="M61" s="357"/>
      <c r="N61" s="357"/>
      <c r="O61" s="357"/>
      <c r="P61" s="119"/>
      <c r="Q61" s="309"/>
      <c r="R61" s="309"/>
      <c r="S61" s="309"/>
      <c r="T61" s="309"/>
      <c r="U61" s="309"/>
      <c r="V61" s="309"/>
      <c r="W61" s="324"/>
      <c r="X61" s="324"/>
      <c r="Y61" s="324"/>
      <c r="Z61" s="324"/>
    </row>
    <row r="62" spans="1:30" s="276" customFormat="1" x14ac:dyDescent="0.25">
      <c r="A62" s="327"/>
      <c r="B62" s="150" t="s">
        <v>41</v>
      </c>
      <c r="C62" s="150"/>
      <c r="D62" s="124"/>
      <c r="E62" s="124"/>
      <c r="F62" s="327"/>
      <c r="G62" s="327"/>
      <c r="H62" s="327"/>
      <c r="I62" s="327"/>
      <c r="J62" s="327"/>
      <c r="K62" s="327"/>
      <c r="L62" s="327"/>
      <c r="M62" s="327"/>
      <c r="N62" s="327"/>
      <c r="O62" s="327"/>
      <c r="P62" s="149"/>
      <c r="Q62" s="309"/>
      <c r="R62" s="309"/>
      <c r="S62" s="309"/>
      <c r="T62" s="309"/>
      <c r="U62" s="309"/>
      <c r="V62" s="309"/>
      <c r="W62" s="324"/>
      <c r="X62" s="324"/>
      <c r="Y62" s="324"/>
      <c r="Z62" s="324"/>
    </row>
    <row r="63" spans="1:30" s="276" customFormat="1" ht="9.75" customHeight="1" x14ac:dyDescent="0.25">
      <c r="A63" s="327"/>
      <c r="B63" s="150"/>
      <c r="C63" s="150"/>
      <c r="D63" s="124"/>
      <c r="E63" s="124"/>
      <c r="F63" s="327"/>
      <c r="G63" s="327"/>
      <c r="H63" s="327"/>
      <c r="I63" s="327"/>
      <c r="J63" s="327"/>
      <c r="K63" s="327"/>
      <c r="L63" s="327"/>
      <c r="M63" s="327"/>
      <c r="N63" s="327"/>
      <c r="O63" s="327"/>
      <c r="P63" s="149"/>
      <c r="Q63" s="309"/>
      <c r="R63" s="309"/>
      <c r="S63" s="309"/>
      <c r="T63" s="309"/>
      <c r="U63" s="309"/>
      <c r="V63" s="309"/>
      <c r="W63" s="324"/>
      <c r="X63" s="324"/>
      <c r="Y63" s="324"/>
      <c r="Z63" s="324"/>
    </row>
    <row r="64" spans="1:30" s="276" customFormat="1" x14ac:dyDescent="0.25">
      <c r="A64" s="360" t="s">
        <v>280</v>
      </c>
      <c r="B64" s="360"/>
      <c r="C64" s="360" t="s">
        <v>281</v>
      </c>
      <c r="D64" s="360"/>
      <c r="E64" s="360"/>
      <c r="F64" s="360"/>
      <c r="G64" s="357"/>
      <c r="H64" s="357"/>
      <c r="I64" s="357"/>
      <c r="J64" s="357"/>
      <c r="K64" s="121"/>
      <c r="L64" s="357"/>
      <c r="M64" s="357"/>
      <c r="N64" s="357"/>
      <c r="O64" s="357"/>
      <c r="P64" s="119"/>
      <c r="Q64" s="309"/>
      <c r="R64" s="309"/>
      <c r="S64" s="309"/>
      <c r="T64" s="309"/>
      <c r="U64" s="309"/>
      <c r="V64" s="309"/>
      <c r="W64" s="324"/>
      <c r="X64" s="324"/>
      <c r="Y64" s="324"/>
      <c r="Z64" s="324"/>
    </row>
    <row r="65" spans="1:17" ht="24.75" customHeight="1" x14ac:dyDescent="0.25">
      <c r="A65" s="355" t="s">
        <v>282</v>
      </c>
      <c r="B65" s="355"/>
      <c r="C65" s="355"/>
      <c r="D65" s="355"/>
      <c r="E65" s="355"/>
      <c r="F65" s="183"/>
      <c r="G65" s="184"/>
      <c r="H65" s="184"/>
      <c r="I65" s="184"/>
      <c r="J65" s="150"/>
      <c r="K65" s="121"/>
      <c r="L65" s="356" t="s">
        <v>283</v>
      </c>
      <c r="M65" s="356"/>
      <c r="N65" s="356"/>
      <c r="O65" s="356"/>
      <c r="P65" s="181"/>
    </row>
    <row r="66" spans="1:17" ht="12.75" customHeight="1" x14ac:dyDescent="0.2">
      <c r="A66" s="357"/>
      <c r="B66" s="357"/>
      <c r="C66" s="121"/>
      <c r="D66" s="121"/>
      <c r="E66" s="121"/>
      <c r="F66" s="358" t="s">
        <v>278</v>
      </c>
      <c r="G66" s="358"/>
      <c r="H66" s="358"/>
      <c r="I66" s="358"/>
      <c r="J66" s="121"/>
      <c r="K66" s="359" t="s">
        <v>279</v>
      </c>
      <c r="L66" s="359"/>
      <c r="M66" s="359"/>
      <c r="N66" s="359"/>
      <c r="O66" s="359"/>
      <c r="P66" s="135"/>
    </row>
    <row r="67" spans="1:17" x14ac:dyDescent="0.25">
      <c r="B67" s="150" t="s">
        <v>41</v>
      </c>
      <c r="C67" s="121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185"/>
      <c r="Q67" s="319"/>
    </row>
    <row r="68" spans="1:17" x14ac:dyDescent="0.2">
      <c r="A68" s="187"/>
      <c r="B68" s="354"/>
      <c r="C68" s="354"/>
      <c r="D68" s="354"/>
      <c r="E68" s="354"/>
      <c r="F68" s="354"/>
      <c r="G68" s="354"/>
      <c r="H68" s="354"/>
      <c r="I68" s="354"/>
      <c r="J68" s="354"/>
      <c r="K68" s="354"/>
      <c r="L68" s="354"/>
      <c r="M68" s="354"/>
      <c r="N68" s="354"/>
      <c r="O68" s="150"/>
      <c r="P68" s="119"/>
    </row>
  </sheetData>
  <autoFilter ref="A29:R57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9">
    <mergeCell ref="B53:C53"/>
    <mergeCell ref="E53:G53"/>
    <mergeCell ref="H53:J53"/>
    <mergeCell ref="L53:O53"/>
    <mergeCell ref="B54:C54"/>
    <mergeCell ref="E54:G54"/>
    <mergeCell ref="H54:J54"/>
    <mergeCell ref="L54:O54"/>
    <mergeCell ref="A1:F1"/>
    <mergeCell ref="G1:O1"/>
    <mergeCell ref="A2:F2"/>
    <mergeCell ref="G2:O2"/>
    <mergeCell ref="A3:F3"/>
    <mergeCell ref="G3:O3"/>
    <mergeCell ref="B8:J8"/>
    <mergeCell ref="M8:O8"/>
    <mergeCell ref="C9:H9"/>
    <mergeCell ref="B10:J10"/>
    <mergeCell ref="M10:O10"/>
    <mergeCell ref="C11:H11"/>
    <mergeCell ref="A4:L4"/>
    <mergeCell ref="M4:O4"/>
    <mergeCell ref="J5:L5"/>
    <mergeCell ref="M5:O5"/>
    <mergeCell ref="M6:O6"/>
    <mergeCell ref="C7:H7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51:C51"/>
    <mergeCell ref="E51:G51"/>
    <mergeCell ref="H51:J51"/>
    <mergeCell ref="L51:O51"/>
    <mergeCell ref="B52:C52"/>
    <mergeCell ref="E52:G52"/>
    <mergeCell ref="H52:J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A57:C57"/>
    <mergeCell ref="E57:G57"/>
    <mergeCell ref="H57:J57"/>
    <mergeCell ref="L57:O57"/>
    <mergeCell ref="A59:B59"/>
    <mergeCell ref="A60:D60"/>
    <mergeCell ref="L60:O60"/>
    <mergeCell ref="B55:C55"/>
    <mergeCell ref="E55:G55"/>
    <mergeCell ref="H55:J55"/>
    <mergeCell ref="L55:O55"/>
    <mergeCell ref="A56:C56"/>
    <mergeCell ref="E56:G56"/>
    <mergeCell ref="H56:J56"/>
    <mergeCell ref="L56:O56"/>
    <mergeCell ref="B68:N68"/>
    <mergeCell ref="A65:E65"/>
    <mergeCell ref="L65:O65"/>
    <mergeCell ref="A66:B66"/>
    <mergeCell ref="F66:I66"/>
    <mergeCell ref="K66:O66"/>
    <mergeCell ref="D67:O67"/>
    <mergeCell ref="A61:B61"/>
    <mergeCell ref="F61:I61"/>
    <mergeCell ref="K61:O61"/>
    <mergeCell ref="A64:B64"/>
    <mergeCell ref="C64:F64"/>
    <mergeCell ref="G64:J64"/>
    <mergeCell ref="L64:O6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51"/>
  <sheetViews>
    <sheetView tabSelected="1" zoomScale="80" zoomScaleNormal="80" zoomScaleSheetLayoutView="85" workbookViewId="0">
      <selection activeCell="C14" sqref="C14"/>
    </sheetView>
  </sheetViews>
  <sheetFormatPr defaultColWidth="9.140625" defaultRowHeight="15" x14ac:dyDescent="0.25"/>
  <cols>
    <col min="1" max="1" width="9.7109375" style="115" customWidth="1"/>
    <col min="2" max="2" width="20.85546875" style="115" customWidth="1"/>
    <col min="3" max="3" width="52.42578125" style="115" customWidth="1"/>
    <col min="4" max="4" width="20.5703125" style="115" customWidth="1"/>
    <col min="5" max="6" width="10.85546875" style="115" customWidth="1"/>
    <col min="7" max="7" width="20.5703125" style="115" customWidth="1"/>
    <col min="8" max="8" width="17.5703125" style="115" customWidth="1"/>
    <col min="9" max="9" width="27.85546875" style="115" customWidth="1"/>
    <col min="10" max="10" width="21.7109375" style="111" customWidth="1"/>
    <col min="11" max="11" width="20.5703125" style="115" customWidth="1"/>
    <col min="12" max="13" width="10.85546875" style="115" customWidth="1"/>
    <col min="14" max="14" width="20.5703125" style="115" customWidth="1"/>
    <col min="15" max="15" width="17.5703125" style="115" customWidth="1"/>
    <col min="16" max="16" width="27.85546875" style="115" customWidth="1"/>
    <col min="17" max="17" width="20.42578125" style="83" customWidth="1"/>
    <col min="18" max="16384" width="9.140625" style="83"/>
  </cols>
  <sheetData>
    <row r="1" spans="1:18" ht="9.75" customHeight="1" x14ac:dyDescent="0.25">
      <c r="A1" s="80"/>
      <c r="B1" s="80"/>
      <c r="C1" s="80"/>
      <c r="D1" s="80"/>
      <c r="E1" s="80"/>
      <c r="F1" s="80"/>
      <c r="G1" s="80"/>
      <c r="H1" s="80"/>
      <c r="I1" s="80"/>
      <c r="J1" s="81"/>
      <c r="K1" s="80"/>
      <c r="L1" s="80"/>
      <c r="M1" s="80"/>
      <c r="N1" s="80"/>
      <c r="O1" s="80"/>
      <c r="P1" s="80"/>
      <c r="Q1" s="82"/>
      <c r="R1" s="82"/>
    </row>
    <row r="2" spans="1:18" x14ac:dyDescent="0.25">
      <c r="A2" s="84" t="s">
        <v>29</v>
      </c>
      <c r="B2" s="426"/>
      <c r="C2" s="426"/>
      <c r="D2" s="426"/>
      <c r="E2" s="426"/>
      <c r="F2" s="426"/>
      <c r="G2" s="426"/>
      <c r="H2" s="426"/>
      <c r="I2" s="426"/>
      <c r="J2" s="85"/>
      <c r="K2" s="85"/>
      <c r="L2" s="85"/>
      <c r="M2" s="85"/>
      <c r="N2" s="85"/>
      <c r="O2" s="85"/>
      <c r="P2" s="85"/>
      <c r="Q2" s="82"/>
      <c r="R2" s="82"/>
    </row>
    <row r="3" spans="1:18" x14ac:dyDescent="0.2">
      <c r="A3" s="86"/>
      <c r="B3" s="427" t="s">
        <v>226</v>
      </c>
      <c r="C3" s="427"/>
      <c r="D3" s="427"/>
      <c r="E3" s="427"/>
      <c r="F3" s="427"/>
      <c r="G3" s="427"/>
      <c r="H3" s="427"/>
      <c r="I3" s="427"/>
      <c r="J3" s="81"/>
      <c r="K3" s="81"/>
      <c r="L3" s="81"/>
      <c r="M3" s="81"/>
      <c r="N3" s="81"/>
      <c r="O3" s="81"/>
      <c r="P3" s="81"/>
      <c r="Q3" s="82"/>
      <c r="R3" s="82"/>
    </row>
    <row r="4" spans="1:18" ht="28.5" x14ac:dyDescent="0.2">
      <c r="A4" s="87" t="s">
        <v>31</v>
      </c>
      <c r="B4" s="428"/>
      <c r="C4" s="428"/>
      <c r="D4" s="428"/>
      <c r="E4" s="428"/>
      <c r="F4" s="428"/>
      <c r="G4" s="428"/>
      <c r="H4" s="428"/>
      <c r="I4" s="428"/>
      <c r="J4" s="85"/>
      <c r="K4" s="85"/>
      <c r="L4" s="85"/>
      <c r="M4" s="85"/>
      <c r="N4" s="85"/>
      <c r="O4" s="85"/>
      <c r="P4" s="85"/>
      <c r="Q4" s="82"/>
      <c r="R4" s="82"/>
    </row>
    <row r="5" spans="1:18" x14ac:dyDescent="0.25">
      <c r="A5" s="88"/>
      <c r="B5" s="427" t="s">
        <v>226</v>
      </c>
      <c r="C5" s="427"/>
      <c r="D5" s="427"/>
      <c r="E5" s="427"/>
      <c r="F5" s="427"/>
      <c r="G5" s="427"/>
      <c r="H5" s="427"/>
      <c r="I5" s="427"/>
      <c r="J5" s="81"/>
      <c r="K5" s="81"/>
      <c r="L5" s="81"/>
      <c r="M5" s="81"/>
      <c r="N5" s="81"/>
      <c r="O5" s="81"/>
      <c r="P5" s="81"/>
      <c r="Q5" s="82"/>
      <c r="R5" s="82"/>
    </row>
    <row r="6" spans="1:18" ht="28.5" x14ac:dyDescent="0.2">
      <c r="A6" s="87" t="s">
        <v>46</v>
      </c>
      <c r="B6" s="428"/>
      <c r="C6" s="428"/>
      <c r="D6" s="428"/>
      <c r="E6" s="428"/>
      <c r="F6" s="428"/>
      <c r="G6" s="428"/>
      <c r="H6" s="428"/>
      <c r="I6" s="428"/>
      <c r="J6" s="89"/>
      <c r="K6" s="89"/>
      <c r="L6" s="89"/>
      <c r="M6" s="89"/>
      <c r="N6" s="89"/>
      <c r="O6" s="89"/>
      <c r="P6" s="89"/>
      <c r="Q6" s="90"/>
      <c r="R6" s="90"/>
    </row>
    <row r="7" spans="1:18" ht="18" customHeight="1" x14ac:dyDescent="0.25">
      <c r="A7" s="88"/>
      <c r="B7" s="427" t="s">
        <v>229</v>
      </c>
      <c r="C7" s="427"/>
      <c r="D7" s="427"/>
      <c r="E7" s="427"/>
      <c r="F7" s="427"/>
      <c r="G7" s="427"/>
      <c r="H7" s="427"/>
      <c r="I7" s="427"/>
      <c r="J7" s="81"/>
      <c r="K7" s="81"/>
      <c r="L7" s="81"/>
      <c r="M7" s="81"/>
      <c r="N7" s="81"/>
      <c r="O7" s="81"/>
      <c r="P7" s="81"/>
      <c r="Q7" s="82"/>
      <c r="R7" s="82"/>
    </row>
    <row r="8" spans="1:18" ht="26.25" customHeight="1" x14ac:dyDescent="0.2">
      <c r="A8" s="425" t="s">
        <v>662</v>
      </c>
      <c r="B8" s="425"/>
      <c r="C8" s="425"/>
      <c r="D8" s="425"/>
      <c r="E8" s="425"/>
      <c r="F8" s="425"/>
      <c r="G8" s="425"/>
      <c r="H8" s="425"/>
      <c r="I8" s="425"/>
      <c r="J8" s="91"/>
      <c r="K8" s="91"/>
      <c r="L8" s="91"/>
      <c r="M8" s="91"/>
      <c r="N8" s="91"/>
      <c r="O8" s="91"/>
      <c r="P8" s="91"/>
      <c r="Q8" s="92"/>
      <c r="R8" s="92"/>
    </row>
    <row r="9" spans="1:18" ht="5.25" customHeight="1" x14ac:dyDescent="0.25">
      <c r="A9" s="93"/>
      <c r="B9" s="93"/>
      <c r="C9" s="93"/>
      <c r="D9" s="93"/>
      <c r="E9" s="93"/>
      <c r="F9" s="93"/>
      <c r="G9" s="93"/>
      <c r="H9" s="88"/>
      <c r="I9" s="93"/>
      <c r="J9" s="81"/>
      <c r="K9" s="93"/>
      <c r="L9" s="93"/>
      <c r="M9" s="93"/>
      <c r="N9" s="93"/>
      <c r="O9" s="88"/>
      <c r="P9" s="93"/>
    </row>
    <row r="10" spans="1:18" ht="54.95" customHeight="1" x14ac:dyDescent="0.2">
      <c r="A10" s="94" t="s">
        <v>230</v>
      </c>
      <c r="B10" s="94" t="s">
        <v>231</v>
      </c>
      <c r="C10" s="94" t="s">
        <v>232</v>
      </c>
      <c r="D10" s="94" t="s">
        <v>234</v>
      </c>
      <c r="E10" s="94" t="s">
        <v>663</v>
      </c>
      <c r="F10" s="94" t="s">
        <v>664</v>
      </c>
      <c r="G10" s="94" t="s">
        <v>665</v>
      </c>
      <c r="H10" s="94" t="s">
        <v>235</v>
      </c>
      <c r="I10" s="346" t="s">
        <v>675</v>
      </c>
      <c r="J10" s="329" t="s">
        <v>692</v>
      </c>
      <c r="K10" s="347" t="s">
        <v>701</v>
      </c>
      <c r="L10" s="94" t="s">
        <v>663</v>
      </c>
      <c r="M10" s="94" t="s">
        <v>664</v>
      </c>
      <c r="N10" s="94" t="s">
        <v>665</v>
      </c>
      <c r="O10" s="94" t="s">
        <v>235</v>
      </c>
      <c r="P10" s="346" t="s">
        <v>702</v>
      </c>
    </row>
    <row r="11" spans="1:18" ht="35.1" customHeight="1" x14ac:dyDescent="0.2">
      <c r="A11" s="341">
        <v>1</v>
      </c>
      <c r="B11" s="336" t="s">
        <v>667</v>
      </c>
      <c r="C11" s="337" t="s">
        <v>666</v>
      </c>
      <c r="D11" s="338">
        <v>48144717</v>
      </c>
      <c r="E11" s="338">
        <f>D11*2.4%</f>
        <v>1155473</v>
      </c>
      <c r="F11" s="338">
        <f>D11*8.2%</f>
        <v>3947867</v>
      </c>
      <c r="G11" s="338">
        <f>D11+E11+F11</f>
        <v>53248057</v>
      </c>
      <c r="H11" s="339">
        <v>1.2</v>
      </c>
      <c r="I11" s="343">
        <f>G11*H11</f>
        <v>63897668.399999999</v>
      </c>
      <c r="J11" s="340"/>
      <c r="K11" s="338">
        <v>48144717</v>
      </c>
      <c r="L11" s="338">
        <f>K11*2.4%</f>
        <v>1155473</v>
      </c>
      <c r="M11" s="338">
        <f>K11*8.2%</f>
        <v>3947867</v>
      </c>
      <c r="N11" s="338">
        <f>K11+L11+M11</f>
        <v>53248057</v>
      </c>
      <c r="O11" s="339">
        <v>1.2</v>
      </c>
      <c r="P11" s="343">
        <f>N11*O11</f>
        <v>63897668.399999999</v>
      </c>
      <c r="Q11" s="100"/>
    </row>
    <row r="12" spans="1:18" ht="35.1" customHeight="1" x14ac:dyDescent="0.2">
      <c r="A12" s="341">
        <v>2</v>
      </c>
      <c r="B12" s="336" t="s">
        <v>669</v>
      </c>
      <c r="C12" s="337" t="s">
        <v>668</v>
      </c>
      <c r="D12" s="338">
        <v>1325193</v>
      </c>
      <c r="E12" s="338">
        <f>D12*2.4%</f>
        <v>31805</v>
      </c>
      <c r="F12" s="338">
        <f>D12*8.2%</f>
        <v>108666</v>
      </c>
      <c r="G12" s="338">
        <f>D12+E12+F12</f>
        <v>1465664</v>
      </c>
      <c r="H12" s="339">
        <v>1.2</v>
      </c>
      <c r="I12" s="343">
        <f t="shared" ref="I12:I14" si="0">G12*H12</f>
        <v>1758796.8</v>
      </c>
      <c r="J12" s="344"/>
      <c r="K12" s="338">
        <v>1325193</v>
      </c>
      <c r="L12" s="338">
        <f>K12*2.4%</f>
        <v>31805</v>
      </c>
      <c r="M12" s="338">
        <f>K12*8.2%</f>
        <v>108666</v>
      </c>
      <c r="N12" s="338">
        <f>K12+L12+M12</f>
        <v>1465664</v>
      </c>
      <c r="O12" s="339">
        <v>1.2</v>
      </c>
      <c r="P12" s="343">
        <f t="shared" ref="P12:P27" si="1">N12*O12</f>
        <v>1758796.8</v>
      </c>
      <c r="Q12" s="100"/>
    </row>
    <row r="13" spans="1:18" ht="35.1" customHeight="1" x14ac:dyDescent="0.2">
      <c r="A13" s="348">
        <v>3</v>
      </c>
      <c r="B13" s="332" t="s">
        <v>671</v>
      </c>
      <c r="C13" s="333" t="s">
        <v>670</v>
      </c>
      <c r="D13" s="334">
        <v>38903391</v>
      </c>
      <c r="E13" s="334">
        <f>D13*2.4%</f>
        <v>933681</v>
      </c>
      <c r="F13" s="334">
        <f>D13*8.2%</f>
        <v>3190078</v>
      </c>
      <c r="G13" s="334">
        <f>D13+E13+F13</f>
        <v>43027150</v>
      </c>
      <c r="H13" s="335">
        <f>H11</f>
        <v>1.2</v>
      </c>
      <c r="I13" s="349">
        <f t="shared" si="0"/>
        <v>51632580</v>
      </c>
      <c r="J13" s="345">
        <f>'[3]05-03-01 (в.5) ПЖ - ЛСР по Мето'!$U$892*1.2+'[3]05-03-01 (в.5) ПЖ - ЛСР по Мето'!$U$892*2.4%+'[3]05-03-01 (в.5) ПЖ - ЛСР по Мето'!$U$892*8.2%</f>
        <v>100300032.63</v>
      </c>
      <c r="K13" s="334">
        <v>32170863</v>
      </c>
      <c r="L13" s="334">
        <f>K13*2.4%</f>
        <v>772101</v>
      </c>
      <c r="M13" s="334">
        <f>K13*8.2%</f>
        <v>2638011</v>
      </c>
      <c r="N13" s="334">
        <f>K13+L13+M13</f>
        <v>35580975</v>
      </c>
      <c r="O13" s="335">
        <f>O11</f>
        <v>1.2</v>
      </c>
      <c r="P13" s="349">
        <f t="shared" si="1"/>
        <v>42697170</v>
      </c>
      <c r="Q13" s="100"/>
    </row>
    <row r="14" spans="1:18" ht="35.1" customHeight="1" x14ac:dyDescent="0.2">
      <c r="A14" s="96">
        <v>4</v>
      </c>
      <c r="B14" s="321" t="s">
        <v>673</v>
      </c>
      <c r="C14" s="97" t="s">
        <v>672</v>
      </c>
      <c r="D14" s="98">
        <v>541721</v>
      </c>
      <c r="E14" s="98">
        <f t="shared" ref="E14" si="2">D14*2.4%</f>
        <v>13001</v>
      </c>
      <c r="F14" s="98">
        <f t="shared" ref="F14" si="3">D14*8.2%</f>
        <v>44421</v>
      </c>
      <c r="G14" s="98">
        <f t="shared" ref="G14" si="4">D14+E14+F14</f>
        <v>599143</v>
      </c>
      <c r="H14" s="328">
        <f>H11</f>
        <v>1.2</v>
      </c>
      <c r="I14" s="331">
        <f t="shared" si="0"/>
        <v>718971.6</v>
      </c>
      <c r="J14" s="330"/>
      <c r="K14" s="98">
        <v>541721</v>
      </c>
      <c r="L14" s="98">
        <f t="shared" ref="L14:L27" si="5">K14*2.4%</f>
        <v>13001</v>
      </c>
      <c r="M14" s="98">
        <f t="shared" ref="M14:M27" si="6">K14*8.2%</f>
        <v>44421</v>
      </c>
      <c r="N14" s="98">
        <f t="shared" ref="N14:N27" si="7">K14+L14+M14</f>
        <v>599143</v>
      </c>
      <c r="O14" s="328">
        <f>O11</f>
        <v>1.2</v>
      </c>
      <c r="P14" s="331">
        <f t="shared" si="1"/>
        <v>718971.6</v>
      </c>
      <c r="Q14" s="100"/>
    </row>
    <row r="15" spans="1:18" ht="35.1" customHeight="1" x14ac:dyDescent="0.2">
      <c r="A15" s="348">
        <v>6</v>
      </c>
      <c r="B15" s="353" t="s">
        <v>676</v>
      </c>
      <c r="C15" s="333" t="s">
        <v>677</v>
      </c>
      <c r="D15" s="334">
        <v>45292534</v>
      </c>
      <c r="E15" s="334">
        <f t="shared" ref="E15:E16" si="8">D15*2.4%</f>
        <v>1087021</v>
      </c>
      <c r="F15" s="334">
        <f t="shared" ref="F15:F16" si="9">D15*8.2%</f>
        <v>3713988</v>
      </c>
      <c r="G15" s="334">
        <f t="shared" ref="G15:G16" si="10">D15+E15+F15</f>
        <v>50093543</v>
      </c>
      <c r="H15" s="335">
        <f>H12</f>
        <v>1.2</v>
      </c>
      <c r="I15" s="349">
        <f t="shared" ref="I15" si="11">G15*H15</f>
        <v>60112251.600000001</v>
      </c>
      <c r="J15" s="345"/>
      <c r="K15" s="334">
        <v>39430628</v>
      </c>
      <c r="L15" s="334">
        <f t="shared" si="5"/>
        <v>946335</v>
      </c>
      <c r="M15" s="334">
        <f t="shared" si="6"/>
        <v>3233311</v>
      </c>
      <c r="N15" s="334">
        <f t="shared" si="7"/>
        <v>43610274</v>
      </c>
      <c r="O15" s="335">
        <f>O12</f>
        <v>1.2</v>
      </c>
      <c r="P15" s="349">
        <f t="shared" si="1"/>
        <v>52332328.799999997</v>
      </c>
      <c r="Q15" s="100"/>
    </row>
    <row r="16" spans="1:18" ht="35.1" customHeight="1" x14ac:dyDescent="0.2">
      <c r="A16" s="341">
        <v>7</v>
      </c>
      <c r="B16" s="342" t="s">
        <v>678</v>
      </c>
      <c r="C16" s="337" t="s">
        <v>679</v>
      </c>
      <c r="D16" s="338">
        <v>1177992</v>
      </c>
      <c r="E16" s="338">
        <f t="shared" si="8"/>
        <v>28272</v>
      </c>
      <c r="F16" s="338">
        <f t="shared" si="9"/>
        <v>96595</v>
      </c>
      <c r="G16" s="338">
        <f t="shared" si="10"/>
        <v>1302859</v>
      </c>
      <c r="H16" s="339">
        <f>H13</f>
        <v>1.2</v>
      </c>
      <c r="I16" s="343">
        <f t="shared" ref="I16" si="12">G16*H16</f>
        <v>1563430.8</v>
      </c>
      <c r="J16" s="344"/>
      <c r="K16" s="338">
        <v>1177992</v>
      </c>
      <c r="L16" s="338">
        <f t="shared" si="5"/>
        <v>28272</v>
      </c>
      <c r="M16" s="338">
        <f t="shared" si="6"/>
        <v>96595</v>
      </c>
      <c r="N16" s="338">
        <f t="shared" si="7"/>
        <v>1302859</v>
      </c>
      <c r="O16" s="339">
        <f>O13</f>
        <v>1.2</v>
      </c>
      <c r="P16" s="343">
        <f t="shared" si="1"/>
        <v>1563430.8</v>
      </c>
      <c r="Q16" s="100"/>
    </row>
    <row r="17" spans="1:17" ht="35.1" customHeight="1" x14ac:dyDescent="0.2">
      <c r="A17" s="341">
        <v>8</v>
      </c>
      <c r="B17" s="342" t="s">
        <v>680</v>
      </c>
      <c r="C17" s="337" t="s">
        <v>681</v>
      </c>
      <c r="D17" s="338">
        <v>25371</v>
      </c>
      <c r="E17" s="338">
        <f t="shared" ref="E17" si="13">D17*2.4%</f>
        <v>609</v>
      </c>
      <c r="F17" s="338">
        <f t="shared" ref="F17" si="14">D17*8.2%</f>
        <v>2080</v>
      </c>
      <c r="G17" s="338">
        <f t="shared" ref="G17" si="15">D17+E17+F17</f>
        <v>28060</v>
      </c>
      <c r="H17" s="339">
        <f>H14</f>
        <v>1.2</v>
      </c>
      <c r="I17" s="343">
        <f t="shared" ref="I17" si="16">G17*H17</f>
        <v>33672</v>
      </c>
      <c r="J17" s="344"/>
      <c r="K17" s="338">
        <v>25371</v>
      </c>
      <c r="L17" s="338">
        <f t="shared" si="5"/>
        <v>609</v>
      </c>
      <c r="M17" s="338">
        <f t="shared" si="6"/>
        <v>2080</v>
      </c>
      <c r="N17" s="338">
        <f t="shared" si="7"/>
        <v>28060</v>
      </c>
      <c r="O17" s="339">
        <f>O14</f>
        <v>1.2</v>
      </c>
      <c r="P17" s="343">
        <f t="shared" si="1"/>
        <v>33672</v>
      </c>
      <c r="Q17" s="100"/>
    </row>
    <row r="18" spans="1:17" ht="35.1" customHeight="1" x14ac:dyDescent="0.2">
      <c r="A18" s="341">
        <v>9</v>
      </c>
      <c r="B18" s="342" t="s">
        <v>682</v>
      </c>
      <c r="C18" s="337" t="s">
        <v>683</v>
      </c>
      <c r="D18" s="338">
        <v>474228</v>
      </c>
      <c r="E18" s="338">
        <f t="shared" ref="E18" si="17">D18*2.4%</f>
        <v>11381</v>
      </c>
      <c r="F18" s="338">
        <f t="shared" ref="F18" si="18">D18*8.2%</f>
        <v>38887</v>
      </c>
      <c r="G18" s="338">
        <f t="shared" ref="G18" si="19">D18+E18+F18</f>
        <v>524496</v>
      </c>
      <c r="H18" s="339">
        <f>H15</f>
        <v>1.2</v>
      </c>
      <c r="I18" s="343">
        <f t="shared" ref="I18" si="20">G18*H18</f>
        <v>629395.19999999995</v>
      </c>
      <c r="J18" s="344"/>
      <c r="K18" s="338">
        <v>474228</v>
      </c>
      <c r="L18" s="338">
        <f t="shared" si="5"/>
        <v>11381</v>
      </c>
      <c r="M18" s="338">
        <f t="shared" si="6"/>
        <v>38887</v>
      </c>
      <c r="N18" s="338">
        <f t="shared" si="7"/>
        <v>524496</v>
      </c>
      <c r="O18" s="339">
        <f>O15</f>
        <v>1.2</v>
      </c>
      <c r="P18" s="343">
        <f t="shared" si="1"/>
        <v>629395.19999999995</v>
      </c>
      <c r="Q18" s="100"/>
    </row>
    <row r="19" spans="1:17" ht="35.1" customHeight="1" x14ac:dyDescent="0.2">
      <c r="A19" s="341">
        <v>10</v>
      </c>
      <c r="B19" s="342" t="s">
        <v>698</v>
      </c>
      <c r="C19" s="337" t="s">
        <v>685</v>
      </c>
      <c r="D19" s="338">
        <v>211726</v>
      </c>
      <c r="E19" s="338">
        <f t="shared" ref="E19" si="21">D19*2.4%</f>
        <v>5081</v>
      </c>
      <c r="F19" s="338">
        <f t="shared" ref="F19" si="22">D19*8.2%</f>
        <v>17362</v>
      </c>
      <c r="G19" s="338">
        <f t="shared" ref="G19" si="23">D19+E19+F19</f>
        <v>234169</v>
      </c>
      <c r="H19" s="339">
        <f t="shared" ref="H19:H27" si="24">H15</f>
        <v>1.2</v>
      </c>
      <c r="I19" s="343">
        <f t="shared" ref="I19" si="25">G19*H19</f>
        <v>281002.8</v>
      </c>
      <c r="J19" s="344"/>
      <c r="K19" s="338">
        <v>211726</v>
      </c>
      <c r="L19" s="338">
        <f t="shared" si="5"/>
        <v>5081</v>
      </c>
      <c r="M19" s="338">
        <f t="shared" si="6"/>
        <v>17362</v>
      </c>
      <c r="N19" s="338">
        <f t="shared" si="7"/>
        <v>234169</v>
      </c>
      <c r="O19" s="339">
        <f t="shared" ref="O19:O27" si="26">O15</f>
        <v>1.2</v>
      </c>
      <c r="P19" s="343">
        <f t="shared" si="1"/>
        <v>281002.8</v>
      </c>
      <c r="Q19" s="100"/>
    </row>
    <row r="20" spans="1:17" ht="35.1" customHeight="1" x14ac:dyDescent="0.2">
      <c r="A20" s="341">
        <v>11</v>
      </c>
      <c r="B20" s="342" t="s">
        <v>686</v>
      </c>
      <c r="C20" s="337" t="s">
        <v>687</v>
      </c>
      <c r="D20" s="338">
        <v>4241452</v>
      </c>
      <c r="E20" s="338">
        <f t="shared" ref="E20" si="27">D20*2.4%</f>
        <v>101795</v>
      </c>
      <c r="F20" s="338">
        <f t="shared" ref="F20" si="28">D20*8.2%</f>
        <v>347799</v>
      </c>
      <c r="G20" s="338">
        <f t="shared" ref="G20" si="29">D20+E20+F20</f>
        <v>4691046</v>
      </c>
      <c r="H20" s="339">
        <f t="shared" si="24"/>
        <v>1.2</v>
      </c>
      <c r="I20" s="343">
        <f t="shared" ref="I20" si="30">G20*H20</f>
        <v>5629255.2000000002</v>
      </c>
      <c r="J20" s="344"/>
      <c r="K20" s="338">
        <v>4241452</v>
      </c>
      <c r="L20" s="338">
        <f t="shared" si="5"/>
        <v>101795</v>
      </c>
      <c r="M20" s="338">
        <f t="shared" si="6"/>
        <v>347799</v>
      </c>
      <c r="N20" s="338">
        <f t="shared" si="7"/>
        <v>4691046</v>
      </c>
      <c r="O20" s="339">
        <f t="shared" si="26"/>
        <v>1.2</v>
      </c>
      <c r="P20" s="343">
        <f t="shared" si="1"/>
        <v>5629255.2000000002</v>
      </c>
      <c r="Q20" s="100"/>
    </row>
    <row r="21" spans="1:17" ht="35.1" customHeight="1" x14ac:dyDescent="0.2">
      <c r="A21" s="348">
        <v>12</v>
      </c>
      <c r="B21" s="353" t="s">
        <v>688</v>
      </c>
      <c r="C21" s="333" t="s">
        <v>689</v>
      </c>
      <c r="D21" s="334">
        <v>408886</v>
      </c>
      <c r="E21" s="334">
        <f t="shared" ref="E21" si="31">D21*2.4%</f>
        <v>9813</v>
      </c>
      <c r="F21" s="334">
        <f t="shared" ref="F21" si="32">D21*8.2%</f>
        <v>33529</v>
      </c>
      <c r="G21" s="334">
        <f t="shared" ref="G21" si="33">D21+E21+F21</f>
        <v>452228</v>
      </c>
      <c r="H21" s="335">
        <f t="shared" si="24"/>
        <v>1.2</v>
      </c>
      <c r="I21" s="349">
        <f t="shared" ref="I21" si="34">G21*H21</f>
        <v>542673.6</v>
      </c>
      <c r="J21" s="345"/>
      <c r="K21" s="334">
        <v>225018</v>
      </c>
      <c r="L21" s="334">
        <f t="shared" si="5"/>
        <v>5400</v>
      </c>
      <c r="M21" s="334">
        <f t="shared" si="6"/>
        <v>18451</v>
      </c>
      <c r="N21" s="334">
        <f t="shared" si="7"/>
        <v>248869</v>
      </c>
      <c r="O21" s="335">
        <f t="shared" si="26"/>
        <v>1.2</v>
      </c>
      <c r="P21" s="349">
        <f t="shared" si="1"/>
        <v>298642.8</v>
      </c>
      <c r="Q21" s="100"/>
    </row>
    <row r="22" spans="1:17" ht="35.1" customHeight="1" x14ac:dyDescent="0.2">
      <c r="A22" s="341">
        <v>13</v>
      </c>
      <c r="B22" s="342" t="s">
        <v>690</v>
      </c>
      <c r="C22" s="337" t="s">
        <v>691</v>
      </c>
      <c r="D22" s="338">
        <v>3192184</v>
      </c>
      <c r="E22" s="338">
        <f t="shared" ref="E22" si="35">D22*2.4%</f>
        <v>76612</v>
      </c>
      <c r="F22" s="338">
        <f t="shared" ref="F22" si="36">D22*8.2%</f>
        <v>261759</v>
      </c>
      <c r="G22" s="338">
        <f t="shared" ref="G22" si="37">D22+E22+F22</f>
        <v>3530555</v>
      </c>
      <c r="H22" s="339">
        <f t="shared" si="24"/>
        <v>1.2</v>
      </c>
      <c r="I22" s="343">
        <f t="shared" ref="I22" si="38">G22*H22</f>
        <v>4236666</v>
      </c>
      <c r="J22" s="344"/>
      <c r="K22" s="338">
        <v>3192184</v>
      </c>
      <c r="L22" s="338">
        <f t="shared" si="5"/>
        <v>76612</v>
      </c>
      <c r="M22" s="338">
        <f t="shared" si="6"/>
        <v>261759</v>
      </c>
      <c r="N22" s="338">
        <f t="shared" si="7"/>
        <v>3530555</v>
      </c>
      <c r="O22" s="339">
        <f t="shared" si="26"/>
        <v>1.2</v>
      </c>
      <c r="P22" s="343">
        <f t="shared" si="1"/>
        <v>4236666</v>
      </c>
      <c r="Q22" s="100"/>
    </row>
    <row r="23" spans="1:17" ht="35.1" customHeight="1" x14ac:dyDescent="0.2">
      <c r="A23" s="341">
        <v>14</v>
      </c>
      <c r="B23" s="342" t="s">
        <v>673</v>
      </c>
      <c r="C23" s="337" t="s">
        <v>693</v>
      </c>
      <c r="D23" s="338">
        <v>542019</v>
      </c>
      <c r="E23" s="338">
        <f t="shared" ref="E23" si="39">D23*2.4%</f>
        <v>13008</v>
      </c>
      <c r="F23" s="338">
        <f t="shared" ref="F23" si="40">D23*8.2%</f>
        <v>44446</v>
      </c>
      <c r="G23" s="338">
        <f t="shared" ref="G23" si="41">D23+E23+F23</f>
        <v>599473</v>
      </c>
      <c r="H23" s="339">
        <f t="shared" si="24"/>
        <v>1.2</v>
      </c>
      <c r="I23" s="343">
        <f t="shared" ref="I23" si="42">G23*H23</f>
        <v>719367.6</v>
      </c>
      <c r="J23" s="344"/>
      <c r="K23" s="338">
        <v>542019</v>
      </c>
      <c r="L23" s="338">
        <f t="shared" si="5"/>
        <v>13008</v>
      </c>
      <c r="M23" s="338">
        <f t="shared" si="6"/>
        <v>44446</v>
      </c>
      <c r="N23" s="338">
        <f t="shared" si="7"/>
        <v>599473</v>
      </c>
      <c r="O23" s="339">
        <f t="shared" si="26"/>
        <v>1.2</v>
      </c>
      <c r="P23" s="343">
        <f t="shared" si="1"/>
        <v>719367.6</v>
      </c>
      <c r="Q23" s="100"/>
    </row>
    <row r="24" spans="1:17" ht="35.1" customHeight="1" x14ac:dyDescent="0.2">
      <c r="A24" s="341">
        <v>15</v>
      </c>
      <c r="B24" s="342" t="s">
        <v>695</v>
      </c>
      <c r="C24" s="337" t="s">
        <v>694</v>
      </c>
      <c r="D24" s="338">
        <v>1308936</v>
      </c>
      <c r="E24" s="338">
        <f t="shared" ref="E24" si="43">D24*2.4%</f>
        <v>31414</v>
      </c>
      <c r="F24" s="338">
        <f t="shared" ref="F24" si="44">D24*8.2%</f>
        <v>107333</v>
      </c>
      <c r="G24" s="338">
        <f t="shared" ref="G24" si="45">D24+E24+F24</f>
        <v>1447683</v>
      </c>
      <c r="H24" s="339">
        <f t="shared" si="24"/>
        <v>1.2</v>
      </c>
      <c r="I24" s="343">
        <f t="shared" ref="I24" si="46">G24*H24</f>
        <v>1737219.6</v>
      </c>
      <c r="J24" s="344"/>
      <c r="K24" s="338">
        <v>1308936</v>
      </c>
      <c r="L24" s="338">
        <f t="shared" si="5"/>
        <v>31414</v>
      </c>
      <c r="M24" s="338">
        <f t="shared" si="6"/>
        <v>107333</v>
      </c>
      <c r="N24" s="338">
        <f t="shared" si="7"/>
        <v>1447683</v>
      </c>
      <c r="O24" s="339">
        <f t="shared" si="26"/>
        <v>1.2</v>
      </c>
      <c r="P24" s="343">
        <f t="shared" si="1"/>
        <v>1737219.6</v>
      </c>
      <c r="Q24" s="100"/>
    </row>
    <row r="25" spans="1:17" ht="35.1" customHeight="1" x14ac:dyDescent="0.2">
      <c r="A25" s="341">
        <v>16</v>
      </c>
      <c r="B25" s="342" t="s">
        <v>684</v>
      </c>
      <c r="C25" s="337" t="s">
        <v>697</v>
      </c>
      <c r="D25" s="338">
        <v>6209761</v>
      </c>
      <c r="E25" s="338">
        <f t="shared" ref="E25" si="47">D25*2.4%</f>
        <v>149034</v>
      </c>
      <c r="F25" s="338">
        <f t="shared" ref="F25" si="48">D25*8.2%</f>
        <v>509200</v>
      </c>
      <c r="G25" s="338">
        <f t="shared" ref="G25" si="49">D25+E25+F25</f>
        <v>6867995</v>
      </c>
      <c r="H25" s="339">
        <f t="shared" si="24"/>
        <v>1.2</v>
      </c>
      <c r="I25" s="343">
        <f t="shared" ref="I25" si="50">G25*H25</f>
        <v>8241594</v>
      </c>
      <c r="J25" s="344"/>
      <c r="K25" s="338">
        <v>6209761</v>
      </c>
      <c r="L25" s="338">
        <f t="shared" si="5"/>
        <v>149034</v>
      </c>
      <c r="M25" s="338">
        <f t="shared" si="6"/>
        <v>509200</v>
      </c>
      <c r="N25" s="338">
        <f t="shared" si="7"/>
        <v>6867995</v>
      </c>
      <c r="O25" s="339">
        <f t="shared" si="26"/>
        <v>1.2</v>
      </c>
      <c r="P25" s="343">
        <f t="shared" si="1"/>
        <v>8241594</v>
      </c>
      <c r="Q25" s="100"/>
    </row>
    <row r="26" spans="1:17" ht="35.1" customHeight="1" x14ac:dyDescent="0.2">
      <c r="A26" s="341">
        <v>17</v>
      </c>
      <c r="B26" s="342" t="s">
        <v>696</v>
      </c>
      <c r="C26" s="337" t="s">
        <v>699</v>
      </c>
      <c r="D26" s="338">
        <v>217103</v>
      </c>
      <c r="E26" s="338">
        <f t="shared" ref="E26" si="51">D26*2.4%</f>
        <v>5210</v>
      </c>
      <c r="F26" s="338">
        <f t="shared" ref="F26" si="52">D26*8.2%</f>
        <v>17802</v>
      </c>
      <c r="G26" s="338">
        <f t="shared" ref="G26" si="53">D26+E26+F26</f>
        <v>240115</v>
      </c>
      <c r="H26" s="339">
        <f t="shared" si="24"/>
        <v>1.2</v>
      </c>
      <c r="I26" s="343">
        <f t="shared" ref="I26" si="54">G26*H26</f>
        <v>288138</v>
      </c>
      <c r="J26" s="344"/>
      <c r="K26" s="338">
        <v>217103</v>
      </c>
      <c r="L26" s="338">
        <f t="shared" si="5"/>
        <v>5210</v>
      </c>
      <c r="M26" s="338">
        <f t="shared" si="6"/>
        <v>17802</v>
      </c>
      <c r="N26" s="338">
        <f t="shared" si="7"/>
        <v>240115</v>
      </c>
      <c r="O26" s="339">
        <f t="shared" si="26"/>
        <v>1.2</v>
      </c>
      <c r="P26" s="343">
        <f t="shared" si="1"/>
        <v>288138</v>
      </c>
      <c r="Q26" s="100"/>
    </row>
    <row r="27" spans="1:17" ht="35.1" customHeight="1" x14ac:dyDescent="0.2">
      <c r="A27" s="341">
        <v>18</v>
      </c>
      <c r="B27" s="342" t="s">
        <v>700</v>
      </c>
      <c r="C27" s="337" t="s">
        <v>674</v>
      </c>
      <c r="D27" s="338">
        <v>1646109</v>
      </c>
      <c r="E27" s="338">
        <f t="shared" ref="E27" si="55">D27*2.4%</f>
        <v>39507</v>
      </c>
      <c r="F27" s="338">
        <f t="shared" ref="F27" si="56">D27*8.2%</f>
        <v>134981</v>
      </c>
      <c r="G27" s="338">
        <f t="shared" ref="G27" si="57">D27+E27+F27</f>
        <v>1820597</v>
      </c>
      <c r="H27" s="339">
        <f t="shared" si="24"/>
        <v>1.2</v>
      </c>
      <c r="I27" s="343">
        <f t="shared" ref="I27" si="58">G27*H27</f>
        <v>2184716.4</v>
      </c>
      <c r="J27" s="344"/>
      <c r="K27" s="338">
        <v>1646109</v>
      </c>
      <c r="L27" s="338">
        <f t="shared" si="5"/>
        <v>39507</v>
      </c>
      <c r="M27" s="338">
        <f t="shared" si="6"/>
        <v>134981</v>
      </c>
      <c r="N27" s="338">
        <f t="shared" si="7"/>
        <v>1820597</v>
      </c>
      <c r="O27" s="339">
        <f t="shared" si="26"/>
        <v>1.2</v>
      </c>
      <c r="P27" s="343">
        <f t="shared" si="1"/>
        <v>2184716.4</v>
      </c>
      <c r="Q27" s="100"/>
    </row>
    <row r="28" spans="1:17" ht="54.95" customHeight="1" x14ac:dyDescent="0.25">
      <c r="A28" s="350"/>
      <c r="B28" s="351" t="s">
        <v>37</v>
      </c>
      <c r="C28" s="350"/>
      <c r="D28" s="352">
        <f>SUM(D11:D27)</f>
        <v>153863323</v>
      </c>
      <c r="E28" s="350"/>
      <c r="F28" s="350"/>
      <c r="G28" s="352">
        <f>SUM(G11:G27)</f>
        <v>170172833</v>
      </c>
      <c r="H28" s="352"/>
      <c r="I28" s="352">
        <f>SUM(I11:I27)</f>
        <v>204207399.59999999</v>
      </c>
      <c r="J28" s="352">
        <f>SUM(J11:J18)</f>
        <v>100300032.63</v>
      </c>
      <c r="K28" s="352">
        <f>SUM(K11:K27)</f>
        <v>141085021</v>
      </c>
      <c r="L28" s="350"/>
      <c r="M28" s="350"/>
      <c r="N28" s="352">
        <f>SUM(N11:N27)</f>
        <v>156040030</v>
      </c>
      <c r="O28" s="352"/>
      <c r="P28" s="352">
        <f>SUM(P11:P27)</f>
        <v>187248036</v>
      </c>
      <c r="Q28" s="110"/>
    </row>
    <row r="29" spans="1:17" x14ac:dyDescent="0.25">
      <c r="A29" s="80"/>
      <c r="B29" s="80"/>
      <c r="C29" s="80"/>
      <c r="D29" s="80"/>
      <c r="E29" s="80"/>
      <c r="F29" s="80"/>
      <c r="G29" s="80"/>
      <c r="H29" s="80"/>
      <c r="I29" s="80"/>
      <c r="K29" s="80"/>
      <c r="L29" s="80"/>
      <c r="M29" s="80"/>
      <c r="N29" s="80"/>
      <c r="O29" s="80"/>
      <c r="P29" s="80"/>
    </row>
    <row r="30" spans="1:17" x14ac:dyDescent="0.25">
      <c r="A30" s="80"/>
      <c r="B30" s="80"/>
      <c r="C30" s="80"/>
      <c r="D30" s="80"/>
      <c r="E30" s="80"/>
      <c r="F30" s="80"/>
      <c r="G30" s="80"/>
      <c r="H30" s="80"/>
      <c r="I30" s="112"/>
      <c r="J30" s="113"/>
      <c r="K30" s="80"/>
      <c r="L30" s="80"/>
      <c r="M30" s="80"/>
      <c r="N30" s="80"/>
      <c r="O30" s="80"/>
      <c r="P30" s="112"/>
      <c r="Q30" s="114"/>
    </row>
    <row r="31" spans="1:17" x14ac:dyDescent="0.25">
      <c r="A31" s="80"/>
      <c r="B31" s="80"/>
      <c r="C31" s="80"/>
      <c r="D31" s="80"/>
      <c r="E31" s="80"/>
      <c r="F31" s="80"/>
      <c r="G31" s="80"/>
      <c r="H31" s="80"/>
      <c r="I31" s="80"/>
      <c r="K31" s="80"/>
      <c r="L31" s="80"/>
      <c r="M31" s="80"/>
      <c r="N31" s="80"/>
      <c r="O31" s="80"/>
      <c r="P31" s="80"/>
    </row>
    <row r="32" spans="1:17" x14ac:dyDescent="0.25">
      <c r="A32" s="80"/>
      <c r="B32" s="80"/>
      <c r="C32" s="80"/>
      <c r="D32" s="80"/>
      <c r="E32" s="80"/>
      <c r="F32" s="80"/>
      <c r="G32" s="80"/>
      <c r="H32" s="80"/>
      <c r="I32" s="80"/>
      <c r="K32" s="80"/>
      <c r="L32" s="80"/>
      <c r="M32" s="80"/>
      <c r="N32" s="80"/>
      <c r="O32" s="80"/>
      <c r="P32" s="80"/>
    </row>
    <row r="33" spans="1:16" x14ac:dyDescent="0.25">
      <c r="A33" s="80"/>
      <c r="B33" s="80"/>
      <c r="C33" s="80"/>
      <c r="D33" s="80"/>
      <c r="E33" s="80"/>
      <c r="F33" s="80"/>
      <c r="G33" s="80"/>
      <c r="H33" s="80"/>
      <c r="I33" s="80"/>
      <c r="K33" s="80"/>
      <c r="L33" s="80"/>
      <c r="M33" s="80"/>
      <c r="N33" s="80"/>
      <c r="O33" s="80"/>
      <c r="P33" s="80"/>
    </row>
    <row r="34" spans="1:16" x14ac:dyDescent="0.25">
      <c r="A34" s="80"/>
      <c r="B34" s="80"/>
      <c r="C34" s="80"/>
      <c r="D34" s="80"/>
      <c r="E34" s="80"/>
      <c r="F34" s="80"/>
      <c r="G34" s="80"/>
      <c r="H34" s="80"/>
      <c r="I34" s="80"/>
      <c r="K34" s="80"/>
      <c r="L34" s="80"/>
      <c r="M34" s="80"/>
      <c r="N34" s="80"/>
      <c r="O34" s="80"/>
      <c r="P34" s="80"/>
    </row>
    <row r="35" spans="1:16" x14ac:dyDescent="0.25">
      <c r="A35" s="80"/>
      <c r="B35" s="80"/>
      <c r="C35" s="80"/>
      <c r="D35" s="80"/>
      <c r="E35" s="80"/>
      <c r="F35" s="80"/>
      <c r="G35" s="80"/>
      <c r="H35" s="80"/>
      <c r="I35" s="80"/>
      <c r="K35" s="80"/>
      <c r="L35" s="80"/>
      <c r="M35" s="80"/>
      <c r="N35" s="80"/>
      <c r="O35" s="80"/>
      <c r="P35" s="80"/>
    </row>
    <row r="36" spans="1:16" x14ac:dyDescent="0.25">
      <c r="A36" s="80"/>
      <c r="B36" s="80"/>
      <c r="C36" s="80"/>
      <c r="D36" s="80"/>
      <c r="E36" s="80"/>
      <c r="F36" s="80"/>
      <c r="G36" s="80"/>
      <c r="H36" s="80"/>
      <c r="I36" s="80"/>
      <c r="K36" s="80"/>
      <c r="L36" s="80"/>
      <c r="M36" s="80"/>
      <c r="N36" s="80"/>
      <c r="O36" s="80"/>
      <c r="P36" s="80"/>
    </row>
    <row r="51" spans="1:1" x14ac:dyDescent="0.25">
      <c r="A51" s="115">
        <v>7</v>
      </c>
    </row>
  </sheetData>
  <mergeCells count="7">
    <mergeCell ref="A8:I8"/>
    <mergeCell ref="B2:I2"/>
    <mergeCell ref="B3:I3"/>
    <mergeCell ref="B4:I4"/>
    <mergeCell ref="B5:I5"/>
    <mergeCell ref="B6:I6"/>
    <mergeCell ref="B7:I7"/>
  </mergeCells>
  <pageMargins left="0.70866141732283472" right="0.70866141732283472" top="0.74803149606299213" bottom="0.74803149606299213" header="0.31496062992125984" footer="0.31496062992125984"/>
  <pageSetup paperSize="9" scale="65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55"/>
  <sheetViews>
    <sheetView showGridLines="0" workbookViewId="0">
      <selection activeCell="D30" sqref="D30"/>
    </sheetView>
  </sheetViews>
  <sheetFormatPr defaultColWidth="9.140625" defaultRowHeight="11.25" customHeight="1" x14ac:dyDescent="0.2"/>
  <cols>
    <col min="1" max="1" width="5.42578125" style="274" customWidth="1"/>
    <col min="2" max="2" width="11.5703125" style="274" customWidth="1"/>
    <col min="3" max="3" width="34.42578125" style="274" customWidth="1"/>
    <col min="4" max="4" width="11.85546875" style="274" customWidth="1"/>
    <col min="5" max="6" width="12.140625" style="274" customWidth="1"/>
    <col min="7" max="7" width="9.7109375" style="274" customWidth="1"/>
    <col min="8" max="9" width="12.140625" style="274" customWidth="1"/>
    <col min="10" max="10" width="9.7109375" style="274" customWidth="1"/>
    <col min="11" max="12" width="12.140625" style="274" customWidth="1"/>
    <col min="13" max="13" width="15.5703125" style="274" customWidth="1"/>
    <col min="14" max="14" width="12.140625" style="274" customWidth="1"/>
    <col min="15" max="15" width="12.7109375" style="274" customWidth="1"/>
    <col min="16" max="16384" width="9.140625" style="305"/>
  </cols>
  <sheetData>
    <row r="1" spans="1:15" s="18" customFormat="1" ht="12.75" x14ac:dyDescent="0.2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2.75" x14ac:dyDescent="0.2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456" t="s">
        <v>0</v>
      </c>
      <c r="N2" s="456"/>
      <c r="O2" s="456"/>
    </row>
    <row r="3" spans="1:15" s="18" customFormat="1" ht="12.75" x14ac:dyDescent="0.2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457" t="s">
        <v>2</v>
      </c>
      <c r="N3" s="457"/>
      <c r="O3" s="457"/>
    </row>
    <row r="4" spans="1:15" s="18" customFormat="1" ht="12.75" x14ac:dyDescent="0.2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458"/>
      <c r="N4" s="459"/>
      <c r="O4" s="460"/>
    </row>
    <row r="5" spans="1:15" s="18" customFormat="1" ht="12.75" x14ac:dyDescent="0.2">
      <c r="A5" s="13" t="s">
        <v>3</v>
      </c>
      <c r="B5" s="22"/>
      <c r="C5" s="461"/>
      <c r="D5" s="461"/>
      <c r="E5" s="461"/>
      <c r="F5" s="461"/>
      <c r="G5" s="461"/>
      <c r="H5" s="461"/>
      <c r="I5" s="461"/>
      <c r="J5" s="461"/>
      <c r="K5" s="461"/>
      <c r="L5" s="26" t="s">
        <v>4</v>
      </c>
      <c r="M5" s="462"/>
      <c r="N5" s="445"/>
      <c r="O5" s="446"/>
    </row>
    <row r="6" spans="1:15" s="18" customFormat="1" ht="12.75" x14ac:dyDescent="0.2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468"/>
      <c r="N6" s="469"/>
      <c r="O6" s="470"/>
    </row>
    <row r="7" spans="1:15" s="18" customFormat="1" ht="39" customHeight="1" x14ac:dyDescent="0.2">
      <c r="A7" s="471" t="s">
        <v>29</v>
      </c>
      <c r="B7" s="471"/>
      <c r="C7" s="473" t="s">
        <v>44</v>
      </c>
      <c r="D7" s="473"/>
      <c r="E7" s="473"/>
      <c r="F7" s="473"/>
      <c r="G7" s="473"/>
      <c r="H7" s="473"/>
      <c r="I7" s="473"/>
      <c r="J7" s="473"/>
      <c r="K7" s="473"/>
      <c r="L7" s="31" t="s">
        <v>4</v>
      </c>
      <c r="M7" s="474" t="s">
        <v>30</v>
      </c>
      <c r="N7" s="475"/>
      <c r="O7" s="476"/>
    </row>
    <row r="8" spans="1:15" s="18" customFormat="1" ht="44.25" customHeight="1" x14ac:dyDescent="0.2">
      <c r="A8" s="471" t="s">
        <v>31</v>
      </c>
      <c r="B8" s="471"/>
      <c r="C8" s="477" t="s">
        <v>45</v>
      </c>
      <c r="D8" s="477"/>
      <c r="E8" s="477"/>
      <c r="F8" s="477"/>
      <c r="G8" s="477"/>
      <c r="H8" s="477"/>
      <c r="I8" s="477"/>
      <c r="J8" s="477"/>
      <c r="K8" s="477"/>
      <c r="L8" s="31" t="s">
        <v>4</v>
      </c>
      <c r="M8" s="456">
        <v>79730368</v>
      </c>
      <c r="N8" s="456"/>
      <c r="O8" s="456"/>
    </row>
    <row r="9" spans="1:15" s="18" customFormat="1" ht="45.75" customHeight="1" x14ac:dyDescent="0.2">
      <c r="A9" s="472" t="s">
        <v>46</v>
      </c>
      <c r="B9" s="472"/>
      <c r="C9" s="471" t="s">
        <v>47</v>
      </c>
      <c r="D9" s="471"/>
      <c r="E9" s="471"/>
      <c r="F9" s="471"/>
      <c r="G9" s="471"/>
      <c r="H9" s="471"/>
      <c r="I9" s="471"/>
      <c r="J9" s="471"/>
      <c r="K9" s="471"/>
      <c r="L9" s="32"/>
      <c r="M9" s="434"/>
      <c r="N9" s="435"/>
      <c r="O9" s="436"/>
    </row>
    <row r="10" spans="1:15" s="18" customFormat="1" ht="24" customHeight="1" x14ac:dyDescent="0.2">
      <c r="A10" s="13"/>
      <c r="B10" s="22"/>
      <c r="C10" s="466" t="s">
        <v>6</v>
      </c>
      <c r="D10" s="466"/>
      <c r="E10" s="466"/>
      <c r="F10" s="466"/>
      <c r="G10" s="466"/>
      <c r="H10" s="466"/>
      <c r="I10" s="466"/>
      <c r="J10" s="466"/>
      <c r="K10" s="466"/>
      <c r="L10" s="32"/>
      <c r="M10" s="458"/>
      <c r="N10" s="459"/>
      <c r="O10" s="460"/>
    </row>
    <row r="11" spans="1:15" s="18" customFormat="1" ht="12.75" x14ac:dyDescent="0.2">
      <c r="A11" s="467" t="s">
        <v>48</v>
      </c>
      <c r="B11" s="467"/>
      <c r="C11" s="461" t="s">
        <v>49</v>
      </c>
      <c r="D11" s="461"/>
      <c r="E11" s="461"/>
      <c r="F11" s="461"/>
      <c r="G11" s="461"/>
      <c r="H11" s="461"/>
      <c r="I11" s="461"/>
      <c r="J11" s="461"/>
      <c r="K11" s="461"/>
      <c r="L11" s="32"/>
      <c r="M11" s="434"/>
      <c r="N11" s="435"/>
      <c r="O11" s="436"/>
    </row>
    <row r="12" spans="1:15" s="18" customFormat="1" ht="12.75" x14ac:dyDescent="0.2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437" t="s">
        <v>32</v>
      </c>
      <c r="L12" s="438"/>
      <c r="M12" s="439" t="s">
        <v>33</v>
      </c>
      <c r="N12" s="440"/>
      <c r="O12" s="441"/>
    </row>
    <row r="13" spans="1:15" s="18" customFormat="1" ht="12.75" x14ac:dyDescent="0.2">
      <c r="A13" s="13"/>
      <c r="B13" s="22"/>
      <c r="C13" s="27"/>
      <c r="D13" s="1"/>
      <c r="E13" s="1"/>
      <c r="F13" s="1"/>
      <c r="G13" s="1"/>
      <c r="H13" s="1"/>
      <c r="I13" s="1"/>
      <c r="J13" s="1"/>
      <c r="K13" s="272" t="s">
        <v>8</v>
      </c>
      <c r="L13" s="33" t="s">
        <v>9</v>
      </c>
      <c r="M13" s="442" t="s">
        <v>34</v>
      </c>
      <c r="N13" s="443"/>
      <c r="O13" s="444"/>
    </row>
    <row r="14" spans="1:15" s="18" customFormat="1" ht="12.75" x14ac:dyDescent="0.2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2.75" hidden="1" x14ac:dyDescent="0.2">
      <c r="A15" s="13"/>
      <c r="B15" s="22"/>
      <c r="C15" s="27"/>
      <c r="D15" s="1"/>
      <c r="E15" s="1"/>
      <c r="F15" s="1"/>
      <c r="G15" s="1"/>
      <c r="H15" s="1"/>
      <c r="I15" s="445" t="s">
        <v>35</v>
      </c>
      <c r="J15" s="445"/>
      <c r="K15" s="446"/>
      <c r="L15" s="33" t="s">
        <v>9</v>
      </c>
      <c r="M15" s="439" t="s">
        <v>18</v>
      </c>
      <c r="N15" s="440"/>
      <c r="O15" s="441"/>
    </row>
    <row r="16" spans="1:15" s="18" customFormat="1" ht="12.75" hidden="1" x14ac:dyDescent="0.2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5" s="1" customFormat="1" ht="12.75" x14ac:dyDescent="0.2">
      <c r="C17" s="27"/>
      <c r="I17" s="437" t="s">
        <v>35</v>
      </c>
      <c r="J17" s="437"/>
      <c r="K17" s="438"/>
      <c r="L17" s="33" t="s">
        <v>9</v>
      </c>
      <c r="M17" s="439" t="s">
        <v>25</v>
      </c>
      <c r="N17" s="440"/>
      <c r="O17" s="441"/>
    </row>
    <row r="18" spans="1:15" s="1" customFormat="1" ht="12.75" x14ac:dyDescent="0.2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5" s="18" customFormat="1" ht="12.75" x14ac:dyDescent="0.2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442"/>
      <c r="N19" s="443"/>
      <c r="O19" s="444"/>
    </row>
    <row r="20" spans="1:15" s="18" customFormat="1" ht="12.75" x14ac:dyDescent="0.2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5" s="18" customFormat="1" ht="12.75" x14ac:dyDescent="0.2">
      <c r="A21" s="13"/>
      <c r="B21" s="22"/>
      <c r="C21" s="27"/>
      <c r="D21" s="1"/>
      <c r="E21" s="1"/>
      <c r="F21" s="1"/>
      <c r="G21" s="1"/>
      <c r="H21" s="1"/>
      <c r="I21" s="1"/>
      <c r="J21" s="1"/>
      <c r="K21" s="272"/>
      <c r="L21" s="273"/>
      <c r="M21" s="273"/>
      <c r="N21" s="273"/>
      <c r="O21" s="32"/>
    </row>
    <row r="22" spans="1:15" s="18" customFormat="1" ht="12.75" x14ac:dyDescent="0.2">
      <c r="A22" s="13"/>
      <c r="B22" s="22"/>
      <c r="C22" s="27"/>
      <c r="D22" s="1"/>
      <c r="E22" s="1"/>
      <c r="F22" s="1"/>
      <c r="G22" s="1"/>
      <c r="H22" s="1"/>
      <c r="I22" s="1"/>
      <c r="J22" s="1"/>
      <c r="K22" s="272"/>
      <c r="L22" s="465" t="s">
        <v>12</v>
      </c>
      <c r="M22" s="465" t="s">
        <v>13</v>
      </c>
      <c r="N22" s="457" t="s">
        <v>14</v>
      </c>
      <c r="O22" s="457"/>
    </row>
    <row r="23" spans="1:15" s="18" customFormat="1" ht="12.75" customHeight="1" x14ac:dyDescent="0.2">
      <c r="A23" s="13"/>
      <c r="B23" s="22"/>
      <c r="C23" s="27"/>
      <c r="D23" s="1"/>
      <c r="E23" s="1"/>
      <c r="F23" s="1"/>
      <c r="G23" s="1"/>
      <c r="H23" s="1"/>
      <c r="I23" s="1"/>
      <c r="J23" s="1"/>
      <c r="K23" s="272"/>
      <c r="L23" s="465"/>
      <c r="M23" s="465"/>
      <c r="N23" s="270" t="s">
        <v>15</v>
      </c>
      <c r="O23" s="270" t="s">
        <v>16</v>
      </c>
    </row>
    <row r="24" spans="1:15" s="18" customFormat="1" ht="12.75" x14ac:dyDescent="0.2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2"/>
      <c r="L24" s="34">
        <v>43</v>
      </c>
      <c r="M24" s="37">
        <f>O24</f>
        <v>44951</v>
      </c>
      <c r="N24" s="37">
        <v>44915</v>
      </c>
      <c r="O24" s="37">
        <v>44951</v>
      </c>
    </row>
    <row r="25" spans="1:15" s="18" customFormat="1" ht="12.75" x14ac:dyDescent="0.2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2"/>
      <c r="L25" s="271"/>
      <c r="M25" s="271"/>
      <c r="N25" s="271"/>
      <c r="O25" s="1"/>
    </row>
    <row r="26" spans="1:15" ht="12.75" x14ac:dyDescent="0.2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5" ht="21.75" customHeight="1" x14ac:dyDescent="0.2">
      <c r="A27" s="454" t="s">
        <v>55</v>
      </c>
      <c r="B27" s="454" t="s">
        <v>56</v>
      </c>
      <c r="C27" s="454" t="s">
        <v>57</v>
      </c>
      <c r="D27" s="454" t="s">
        <v>58</v>
      </c>
      <c r="E27" s="451" t="s">
        <v>59</v>
      </c>
      <c r="F27" s="453"/>
      <c r="G27" s="452"/>
      <c r="H27" s="451" t="s">
        <v>60</v>
      </c>
      <c r="I27" s="453"/>
      <c r="J27" s="452"/>
      <c r="K27" s="451" t="s">
        <v>61</v>
      </c>
      <c r="L27" s="452"/>
      <c r="M27" s="451" t="s">
        <v>62</v>
      </c>
      <c r="N27" s="453"/>
      <c r="O27" s="452"/>
    </row>
    <row r="28" spans="1:15" ht="33" customHeight="1" x14ac:dyDescent="0.2">
      <c r="A28" s="455"/>
      <c r="B28" s="455"/>
      <c r="C28" s="455"/>
      <c r="D28" s="455"/>
      <c r="E28" s="454" t="s">
        <v>63</v>
      </c>
      <c r="F28" s="43" t="s">
        <v>64</v>
      </c>
      <c r="G28" s="43" t="s">
        <v>65</v>
      </c>
      <c r="H28" s="454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454" t="s">
        <v>63</v>
      </c>
      <c r="N28" s="43" t="s">
        <v>64</v>
      </c>
      <c r="O28" s="43" t="s">
        <v>65</v>
      </c>
    </row>
    <row r="29" spans="1:15" ht="27.75" customHeight="1" x14ac:dyDescent="0.2">
      <c r="A29" s="455"/>
      <c r="B29" s="455"/>
      <c r="C29" s="455"/>
      <c r="D29" s="455"/>
      <c r="E29" s="455"/>
      <c r="F29" s="44" t="s">
        <v>68</v>
      </c>
      <c r="G29" s="44" t="s">
        <v>69</v>
      </c>
      <c r="H29" s="455"/>
      <c r="I29" s="44" t="s">
        <v>68</v>
      </c>
      <c r="J29" s="44" t="s">
        <v>69</v>
      </c>
      <c r="K29" s="44" t="s">
        <v>68</v>
      </c>
      <c r="L29" s="44" t="s">
        <v>69</v>
      </c>
      <c r="M29" s="455"/>
      <c r="N29" s="44" t="s">
        <v>68</v>
      </c>
      <c r="O29" s="44" t="s">
        <v>69</v>
      </c>
    </row>
    <row r="30" spans="1:15" s="306" customFormat="1" ht="12.75" x14ac:dyDescent="0.2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</row>
    <row r="31" spans="1:15" s="306" customFormat="1" ht="12.75" x14ac:dyDescent="0.2">
      <c r="A31" s="463" t="s">
        <v>70</v>
      </c>
      <c r="B31" s="464"/>
      <c r="C31" s="464"/>
      <c r="D31" s="464"/>
      <c r="E31" s="464"/>
      <c r="F31" s="464"/>
      <c r="G31" s="464"/>
      <c r="H31" s="464"/>
      <c r="I31" s="464"/>
      <c r="J31" s="464"/>
      <c r="K31" s="464"/>
      <c r="L31" s="464"/>
      <c r="M31" s="464"/>
      <c r="N31" s="464"/>
      <c r="O31" s="464"/>
    </row>
    <row r="32" spans="1:15" s="307" customFormat="1" ht="76.5" x14ac:dyDescent="0.25">
      <c r="A32" s="46" t="s">
        <v>18</v>
      </c>
      <c r="B32" s="47" t="s">
        <v>92</v>
      </c>
      <c r="C32" s="48" t="s">
        <v>93</v>
      </c>
      <c r="D32" s="49" t="s">
        <v>365</v>
      </c>
      <c r="E32" s="51" t="s">
        <v>94</v>
      </c>
      <c r="F32" s="51" t="s">
        <v>95</v>
      </c>
      <c r="G32" s="51" t="s">
        <v>96</v>
      </c>
      <c r="H32" s="51" t="s">
        <v>366</v>
      </c>
      <c r="I32" s="51" t="s">
        <v>367</v>
      </c>
      <c r="J32" s="51" t="s">
        <v>368</v>
      </c>
      <c r="K32" s="50"/>
      <c r="L32" s="50"/>
      <c r="M32" s="51" t="s">
        <v>366</v>
      </c>
      <c r="N32" s="51" t="s">
        <v>367</v>
      </c>
      <c r="O32" s="51" t="s">
        <v>369</v>
      </c>
    </row>
    <row r="33" spans="1:15" ht="25.5" x14ac:dyDescent="0.2">
      <c r="A33" s="52"/>
      <c r="B33" s="53"/>
      <c r="C33" s="54" t="s">
        <v>370</v>
      </c>
      <c r="D33" s="55"/>
      <c r="E33" s="56" t="s">
        <v>82</v>
      </c>
      <c r="F33" s="57"/>
      <c r="G33" s="57"/>
      <c r="H33" s="56" t="s">
        <v>371</v>
      </c>
      <c r="I33" s="57"/>
      <c r="J33" s="57"/>
      <c r="K33" s="57"/>
      <c r="L33" s="56" t="s">
        <v>82</v>
      </c>
      <c r="M33" s="56" t="s">
        <v>371</v>
      </c>
      <c r="N33" s="57"/>
      <c r="O33" s="57"/>
    </row>
    <row r="34" spans="1:15" ht="25.5" x14ac:dyDescent="0.2">
      <c r="A34" s="52"/>
      <c r="B34" s="53"/>
      <c r="C34" s="54" t="s">
        <v>372</v>
      </c>
      <c r="D34" s="55"/>
      <c r="E34" s="56" t="s">
        <v>83</v>
      </c>
      <c r="F34" s="57"/>
      <c r="G34" s="57"/>
      <c r="H34" s="56" t="s">
        <v>373</v>
      </c>
      <c r="I34" s="57"/>
      <c r="J34" s="57"/>
      <c r="K34" s="57"/>
      <c r="L34" s="56" t="s">
        <v>83</v>
      </c>
      <c r="M34" s="56" t="s">
        <v>373</v>
      </c>
      <c r="N34" s="57"/>
      <c r="O34" s="57"/>
    </row>
    <row r="35" spans="1:15" ht="12.75" x14ac:dyDescent="0.2">
      <c r="A35" s="52"/>
      <c r="B35" s="53"/>
      <c r="C35" s="54" t="s">
        <v>73</v>
      </c>
      <c r="D35" s="55"/>
      <c r="E35" s="57"/>
      <c r="F35" s="57"/>
      <c r="G35" s="57"/>
      <c r="H35" s="56" t="s">
        <v>374</v>
      </c>
      <c r="I35" s="57"/>
      <c r="J35" s="57"/>
      <c r="K35" s="57"/>
      <c r="L35" s="57"/>
      <c r="M35" s="56" t="s">
        <v>374</v>
      </c>
      <c r="N35" s="57"/>
      <c r="O35" s="57"/>
    </row>
    <row r="36" spans="1:15" ht="51" x14ac:dyDescent="0.2">
      <c r="A36" s="46" t="s">
        <v>21</v>
      </c>
      <c r="B36" s="47" t="s">
        <v>97</v>
      </c>
      <c r="C36" s="48" t="s">
        <v>98</v>
      </c>
      <c r="D36" s="49" t="s">
        <v>375</v>
      </c>
      <c r="E36" s="51" t="s">
        <v>99</v>
      </c>
      <c r="F36" s="51" t="s">
        <v>100</v>
      </c>
      <c r="G36" s="51" t="s">
        <v>101</v>
      </c>
      <c r="H36" s="51" t="s">
        <v>376</v>
      </c>
      <c r="I36" s="51" t="s">
        <v>377</v>
      </c>
      <c r="J36" s="51" t="s">
        <v>378</v>
      </c>
      <c r="K36" s="50"/>
      <c r="L36" s="50"/>
      <c r="M36" s="51" t="s">
        <v>376</v>
      </c>
      <c r="N36" s="51" t="s">
        <v>377</v>
      </c>
      <c r="O36" s="51" t="s">
        <v>378</v>
      </c>
    </row>
    <row r="37" spans="1:15" ht="25.5" x14ac:dyDescent="0.2">
      <c r="A37" s="52"/>
      <c r="B37" s="53"/>
      <c r="C37" s="54" t="s">
        <v>379</v>
      </c>
      <c r="D37" s="55"/>
      <c r="E37" s="56" t="s">
        <v>82</v>
      </c>
      <c r="F37" s="57"/>
      <c r="G37" s="57"/>
      <c r="H37" s="56" t="s">
        <v>380</v>
      </c>
      <c r="I37" s="57"/>
      <c r="J37" s="57"/>
      <c r="K37" s="57"/>
      <c r="L37" s="56" t="s">
        <v>82</v>
      </c>
      <c r="M37" s="56" t="s">
        <v>380</v>
      </c>
      <c r="N37" s="57"/>
      <c r="O37" s="57"/>
    </row>
    <row r="38" spans="1:15" ht="25.5" x14ac:dyDescent="0.2">
      <c r="A38" s="52"/>
      <c r="B38" s="53"/>
      <c r="C38" s="54" t="s">
        <v>381</v>
      </c>
      <c r="D38" s="55"/>
      <c r="E38" s="56" t="s">
        <v>83</v>
      </c>
      <c r="F38" s="57"/>
      <c r="G38" s="57"/>
      <c r="H38" s="56" t="s">
        <v>382</v>
      </c>
      <c r="I38" s="57"/>
      <c r="J38" s="57"/>
      <c r="K38" s="57"/>
      <c r="L38" s="56" t="s">
        <v>83</v>
      </c>
      <c r="M38" s="56" t="s">
        <v>382</v>
      </c>
      <c r="N38" s="57"/>
      <c r="O38" s="57"/>
    </row>
    <row r="39" spans="1:15" ht="12.75" x14ac:dyDescent="0.2">
      <c r="A39" s="52"/>
      <c r="B39" s="53"/>
      <c r="C39" s="54" t="s">
        <v>73</v>
      </c>
      <c r="D39" s="55"/>
      <c r="E39" s="57"/>
      <c r="F39" s="57"/>
      <c r="G39" s="57"/>
      <c r="H39" s="56" t="s">
        <v>383</v>
      </c>
      <c r="I39" s="57"/>
      <c r="J39" s="57"/>
      <c r="K39" s="57"/>
      <c r="L39" s="57"/>
      <c r="M39" s="56" t="s">
        <v>383</v>
      </c>
      <c r="N39" s="57"/>
      <c r="O39" s="57"/>
    </row>
    <row r="40" spans="1:15" ht="51" x14ac:dyDescent="0.2">
      <c r="A40" s="46" t="s">
        <v>23</v>
      </c>
      <c r="B40" s="47" t="s">
        <v>103</v>
      </c>
      <c r="C40" s="48" t="s">
        <v>104</v>
      </c>
      <c r="D40" s="49" t="s">
        <v>365</v>
      </c>
      <c r="E40" s="51" t="s">
        <v>105</v>
      </c>
      <c r="F40" s="51" t="s">
        <v>106</v>
      </c>
      <c r="G40" s="50"/>
      <c r="H40" s="51" t="s">
        <v>384</v>
      </c>
      <c r="I40" s="51" t="s">
        <v>385</v>
      </c>
      <c r="J40" s="50"/>
      <c r="K40" s="50"/>
      <c r="L40" s="50"/>
      <c r="M40" s="51" t="s">
        <v>384</v>
      </c>
      <c r="N40" s="51" t="s">
        <v>385</v>
      </c>
      <c r="O40" s="50"/>
    </row>
    <row r="41" spans="1:15" ht="89.25" x14ac:dyDescent="0.2">
      <c r="A41" s="46" t="s">
        <v>25</v>
      </c>
      <c r="B41" s="47" t="s">
        <v>108</v>
      </c>
      <c r="C41" s="48" t="s">
        <v>86</v>
      </c>
      <c r="D41" s="49" t="s">
        <v>365</v>
      </c>
      <c r="E41" s="51" t="s">
        <v>87</v>
      </c>
      <c r="F41" s="51" t="s">
        <v>88</v>
      </c>
      <c r="G41" s="51" t="s">
        <v>89</v>
      </c>
      <c r="H41" s="51" t="s">
        <v>386</v>
      </c>
      <c r="I41" s="51" t="s">
        <v>387</v>
      </c>
      <c r="J41" s="51" t="s">
        <v>388</v>
      </c>
      <c r="K41" s="50"/>
      <c r="L41" s="50"/>
      <c r="M41" s="51" t="s">
        <v>386</v>
      </c>
      <c r="N41" s="51" t="s">
        <v>387</v>
      </c>
      <c r="O41" s="51" t="s">
        <v>389</v>
      </c>
    </row>
    <row r="42" spans="1:15" ht="25.5" x14ac:dyDescent="0.2">
      <c r="A42" s="52"/>
      <c r="B42" s="53"/>
      <c r="C42" s="54" t="s">
        <v>390</v>
      </c>
      <c r="D42" s="55"/>
      <c r="E42" s="56" t="s">
        <v>82</v>
      </c>
      <c r="F42" s="57"/>
      <c r="G42" s="57"/>
      <c r="H42" s="56" t="s">
        <v>391</v>
      </c>
      <c r="I42" s="57"/>
      <c r="J42" s="57"/>
      <c r="K42" s="57"/>
      <c r="L42" s="56" t="s">
        <v>82</v>
      </c>
      <c r="M42" s="56" t="s">
        <v>391</v>
      </c>
      <c r="N42" s="57"/>
      <c r="O42" s="57"/>
    </row>
    <row r="43" spans="1:15" ht="12.75" x14ac:dyDescent="0.2">
      <c r="A43" s="52"/>
      <c r="B43" s="53"/>
      <c r="C43" s="54" t="s">
        <v>392</v>
      </c>
      <c r="D43" s="55"/>
      <c r="E43" s="56" t="s">
        <v>83</v>
      </c>
      <c r="F43" s="57"/>
      <c r="G43" s="57"/>
      <c r="H43" s="56" t="s">
        <v>393</v>
      </c>
      <c r="I43" s="57"/>
      <c r="J43" s="57"/>
      <c r="K43" s="57"/>
      <c r="L43" s="56" t="s">
        <v>83</v>
      </c>
      <c r="M43" s="56" t="s">
        <v>393</v>
      </c>
      <c r="N43" s="57"/>
      <c r="O43" s="57"/>
    </row>
    <row r="44" spans="1:15" ht="12.75" x14ac:dyDescent="0.2">
      <c r="A44" s="52"/>
      <c r="B44" s="53"/>
      <c r="C44" s="54" t="s">
        <v>73</v>
      </c>
      <c r="D44" s="55"/>
      <c r="E44" s="57"/>
      <c r="F44" s="57"/>
      <c r="G44" s="57"/>
      <c r="H44" s="56" t="s">
        <v>394</v>
      </c>
      <c r="I44" s="57"/>
      <c r="J44" s="57"/>
      <c r="K44" s="57"/>
      <c r="L44" s="57"/>
      <c r="M44" s="56" t="s">
        <v>394</v>
      </c>
      <c r="N44" s="57"/>
      <c r="O44" s="57"/>
    </row>
    <row r="45" spans="1:15" ht="89.25" x14ac:dyDescent="0.2">
      <c r="A45" s="46" t="s">
        <v>43</v>
      </c>
      <c r="B45" s="47" t="s">
        <v>117</v>
      </c>
      <c r="C45" s="48" t="s">
        <v>118</v>
      </c>
      <c r="D45" s="49" t="s">
        <v>395</v>
      </c>
      <c r="E45" s="51" t="s">
        <v>119</v>
      </c>
      <c r="F45" s="51" t="s">
        <v>119</v>
      </c>
      <c r="G45" s="50"/>
      <c r="H45" s="51" t="s">
        <v>396</v>
      </c>
      <c r="I45" s="51" t="s">
        <v>396</v>
      </c>
      <c r="J45" s="50"/>
      <c r="K45" s="50"/>
      <c r="L45" s="50"/>
      <c r="M45" s="51" t="s">
        <v>396</v>
      </c>
      <c r="N45" s="51" t="s">
        <v>396</v>
      </c>
      <c r="O45" s="50"/>
    </row>
    <row r="46" spans="1:15" ht="25.5" x14ac:dyDescent="0.2">
      <c r="A46" s="52"/>
      <c r="B46" s="53"/>
      <c r="C46" s="54" t="s">
        <v>397</v>
      </c>
      <c r="D46" s="55"/>
      <c r="E46" s="56" t="s">
        <v>82</v>
      </c>
      <c r="F46" s="57"/>
      <c r="G46" s="57"/>
      <c r="H46" s="56" t="s">
        <v>398</v>
      </c>
      <c r="I46" s="57"/>
      <c r="J46" s="57"/>
      <c r="K46" s="57"/>
      <c r="L46" s="56" t="s">
        <v>82</v>
      </c>
      <c r="M46" s="56" t="s">
        <v>398</v>
      </c>
      <c r="N46" s="57"/>
      <c r="O46" s="57"/>
    </row>
    <row r="47" spans="1:15" ht="25.5" x14ac:dyDescent="0.2">
      <c r="A47" s="52"/>
      <c r="B47" s="53"/>
      <c r="C47" s="54" t="s">
        <v>399</v>
      </c>
      <c r="D47" s="55"/>
      <c r="E47" s="56" t="s">
        <v>120</v>
      </c>
      <c r="F47" s="57"/>
      <c r="G47" s="57"/>
      <c r="H47" s="56" t="s">
        <v>400</v>
      </c>
      <c r="I47" s="57"/>
      <c r="J47" s="57"/>
      <c r="K47" s="57"/>
      <c r="L47" s="56" t="s">
        <v>120</v>
      </c>
      <c r="M47" s="56" t="s">
        <v>400</v>
      </c>
      <c r="N47" s="57"/>
      <c r="O47" s="57"/>
    </row>
    <row r="48" spans="1:15" ht="12.75" x14ac:dyDescent="0.2">
      <c r="A48" s="52"/>
      <c r="B48" s="53"/>
      <c r="C48" s="54" t="s">
        <v>73</v>
      </c>
      <c r="D48" s="55"/>
      <c r="E48" s="57"/>
      <c r="F48" s="57"/>
      <c r="G48" s="57"/>
      <c r="H48" s="56" t="s">
        <v>401</v>
      </c>
      <c r="I48" s="57"/>
      <c r="J48" s="57"/>
      <c r="K48" s="57"/>
      <c r="L48" s="57"/>
      <c r="M48" s="56" t="s">
        <v>401</v>
      </c>
      <c r="N48" s="57"/>
      <c r="O48" s="57"/>
    </row>
    <row r="49" spans="1:15" ht="51" x14ac:dyDescent="0.2">
      <c r="A49" s="46" t="s">
        <v>76</v>
      </c>
      <c r="B49" s="47" t="s">
        <v>121</v>
      </c>
      <c r="C49" s="48" t="s">
        <v>122</v>
      </c>
      <c r="D49" s="49" t="s">
        <v>395</v>
      </c>
      <c r="E49" s="51" t="s">
        <v>123</v>
      </c>
      <c r="F49" s="51" t="s">
        <v>124</v>
      </c>
      <c r="G49" s="51" t="s">
        <v>125</v>
      </c>
      <c r="H49" s="51" t="s">
        <v>402</v>
      </c>
      <c r="I49" s="51" t="s">
        <v>403</v>
      </c>
      <c r="J49" s="51" t="s">
        <v>404</v>
      </c>
      <c r="K49" s="50"/>
      <c r="L49" s="50"/>
      <c r="M49" s="51" t="s">
        <v>402</v>
      </c>
      <c r="N49" s="51" t="s">
        <v>403</v>
      </c>
      <c r="O49" s="51" t="s">
        <v>404</v>
      </c>
    </row>
    <row r="50" spans="1:15" ht="25.5" x14ac:dyDescent="0.2">
      <c r="A50" s="52"/>
      <c r="B50" s="53"/>
      <c r="C50" s="54" t="s">
        <v>405</v>
      </c>
      <c r="D50" s="55"/>
      <c r="E50" s="56" t="s">
        <v>82</v>
      </c>
      <c r="F50" s="57"/>
      <c r="G50" s="57"/>
      <c r="H50" s="56" t="s">
        <v>406</v>
      </c>
      <c r="I50" s="57"/>
      <c r="J50" s="57"/>
      <c r="K50" s="57"/>
      <c r="L50" s="56" t="s">
        <v>82</v>
      </c>
      <c r="M50" s="56" t="s">
        <v>406</v>
      </c>
      <c r="N50" s="57"/>
      <c r="O50" s="57"/>
    </row>
    <row r="51" spans="1:15" ht="12.75" x14ac:dyDescent="0.2">
      <c r="A51" s="52"/>
      <c r="B51" s="53"/>
      <c r="C51" s="54" t="s">
        <v>407</v>
      </c>
      <c r="D51" s="55"/>
      <c r="E51" s="56" t="s">
        <v>120</v>
      </c>
      <c r="F51" s="57"/>
      <c r="G51" s="57"/>
      <c r="H51" s="56" t="s">
        <v>408</v>
      </c>
      <c r="I51" s="57"/>
      <c r="J51" s="57"/>
      <c r="K51" s="57"/>
      <c r="L51" s="56" t="s">
        <v>120</v>
      </c>
      <c r="M51" s="56" t="s">
        <v>408</v>
      </c>
      <c r="N51" s="57"/>
      <c r="O51" s="57"/>
    </row>
    <row r="52" spans="1:15" ht="12.75" x14ac:dyDescent="0.2">
      <c r="A52" s="52"/>
      <c r="B52" s="53"/>
      <c r="C52" s="54" t="s">
        <v>73</v>
      </c>
      <c r="D52" s="55"/>
      <c r="E52" s="57"/>
      <c r="F52" s="57"/>
      <c r="G52" s="57"/>
      <c r="H52" s="56" t="s">
        <v>409</v>
      </c>
      <c r="I52" s="57"/>
      <c r="J52" s="57"/>
      <c r="K52" s="57"/>
      <c r="L52" s="57"/>
      <c r="M52" s="56" t="s">
        <v>409</v>
      </c>
      <c r="N52" s="57"/>
      <c r="O52" s="57"/>
    </row>
    <row r="53" spans="1:15" ht="51" x14ac:dyDescent="0.2">
      <c r="A53" s="46" t="s">
        <v>77</v>
      </c>
      <c r="B53" s="47" t="s">
        <v>127</v>
      </c>
      <c r="C53" s="48" t="s">
        <v>128</v>
      </c>
      <c r="D53" s="49" t="s">
        <v>410</v>
      </c>
      <c r="E53" s="51" t="s">
        <v>129</v>
      </c>
      <c r="F53" s="51" t="s">
        <v>130</v>
      </c>
      <c r="G53" s="51" t="s">
        <v>131</v>
      </c>
      <c r="H53" s="51" t="s">
        <v>411</v>
      </c>
      <c r="I53" s="51" t="s">
        <v>412</v>
      </c>
      <c r="J53" s="51" t="s">
        <v>413</v>
      </c>
      <c r="K53" s="50"/>
      <c r="L53" s="50"/>
      <c r="M53" s="51" t="s">
        <v>411</v>
      </c>
      <c r="N53" s="51" t="s">
        <v>412</v>
      </c>
      <c r="O53" s="51" t="s">
        <v>414</v>
      </c>
    </row>
    <row r="54" spans="1:15" ht="25.5" x14ac:dyDescent="0.2">
      <c r="A54" s="52"/>
      <c r="B54" s="53"/>
      <c r="C54" s="54" t="s">
        <v>415</v>
      </c>
      <c r="D54" s="55"/>
      <c r="E54" s="56" t="s">
        <v>82</v>
      </c>
      <c r="F54" s="57"/>
      <c r="G54" s="57"/>
      <c r="H54" s="56" t="s">
        <v>416</v>
      </c>
      <c r="I54" s="57"/>
      <c r="J54" s="57"/>
      <c r="K54" s="57"/>
      <c r="L54" s="56" t="s">
        <v>82</v>
      </c>
      <c r="M54" s="56" t="s">
        <v>416</v>
      </c>
      <c r="N54" s="57"/>
      <c r="O54" s="57"/>
    </row>
    <row r="55" spans="1:15" ht="12.75" x14ac:dyDescent="0.2">
      <c r="A55" s="52"/>
      <c r="B55" s="53"/>
      <c r="C55" s="54" t="s">
        <v>417</v>
      </c>
      <c r="D55" s="55"/>
      <c r="E55" s="56" t="s">
        <v>120</v>
      </c>
      <c r="F55" s="57"/>
      <c r="G55" s="57"/>
      <c r="H55" s="56" t="s">
        <v>418</v>
      </c>
      <c r="I55" s="57"/>
      <c r="J55" s="57"/>
      <c r="K55" s="57"/>
      <c r="L55" s="56" t="s">
        <v>120</v>
      </c>
      <c r="M55" s="56" t="s">
        <v>418</v>
      </c>
      <c r="N55" s="57"/>
      <c r="O55" s="57"/>
    </row>
    <row r="56" spans="1:15" ht="12.75" x14ac:dyDescent="0.2">
      <c r="A56" s="52"/>
      <c r="B56" s="53"/>
      <c r="C56" s="54" t="s">
        <v>73</v>
      </c>
      <c r="D56" s="55"/>
      <c r="E56" s="57"/>
      <c r="F56" s="57"/>
      <c r="G56" s="57"/>
      <c r="H56" s="56" t="s">
        <v>419</v>
      </c>
      <c r="I56" s="57"/>
      <c r="J56" s="57"/>
      <c r="K56" s="57"/>
      <c r="L56" s="57"/>
      <c r="M56" s="56" t="s">
        <v>419</v>
      </c>
      <c r="N56" s="57"/>
      <c r="O56" s="57"/>
    </row>
    <row r="57" spans="1:15" ht="114.75" x14ac:dyDescent="0.2">
      <c r="A57" s="46" t="s">
        <v>78</v>
      </c>
      <c r="B57" s="47" t="s">
        <v>133</v>
      </c>
      <c r="C57" s="48" t="s">
        <v>134</v>
      </c>
      <c r="D57" s="49" t="s">
        <v>410</v>
      </c>
      <c r="E57" s="51" t="s">
        <v>135</v>
      </c>
      <c r="F57" s="51" t="s">
        <v>136</v>
      </c>
      <c r="G57" s="51" t="s">
        <v>137</v>
      </c>
      <c r="H57" s="51" t="s">
        <v>420</v>
      </c>
      <c r="I57" s="51" t="s">
        <v>421</v>
      </c>
      <c r="J57" s="51" t="s">
        <v>422</v>
      </c>
      <c r="K57" s="50"/>
      <c r="L57" s="50"/>
      <c r="M57" s="51" t="s">
        <v>420</v>
      </c>
      <c r="N57" s="51" t="s">
        <v>421</v>
      </c>
      <c r="O57" s="51" t="s">
        <v>423</v>
      </c>
    </row>
    <row r="58" spans="1:15" ht="25.5" x14ac:dyDescent="0.2">
      <c r="A58" s="52"/>
      <c r="B58" s="53"/>
      <c r="C58" s="54" t="s">
        <v>424</v>
      </c>
      <c r="D58" s="55"/>
      <c r="E58" s="56" t="s">
        <v>82</v>
      </c>
      <c r="F58" s="57"/>
      <c r="G58" s="57"/>
      <c r="H58" s="56" t="s">
        <v>425</v>
      </c>
      <c r="I58" s="57"/>
      <c r="J58" s="57"/>
      <c r="K58" s="57"/>
      <c r="L58" s="56" t="s">
        <v>82</v>
      </c>
      <c r="M58" s="56" t="s">
        <v>425</v>
      </c>
      <c r="N58" s="57"/>
      <c r="O58" s="57"/>
    </row>
    <row r="59" spans="1:15" ht="12.75" x14ac:dyDescent="0.2">
      <c r="A59" s="52"/>
      <c r="B59" s="53"/>
      <c r="C59" s="54" t="s">
        <v>426</v>
      </c>
      <c r="D59" s="55"/>
      <c r="E59" s="56" t="s">
        <v>120</v>
      </c>
      <c r="F59" s="57"/>
      <c r="G59" s="57"/>
      <c r="H59" s="56" t="s">
        <v>427</v>
      </c>
      <c r="I59" s="57"/>
      <c r="J59" s="57"/>
      <c r="K59" s="57"/>
      <c r="L59" s="56" t="s">
        <v>120</v>
      </c>
      <c r="M59" s="56" t="s">
        <v>427</v>
      </c>
      <c r="N59" s="57"/>
      <c r="O59" s="57"/>
    </row>
    <row r="60" spans="1:15" ht="12.75" x14ac:dyDescent="0.2">
      <c r="A60" s="52"/>
      <c r="B60" s="53"/>
      <c r="C60" s="54" t="s">
        <v>73</v>
      </c>
      <c r="D60" s="55"/>
      <c r="E60" s="57"/>
      <c r="F60" s="57"/>
      <c r="G60" s="57"/>
      <c r="H60" s="56" t="s">
        <v>428</v>
      </c>
      <c r="I60" s="57"/>
      <c r="J60" s="57"/>
      <c r="K60" s="57"/>
      <c r="L60" s="57"/>
      <c r="M60" s="56" t="s">
        <v>428</v>
      </c>
      <c r="N60" s="57"/>
      <c r="O60" s="57"/>
    </row>
    <row r="61" spans="1:15" ht="153" x14ac:dyDescent="0.2">
      <c r="A61" s="46" t="s">
        <v>79</v>
      </c>
      <c r="B61" s="47" t="s">
        <v>139</v>
      </c>
      <c r="C61" s="48" t="s">
        <v>140</v>
      </c>
      <c r="D61" s="49" t="s">
        <v>410</v>
      </c>
      <c r="E61" s="51" t="s">
        <v>141</v>
      </c>
      <c r="F61" s="51" t="s">
        <v>142</v>
      </c>
      <c r="G61" s="51" t="s">
        <v>143</v>
      </c>
      <c r="H61" s="51" t="s">
        <v>429</v>
      </c>
      <c r="I61" s="51" t="s">
        <v>430</v>
      </c>
      <c r="J61" s="51" t="s">
        <v>431</v>
      </c>
      <c r="K61" s="50"/>
      <c r="L61" s="50"/>
      <c r="M61" s="51" t="s">
        <v>429</v>
      </c>
      <c r="N61" s="51" t="s">
        <v>430</v>
      </c>
      <c r="O61" s="51" t="s">
        <v>432</v>
      </c>
    </row>
    <row r="62" spans="1:15" ht="25.5" x14ac:dyDescent="0.2">
      <c r="A62" s="52"/>
      <c r="B62" s="53"/>
      <c r="C62" s="54" t="s">
        <v>433</v>
      </c>
      <c r="D62" s="55"/>
      <c r="E62" s="56" t="s">
        <v>82</v>
      </c>
      <c r="F62" s="57"/>
      <c r="G62" s="57"/>
      <c r="H62" s="56" t="s">
        <v>434</v>
      </c>
      <c r="I62" s="57"/>
      <c r="J62" s="57"/>
      <c r="K62" s="57"/>
      <c r="L62" s="56" t="s">
        <v>82</v>
      </c>
      <c r="M62" s="56" t="s">
        <v>434</v>
      </c>
      <c r="N62" s="57"/>
      <c r="O62" s="57"/>
    </row>
    <row r="63" spans="1:15" ht="12.75" x14ac:dyDescent="0.2">
      <c r="A63" s="52"/>
      <c r="B63" s="53"/>
      <c r="C63" s="54" t="s">
        <v>435</v>
      </c>
      <c r="D63" s="55"/>
      <c r="E63" s="56" t="s">
        <v>120</v>
      </c>
      <c r="F63" s="57"/>
      <c r="G63" s="57"/>
      <c r="H63" s="56" t="s">
        <v>436</v>
      </c>
      <c r="I63" s="57"/>
      <c r="J63" s="57"/>
      <c r="K63" s="57"/>
      <c r="L63" s="56" t="s">
        <v>120</v>
      </c>
      <c r="M63" s="56" t="s">
        <v>436</v>
      </c>
      <c r="N63" s="57"/>
      <c r="O63" s="57"/>
    </row>
    <row r="64" spans="1:15" ht="12.75" x14ac:dyDescent="0.2">
      <c r="A64" s="52"/>
      <c r="B64" s="53"/>
      <c r="C64" s="54" t="s">
        <v>73</v>
      </c>
      <c r="D64" s="55"/>
      <c r="E64" s="57"/>
      <c r="F64" s="57"/>
      <c r="G64" s="57"/>
      <c r="H64" s="56" t="s">
        <v>437</v>
      </c>
      <c r="I64" s="57"/>
      <c r="J64" s="57"/>
      <c r="K64" s="57"/>
      <c r="L64" s="57"/>
      <c r="M64" s="56" t="s">
        <v>437</v>
      </c>
      <c r="N64" s="57"/>
      <c r="O64" s="57"/>
    </row>
    <row r="65" spans="1:15" ht="63.75" x14ac:dyDescent="0.2">
      <c r="A65" s="46" t="s">
        <v>80</v>
      </c>
      <c r="B65" s="47" t="s">
        <v>331</v>
      </c>
      <c r="C65" s="48" t="s">
        <v>332</v>
      </c>
      <c r="D65" s="49" t="s">
        <v>54</v>
      </c>
      <c r="E65" s="51" t="s">
        <v>333</v>
      </c>
      <c r="F65" s="51" t="s">
        <v>334</v>
      </c>
      <c r="G65" s="51" t="s">
        <v>335</v>
      </c>
      <c r="H65" s="51" t="s">
        <v>438</v>
      </c>
      <c r="I65" s="51" t="s">
        <v>439</v>
      </c>
      <c r="J65" s="51" t="s">
        <v>440</v>
      </c>
      <c r="K65" s="50"/>
      <c r="L65" s="50"/>
      <c r="M65" s="51" t="s">
        <v>438</v>
      </c>
      <c r="N65" s="51" t="s">
        <v>439</v>
      </c>
      <c r="O65" s="51" t="s">
        <v>441</v>
      </c>
    </row>
    <row r="66" spans="1:15" ht="25.5" x14ac:dyDescent="0.2">
      <c r="A66" s="52"/>
      <c r="B66" s="53"/>
      <c r="C66" s="54" t="s">
        <v>442</v>
      </c>
      <c r="D66" s="55"/>
      <c r="E66" s="56" t="s">
        <v>71</v>
      </c>
      <c r="F66" s="57"/>
      <c r="G66" s="57"/>
      <c r="H66" s="56" t="s">
        <v>443</v>
      </c>
      <c r="I66" s="57"/>
      <c r="J66" s="57"/>
      <c r="K66" s="57"/>
      <c r="L66" s="56" t="s">
        <v>71</v>
      </c>
      <c r="M66" s="56" t="s">
        <v>443</v>
      </c>
      <c r="N66" s="57"/>
      <c r="O66" s="57"/>
    </row>
    <row r="67" spans="1:15" ht="12.75" x14ac:dyDescent="0.2">
      <c r="A67" s="52"/>
      <c r="B67" s="53"/>
      <c r="C67" s="54" t="s">
        <v>444</v>
      </c>
      <c r="D67" s="55"/>
      <c r="E67" s="56" t="s">
        <v>72</v>
      </c>
      <c r="F67" s="57"/>
      <c r="G67" s="57"/>
      <c r="H67" s="56" t="s">
        <v>445</v>
      </c>
      <c r="I67" s="57"/>
      <c r="J67" s="57"/>
      <c r="K67" s="57"/>
      <c r="L67" s="56" t="s">
        <v>72</v>
      </c>
      <c r="M67" s="56" t="s">
        <v>445</v>
      </c>
      <c r="N67" s="57"/>
      <c r="O67" s="57"/>
    </row>
    <row r="68" spans="1:15" ht="12.75" x14ac:dyDescent="0.2">
      <c r="A68" s="52"/>
      <c r="B68" s="53"/>
      <c r="C68" s="54" t="s">
        <v>73</v>
      </c>
      <c r="D68" s="55"/>
      <c r="E68" s="57"/>
      <c r="F68" s="57"/>
      <c r="G68" s="57"/>
      <c r="H68" s="56" t="s">
        <v>446</v>
      </c>
      <c r="I68" s="57"/>
      <c r="J68" s="57"/>
      <c r="K68" s="57"/>
      <c r="L68" s="57"/>
      <c r="M68" s="56" t="s">
        <v>446</v>
      </c>
      <c r="N68" s="57"/>
      <c r="O68" s="57"/>
    </row>
    <row r="69" spans="1:15" ht="76.5" x14ac:dyDescent="0.2">
      <c r="A69" s="46" t="s">
        <v>81</v>
      </c>
      <c r="B69" s="47" t="s">
        <v>336</v>
      </c>
      <c r="C69" s="48" t="s">
        <v>337</v>
      </c>
      <c r="D69" s="49" t="s">
        <v>447</v>
      </c>
      <c r="E69" s="51" t="s">
        <v>177</v>
      </c>
      <c r="F69" s="51" t="s">
        <v>178</v>
      </c>
      <c r="G69" s="50"/>
      <c r="H69" s="51" t="s">
        <v>448</v>
      </c>
      <c r="I69" s="51" t="s">
        <v>449</v>
      </c>
      <c r="J69" s="50"/>
      <c r="K69" s="50"/>
      <c r="L69" s="50"/>
      <c r="M69" s="51" t="s">
        <v>448</v>
      </c>
      <c r="N69" s="51" t="s">
        <v>449</v>
      </c>
      <c r="O69" s="50"/>
    </row>
    <row r="70" spans="1:15" ht="76.5" x14ac:dyDescent="0.2">
      <c r="A70" s="46" t="s">
        <v>54</v>
      </c>
      <c r="B70" s="47" t="s">
        <v>338</v>
      </c>
      <c r="C70" s="48" t="s">
        <v>339</v>
      </c>
      <c r="D70" s="49" t="s">
        <v>447</v>
      </c>
      <c r="E70" s="51" t="s">
        <v>340</v>
      </c>
      <c r="F70" s="51" t="s">
        <v>341</v>
      </c>
      <c r="G70" s="50"/>
      <c r="H70" s="51" t="s">
        <v>450</v>
      </c>
      <c r="I70" s="51" t="s">
        <v>451</v>
      </c>
      <c r="J70" s="50"/>
      <c r="K70" s="50"/>
      <c r="L70" s="50"/>
      <c r="M70" s="51" t="s">
        <v>450</v>
      </c>
      <c r="N70" s="51" t="s">
        <v>451</v>
      </c>
      <c r="O70" s="50"/>
    </row>
    <row r="71" spans="1:15" ht="63.75" x14ac:dyDescent="0.2">
      <c r="A71" s="46" t="s">
        <v>84</v>
      </c>
      <c r="B71" s="47" t="s">
        <v>342</v>
      </c>
      <c r="C71" s="48" t="s">
        <v>343</v>
      </c>
      <c r="D71" s="49" t="s">
        <v>452</v>
      </c>
      <c r="E71" s="51" t="s">
        <v>344</v>
      </c>
      <c r="F71" s="51" t="s">
        <v>345</v>
      </c>
      <c r="G71" s="51" t="s">
        <v>346</v>
      </c>
      <c r="H71" s="51" t="s">
        <v>453</v>
      </c>
      <c r="I71" s="51" t="s">
        <v>454</v>
      </c>
      <c r="J71" s="51" t="s">
        <v>455</v>
      </c>
      <c r="K71" s="50"/>
      <c r="L71" s="50"/>
      <c r="M71" s="51" t="s">
        <v>453</v>
      </c>
      <c r="N71" s="51" t="s">
        <v>454</v>
      </c>
      <c r="O71" s="51" t="s">
        <v>456</v>
      </c>
    </row>
    <row r="72" spans="1:15" ht="12.75" x14ac:dyDescent="0.2">
      <c r="A72" s="52"/>
      <c r="B72" s="53"/>
      <c r="C72" s="54" t="s">
        <v>457</v>
      </c>
      <c r="D72" s="55"/>
      <c r="E72" s="56" t="s">
        <v>71</v>
      </c>
      <c r="F72" s="57"/>
      <c r="G72" s="57"/>
      <c r="H72" s="56" t="s">
        <v>458</v>
      </c>
      <c r="I72" s="57"/>
      <c r="J72" s="57"/>
      <c r="K72" s="57"/>
      <c r="L72" s="56" t="s">
        <v>71</v>
      </c>
      <c r="M72" s="56" t="s">
        <v>458</v>
      </c>
      <c r="N72" s="57"/>
      <c r="O72" s="57"/>
    </row>
    <row r="73" spans="1:15" ht="12.75" x14ac:dyDescent="0.2">
      <c r="A73" s="52"/>
      <c r="B73" s="53"/>
      <c r="C73" s="54" t="s">
        <v>459</v>
      </c>
      <c r="D73" s="55"/>
      <c r="E73" s="56" t="s">
        <v>72</v>
      </c>
      <c r="F73" s="57"/>
      <c r="G73" s="57"/>
      <c r="H73" s="56" t="s">
        <v>460</v>
      </c>
      <c r="I73" s="57"/>
      <c r="J73" s="57"/>
      <c r="K73" s="57"/>
      <c r="L73" s="56" t="s">
        <v>72</v>
      </c>
      <c r="M73" s="56" t="s">
        <v>460</v>
      </c>
      <c r="N73" s="57"/>
      <c r="O73" s="57"/>
    </row>
    <row r="74" spans="1:15" ht="12.75" x14ac:dyDescent="0.2">
      <c r="A74" s="52"/>
      <c r="B74" s="53"/>
      <c r="C74" s="54" t="s">
        <v>73</v>
      </c>
      <c r="D74" s="55"/>
      <c r="E74" s="57"/>
      <c r="F74" s="57"/>
      <c r="G74" s="57"/>
      <c r="H74" s="56" t="s">
        <v>461</v>
      </c>
      <c r="I74" s="57"/>
      <c r="J74" s="57"/>
      <c r="K74" s="57"/>
      <c r="L74" s="57"/>
      <c r="M74" s="56" t="s">
        <v>461</v>
      </c>
      <c r="N74" s="57"/>
      <c r="O74" s="57"/>
    </row>
    <row r="75" spans="1:15" ht="102" x14ac:dyDescent="0.2">
      <c r="A75" s="46" t="s">
        <v>85</v>
      </c>
      <c r="B75" s="47" t="s">
        <v>347</v>
      </c>
      <c r="C75" s="48" t="s">
        <v>180</v>
      </c>
      <c r="D75" s="49" t="s">
        <v>462</v>
      </c>
      <c r="E75" s="51" t="s">
        <v>181</v>
      </c>
      <c r="F75" s="51" t="s">
        <v>182</v>
      </c>
      <c r="G75" s="50"/>
      <c r="H75" s="51" t="s">
        <v>463</v>
      </c>
      <c r="I75" s="51" t="s">
        <v>464</v>
      </c>
      <c r="J75" s="50"/>
      <c r="K75" s="50"/>
      <c r="L75" s="50"/>
      <c r="M75" s="51" t="s">
        <v>463</v>
      </c>
      <c r="N75" s="51" t="s">
        <v>464</v>
      </c>
      <c r="O75" s="50"/>
    </row>
    <row r="76" spans="1:15" ht="76.5" x14ac:dyDescent="0.2">
      <c r="A76" s="46" t="s">
        <v>90</v>
      </c>
      <c r="B76" s="47" t="s">
        <v>145</v>
      </c>
      <c r="C76" s="48" t="s">
        <v>146</v>
      </c>
      <c r="D76" s="49" t="s">
        <v>465</v>
      </c>
      <c r="E76" s="51" t="s">
        <v>147</v>
      </c>
      <c r="F76" s="51" t="s">
        <v>148</v>
      </c>
      <c r="G76" s="51" t="s">
        <v>149</v>
      </c>
      <c r="H76" s="51" t="s">
        <v>466</v>
      </c>
      <c r="I76" s="51" t="s">
        <v>467</v>
      </c>
      <c r="J76" s="51" t="s">
        <v>468</v>
      </c>
      <c r="K76" s="50"/>
      <c r="L76" s="50"/>
      <c r="M76" s="51" t="s">
        <v>466</v>
      </c>
      <c r="N76" s="51" t="s">
        <v>467</v>
      </c>
      <c r="O76" s="51" t="s">
        <v>469</v>
      </c>
    </row>
    <row r="77" spans="1:15" ht="25.5" x14ac:dyDescent="0.2">
      <c r="A77" s="52"/>
      <c r="B77" s="53"/>
      <c r="C77" s="54" t="s">
        <v>470</v>
      </c>
      <c r="D77" s="55"/>
      <c r="E77" s="56" t="s">
        <v>74</v>
      </c>
      <c r="F77" s="57"/>
      <c r="G77" s="57"/>
      <c r="H77" s="56" t="s">
        <v>471</v>
      </c>
      <c r="I77" s="57"/>
      <c r="J77" s="57"/>
      <c r="K77" s="57"/>
      <c r="L77" s="56" t="s">
        <v>74</v>
      </c>
      <c r="M77" s="56" t="s">
        <v>471</v>
      </c>
      <c r="N77" s="57"/>
      <c r="O77" s="57"/>
    </row>
    <row r="78" spans="1:15" ht="12.75" x14ac:dyDescent="0.2">
      <c r="A78" s="52"/>
      <c r="B78" s="53"/>
      <c r="C78" s="54" t="s">
        <v>472</v>
      </c>
      <c r="D78" s="55"/>
      <c r="E78" s="56" t="s">
        <v>75</v>
      </c>
      <c r="F78" s="57"/>
      <c r="G78" s="57"/>
      <c r="H78" s="56" t="s">
        <v>473</v>
      </c>
      <c r="I78" s="57"/>
      <c r="J78" s="57"/>
      <c r="K78" s="57"/>
      <c r="L78" s="56" t="s">
        <v>75</v>
      </c>
      <c r="M78" s="56" t="s">
        <v>473</v>
      </c>
      <c r="N78" s="57"/>
      <c r="O78" s="57"/>
    </row>
    <row r="79" spans="1:15" ht="12.75" x14ac:dyDescent="0.2">
      <c r="A79" s="52"/>
      <c r="B79" s="53"/>
      <c r="C79" s="54" t="s">
        <v>73</v>
      </c>
      <c r="D79" s="55"/>
      <c r="E79" s="57"/>
      <c r="F79" s="57"/>
      <c r="G79" s="57"/>
      <c r="H79" s="56" t="s">
        <v>474</v>
      </c>
      <c r="I79" s="57"/>
      <c r="J79" s="57"/>
      <c r="K79" s="57"/>
      <c r="L79" s="57"/>
      <c r="M79" s="56" t="s">
        <v>474</v>
      </c>
      <c r="N79" s="57"/>
      <c r="O79" s="57"/>
    </row>
    <row r="80" spans="1:15" ht="63.75" x14ac:dyDescent="0.2">
      <c r="A80" s="46" t="s">
        <v>20</v>
      </c>
      <c r="B80" s="47" t="s">
        <v>151</v>
      </c>
      <c r="C80" s="48" t="s">
        <v>152</v>
      </c>
      <c r="D80" s="49" t="s">
        <v>475</v>
      </c>
      <c r="E80" s="51" t="s">
        <v>153</v>
      </c>
      <c r="F80" s="51" t="s">
        <v>154</v>
      </c>
      <c r="G80" s="50"/>
      <c r="H80" s="51" t="s">
        <v>476</v>
      </c>
      <c r="I80" s="51" t="s">
        <v>477</v>
      </c>
      <c r="J80" s="50"/>
      <c r="K80" s="50"/>
      <c r="L80" s="50"/>
      <c r="M80" s="51" t="s">
        <v>476</v>
      </c>
      <c r="N80" s="51" t="s">
        <v>477</v>
      </c>
      <c r="O80" s="50"/>
    </row>
    <row r="81" spans="1:15" ht="63.75" x14ac:dyDescent="0.2">
      <c r="A81" s="46" t="s">
        <v>22</v>
      </c>
      <c r="B81" s="47" t="s">
        <v>156</v>
      </c>
      <c r="C81" s="48" t="s">
        <v>157</v>
      </c>
      <c r="D81" s="49" t="s">
        <v>478</v>
      </c>
      <c r="E81" s="51" t="s">
        <v>158</v>
      </c>
      <c r="F81" s="51" t="s">
        <v>159</v>
      </c>
      <c r="G81" s="50"/>
      <c r="H81" s="51" t="s">
        <v>479</v>
      </c>
      <c r="I81" s="51" t="s">
        <v>480</v>
      </c>
      <c r="J81" s="50"/>
      <c r="K81" s="50"/>
      <c r="L81" s="50"/>
      <c r="M81" s="51" t="s">
        <v>479</v>
      </c>
      <c r="N81" s="51" t="s">
        <v>480</v>
      </c>
      <c r="O81" s="50"/>
    </row>
    <row r="82" spans="1:15" ht="63.75" x14ac:dyDescent="0.2">
      <c r="A82" s="46" t="s">
        <v>91</v>
      </c>
      <c r="B82" s="47" t="s">
        <v>161</v>
      </c>
      <c r="C82" s="48" t="s">
        <v>162</v>
      </c>
      <c r="D82" s="49" t="s">
        <v>481</v>
      </c>
      <c r="E82" s="51" t="s">
        <v>163</v>
      </c>
      <c r="F82" s="51" t="s">
        <v>164</v>
      </c>
      <c r="G82" s="51" t="s">
        <v>165</v>
      </c>
      <c r="H82" s="51" t="s">
        <v>482</v>
      </c>
      <c r="I82" s="51" t="s">
        <v>483</v>
      </c>
      <c r="J82" s="51" t="s">
        <v>484</v>
      </c>
      <c r="K82" s="50"/>
      <c r="L82" s="50"/>
      <c r="M82" s="51" t="s">
        <v>482</v>
      </c>
      <c r="N82" s="51" t="s">
        <v>483</v>
      </c>
      <c r="O82" s="51" t="s">
        <v>485</v>
      </c>
    </row>
    <row r="83" spans="1:15" ht="25.5" x14ac:dyDescent="0.2">
      <c r="A83" s="52"/>
      <c r="B83" s="53"/>
      <c r="C83" s="54" t="s">
        <v>486</v>
      </c>
      <c r="D83" s="55"/>
      <c r="E83" s="56" t="s">
        <v>166</v>
      </c>
      <c r="F83" s="57"/>
      <c r="G83" s="57"/>
      <c r="H83" s="56" t="s">
        <v>487</v>
      </c>
      <c r="I83" s="57"/>
      <c r="J83" s="57"/>
      <c r="K83" s="57"/>
      <c r="L83" s="56" t="s">
        <v>166</v>
      </c>
      <c r="M83" s="56" t="s">
        <v>487</v>
      </c>
      <c r="N83" s="57"/>
      <c r="O83" s="57"/>
    </row>
    <row r="84" spans="1:15" ht="12.75" x14ac:dyDescent="0.2">
      <c r="A84" s="52"/>
      <c r="B84" s="53"/>
      <c r="C84" s="54" t="s">
        <v>488</v>
      </c>
      <c r="D84" s="55"/>
      <c r="E84" s="56" t="s">
        <v>75</v>
      </c>
      <c r="F84" s="57"/>
      <c r="G84" s="57"/>
      <c r="H84" s="56" t="s">
        <v>489</v>
      </c>
      <c r="I84" s="57"/>
      <c r="J84" s="57"/>
      <c r="K84" s="57"/>
      <c r="L84" s="56" t="s">
        <v>75</v>
      </c>
      <c r="M84" s="56" t="s">
        <v>489</v>
      </c>
      <c r="N84" s="57"/>
      <c r="O84" s="57"/>
    </row>
    <row r="85" spans="1:15" ht="12.75" x14ac:dyDescent="0.2">
      <c r="A85" s="52"/>
      <c r="B85" s="53"/>
      <c r="C85" s="54" t="s">
        <v>73</v>
      </c>
      <c r="D85" s="55"/>
      <c r="E85" s="57"/>
      <c r="F85" s="57"/>
      <c r="G85" s="57"/>
      <c r="H85" s="56" t="s">
        <v>490</v>
      </c>
      <c r="I85" s="57"/>
      <c r="J85" s="57"/>
      <c r="K85" s="57"/>
      <c r="L85" s="57"/>
      <c r="M85" s="56" t="s">
        <v>490</v>
      </c>
      <c r="N85" s="57"/>
      <c r="O85" s="57"/>
    </row>
    <row r="86" spans="1:15" ht="51" x14ac:dyDescent="0.2">
      <c r="A86" s="46" t="s">
        <v>24</v>
      </c>
      <c r="B86" s="47" t="s">
        <v>167</v>
      </c>
      <c r="C86" s="48" t="s">
        <v>168</v>
      </c>
      <c r="D86" s="49" t="s">
        <v>491</v>
      </c>
      <c r="E86" s="51" t="s">
        <v>169</v>
      </c>
      <c r="F86" s="51" t="s">
        <v>170</v>
      </c>
      <c r="G86" s="50"/>
      <c r="H86" s="51" t="s">
        <v>492</v>
      </c>
      <c r="I86" s="51" t="s">
        <v>493</v>
      </c>
      <c r="J86" s="50"/>
      <c r="K86" s="50"/>
      <c r="L86" s="50"/>
      <c r="M86" s="51" t="s">
        <v>492</v>
      </c>
      <c r="N86" s="51" t="s">
        <v>493</v>
      </c>
      <c r="O86" s="50"/>
    </row>
    <row r="87" spans="1:15" ht="114.75" x14ac:dyDescent="0.2">
      <c r="A87" s="46" t="s">
        <v>102</v>
      </c>
      <c r="B87" s="47" t="s">
        <v>171</v>
      </c>
      <c r="C87" s="48" t="s">
        <v>172</v>
      </c>
      <c r="D87" s="49" t="s">
        <v>494</v>
      </c>
      <c r="E87" s="51" t="s">
        <v>173</v>
      </c>
      <c r="F87" s="51" t="s">
        <v>174</v>
      </c>
      <c r="G87" s="50"/>
      <c r="H87" s="51" t="s">
        <v>495</v>
      </c>
      <c r="I87" s="51" t="s">
        <v>496</v>
      </c>
      <c r="J87" s="50"/>
      <c r="K87" s="50"/>
      <c r="L87" s="50"/>
      <c r="M87" s="51" t="s">
        <v>495</v>
      </c>
      <c r="N87" s="51" t="s">
        <v>496</v>
      </c>
      <c r="O87" s="50"/>
    </row>
    <row r="88" spans="1:15" ht="76.5" x14ac:dyDescent="0.2">
      <c r="A88" s="46" t="s">
        <v>107</v>
      </c>
      <c r="B88" s="47" t="s">
        <v>175</v>
      </c>
      <c r="C88" s="48" t="s">
        <v>176</v>
      </c>
      <c r="D88" s="49" t="s">
        <v>497</v>
      </c>
      <c r="E88" s="51" t="s">
        <v>177</v>
      </c>
      <c r="F88" s="51" t="s">
        <v>178</v>
      </c>
      <c r="G88" s="50"/>
      <c r="H88" s="51" t="s">
        <v>498</v>
      </c>
      <c r="I88" s="51" t="s">
        <v>499</v>
      </c>
      <c r="J88" s="50"/>
      <c r="K88" s="50"/>
      <c r="L88" s="50"/>
      <c r="M88" s="51" t="s">
        <v>498</v>
      </c>
      <c r="N88" s="51" t="s">
        <v>499</v>
      </c>
      <c r="O88" s="50"/>
    </row>
    <row r="89" spans="1:15" ht="102" x14ac:dyDescent="0.2">
      <c r="A89" s="46" t="s">
        <v>109</v>
      </c>
      <c r="B89" s="47" t="s">
        <v>179</v>
      </c>
      <c r="C89" s="48" t="s">
        <v>180</v>
      </c>
      <c r="D89" s="49" t="s">
        <v>500</v>
      </c>
      <c r="E89" s="51" t="s">
        <v>181</v>
      </c>
      <c r="F89" s="51" t="s">
        <v>182</v>
      </c>
      <c r="G89" s="50"/>
      <c r="H89" s="51" t="s">
        <v>501</v>
      </c>
      <c r="I89" s="51" t="s">
        <v>502</v>
      </c>
      <c r="J89" s="50"/>
      <c r="K89" s="50"/>
      <c r="L89" s="50"/>
      <c r="M89" s="51" t="s">
        <v>501</v>
      </c>
      <c r="N89" s="51" t="s">
        <v>502</v>
      </c>
      <c r="O89" s="50"/>
    </row>
    <row r="90" spans="1:15" ht="76.5" x14ac:dyDescent="0.2">
      <c r="A90" s="46" t="s">
        <v>110</v>
      </c>
      <c r="B90" s="47" t="s">
        <v>183</v>
      </c>
      <c r="C90" s="48" t="s">
        <v>184</v>
      </c>
      <c r="D90" s="49" t="s">
        <v>503</v>
      </c>
      <c r="E90" s="51" t="s">
        <v>185</v>
      </c>
      <c r="F90" s="51" t="s">
        <v>186</v>
      </c>
      <c r="G90" s="50"/>
      <c r="H90" s="51" t="s">
        <v>504</v>
      </c>
      <c r="I90" s="51" t="s">
        <v>505</v>
      </c>
      <c r="J90" s="50"/>
      <c r="K90" s="50"/>
      <c r="L90" s="50"/>
      <c r="M90" s="51" t="s">
        <v>504</v>
      </c>
      <c r="N90" s="51" t="s">
        <v>505</v>
      </c>
      <c r="O90" s="50"/>
    </row>
    <row r="91" spans="1:15" ht="76.5" x14ac:dyDescent="0.2">
      <c r="A91" s="46" t="s">
        <v>111</v>
      </c>
      <c r="B91" s="47" t="s">
        <v>187</v>
      </c>
      <c r="C91" s="48" t="s">
        <v>188</v>
      </c>
      <c r="D91" s="49" t="s">
        <v>503</v>
      </c>
      <c r="E91" s="51" t="s">
        <v>189</v>
      </c>
      <c r="F91" s="51" t="s">
        <v>190</v>
      </c>
      <c r="G91" s="50"/>
      <c r="H91" s="51" t="s">
        <v>506</v>
      </c>
      <c r="I91" s="51" t="s">
        <v>507</v>
      </c>
      <c r="J91" s="50"/>
      <c r="K91" s="50"/>
      <c r="L91" s="50"/>
      <c r="M91" s="51" t="s">
        <v>506</v>
      </c>
      <c r="N91" s="51" t="s">
        <v>507</v>
      </c>
      <c r="O91" s="50"/>
    </row>
    <row r="92" spans="1:15" ht="114.75" x14ac:dyDescent="0.2">
      <c r="A92" s="46" t="s">
        <v>112</v>
      </c>
      <c r="B92" s="47" t="s">
        <v>191</v>
      </c>
      <c r="C92" s="48" t="s">
        <v>172</v>
      </c>
      <c r="D92" s="49" t="s">
        <v>508</v>
      </c>
      <c r="E92" s="51" t="s">
        <v>173</v>
      </c>
      <c r="F92" s="51" t="s">
        <v>174</v>
      </c>
      <c r="G92" s="50"/>
      <c r="H92" s="51" t="s">
        <v>509</v>
      </c>
      <c r="I92" s="51" t="s">
        <v>510</v>
      </c>
      <c r="J92" s="50"/>
      <c r="K92" s="50"/>
      <c r="L92" s="50"/>
      <c r="M92" s="51" t="s">
        <v>509</v>
      </c>
      <c r="N92" s="51" t="s">
        <v>510</v>
      </c>
      <c r="O92" s="50"/>
    </row>
    <row r="93" spans="1:15" ht="76.5" x14ac:dyDescent="0.2">
      <c r="A93" s="46" t="s">
        <v>113</v>
      </c>
      <c r="B93" s="47" t="s">
        <v>511</v>
      </c>
      <c r="C93" s="48" t="s">
        <v>512</v>
      </c>
      <c r="D93" s="49" t="s">
        <v>598</v>
      </c>
      <c r="E93" s="51" t="s">
        <v>513</v>
      </c>
      <c r="F93" s="51" t="s">
        <v>514</v>
      </c>
      <c r="G93" s="51" t="s">
        <v>515</v>
      </c>
      <c r="H93" s="51" t="s">
        <v>599</v>
      </c>
      <c r="I93" s="51" t="s">
        <v>600</v>
      </c>
      <c r="J93" s="51" t="s">
        <v>601</v>
      </c>
      <c r="K93" s="50"/>
      <c r="L93" s="50"/>
      <c r="M93" s="51" t="s">
        <v>599</v>
      </c>
      <c r="N93" s="51" t="s">
        <v>600</v>
      </c>
      <c r="O93" s="51" t="s">
        <v>602</v>
      </c>
    </row>
    <row r="94" spans="1:15" ht="25.5" x14ac:dyDescent="0.2">
      <c r="A94" s="52"/>
      <c r="B94" s="53"/>
      <c r="C94" s="54" t="s">
        <v>603</v>
      </c>
      <c r="D94" s="55"/>
      <c r="E94" s="56" t="s">
        <v>166</v>
      </c>
      <c r="F94" s="57"/>
      <c r="G94" s="57"/>
      <c r="H94" s="56" t="s">
        <v>604</v>
      </c>
      <c r="I94" s="57"/>
      <c r="J94" s="57"/>
      <c r="K94" s="57"/>
      <c r="L94" s="56" t="s">
        <v>166</v>
      </c>
      <c r="M94" s="56" t="s">
        <v>604</v>
      </c>
      <c r="N94" s="57"/>
      <c r="O94" s="57"/>
    </row>
    <row r="95" spans="1:15" ht="25.5" x14ac:dyDescent="0.2">
      <c r="A95" s="52"/>
      <c r="B95" s="53"/>
      <c r="C95" s="54" t="s">
        <v>605</v>
      </c>
      <c r="D95" s="55"/>
      <c r="E95" s="56" t="s">
        <v>75</v>
      </c>
      <c r="F95" s="57"/>
      <c r="G95" s="57"/>
      <c r="H95" s="56" t="s">
        <v>606</v>
      </c>
      <c r="I95" s="57"/>
      <c r="J95" s="57"/>
      <c r="K95" s="57"/>
      <c r="L95" s="56" t="s">
        <v>75</v>
      </c>
      <c r="M95" s="56" t="s">
        <v>606</v>
      </c>
      <c r="N95" s="57"/>
      <c r="O95" s="57"/>
    </row>
    <row r="96" spans="1:15" ht="12.75" x14ac:dyDescent="0.2">
      <c r="A96" s="52"/>
      <c r="B96" s="53"/>
      <c r="C96" s="54" t="s">
        <v>73</v>
      </c>
      <c r="D96" s="55"/>
      <c r="E96" s="57"/>
      <c r="F96" s="57"/>
      <c r="G96" s="57"/>
      <c r="H96" s="56" t="s">
        <v>607</v>
      </c>
      <c r="I96" s="57"/>
      <c r="J96" s="57"/>
      <c r="K96" s="57"/>
      <c r="L96" s="57"/>
      <c r="M96" s="56" t="s">
        <v>607</v>
      </c>
      <c r="N96" s="57"/>
      <c r="O96" s="57"/>
    </row>
    <row r="97" spans="1:15" ht="89.25" x14ac:dyDescent="0.2">
      <c r="A97" s="46" t="s">
        <v>114</v>
      </c>
      <c r="B97" s="47" t="s">
        <v>516</v>
      </c>
      <c r="C97" s="48" t="s">
        <v>517</v>
      </c>
      <c r="D97" s="49" t="s">
        <v>608</v>
      </c>
      <c r="E97" s="51" t="s">
        <v>518</v>
      </c>
      <c r="F97" s="51" t="s">
        <v>519</v>
      </c>
      <c r="G97" s="50"/>
      <c r="H97" s="51" t="s">
        <v>609</v>
      </c>
      <c r="I97" s="51" t="s">
        <v>610</v>
      </c>
      <c r="J97" s="50"/>
      <c r="K97" s="50"/>
      <c r="L97" s="50"/>
      <c r="M97" s="51" t="s">
        <v>609</v>
      </c>
      <c r="N97" s="51" t="s">
        <v>610</v>
      </c>
      <c r="O97" s="50"/>
    </row>
    <row r="98" spans="1:15" ht="76.5" x14ac:dyDescent="0.2">
      <c r="A98" s="46" t="s">
        <v>115</v>
      </c>
      <c r="B98" s="47" t="s">
        <v>520</v>
      </c>
      <c r="C98" s="48" t="s">
        <v>176</v>
      </c>
      <c r="D98" s="49" t="s">
        <v>611</v>
      </c>
      <c r="E98" s="51" t="s">
        <v>177</v>
      </c>
      <c r="F98" s="51" t="s">
        <v>178</v>
      </c>
      <c r="G98" s="50"/>
      <c r="H98" s="51" t="s">
        <v>612</v>
      </c>
      <c r="I98" s="51" t="s">
        <v>613</v>
      </c>
      <c r="J98" s="50"/>
      <c r="K98" s="50"/>
      <c r="L98" s="50"/>
      <c r="M98" s="51" t="s">
        <v>612</v>
      </c>
      <c r="N98" s="51" t="s">
        <v>613</v>
      </c>
      <c r="O98" s="50"/>
    </row>
    <row r="99" spans="1:15" ht="102" x14ac:dyDescent="0.2">
      <c r="A99" s="46" t="s">
        <v>116</v>
      </c>
      <c r="B99" s="47" t="s">
        <v>521</v>
      </c>
      <c r="C99" s="48" t="s">
        <v>180</v>
      </c>
      <c r="D99" s="49" t="s">
        <v>614</v>
      </c>
      <c r="E99" s="51" t="s">
        <v>181</v>
      </c>
      <c r="F99" s="51" t="s">
        <v>182</v>
      </c>
      <c r="G99" s="50"/>
      <c r="H99" s="51" t="s">
        <v>615</v>
      </c>
      <c r="I99" s="51" t="s">
        <v>616</v>
      </c>
      <c r="J99" s="50"/>
      <c r="K99" s="50"/>
      <c r="L99" s="50"/>
      <c r="M99" s="51" t="s">
        <v>615</v>
      </c>
      <c r="N99" s="51" t="s">
        <v>616</v>
      </c>
      <c r="O99" s="50"/>
    </row>
    <row r="100" spans="1:15" ht="76.5" x14ac:dyDescent="0.2">
      <c r="A100" s="46" t="s">
        <v>50</v>
      </c>
      <c r="B100" s="47" t="s">
        <v>522</v>
      </c>
      <c r="C100" s="48" t="s">
        <v>523</v>
      </c>
      <c r="D100" s="49" t="s">
        <v>617</v>
      </c>
      <c r="E100" s="51" t="s">
        <v>524</v>
      </c>
      <c r="F100" s="51" t="s">
        <v>525</v>
      </c>
      <c r="G100" s="50"/>
      <c r="H100" s="51" t="s">
        <v>618</v>
      </c>
      <c r="I100" s="51" t="s">
        <v>619</v>
      </c>
      <c r="J100" s="50"/>
      <c r="K100" s="50"/>
      <c r="L100" s="50"/>
      <c r="M100" s="51" t="s">
        <v>618</v>
      </c>
      <c r="N100" s="51" t="s">
        <v>619</v>
      </c>
      <c r="O100" s="50"/>
    </row>
    <row r="101" spans="1:15" ht="76.5" x14ac:dyDescent="0.2">
      <c r="A101" s="46" t="s">
        <v>126</v>
      </c>
      <c r="B101" s="47" t="s">
        <v>526</v>
      </c>
      <c r="C101" s="48" t="s">
        <v>527</v>
      </c>
      <c r="D101" s="49" t="s">
        <v>620</v>
      </c>
      <c r="E101" s="51" t="s">
        <v>528</v>
      </c>
      <c r="F101" s="51" t="s">
        <v>529</v>
      </c>
      <c r="G101" s="50"/>
      <c r="H101" s="51" t="s">
        <v>621</v>
      </c>
      <c r="I101" s="51" t="s">
        <v>622</v>
      </c>
      <c r="J101" s="50"/>
      <c r="K101" s="50"/>
      <c r="L101" s="50"/>
      <c r="M101" s="51" t="s">
        <v>621</v>
      </c>
      <c r="N101" s="51" t="s">
        <v>622</v>
      </c>
      <c r="O101" s="50"/>
    </row>
    <row r="102" spans="1:15" ht="76.5" x14ac:dyDescent="0.2">
      <c r="A102" s="46" t="s">
        <v>132</v>
      </c>
      <c r="B102" s="47" t="s">
        <v>530</v>
      </c>
      <c r="C102" s="48" t="s">
        <v>184</v>
      </c>
      <c r="D102" s="49" t="s">
        <v>623</v>
      </c>
      <c r="E102" s="51" t="s">
        <v>185</v>
      </c>
      <c r="F102" s="51" t="s">
        <v>186</v>
      </c>
      <c r="G102" s="50"/>
      <c r="H102" s="51" t="s">
        <v>624</v>
      </c>
      <c r="I102" s="51" t="s">
        <v>625</v>
      </c>
      <c r="J102" s="50"/>
      <c r="K102" s="50"/>
      <c r="L102" s="50"/>
      <c r="M102" s="51" t="s">
        <v>624</v>
      </c>
      <c r="N102" s="51" t="s">
        <v>625</v>
      </c>
      <c r="O102" s="50"/>
    </row>
    <row r="103" spans="1:15" ht="76.5" x14ac:dyDescent="0.2">
      <c r="A103" s="46" t="s">
        <v>138</v>
      </c>
      <c r="B103" s="47" t="s">
        <v>531</v>
      </c>
      <c r="C103" s="48" t="s">
        <v>188</v>
      </c>
      <c r="D103" s="49" t="s">
        <v>623</v>
      </c>
      <c r="E103" s="51" t="s">
        <v>189</v>
      </c>
      <c r="F103" s="51" t="s">
        <v>190</v>
      </c>
      <c r="G103" s="50"/>
      <c r="H103" s="51" t="s">
        <v>626</v>
      </c>
      <c r="I103" s="51" t="s">
        <v>627</v>
      </c>
      <c r="J103" s="50"/>
      <c r="K103" s="50"/>
      <c r="L103" s="50"/>
      <c r="M103" s="51" t="s">
        <v>626</v>
      </c>
      <c r="N103" s="51" t="s">
        <v>627</v>
      </c>
      <c r="O103" s="50"/>
    </row>
    <row r="104" spans="1:15" ht="76.5" x14ac:dyDescent="0.2">
      <c r="A104" s="46" t="s">
        <v>144</v>
      </c>
      <c r="B104" s="47" t="s">
        <v>532</v>
      </c>
      <c r="C104" s="48" t="s">
        <v>533</v>
      </c>
      <c r="D104" s="49" t="s">
        <v>628</v>
      </c>
      <c r="E104" s="51" t="s">
        <v>534</v>
      </c>
      <c r="F104" s="51" t="s">
        <v>535</v>
      </c>
      <c r="G104" s="50"/>
      <c r="H104" s="51" t="s">
        <v>629</v>
      </c>
      <c r="I104" s="51" t="s">
        <v>630</v>
      </c>
      <c r="J104" s="50"/>
      <c r="K104" s="50"/>
      <c r="L104" s="50"/>
      <c r="M104" s="51" t="s">
        <v>629</v>
      </c>
      <c r="N104" s="51" t="s">
        <v>630</v>
      </c>
      <c r="O104" s="50"/>
    </row>
    <row r="105" spans="1:15" ht="76.5" x14ac:dyDescent="0.2">
      <c r="A105" s="46" t="s">
        <v>150</v>
      </c>
      <c r="B105" s="47" t="s">
        <v>536</v>
      </c>
      <c r="C105" s="48" t="s">
        <v>537</v>
      </c>
      <c r="D105" s="49" t="s">
        <v>628</v>
      </c>
      <c r="E105" s="51" t="s">
        <v>538</v>
      </c>
      <c r="F105" s="51" t="s">
        <v>539</v>
      </c>
      <c r="G105" s="50"/>
      <c r="H105" s="51" t="s">
        <v>631</v>
      </c>
      <c r="I105" s="51" t="s">
        <v>632</v>
      </c>
      <c r="J105" s="50"/>
      <c r="K105" s="50"/>
      <c r="L105" s="50"/>
      <c r="M105" s="51" t="s">
        <v>631</v>
      </c>
      <c r="N105" s="51" t="s">
        <v>632</v>
      </c>
      <c r="O105" s="50"/>
    </row>
    <row r="106" spans="1:15" ht="89.25" x14ac:dyDescent="0.2">
      <c r="A106" s="46" t="s">
        <v>155</v>
      </c>
      <c r="B106" s="47" t="s">
        <v>192</v>
      </c>
      <c r="C106" s="48" t="s">
        <v>193</v>
      </c>
      <c r="D106" s="49" t="s">
        <v>23</v>
      </c>
      <c r="E106" s="51" t="s">
        <v>194</v>
      </c>
      <c r="F106" s="51" t="s">
        <v>195</v>
      </c>
      <c r="G106" s="51" t="s">
        <v>196</v>
      </c>
      <c r="H106" s="51" t="s">
        <v>348</v>
      </c>
      <c r="I106" s="51" t="s">
        <v>349</v>
      </c>
      <c r="J106" s="51" t="s">
        <v>350</v>
      </c>
      <c r="K106" s="50"/>
      <c r="L106" s="50"/>
      <c r="M106" s="51" t="s">
        <v>348</v>
      </c>
      <c r="N106" s="51" t="s">
        <v>349</v>
      </c>
      <c r="O106" s="51" t="s">
        <v>351</v>
      </c>
    </row>
    <row r="107" spans="1:15" ht="25.5" x14ac:dyDescent="0.2">
      <c r="A107" s="52"/>
      <c r="B107" s="53"/>
      <c r="C107" s="54" t="s">
        <v>352</v>
      </c>
      <c r="D107" s="55"/>
      <c r="E107" s="56" t="s">
        <v>166</v>
      </c>
      <c r="F107" s="57"/>
      <c r="G107" s="57"/>
      <c r="H107" s="56" t="s">
        <v>353</v>
      </c>
      <c r="I107" s="57"/>
      <c r="J107" s="57"/>
      <c r="K107" s="57"/>
      <c r="L107" s="56" t="s">
        <v>166</v>
      </c>
      <c r="M107" s="56" t="s">
        <v>353</v>
      </c>
      <c r="N107" s="57"/>
      <c r="O107" s="57"/>
    </row>
    <row r="108" spans="1:15" ht="25.5" x14ac:dyDescent="0.2">
      <c r="A108" s="52"/>
      <c r="B108" s="53"/>
      <c r="C108" s="54" t="s">
        <v>354</v>
      </c>
      <c r="D108" s="55"/>
      <c r="E108" s="56" t="s">
        <v>75</v>
      </c>
      <c r="F108" s="57"/>
      <c r="G108" s="57"/>
      <c r="H108" s="56" t="s">
        <v>355</v>
      </c>
      <c r="I108" s="57"/>
      <c r="J108" s="57"/>
      <c r="K108" s="57"/>
      <c r="L108" s="56" t="s">
        <v>75</v>
      </c>
      <c r="M108" s="56" t="s">
        <v>355</v>
      </c>
      <c r="N108" s="57"/>
      <c r="O108" s="57"/>
    </row>
    <row r="109" spans="1:15" ht="12.75" x14ac:dyDescent="0.2">
      <c r="A109" s="52"/>
      <c r="B109" s="53"/>
      <c r="C109" s="54" t="s">
        <v>73</v>
      </c>
      <c r="D109" s="55"/>
      <c r="E109" s="57"/>
      <c r="F109" s="57"/>
      <c r="G109" s="57"/>
      <c r="H109" s="56" t="s">
        <v>356</v>
      </c>
      <c r="I109" s="57"/>
      <c r="J109" s="57"/>
      <c r="K109" s="57"/>
      <c r="L109" s="57"/>
      <c r="M109" s="56" t="s">
        <v>356</v>
      </c>
      <c r="N109" s="57"/>
      <c r="O109" s="57"/>
    </row>
    <row r="110" spans="1:15" ht="51" x14ac:dyDescent="0.2">
      <c r="A110" s="46" t="s">
        <v>160</v>
      </c>
      <c r="B110" s="47" t="s">
        <v>197</v>
      </c>
      <c r="C110" s="48" t="s">
        <v>198</v>
      </c>
      <c r="D110" s="49" t="s">
        <v>357</v>
      </c>
      <c r="E110" s="51" t="s">
        <v>199</v>
      </c>
      <c r="F110" s="51" t="s">
        <v>200</v>
      </c>
      <c r="G110" s="50"/>
      <c r="H110" s="51" t="s">
        <v>358</v>
      </c>
      <c r="I110" s="51" t="s">
        <v>359</v>
      </c>
      <c r="J110" s="50"/>
      <c r="K110" s="50"/>
      <c r="L110" s="50"/>
      <c r="M110" s="51" t="s">
        <v>358</v>
      </c>
      <c r="N110" s="51" t="s">
        <v>359</v>
      </c>
      <c r="O110" s="50"/>
    </row>
    <row r="111" spans="1:15" ht="38.25" x14ac:dyDescent="0.2">
      <c r="A111" s="447" t="s">
        <v>201</v>
      </c>
      <c r="B111" s="448"/>
      <c r="C111" s="448"/>
      <c r="D111" s="448"/>
      <c r="E111" s="448"/>
      <c r="F111" s="448"/>
      <c r="G111" s="448"/>
      <c r="H111" s="51" t="s">
        <v>633</v>
      </c>
      <c r="I111" s="51" t="s">
        <v>634</v>
      </c>
      <c r="J111" s="51" t="s">
        <v>635</v>
      </c>
      <c r="K111" s="50"/>
      <c r="L111" s="50"/>
      <c r="M111" s="51" t="s">
        <v>636</v>
      </c>
      <c r="N111" s="51" t="s">
        <v>637</v>
      </c>
      <c r="O111" s="51" t="s">
        <v>635</v>
      </c>
    </row>
    <row r="112" spans="1:15" ht="12.75" x14ac:dyDescent="0.2">
      <c r="A112" s="447" t="s">
        <v>202</v>
      </c>
      <c r="B112" s="448"/>
      <c r="C112" s="448"/>
      <c r="D112" s="448"/>
      <c r="E112" s="448"/>
      <c r="F112" s="448"/>
      <c r="G112" s="448"/>
      <c r="H112" s="50"/>
      <c r="I112" s="50"/>
      <c r="J112" s="50"/>
      <c r="K112" s="50"/>
      <c r="L112" s="50"/>
      <c r="M112" s="50"/>
      <c r="N112" s="50"/>
      <c r="O112" s="50"/>
    </row>
    <row r="113" spans="1:15" ht="25.5" x14ac:dyDescent="0.2">
      <c r="A113" s="447" t="s">
        <v>203</v>
      </c>
      <c r="B113" s="448"/>
      <c r="C113" s="448"/>
      <c r="D113" s="448"/>
      <c r="E113" s="448"/>
      <c r="F113" s="448"/>
      <c r="G113" s="448"/>
      <c r="H113" s="51" t="s">
        <v>638</v>
      </c>
      <c r="I113" s="50"/>
      <c r="J113" s="50"/>
      <c r="K113" s="50"/>
      <c r="L113" s="50"/>
      <c r="M113" s="51" t="s">
        <v>639</v>
      </c>
      <c r="N113" s="50"/>
      <c r="O113" s="50"/>
    </row>
    <row r="114" spans="1:15" ht="25.5" x14ac:dyDescent="0.2">
      <c r="A114" s="447" t="s">
        <v>204</v>
      </c>
      <c r="B114" s="448"/>
      <c r="C114" s="448"/>
      <c r="D114" s="448"/>
      <c r="E114" s="448"/>
      <c r="F114" s="448"/>
      <c r="G114" s="448"/>
      <c r="H114" s="51" t="s">
        <v>640</v>
      </c>
      <c r="I114" s="50"/>
      <c r="J114" s="50"/>
      <c r="K114" s="50"/>
      <c r="L114" s="50"/>
      <c r="M114" s="51" t="s">
        <v>641</v>
      </c>
      <c r="N114" s="50"/>
      <c r="O114" s="50"/>
    </row>
    <row r="115" spans="1:15" ht="25.5" x14ac:dyDescent="0.2">
      <c r="A115" s="447" t="s">
        <v>205</v>
      </c>
      <c r="B115" s="448"/>
      <c r="C115" s="448"/>
      <c r="D115" s="448"/>
      <c r="E115" s="448"/>
      <c r="F115" s="448"/>
      <c r="G115" s="448"/>
      <c r="H115" s="51" t="s">
        <v>642</v>
      </c>
      <c r="I115" s="50"/>
      <c r="J115" s="50"/>
      <c r="K115" s="50"/>
      <c r="L115" s="50"/>
      <c r="M115" s="51" t="s">
        <v>643</v>
      </c>
      <c r="N115" s="50"/>
      <c r="O115" s="50"/>
    </row>
    <row r="116" spans="1:15" ht="25.5" x14ac:dyDescent="0.2">
      <c r="A116" s="449" t="s">
        <v>206</v>
      </c>
      <c r="B116" s="450"/>
      <c r="C116" s="450"/>
      <c r="D116" s="450"/>
      <c r="E116" s="450"/>
      <c r="F116" s="450"/>
      <c r="G116" s="450"/>
      <c r="H116" s="58" t="s">
        <v>644</v>
      </c>
      <c r="I116" s="59"/>
      <c r="J116" s="59"/>
      <c r="K116" s="59"/>
      <c r="L116" s="59"/>
      <c r="M116" s="58" t="s">
        <v>645</v>
      </c>
      <c r="N116" s="59"/>
      <c r="O116" s="59"/>
    </row>
    <row r="117" spans="1:15" ht="25.5" x14ac:dyDescent="0.2">
      <c r="A117" s="449" t="s">
        <v>207</v>
      </c>
      <c r="B117" s="450"/>
      <c r="C117" s="450"/>
      <c r="D117" s="450"/>
      <c r="E117" s="450"/>
      <c r="F117" s="450"/>
      <c r="G117" s="450"/>
      <c r="H117" s="58" t="s">
        <v>646</v>
      </c>
      <c r="I117" s="59"/>
      <c r="J117" s="59"/>
      <c r="K117" s="59"/>
      <c r="L117" s="59"/>
      <c r="M117" s="58" t="s">
        <v>647</v>
      </c>
      <c r="N117" s="59"/>
      <c r="O117" s="59"/>
    </row>
    <row r="118" spans="1:15" ht="12.75" x14ac:dyDescent="0.2">
      <c r="A118" s="449" t="s">
        <v>26</v>
      </c>
      <c r="B118" s="450"/>
      <c r="C118" s="450"/>
      <c r="D118" s="450"/>
      <c r="E118" s="450"/>
      <c r="F118" s="450"/>
      <c r="G118" s="450"/>
      <c r="H118" s="59"/>
      <c r="I118" s="59"/>
      <c r="J118" s="59"/>
      <c r="K118" s="59"/>
      <c r="L118" s="59"/>
      <c r="M118" s="59"/>
      <c r="N118" s="59"/>
      <c r="O118" s="59"/>
    </row>
    <row r="119" spans="1:15" ht="12.75" x14ac:dyDescent="0.2">
      <c r="A119" s="447" t="s">
        <v>211</v>
      </c>
      <c r="B119" s="448"/>
      <c r="C119" s="448"/>
      <c r="D119" s="448"/>
      <c r="E119" s="448"/>
      <c r="F119" s="448"/>
      <c r="G119" s="448"/>
      <c r="H119" s="50"/>
      <c r="I119" s="50"/>
      <c r="J119" s="50"/>
      <c r="K119" s="50"/>
      <c r="L119" s="50"/>
      <c r="M119" s="50"/>
      <c r="N119" s="50"/>
      <c r="O119" s="50"/>
    </row>
    <row r="120" spans="1:15" ht="12.75" x14ac:dyDescent="0.2">
      <c r="A120" s="447" t="s">
        <v>208</v>
      </c>
      <c r="B120" s="448"/>
      <c r="C120" s="448"/>
      <c r="D120" s="448"/>
      <c r="E120" s="448"/>
      <c r="F120" s="448"/>
      <c r="G120" s="448"/>
      <c r="H120" s="50"/>
      <c r="I120" s="50"/>
      <c r="J120" s="50"/>
      <c r="K120" s="50"/>
      <c r="L120" s="50"/>
      <c r="M120" s="50"/>
      <c r="N120" s="50"/>
      <c r="O120" s="50"/>
    </row>
    <row r="121" spans="1:15" ht="12.75" x14ac:dyDescent="0.2">
      <c r="A121" s="447" t="s">
        <v>212</v>
      </c>
      <c r="B121" s="448"/>
      <c r="C121" s="448"/>
      <c r="D121" s="448"/>
      <c r="E121" s="448"/>
      <c r="F121" s="448"/>
      <c r="G121" s="448"/>
      <c r="H121" s="50"/>
      <c r="I121" s="50"/>
      <c r="J121" s="50"/>
      <c r="K121" s="50"/>
      <c r="L121" s="50"/>
      <c r="M121" s="50"/>
      <c r="N121" s="50"/>
      <c r="O121" s="50"/>
    </row>
    <row r="122" spans="1:15" ht="12.75" x14ac:dyDescent="0.2">
      <c r="A122" s="447" t="s">
        <v>209</v>
      </c>
      <c r="B122" s="448"/>
      <c r="C122" s="448"/>
      <c r="D122" s="448"/>
      <c r="E122" s="448"/>
      <c r="F122" s="448"/>
      <c r="G122" s="448"/>
      <c r="H122" s="50"/>
      <c r="I122" s="50"/>
      <c r="J122" s="50"/>
      <c r="K122" s="50"/>
      <c r="L122" s="50"/>
      <c r="M122" s="50"/>
      <c r="N122" s="50"/>
      <c r="O122" s="50"/>
    </row>
    <row r="123" spans="1:15" ht="12.75" x14ac:dyDescent="0.2">
      <c r="A123" s="447" t="s">
        <v>210</v>
      </c>
      <c r="B123" s="448"/>
      <c r="C123" s="448"/>
      <c r="D123" s="448"/>
      <c r="E123" s="448"/>
      <c r="F123" s="448"/>
      <c r="G123" s="448"/>
      <c r="H123" s="50"/>
      <c r="I123" s="50"/>
      <c r="J123" s="50"/>
      <c r="K123" s="50"/>
      <c r="L123" s="50"/>
      <c r="M123" s="50"/>
      <c r="N123" s="50"/>
      <c r="O123" s="50"/>
    </row>
    <row r="124" spans="1:15" ht="12.75" x14ac:dyDescent="0.2">
      <c r="A124" s="447" t="s">
        <v>213</v>
      </c>
      <c r="B124" s="448"/>
      <c r="C124" s="448"/>
      <c r="D124" s="448"/>
      <c r="E124" s="448"/>
      <c r="F124" s="448"/>
      <c r="G124" s="448"/>
      <c r="H124" s="50"/>
      <c r="I124" s="50"/>
      <c r="J124" s="50"/>
      <c r="K124" s="50"/>
      <c r="L124" s="50"/>
      <c r="M124" s="50"/>
      <c r="N124" s="50"/>
      <c r="O124" s="50"/>
    </row>
    <row r="125" spans="1:15" ht="25.5" x14ac:dyDescent="0.2">
      <c r="A125" s="447" t="s">
        <v>214</v>
      </c>
      <c r="B125" s="448"/>
      <c r="C125" s="448"/>
      <c r="D125" s="448"/>
      <c r="E125" s="448"/>
      <c r="F125" s="448"/>
      <c r="G125" s="448"/>
      <c r="H125" s="51" t="s">
        <v>648</v>
      </c>
      <c r="I125" s="50"/>
      <c r="J125" s="50"/>
      <c r="K125" s="50"/>
      <c r="L125" s="50"/>
      <c r="M125" s="51" t="s">
        <v>649</v>
      </c>
      <c r="N125" s="50"/>
      <c r="O125" s="50"/>
    </row>
    <row r="126" spans="1:15" ht="12.75" x14ac:dyDescent="0.2">
      <c r="A126" s="447" t="s">
        <v>215</v>
      </c>
      <c r="B126" s="448"/>
      <c r="C126" s="448"/>
      <c r="D126" s="448"/>
      <c r="E126" s="448"/>
      <c r="F126" s="448"/>
      <c r="G126" s="448"/>
      <c r="H126" s="50"/>
      <c r="I126" s="50"/>
      <c r="J126" s="50"/>
      <c r="K126" s="50"/>
      <c r="L126" s="50"/>
      <c r="M126" s="51" t="s">
        <v>650</v>
      </c>
      <c r="N126" s="50"/>
      <c r="O126" s="50"/>
    </row>
    <row r="127" spans="1:15" ht="25.5" x14ac:dyDescent="0.2">
      <c r="A127" s="449" t="s">
        <v>216</v>
      </c>
      <c r="B127" s="450"/>
      <c r="C127" s="450"/>
      <c r="D127" s="450"/>
      <c r="E127" s="450"/>
      <c r="F127" s="450"/>
      <c r="G127" s="450"/>
      <c r="H127" s="58" t="s">
        <v>648</v>
      </c>
      <c r="I127" s="59"/>
      <c r="J127" s="59"/>
      <c r="K127" s="59"/>
      <c r="L127" s="59"/>
      <c r="M127" s="58" t="s">
        <v>650</v>
      </c>
      <c r="N127" s="59"/>
      <c r="O127" s="59"/>
    </row>
    <row r="128" spans="1:15" s="1" customFormat="1" ht="15" customHeight="1" x14ac:dyDescent="0.2">
      <c r="A128" s="429" t="s">
        <v>217</v>
      </c>
      <c r="B128" s="430"/>
      <c r="C128" s="430"/>
      <c r="D128" s="430"/>
      <c r="E128" s="430"/>
      <c r="F128" s="430"/>
      <c r="G128" s="431"/>
      <c r="H128" s="60"/>
      <c r="I128" s="61"/>
      <c r="J128" s="61"/>
      <c r="K128" s="61"/>
      <c r="L128" s="61"/>
      <c r="M128" s="62">
        <f>ROUND(M127/100*0.96,0)</f>
        <v>86141</v>
      </c>
      <c r="N128" s="61"/>
      <c r="O128" s="61"/>
    </row>
    <row r="129" spans="1:17" s="1" customFormat="1" ht="15" customHeight="1" x14ac:dyDescent="0.2">
      <c r="A129" s="429" t="s">
        <v>36</v>
      </c>
      <c r="B129" s="430"/>
      <c r="C129" s="430"/>
      <c r="D129" s="430"/>
      <c r="E129" s="430"/>
      <c r="F129" s="430"/>
      <c r="G129" s="431"/>
      <c r="H129" s="60"/>
      <c r="I129" s="61"/>
      <c r="J129" s="61"/>
      <c r="K129" s="61"/>
      <c r="L129" s="61"/>
      <c r="M129" s="63">
        <f>M127+M128</f>
        <v>9059164</v>
      </c>
      <c r="N129" s="61"/>
      <c r="O129" s="61"/>
    </row>
    <row r="130" spans="1:17" s="1" customFormat="1" ht="15" customHeight="1" x14ac:dyDescent="0.2">
      <c r="A130" s="429" t="s">
        <v>218</v>
      </c>
      <c r="B130" s="430"/>
      <c r="C130" s="430"/>
      <c r="D130" s="430"/>
      <c r="E130" s="430"/>
      <c r="F130" s="430"/>
      <c r="G130" s="431"/>
      <c r="H130" s="60"/>
      <c r="I130" s="61"/>
      <c r="J130" s="61"/>
      <c r="K130" s="61"/>
      <c r="L130" s="61"/>
      <c r="M130" s="62">
        <f>ROUND(M129*0.9833333333,0)</f>
        <v>8908178</v>
      </c>
      <c r="N130" s="61"/>
      <c r="O130" s="61"/>
    </row>
    <row r="131" spans="1:17" s="1" customFormat="1" ht="15" customHeight="1" x14ac:dyDescent="0.2">
      <c r="A131" s="429" t="s">
        <v>219</v>
      </c>
      <c r="B131" s="430"/>
      <c r="C131" s="430"/>
      <c r="D131" s="430"/>
      <c r="E131" s="430"/>
      <c r="F131" s="430"/>
      <c r="G131" s="431"/>
      <c r="H131" s="60"/>
      <c r="I131" s="61"/>
      <c r="J131" s="61"/>
      <c r="K131" s="61"/>
      <c r="L131" s="61"/>
      <c r="M131" s="62">
        <f>ROUND(M130*1.25085,0)</f>
        <v>11142794</v>
      </c>
      <c r="N131" s="61"/>
      <c r="O131" s="61"/>
    </row>
    <row r="132" spans="1:17" s="1" customFormat="1" ht="15" customHeight="1" x14ac:dyDescent="0.2">
      <c r="A132" s="429" t="s">
        <v>220</v>
      </c>
      <c r="B132" s="430"/>
      <c r="C132" s="430"/>
      <c r="D132" s="430"/>
      <c r="E132" s="430"/>
      <c r="F132" s="430"/>
      <c r="G132" s="431"/>
      <c r="H132" s="60"/>
      <c r="I132" s="61"/>
      <c r="J132" s="61"/>
      <c r="K132" s="61"/>
      <c r="L132" s="61"/>
      <c r="M132" s="62">
        <f>ROUND(M131*1.07521,0)</f>
        <v>11980844</v>
      </c>
      <c r="N132" s="61"/>
      <c r="O132" s="61"/>
    </row>
    <row r="133" spans="1:17" s="1" customFormat="1" ht="15" customHeight="1" x14ac:dyDescent="0.2">
      <c r="A133" s="429" t="s">
        <v>221</v>
      </c>
      <c r="B133" s="430"/>
      <c r="C133" s="430"/>
      <c r="D133" s="430"/>
      <c r="E133" s="430"/>
      <c r="F133" s="430"/>
      <c r="G133" s="431"/>
      <c r="H133" s="60"/>
      <c r="I133" s="61"/>
      <c r="J133" s="61"/>
      <c r="K133" s="61"/>
      <c r="L133" s="61"/>
      <c r="M133" s="62">
        <f>ROUND(M132*1.0338,0)</f>
        <v>12385797</v>
      </c>
      <c r="N133" s="61"/>
      <c r="O133" s="61"/>
    </row>
    <row r="134" spans="1:17" s="1" customFormat="1" ht="15" customHeight="1" x14ac:dyDescent="0.2">
      <c r="A134" s="429" t="s">
        <v>37</v>
      </c>
      <c r="B134" s="430"/>
      <c r="C134" s="430"/>
      <c r="D134" s="430"/>
      <c r="E134" s="430"/>
      <c r="F134" s="430"/>
      <c r="G134" s="431"/>
      <c r="H134" s="60"/>
      <c r="I134" s="61"/>
      <c r="J134" s="61"/>
      <c r="K134" s="61"/>
      <c r="L134" s="61"/>
      <c r="M134" s="62">
        <f>M133</f>
        <v>12385797</v>
      </c>
      <c r="N134" s="61"/>
      <c r="O134" s="61"/>
    </row>
    <row r="135" spans="1:17" s="1" customFormat="1" ht="15" customHeight="1" x14ac:dyDescent="0.2">
      <c r="A135" s="429" t="s">
        <v>38</v>
      </c>
      <c r="B135" s="430"/>
      <c r="C135" s="430"/>
      <c r="D135" s="430"/>
      <c r="E135" s="430"/>
      <c r="F135" s="430"/>
      <c r="G135" s="431"/>
      <c r="H135" s="60"/>
      <c r="I135" s="61"/>
      <c r="J135" s="61"/>
      <c r="K135" s="61"/>
      <c r="L135" s="61"/>
      <c r="M135" s="64">
        <f>ROUND(M134*0.2,2)</f>
        <v>2477159.4</v>
      </c>
      <c r="N135" s="61"/>
      <c r="O135" s="61"/>
    </row>
    <row r="136" spans="1:17" s="1" customFormat="1" ht="15" customHeight="1" x14ac:dyDescent="0.2">
      <c r="A136" s="429" t="s">
        <v>39</v>
      </c>
      <c r="B136" s="430"/>
      <c r="C136" s="430"/>
      <c r="D136" s="430"/>
      <c r="E136" s="430"/>
      <c r="F136" s="430"/>
      <c r="G136" s="431"/>
      <c r="H136" s="60"/>
      <c r="I136" s="61"/>
      <c r="J136" s="61"/>
      <c r="K136" s="61"/>
      <c r="L136" s="61"/>
      <c r="M136" s="64">
        <f>M134+M135</f>
        <v>14862956.4</v>
      </c>
      <c r="N136" s="61"/>
      <c r="O136" s="61"/>
      <c r="Q136" s="278"/>
    </row>
    <row r="137" spans="1:17" s="1" customFormat="1" ht="12.75" x14ac:dyDescent="0.2">
      <c r="B137" s="65"/>
      <c r="C137" s="66"/>
      <c r="D137" s="67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7" s="1" customFormat="1" ht="12.75" x14ac:dyDescent="0.2">
      <c r="B138" s="65"/>
      <c r="C138" s="66"/>
      <c r="D138" s="67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7" s="1" customFormat="1" ht="12.75" x14ac:dyDescent="0.2">
      <c r="B139" s="277"/>
      <c r="C139" s="6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7" s="1" customFormat="1" ht="11.25" customHeight="1" x14ac:dyDescent="0.2">
      <c r="C140" s="27"/>
    </row>
    <row r="141" spans="1:17" s="1" customFormat="1" ht="11.25" customHeight="1" x14ac:dyDescent="0.2">
      <c r="C141" s="27"/>
    </row>
    <row r="142" spans="1:17" s="4" customFormat="1" ht="12.75" x14ac:dyDescent="0.2">
      <c r="A142" s="2"/>
      <c r="B142" s="11" t="s">
        <v>27</v>
      </c>
      <c r="C142" s="70" t="s">
        <v>222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8"/>
      <c r="O142" s="8"/>
    </row>
    <row r="143" spans="1:17" s="8" customFormat="1" ht="12.75" x14ac:dyDescent="0.2">
      <c r="A143" s="5"/>
      <c r="B143" s="6"/>
      <c r="C143" s="432" t="s">
        <v>40</v>
      </c>
      <c r="D143" s="432"/>
      <c r="E143" s="432"/>
      <c r="F143" s="432"/>
      <c r="G143" s="432"/>
      <c r="H143" s="432"/>
      <c r="I143" s="432"/>
      <c r="J143" s="432"/>
      <c r="K143" s="432"/>
      <c r="L143" s="432"/>
      <c r="M143" s="432"/>
      <c r="N143" s="7"/>
      <c r="O143" s="1"/>
    </row>
    <row r="144" spans="1:17" s="1" customFormat="1" ht="12.75" x14ac:dyDescent="0.2">
      <c r="A144" s="5"/>
      <c r="B144" s="6"/>
      <c r="C144" s="71"/>
      <c r="D144" s="15"/>
      <c r="E144" s="9"/>
      <c r="F144" s="9"/>
      <c r="G144" s="9"/>
      <c r="H144" s="9"/>
      <c r="I144" s="10"/>
      <c r="J144" s="10"/>
      <c r="K144" s="10"/>
      <c r="L144" s="10"/>
      <c r="M144" s="9"/>
      <c r="N144" s="5"/>
    </row>
    <row r="145" spans="1:16" s="1" customFormat="1" ht="12.75" x14ac:dyDescent="0.2">
      <c r="A145" s="2"/>
      <c r="B145" s="11" t="s">
        <v>41</v>
      </c>
      <c r="C145" s="72"/>
      <c r="D145" s="15"/>
      <c r="E145" s="11"/>
      <c r="F145" s="11"/>
      <c r="G145" s="11"/>
      <c r="H145" s="11"/>
      <c r="I145" s="11"/>
      <c r="J145" s="11"/>
      <c r="K145" s="11"/>
      <c r="L145" s="11"/>
      <c r="M145" s="9"/>
      <c r="N145" s="5"/>
    </row>
    <row r="146" spans="1:16" s="1" customFormat="1" ht="12.75" x14ac:dyDescent="0.2">
      <c r="A146" s="5"/>
      <c r="B146" s="6"/>
      <c r="C146" s="71"/>
      <c r="D146" s="15"/>
      <c r="E146" s="9"/>
      <c r="F146" s="9"/>
      <c r="G146" s="9"/>
      <c r="H146" s="9"/>
      <c r="I146" s="10"/>
      <c r="J146" s="10"/>
      <c r="K146" s="10"/>
      <c r="L146" s="10"/>
      <c r="M146" s="9"/>
      <c r="N146" s="5"/>
    </row>
    <row r="147" spans="1:16" s="1" customFormat="1" ht="24.75" customHeight="1" x14ac:dyDescent="0.2">
      <c r="B147" s="73"/>
      <c r="C147" s="74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6" s="1" customFormat="1" ht="12.75" x14ac:dyDescent="0.2">
      <c r="A148" s="2"/>
      <c r="B148" s="11" t="s">
        <v>28</v>
      </c>
      <c r="C148" s="75" t="s">
        <v>223</v>
      </c>
      <c r="D148" s="12"/>
      <c r="E148" s="12"/>
      <c r="F148" s="12"/>
      <c r="G148" s="12"/>
      <c r="H148" s="12"/>
      <c r="I148" s="12"/>
      <c r="J148" s="12" t="s">
        <v>42</v>
      </c>
      <c r="K148" s="12"/>
      <c r="L148" s="12"/>
      <c r="M148" s="76"/>
      <c r="N148" s="77"/>
    </row>
    <row r="149" spans="1:16" s="1" customFormat="1" ht="12.75" x14ac:dyDescent="0.2">
      <c r="A149" s="5"/>
      <c r="B149" s="6"/>
      <c r="C149" s="433" t="s">
        <v>40</v>
      </c>
      <c r="D149" s="433"/>
      <c r="E149" s="433"/>
      <c r="F149" s="433"/>
      <c r="G149" s="433"/>
      <c r="H149" s="433"/>
      <c r="I149" s="433"/>
      <c r="J149" s="433"/>
      <c r="K149" s="433"/>
      <c r="L149" s="433"/>
      <c r="M149" s="433"/>
      <c r="N149" s="7"/>
    </row>
    <row r="150" spans="1:16" s="1" customFormat="1" ht="12.75" x14ac:dyDescent="0.2">
      <c r="A150" s="5"/>
      <c r="B150" s="6"/>
      <c r="C150" s="71"/>
    </row>
    <row r="151" spans="1:16" s="1" customFormat="1" ht="12.75" x14ac:dyDescent="0.2">
      <c r="A151" s="2"/>
      <c r="B151" s="11" t="s">
        <v>41</v>
      </c>
      <c r="C151" s="72"/>
    </row>
    <row r="152" spans="1:16" s="79" customFormat="1" ht="12.75" x14ac:dyDescent="0.2">
      <c r="A152" s="65"/>
      <c r="B152" s="65"/>
      <c r="C152" s="66"/>
      <c r="D152" s="67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78"/>
    </row>
    <row r="153" spans="1:16" s="279" customFormat="1" ht="12" x14ac:dyDescent="0.2">
      <c r="A153" s="274"/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  <c r="L153" s="274"/>
      <c r="M153" s="274"/>
      <c r="N153" s="274"/>
      <c r="O153" s="274"/>
    </row>
    <row r="154" spans="1:16" s="279" customFormat="1" ht="11.25" customHeight="1" x14ac:dyDescent="0.2">
      <c r="A154" s="274"/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  <c r="L154" s="274"/>
      <c r="M154" s="274"/>
      <c r="N154" s="274"/>
      <c r="O154" s="274"/>
    </row>
    <row r="178" ht="12" x14ac:dyDescent="0.2"/>
    <row r="255" ht="12" x14ac:dyDescent="0.2"/>
  </sheetData>
  <mergeCells count="71">
    <mergeCell ref="C10:K10"/>
    <mergeCell ref="M10:O10"/>
    <mergeCell ref="A11:B11"/>
    <mergeCell ref="C11:K11"/>
    <mergeCell ref="M6:O6"/>
    <mergeCell ref="A7:B7"/>
    <mergeCell ref="A9:B9"/>
    <mergeCell ref="C9:K9"/>
    <mergeCell ref="M9:O9"/>
    <mergeCell ref="C7:K7"/>
    <mergeCell ref="M7:O7"/>
    <mergeCell ref="A8:B8"/>
    <mergeCell ref="C8:K8"/>
    <mergeCell ref="M8:O8"/>
    <mergeCell ref="L22:L23"/>
    <mergeCell ref="M22:M23"/>
    <mergeCell ref="N22:O22"/>
    <mergeCell ref="I17:K17"/>
    <mergeCell ref="M17:O17"/>
    <mergeCell ref="M19:O19"/>
    <mergeCell ref="A31:O31"/>
    <mergeCell ref="A27:A29"/>
    <mergeCell ref="B27:B29"/>
    <mergeCell ref="C27:C29"/>
    <mergeCell ref="D27:D29"/>
    <mergeCell ref="E27:G27"/>
    <mergeCell ref="H27:J27"/>
    <mergeCell ref="M2:O2"/>
    <mergeCell ref="M3:O3"/>
    <mergeCell ref="M4:O4"/>
    <mergeCell ref="C5:K5"/>
    <mergeCell ref="M5:O5"/>
    <mergeCell ref="A123:G123"/>
    <mergeCell ref="A124:G124"/>
    <mergeCell ref="A117:G117"/>
    <mergeCell ref="A118:G118"/>
    <mergeCell ref="A119:G119"/>
    <mergeCell ref="A120:G120"/>
    <mergeCell ref="A121:G121"/>
    <mergeCell ref="A122:G122"/>
    <mergeCell ref="A111:G111"/>
    <mergeCell ref="A112:G112"/>
    <mergeCell ref="A113:G113"/>
    <mergeCell ref="A114:G114"/>
    <mergeCell ref="A115:G115"/>
    <mergeCell ref="A133:G133"/>
    <mergeCell ref="M11:O11"/>
    <mergeCell ref="K12:L12"/>
    <mergeCell ref="M12:O12"/>
    <mergeCell ref="M13:O13"/>
    <mergeCell ref="I15:K15"/>
    <mergeCell ref="M15:O15"/>
    <mergeCell ref="A125:G125"/>
    <mergeCell ref="A126:G126"/>
    <mergeCell ref="A127:G127"/>
    <mergeCell ref="A116:G116"/>
    <mergeCell ref="K27:L27"/>
    <mergeCell ref="M27:O27"/>
    <mergeCell ref="E28:E29"/>
    <mergeCell ref="H28:H29"/>
    <mergeCell ref="M28:M29"/>
    <mergeCell ref="A128:G128"/>
    <mergeCell ref="A129:G129"/>
    <mergeCell ref="A130:G130"/>
    <mergeCell ref="A131:G131"/>
    <mergeCell ref="A132:G132"/>
    <mergeCell ref="A134:G134"/>
    <mergeCell ref="A135:G135"/>
    <mergeCell ref="A136:G136"/>
    <mergeCell ref="C143:M143"/>
    <mergeCell ref="C149:M149"/>
  </mergeCells>
  <pageMargins left="0.23622047244094491" right="0.23622047244094491" top="0.74803149606299213" bottom="0.74803149606299213" header="0.31496062992125984" footer="0.31496062992125984"/>
  <pageSetup paperSize="9" scale="72" fitToHeight="10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66"/>
  <sheetViews>
    <sheetView view="pageBreakPreview" topLeftCell="A10" zoomScale="82" zoomScaleNormal="82" zoomScaleSheetLayoutView="82" workbookViewId="0">
      <selection activeCell="Y32" sqref="Y32"/>
    </sheetView>
  </sheetViews>
  <sheetFormatPr defaultColWidth="9.140625" defaultRowHeight="15" outlineLevelCol="1" x14ac:dyDescent="0.25"/>
  <cols>
    <col min="1" max="1" width="18" style="80" customWidth="1"/>
    <col min="2" max="2" width="9.140625" style="80"/>
    <col min="3" max="3" width="53.85546875" style="80" customWidth="1"/>
    <col min="4" max="4" width="7.5703125" style="80" customWidth="1"/>
    <col min="5" max="5" width="6.7109375" style="80" customWidth="1"/>
    <col min="6" max="6" width="5.5703125" style="80" customWidth="1"/>
    <col min="7" max="7" width="10.28515625" style="80" customWidth="1"/>
    <col min="8" max="8" width="5.7109375" style="80" customWidth="1"/>
    <col min="9" max="9" width="6.7109375" style="80" customWidth="1"/>
    <col min="10" max="10" width="11.140625" style="80" customWidth="1"/>
    <col min="11" max="11" width="9.140625" style="80" hidden="1" customWidth="1"/>
    <col min="12" max="12" width="10.7109375" style="80" customWidth="1"/>
    <col min="13" max="13" width="13" style="80" customWidth="1"/>
    <col min="14" max="14" width="12.28515625" style="80" customWidth="1"/>
    <col min="15" max="15" width="12.42578125" style="80" customWidth="1"/>
    <col min="16" max="16" width="15.42578125" style="117" customWidth="1"/>
    <col min="17" max="17" width="18.5703125" style="117" hidden="1" customWidth="1" outlineLevel="1"/>
    <col min="18" max="18" width="19" style="117" hidden="1" customWidth="1" outlineLevel="1"/>
    <col min="19" max="19" width="20.28515625" style="117" hidden="1" customWidth="1" outlineLevel="1"/>
    <col min="20" max="20" width="21.42578125" style="149" hidden="1" customWidth="1" outlineLevel="1"/>
    <col min="21" max="21" width="19.5703125" style="117" hidden="1" customWidth="1" outlineLevel="1"/>
    <col min="22" max="22" width="20.140625" style="117" hidden="1" customWidth="1" outlineLevel="1"/>
    <col min="23" max="23" width="19.5703125" style="289" customWidth="1" outlineLevel="1"/>
    <col min="24" max="24" width="18.42578125" style="117" customWidth="1" outlineLevel="1"/>
    <col min="25" max="25" width="17.140625" style="117" customWidth="1" outlineLevel="1"/>
    <col min="26" max="26" width="13" style="82" customWidth="1"/>
    <col min="27" max="28" width="9.140625" style="82"/>
    <col min="29" max="29" width="17.140625" style="82" customWidth="1"/>
    <col min="30" max="30" width="9.140625" style="82"/>
    <col min="31" max="31" width="12.5703125" style="82" customWidth="1"/>
    <col min="32" max="16384" width="9.140625" style="82"/>
  </cols>
  <sheetData>
    <row r="1" spans="1:16" x14ac:dyDescent="0.25">
      <c r="A1" s="354"/>
      <c r="B1" s="354"/>
      <c r="C1" s="354"/>
      <c r="D1" s="354"/>
      <c r="E1" s="354"/>
      <c r="F1" s="354"/>
      <c r="G1" s="418" t="s">
        <v>240</v>
      </c>
      <c r="H1" s="418"/>
      <c r="I1" s="418"/>
      <c r="J1" s="418"/>
      <c r="K1" s="418"/>
      <c r="L1" s="418"/>
      <c r="M1" s="418"/>
      <c r="N1" s="418"/>
      <c r="O1" s="418"/>
      <c r="P1" s="116"/>
    </row>
    <row r="2" spans="1:16" x14ac:dyDescent="0.2">
      <c r="A2" s="354"/>
      <c r="B2" s="354"/>
      <c r="C2" s="354"/>
      <c r="D2" s="354"/>
      <c r="E2" s="354"/>
      <c r="F2" s="354"/>
      <c r="G2" s="404" t="s">
        <v>241</v>
      </c>
      <c r="H2" s="404"/>
      <c r="I2" s="404"/>
      <c r="J2" s="404"/>
      <c r="K2" s="404"/>
      <c r="L2" s="404"/>
      <c r="M2" s="404"/>
      <c r="N2" s="404"/>
      <c r="O2" s="404"/>
      <c r="P2" s="118"/>
    </row>
    <row r="3" spans="1:16" x14ac:dyDescent="0.2">
      <c r="A3" s="354"/>
      <c r="B3" s="354"/>
      <c r="C3" s="354"/>
      <c r="D3" s="354"/>
      <c r="E3" s="354"/>
      <c r="F3" s="354"/>
      <c r="G3" s="404" t="s">
        <v>242</v>
      </c>
      <c r="H3" s="404"/>
      <c r="I3" s="404"/>
      <c r="J3" s="404"/>
      <c r="K3" s="404"/>
      <c r="L3" s="404"/>
      <c r="M3" s="404"/>
      <c r="N3" s="404"/>
      <c r="O3" s="404"/>
      <c r="P3" s="118"/>
    </row>
    <row r="4" spans="1:16" x14ac:dyDescent="0.2">
      <c r="A4" s="35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420" t="s">
        <v>0</v>
      </c>
      <c r="N4" s="358"/>
      <c r="O4" s="421"/>
      <c r="P4" s="119"/>
    </row>
    <row r="5" spans="1:16" ht="24.95" customHeight="1" x14ac:dyDescent="0.25">
      <c r="A5" s="120"/>
      <c r="B5" s="121"/>
      <c r="C5" s="121"/>
      <c r="D5" s="121"/>
      <c r="E5" s="121"/>
      <c r="F5" s="121"/>
      <c r="G5" s="121"/>
      <c r="H5" s="121"/>
      <c r="I5" s="121"/>
      <c r="J5" s="404" t="s">
        <v>1</v>
      </c>
      <c r="K5" s="404"/>
      <c r="L5" s="404"/>
      <c r="M5" s="422" t="s">
        <v>243</v>
      </c>
      <c r="N5" s="423"/>
      <c r="O5" s="424"/>
      <c r="P5" s="122"/>
    </row>
    <row r="6" spans="1:16" ht="24.95" customHeight="1" x14ac:dyDescent="0.25">
      <c r="A6" s="120" t="s">
        <v>244</v>
      </c>
      <c r="B6" s="123"/>
      <c r="C6" s="123"/>
      <c r="D6" s="123"/>
      <c r="E6" s="123"/>
      <c r="F6" s="123"/>
      <c r="G6" s="123"/>
      <c r="H6" s="123"/>
      <c r="I6" s="123"/>
      <c r="J6" s="123"/>
      <c r="K6" s="121"/>
      <c r="L6" s="124" t="s">
        <v>4</v>
      </c>
      <c r="M6" s="400"/>
      <c r="N6" s="401"/>
      <c r="O6" s="402"/>
      <c r="P6" s="125"/>
    </row>
    <row r="7" spans="1:16" ht="24.95" customHeight="1" x14ac:dyDescent="0.25">
      <c r="A7" s="120"/>
      <c r="B7" s="123"/>
      <c r="C7" s="403" t="s">
        <v>5</v>
      </c>
      <c r="D7" s="403"/>
      <c r="E7" s="403"/>
      <c r="F7" s="403"/>
      <c r="G7" s="403"/>
      <c r="H7" s="403"/>
      <c r="I7" s="123"/>
      <c r="J7" s="123"/>
      <c r="K7" s="121"/>
      <c r="L7" s="124"/>
      <c r="M7" s="126"/>
      <c r="N7" s="127"/>
      <c r="O7" s="128"/>
      <c r="P7" s="125"/>
    </row>
    <row r="8" spans="1:16" ht="44.25" customHeight="1" x14ac:dyDescent="0.2">
      <c r="A8" s="129" t="s">
        <v>29</v>
      </c>
      <c r="B8" s="410" t="s">
        <v>245</v>
      </c>
      <c r="C8" s="410"/>
      <c r="D8" s="410"/>
      <c r="E8" s="410"/>
      <c r="F8" s="410"/>
      <c r="G8" s="410"/>
      <c r="H8" s="410"/>
      <c r="I8" s="410"/>
      <c r="J8" s="410"/>
      <c r="K8" s="124"/>
      <c r="L8" s="124" t="s">
        <v>4</v>
      </c>
      <c r="M8" s="395" t="s">
        <v>30</v>
      </c>
      <c r="N8" s="396"/>
      <c r="O8" s="397"/>
      <c r="P8" s="130"/>
    </row>
    <row r="9" spans="1:16" ht="24.95" customHeight="1" x14ac:dyDescent="0.2">
      <c r="A9" s="129"/>
      <c r="B9" s="131"/>
      <c r="C9" s="403" t="s">
        <v>5</v>
      </c>
      <c r="D9" s="403"/>
      <c r="E9" s="403"/>
      <c r="F9" s="403"/>
      <c r="G9" s="403"/>
      <c r="H9" s="403"/>
      <c r="I9" s="131"/>
      <c r="J9" s="131"/>
      <c r="K9" s="124"/>
      <c r="L9" s="124"/>
      <c r="M9" s="132"/>
      <c r="N9" s="133"/>
      <c r="O9" s="134"/>
      <c r="P9" s="122"/>
    </row>
    <row r="10" spans="1:16" ht="38.25" customHeight="1" x14ac:dyDescent="0.2">
      <c r="A10" s="129" t="s">
        <v>31</v>
      </c>
      <c r="B10" s="410" t="s">
        <v>246</v>
      </c>
      <c r="C10" s="410"/>
      <c r="D10" s="410"/>
      <c r="E10" s="410"/>
      <c r="F10" s="410"/>
      <c r="G10" s="410"/>
      <c r="H10" s="410"/>
      <c r="I10" s="410"/>
      <c r="J10" s="410"/>
      <c r="K10" s="121"/>
      <c r="L10" s="124" t="s">
        <v>4</v>
      </c>
      <c r="M10" s="419">
        <v>79730368</v>
      </c>
      <c r="N10" s="392"/>
      <c r="O10" s="393"/>
      <c r="P10" s="135"/>
    </row>
    <row r="11" spans="1:16" ht="24.95" customHeight="1" x14ac:dyDescent="0.25">
      <c r="A11" s="120"/>
      <c r="B11" s="136"/>
      <c r="C11" s="403" t="s">
        <v>5</v>
      </c>
      <c r="D11" s="403"/>
      <c r="E11" s="403"/>
      <c r="F11" s="403"/>
      <c r="G11" s="403"/>
      <c r="H11" s="403"/>
      <c r="I11" s="136"/>
      <c r="J11" s="136"/>
      <c r="K11" s="121"/>
      <c r="L11" s="124"/>
      <c r="M11" s="137"/>
      <c r="N11" s="138"/>
      <c r="O11" s="139"/>
      <c r="P11" s="119"/>
    </row>
    <row r="12" spans="1:16" ht="55.5" customHeight="1" x14ac:dyDescent="0.2">
      <c r="A12" s="129" t="s">
        <v>46</v>
      </c>
      <c r="B12" s="410" t="s">
        <v>247</v>
      </c>
      <c r="C12" s="410"/>
      <c r="D12" s="410"/>
      <c r="E12" s="410"/>
      <c r="F12" s="410"/>
      <c r="G12" s="410"/>
      <c r="H12" s="410"/>
      <c r="I12" s="410"/>
      <c r="J12" s="410"/>
      <c r="K12" s="121"/>
      <c r="L12" s="124" t="s">
        <v>4</v>
      </c>
      <c r="M12" s="408"/>
      <c r="N12" s="403"/>
      <c r="O12" s="409"/>
      <c r="P12" s="119"/>
    </row>
    <row r="13" spans="1:16" ht="24.95" customHeight="1" x14ac:dyDescent="0.25">
      <c r="A13" s="121"/>
      <c r="B13" s="140"/>
      <c r="C13" s="141"/>
      <c r="D13" s="121"/>
      <c r="E13" s="121"/>
      <c r="F13" s="121"/>
      <c r="G13" s="121"/>
      <c r="H13" s="121"/>
      <c r="I13" s="121"/>
      <c r="J13" s="124"/>
      <c r="K13" s="124"/>
      <c r="L13" s="124"/>
      <c r="M13" s="411"/>
      <c r="N13" s="386"/>
      <c r="O13" s="412"/>
      <c r="P13" s="119"/>
    </row>
    <row r="14" spans="1:16" ht="24.95" customHeight="1" x14ac:dyDescent="0.2">
      <c r="A14" s="413" t="s">
        <v>248</v>
      </c>
      <c r="B14" s="413"/>
      <c r="C14" s="413"/>
      <c r="D14" s="413"/>
      <c r="E14" s="413"/>
      <c r="F14" s="413"/>
      <c r="G14" s="413"/>
      <c r="H14" s="413"/>
      <c r="I14" s="413"/>
      <c r="J14" s="413"/>
      <c r="K14" s="413"/>
      <c r="L14" s="414"/>
      <c r="M14" s="395" t="s">
        <v>33</v>
      </c>
      <c r="N14" s="396"/>
      <c r="O14" s="397"/>
      <c r="P14" s="130"/>
    </row>
    <row r="15" spans="1:16" ht="24.95" customHeight="1" x14ac:dyDescent="0.2">
      <c r="A15" s="404" t="s">
        <v>8</v>
      </c>
      <c r="B15" s="404"/>
      <c r="C15" s="404"/>
      <c r="D15" s="404"/>
      <c r="E15" s="404"/>
      <c r="F15" s="404"/>
      <c r="G15" s="404"/>
      <c r="H15" s="404"/>
      <c r="I15" s="404"/>
      <c r="J15" s="404"/>
      <c r="K15" s="404"/>
      <c r="L15" s="142" t="s">
        <v>249</v>
      </c>
      <c r="M15" s="415" t="s">
        <v>34</v>
      </c>
      <c r="N15" s="416"/>
      <c r="O15" s="417"/>
      <c r="P15" s="143"/>
    </row>
    <row r="16" spans="1:16" ht="24.95" customHeight="1" x14ac:dyDescent="0.2">
      <c r="A16" s="404"/>
      <c r="B16" s="404"/>
      <c r="C16" s="404"/>
      <c r="D16" s="404"/>
      <c r="E16" s="404"/>
      <c r="F16" s="404"/>
      <c r="G16" s="404"/>
      <c r="H16" s="404"/>
      <c r="I16" s="404"/>
      <c r="J16" s="404"/>
      <c r="K16" s="404"/>
      <c r="L16" s="142" t="s">
        <v>10</v>
      </c>
      <c r="M16" s="144" t="s">
        <v>50</v>
      </c>
      <c r="N16" s="144" t="s">
        <v>51</v>
      </c>
      <c r="O16" s="145">
        <v>2022</v>
      </c>
      <c r="P16" s="146"/>
    </row>
    <row r="17" spans="1:25" ht="18" hidden="1" customHeight="1" x14ac:dyDescent="0.2">
      <c r="A17" s="124"/>
      <c r="B17" s="124"/>
      <c r="C17" s="124"/>
      <c r="D17" s="124"/>
      <c r="E17" s="124"/>
      <c r="F17" s="124"/>
      <c r="G17" s="357" t="s">
        <v>35</v>
      </c>
      <c r="H17" s="357"/>
      <c r="I17" s="357"/>
      <c r="J17" s="357"/>
      <c r="K17" s="124"/>
      <c r="L17" s="147" t="s">
        <v>249</v>
      </c>
      <c r="M17" s="405" t="s">
        <v>18</v>
      </c>
      <c r="N17" s="406"/>
      <c r="O17" s="407"/>
      <c r="P17" s="148"/>
    </row>
    <row r="18" spans="1:25" ht="24.95" hidden="1" customHeight="1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47" t="s">
        <v>10</v>
      </c>
      <c r="M18" s="144" t="s">
        <v>52</v>
      </c>
      <c r="N18" s="144" t="s">
        <v>250</v>
      </c>
      <c r="O18" s="145">
        <v>2022</v>
      </c>
      <c r="P18" s="146"/>
    </row>
    <row r="19" spans="1:25" ht="18" customHeight="1" x14ac:dyDescent="0.2">
      <c r="A19" s="124"/>
      <c r="B19" s="124"/>
      <c r="C19" s="124"/>
      <c r="D19" s="124"/>
      <c r="E19" s="124"/>
      <c r="F19" s="124"/>
      <c r="G19" s="357" t="s">
        <v>35</v>
      </c>
      <c r="H19" s="357"/>
      <c r="I19" s="357"/>
      <c r="J19" s="357"/>
      <c r="K19" s="124"/>
      <c r="L19" s="147" t="s">
        <v>249</v>
      </c>
      <c r="M19" s="405" t="s">
        <v>25</v>
      </c>
      <c r="N19" s="406"/>
      <c r="O19" s="407"/>
      <c r="P19" s="148"/>
    </row>
    <row r="20" spans="1:25" ht="24.95" customHeight="1" x14ac:dyDescent="0.2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47" t="s">
        <v>10</v>
      </c>
      <c r="M20" s="144" t="s">
        <v>50</v>
      </c>
      <c r="N20" s="144" t="s">
        <v>81</v>
      </c>
      <c r="O20" s="145">
        <v>2022</v>
      </c>
      <c r="P20" s="146"/>
    </row>
    <row r="21" spans="1:25" ht="24.95" customHeight="1" x14ac:dyDescent="0.2">
      <c r="A21" s="404" t="s">
        <v>11</v>
      </c>
      <c r="B21" s="404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8"/>
      <c r="N21" s="403"/>
      <c r="O21" s="409"/>
      <c r="P21" s="119"/>
    </row>
    <row r="22" spans="1:25" ht="9" customHeight="1" x14ac:dyDescent="0.2">
      <c r="A22" s="357"/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119"/>
    </row>
    <row r="23" spans="1:25" ht="24.95" customHeight="1" x14ac:dyDescent="0.2">
      <c r="A23" s="357"/>
      <c r="B23" s="357"/>
      <c r="C23" s="357"/>
      <c r="D23" s="357"/>
      <c r="E23" s="357"/>
      <c r="F23" s="381" t="s">
        <v>12</v>
      </c>
      <c r="G23" s="381"/>
      <c r="H23" s="381"/>
      <c r="I23" s="381" t="s">
        <v>13</v>
      </c>
      <c r="J23" s="381"/>
      <c r="K23" s="394"/>
      <c r="L23" s="394" t="s">
        <v>14</v>
      </c>
      <c r="M23" s="394"/>
      <c r="N23" s="394"/>
      <c r="O23" s="394"/>
      <c r="P23" s="119"/>
    </row>
    <row r="24" spans="1:25" ht="24.95" customHeight="1" x14ac:dyDescent="0.2">
      <c r="A24" s="357"/>
      <c r="B24" s="357"/>
      <c r="C24" s="357"/>
      <c r="D24" s="357"/>
      <c r="E24" s="357"/>
      <c r="F24" s="381"/>
      <c r="G24" s="381"/>
      <c r="H24" s="381"/>
      <c r="I24" s="381"/>
      <c r="J24" s="381"/>
      <c r="K24" s="394"/>
      <c r="L24" s="394" t="s">
        <v>15</v>
      </c>
      <c r="M24" s="394"/>
      <c r="N24" s="394" t="s">
        <v>16</v>
      </c>
      <c r="O24" s="394"/>
      <c r="P24" s="119"/>
    </row>
    <row r="25" spans="1:25" ht="21" customHeight="1" x14ac:dyDescent="0.2">
      <c r="A25" s="357"/>
      <c r="B25" s="357"/>
      <c r="C25" s="357"/>
      <c r="D25" s="357"/>
      <c r="E25" s="357"/>
      <c r="F25" s="395" t="s">
        <v>78</v>
      </c>
      <c r="G25" s="396"/>
      <c r="H25" s="397"/>
      <c r="I25" s="398">
        <f>N25</f>
        <v>44957</v>
      </c>
      <c r="J25" s="399"/>
      <c r="K25" s="394"/>
      <c r="L25" s="398">
        <v>44947</v>
      </c>
      <c r="M25" s="393"/>
      <c r="N25" s="398">
        <v>44957</v>
      </c>
      <c r="O25" s="393"/>
      <c r="P25" s="135"/>
    </row>
    <row r="26" spans="1:25" ht="8.25" customHeight="1" x14ac:dyDescent="0.2">
      <c r="A26" s="150"/>
      <c r="B26" s="150"/>
      <c r="C26" s="150"/>
      <c r="D26" s="150"/>
      <c r="E26" s="150"/>
      <c r="F26" s="151"/>
      <c r="G26" s="150"/>
      <c r="H26" s="150"/>
      <c r="I26" s="152"/>
      <c r="J26" s="150"/>
      <c r="K26" s="150"/>
      <c r="L26" s="150"/>
      <c r="M26" s="150"/>
      <c r="N26" s="152"/>
      <c r="O26" s="150"/>
      <c r="P26" s="119"/>
    </row>
    <row r="27" spans="1:25" ht="12.75" customHeight="1" x14ac:dyDescent="0.2">
      <c r="A27" s="357" t="s">
        <v>251</v>
      </c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119"/>
    </row>
    <row r="28" spans="1:25" ht="12.75" customHeight="1" x14ac:dyDescent="0.2">
      <c r="A28" s="386" t="s">
        <v>252</v>
      </c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119"/>
    </row>
    <row r="29" spans="1:25" ht="18" customHeight="1" x14ac:dyDescent="0.2">
      <c r="A29" s="381" t="s">
        <v>253</v>
      </c>
      <c r="B29" s="387" t="s">
        <v>254</v>
      </c>
      <c r="C29" s="388"/>
      <c r="D29" s="387" t="s">
        <v>0</v>
      </c>
      <c r="E29" s="391" t="s">
        <v>255</v>
      </c>
      <c r="F29" s="392"/>
      <c r="G29" s="392"/>
      <c r="H29" s="392"/>
      <c r="I29" s="392"/>
      <c r="J29" s="392"/>
      <c r="K29" s="392"/>
      <c r="L29" s="392"/>
      <c r="M29" s="392"/>
      <c r="N29" s="392"/>
      <c r="O29" s="393"/>
      <c r="P29" s="135"/>
    </row>
    <row r="30" spans="1:25" ht="44.25" customHeight="1" x14ac:dyDescent="0.2">
      <c r="A30" s="381"/>
      <c r="B30" s="389"/>
      <c r="C30" s="390"/>
      <c r="D30" s="389"/>
      <c r="E30" s="391" t="s">
        <v>256</v>
      </c>
      <c r="F30" s="392"/>
      <c r="G30" s="392"/>
      <c r="H30" s="391" t="s">
        <v>257</v>
      </c>
      <c r="I30" s="392"/>
      <c r="J30" s="392"/>
      <c r="K30" s="392"/>
      <c r="L30" s="391" t="s">
        <v>258</v>
      </c>
      <c r="M30" s="392"/>
      <c r="N30" s="392"/>
      <c r="O30" s="393"/>
      <c r="P30" s="135"/>
    </row>
    <row r="31" spans="1:25" ht="17.25" customHeight="1" x14ac:dyDescent="0.2">
      <c r="A31" s="153">
        <v>1</v>
      </c>
      <c r="B31" s="381">
        <v>2</v>
      </c>
      <c r="C31" s="381"/>
      <c r="D31" s="153">
        <v>3</v>
      </c>
      <c r="E31" s="381">
        <v>4</v>
      </c>
      <c r="F31" s="381"/>
      <c r="G31" s="381"/>
      <c r="H31" s="381">
        <v>5</v>
      </c>
      <c r="I31" s="381"/>
      <c r="J31" s="381"/>
      <c r="K31" s="381"/>
      <c r="L31" s="381">
        <v>6</v>
      </c>
      <c r="M31" s="381"/>
      <c r="N31" s="381"/>
      <c r="O31" s="381"/>
      <c r="P31" s="382" t="s">
        <v>259</v>
      </c>
      <c r="Q31" s="154" t="s">
        <v>260</v>
      </c>
      <c r="R31" s="154" t="s">
        <v>261</v>
      </c>
      <c r="S31" s="154" t="s">
        <v>262</v>
      </c>
      <c r="T31" s="155" t="s">
        <v>263</v>
      </c>
      <c r="U31" s="154" t="s">
        <v>264</v>
      </c>
      <c r="V31" s="154" t="s">
        <v>265</v>
      </c>
      <c r="W31" s="154" t="s">
        <v>543</v>
      </c>
      <c r="X31" s="154" t="s">
        <v>544</v>
      </c>
      <c r="Y31" s="154" t="s">
        <v>597</v>
      </c>
    </row>
    <row r="32" spans="1:25" ht="23.25" customHeight="1" x14ac:dyDescent="0.2">
      <c r="A32" s="153"/>
      <c r="B32" s="384" t="s">
        <v>267</v>
      </c>
      <c r="C32" s="385"/>
      <c r="D32" s="156"/>
      <c r="E32" s="367"/>
      <c r="F32" s="368"/>
      <c r="G32" s="369"/>
      <c r="H32" s="367"/>
      <c r="I32" s="368"/>
      <c r="J32" s="368"/>
      <c r="K32" s="157"/>
      <c r="L32" s="367"/>
      <c r="M32" s="368"/>
      <c r="N32" s="368"/>
      <c r="O32" s="369"/>
      <c r="P32" s="383"/>
      <c r="Q32" s="158">
        <f>SUM(Q33:Q45)</f>
        <v>3343116</v>
      </c>
      <c r="R32" s="158">
        <f t="shared" ref="R32:T32" si="0">SUM(R33:R45)</f>
        <v>16959455</v>
      </c>
      <c r="S32" s="158">
        <f t="shared" si="0"/>
        <v>16778150</v>
      </c>
      <c r="T32" s="158">
        <f t="shared" si="0"/>
        <v>32470175</v>
      </c>
      <c r="U32" s="158" t="e">
        <f>SUM(U33:U51)</f>
        <v>#REF!</v>
      </c>
      <c r="V32" s="158">
        <f>SUM(V33:V51)</f>
        <v>6707148</v>
      </c>
      <c r="W32" s="159"/>
      <c r="X32" s="159"/>
      <c r="Y32" s="159"/>
    </row>
    <row r="33" spans="1:25" ht="40.5" customHeight="1" x14ac:dyDescent="0.2">
      <c r="A33" s="153">
        <v>1</v>
      </c>
      <c r="B33" s="379" t="s">
        <v>268</v>
      </c>
      <c r="C33" s="380"/>
      <c r="D33" s="156"/>
      <c r="E33" s="376">
        <f>59845+H33</f>
        <v>59845</v>
      </c>
      <c r="F33" s="377"/>
      <c r="G33" s="378"/>
      <c r="H33" s="376">
        <v>0</v>
      </c>
      <c r="I33" s="377"/>
      <c r="J33" s="377"/>
      <c r="K33" s="160"/>
      <c r="L33" s="376">
        <f>W33</f>
        <v>0</v>
      </c>
      <c r="M33" s="377"/>
      <c r="N33" s="377"/>
      <c r="O33" s="378"/>
      <c r="P33" s="161">
        <f>SUM(Q33:Y33)</f>
        <v>59845</v>
      </c>
      <c r="Q33" s="162"/>
      <c r="R33" s="162">
        <v>59845</v>
      </c>
      <c r="S33" s="162"/>
      <c r="T33" s="163">
        <v>0</v>
      </c>
      <c r="U33" s="162"/>
      <c r="V33" s="162"/>
      <c r="W33" s="290"/>
      <c r="X33" s="164"/>
      <c r="Y33" s="164"/>
    </row>
    <row r="34" spans="1:25" ht="28.5" customHeight="1" x14ac:dyDescent="0.2">
      <c r="A34" s="153">
        <f>A33+1</f>
        <v>2</v>
      </c>
      <c r="B34" s="379" t="s">
        <v>269</v>
      </c>
      <c r="C34" s="380"/>
      <c r="D34" s="156"/>
      <c r="E34" s="376">
        <f>286013+H34</f>
        <v>286013</v>
      </c>
      <c r="F34" s="377"/>
      <c r="G34" s="378"/>
      <c r="H34" s="376">
        <v>0</v>
      </c>
      <c r="I34" s="377"/>
      <c r="J34" s="377"/>
      <c r="K34" s="165"/>
      <c r="L34" s="376">
        <f t="shared" ref="L34:L50" si="1">W34</f>
        <v>0</v>
      </c>
      <c r="M34" s="377"/>
      <c r="N34" s="377"/>
      <c r="O34" s="378"/>
      <c r="P34" s="161">
        <f t="shared" ref="P34:P50" si="2">SUM(Q34:Y34)</f>
        <v>286013</v>
      </c>
      <c r="Q34" s="162">
        <v>286013</v>
      </c>
      <c r="R34" s="162"/>
      <c r="S34" s="162"/>
      <c r="T34" s="163"/>
      <c r="U34" s="162"/>
      <c r="V34" s="162"/>
      <c r="W34" s="290"/>
      <c r="X34" s="164"/>
      <c r="Y34" s="164"/>
    </row>
    <row r="35" spans="1:25" ht="39.950000000000003" customHeight="1" x14ac:dyDescent="0.2">
      <c r="A35" s="153">
        <f t="shared" ref="A35:A51" si="3">A34+1</f>
        <v>3</v>
      </c>
      <c r="B35" s="379" t="s">
        <v>270</v>
      </c>
      <c r="C35" s="380"/>
      <c r="D35" s="156"/>
      <c r="E35" s="376">
        <f>314815+H35</f>
        <v>314815</v>
      </c>
      <c r="F35" s="377"/>
      <c r="G35" s="378"/>
      <c r="H35" s="376">
        <v>0</v>
      </c>
      <c r="I35" s="377"/>
      <c r="J35" s="377"/>
      <c r="K35" s="165"/>
      <c r="L35" s="376">
        <f t="shared" si="1"/>
        <v>0</v>
      </c>
      <c r="M35" s="377"/>
      <c r="N35" s="377"/>
      <c r="O35" s="378"/>
      <c r="P35" s="161">
        <f t="shared" si="2"/>
        <v>314815</v>
      </c>
      <c r="Q35" s="162">
        <v>77654</v>
      </c>
      <c r="R35" s="162">
        <v>228227</v>
      </c>
      <c r="S35" s="162">
        <v>1417</v>
      </c>
      <c r="T35" s="163">
        <v>7517</v>
      </c>
      <c r="U35" s="162"/>
      <c r="V35" s="162"/>
      <c r="W35" s="290"/>
      <c r="X35" s="164"/>
      <c r="Y35" s="164"/>
    </row>
    <row r="36" spans="1:25" ht="45" customHeight="1" x14ac:dyDescent="0.2">
      <c r="A36" s="153">
        <f t="shared" si="3"/>
        <v>4</v>
      </c>
      <c r="B36" s="379" t="s">
        <v>271</v>
      </c>
      <c r="C36" s="380"/>
      <c r="D36" s="156"/>
      <c r="E36" s="376">
        <f>1828452+H36</f>
        <v>1828452</v>
      </c>
      <c r="F36" s="377"/>
      <c r="G36" s="378"/>
      <c r="H36" s="376">
        <v>0</v>
      </c>
      <c r="I36" s="377"/>
      <c r="J36" s="377"/>
      <c r="K36" s="165"/>
      <c r="L36" s="376">
        <f t="shared" si="1"/>
        <v>0</v>
      </c>
      <c r="M36" s="377"/>
      <c r="N36" s="377"/>
      <c r="O36" s="378"/>
      <c r="P36" s="161">
        <f t="shared" si="2"/>
        <v>1828452</v>
      </c>
      <c r="Q36" s="162">
        <v>305724</v>
      </c>
      <c r="R36" s="162">
        <v>466229</v>
      </c>
      <c r="S36" s="162"/>
      <c r="T36" s="163">
        <v>1056499</v>
      </c>
      <c r="U36" s="162"/>
      <c r="V36" s="162"/>
      <c r="W36" s="290"/>
      <c r="X36" s="164"/>
      <c r="Y36" s="164"/>
    </row>
    <row r="37" spans="1:25" ht="39.950000000000003" customHeight="1" x14ac:dyDescent="0.2">
      <c r="A37" s="153">
        <f t="shared" si="3"/>
        <v>5</v>
      </c>
      <c r="B37" s="379" t="s">
        <v>272</v>
      </c>
      <c r="C37" s="380"/>
      <c r="D37" s="156"/>
      <c r="E37" s="376">
        <f>624196+H37</f>
        <v>624196</v>
      </c>
      <c r="F37" s="377"/>
      <c r="G37" s="378"/>
      <c r="H37" s="376">
        <v>0</v>
      </c>
      <c r="I37" s="377"/>
      <c r="J37" s="377"/>
      <c r="K37" s="165"/>
      <c r="L37" s="376">
        <f t="shared" si="1"/>
        <v>0</v>
      </c>
      <c r="M37" s="377"/>
      <c r="N37" s="377"/>
      <c r="O37" s="378"/>
      <c r="P37" s="161">
        <f t="shared" si="2"/>
        <v>624196</v>
      </c>
      <c r="Q37" s="162"/>
      <c r="R37" s="162">
        <v>37172</v>
      </c>
      <c r="S37" s="162"/>
      <c r="T37" s="163">
        <v>587024</v>
      </c>
      <c r="U37" s="162"/>
      <c r="V37" s="162"/>
      <c r="W37" s="290"/>
      <c r="X37" s="164"/>
      <c r="Y37" s="164"/>
    </row>
    <row r="38" spans="1:25" ht="39.950000000000003" customHeight="1" x14ac:dyDescent="0.2">
      <c r="A38" s="153">
        <f t="shared" si="3"/>
        <v>6</v>
      </c>
      <c r="B38" s="379" t="s">
        <v>542</v>
      </c>
      <c r="C38" s="380"/>
      <c r="D38" s="156"/>
      <c r="E38" s="376">
        <f>60486559+H38</f>
        <v>72873581</v>
      </c>
      <c r="F38" s="377"/>
      <c r="G38" s="378"/>
      <c r="H38" s="376">
        <f>W38+X38+Y38</f>
        <v>12387022</v>
      </c>
      <c r="I38" s="377"/>
      <c r="J38" s="377"/>
      <c r="K38" s="165"/>
      <c r="L38" s="376">
        <f>X38</f>
        <v>4019946</v>
      </c>
      <c r="M38" s="377"/>
      <c r="N38" s="377"/>
      <c r="O38" s="378"/>
      <c r="P38" s="161">
        <f t="shared" si="2"/>
        <v>72873581</v>
      </c>
      <c r="Q38" s="162">
        <v>2561956</v>
      </c>
      <c r="R38" s="162">
        <v>10931291</v>
      </c>
      <c r="S38" s="162">
        <v>8862280</v>
      </c>
      <c r="T38" s="163">
        <v>19693597</v>
      </c>
      <c r="U38" s="162">
        <v>13037957</v>
      </c>
      <c r="V38" s="162">
        <v>5399478</v>
      </c>
      <c r="W38" s="291">
        <v>8367076</v>
      </c>
      <c r="X38" s="291">
        <f>'р январь-2'!E11</f>
        <v>4019946</v>
      </c>
      <c r="Y38" s="164"/>
    </row>
    <row r="39" spans="1:25" ht="39.950000000000003" customHeight="1" x14ac:dyDescent="0.2">
      <c r="A39" s="153">
        <f t="shared" si="3"/>
        <v>7</v>
      </c>
      <c r="B39" s="379" t="s">
        <v>541</v>
      </c>
      <c r="C39" s="380"/>
      <c r="D39" s="156"/>
      <c r="E39" s="376">
        <f>24162551+H39</f>
        <v>24692666</v>
      </c>
      <c r="F39" s="377"/>
      <c r="G39" s="378"/>
      <c r="H39" s="376">
        <f t="shared" ref="H39:H51" si="4">W39+X39+Y39</f>
        <v>530115</v>
      </c>
      <c r="I39" s="377"/>
      <c r="J39" s="377"/>
      <c r="K39" s="165"/>
      <c r="L39" s="376">
        <v>0</v>
      </c>
      <c r="M39" s="377"/>
      <c r="N39" s="377"/>
      <c r="O39" s="378"/>
      <c r="P39" s="161">
        <f t="shared" si="2"/>
        <v>24692666</v>
      </c>
      <c r="Q39" s="162"/>
      <c r="R39" s="162">
        <v>3522345</v>
      </c>
      <c r="S39" s="162">
        <v>4771674</v>
      </c>
      <c r="T39" s="163">
        <v>9028097</v>
      </c>
      <c r="U39" s="162">
        <v>6140773</v>
      </c>
      <c r="V39" s="162">
        <v>699662</v>
      </c>
      <c r="W39" s="291">
        <v>530115</v>
      </c>
      <c r="X39" s="164"/>
      <c r="Y39" s="164"/>
    </row>
    <row r="40" spans="1:25" ht="39.950000000000003" customHeight="1" x14ac:dyDescent="0.2">
      <c r="A40" s="153">
        <f t="shared" si="3"/>
        <v>8</v>
      </c>
      <c r="B40" s="379" t="s">
        <v>285</v>
      </c>
      <c r="C40" s="380"/>
      <c r="D40" s="156"/>
      <c r="E40" s="376">
        <f>3120454+H40</f>
        <v>3120454</v>
      </c>
      <c r="F40" s="377"/>
      <c r="G40" s="378"/>
      <c r="H40" s="376">
        <f t="shared" si="4"/>
        <v>0</v>
      </c>
      <c r="I40" s="377"/>
      <c r="J40" s="377"/>
      <c r="K40" s="165"/>
      <c r="L40" s="376">
        <f t="shared" si="1"/>
        <v>0</v>
      </c>
      <c r="M40" s="377"/>
      <c r="N40" s="377"/>
      <c r="O40" s="378"/>
      <c r="P40" s="161">
        <f t="shared" si="2"/>
        <v>3120454</v>
      </c>
      <c r="Q40" s="162">
        <v>111769</v>
      </c>
      <c r="R40" s="162">
        <v>128924</v>
      </c>
      <c r="S40" s="162">
        <v>530207</v>
      </c>
      <c r="T40" s="163">
        <v>0</v>
      </c>
      <c r="U40" s="162">
        <v>2349554</v>
      </c>
      <c r="V40" s="162"/>
      <c r="W40" s="290"/>
      <c r="X40" s="164"/>
      <c r="Y40" s="164"/>
    </row>
    <row r="41" spans="1:25" ht="39.950000000000003" customHeight="1" x14ac:dyDescent="0.2">
      <c r="A41" s="153">
        <f t="shared" si="3"/>
        <v>9</v>
      </c>
      <c r="B41" s="379" t="s">
        <v>327</v>
      </c>
      <c r="C41" s="380"/>
      <c r="D41" s="156"/>
      <c r="E41" s="376">
        <f>1599618+H41</f>
        <v>1599618</v>
      </c>
      <c r="F41" s="377"/>
      <c r="G41" s="378"/>
      <c r="H41" s="376">
        <f t="shared" si="4"/>
        <v>0</v>
      </c>
      <c r="I41" s="377"/>
      <c r="J41" s="377"/>
      <c r="K41" s="165"/>
      <c r="L41" s="376">
        <f t="shared" si="1"/>
        <v>0</v>
      </c>
      <c r="M41" s="377"/>
      <c r="N41" s="377"/>
      <c r="O41" s="378"/>
      <c r="P41" s="161">
        <f t="shared" si="2"/>
        <v>1599618</v>
      </c>
      <c r="Q41" s="162"/>
      <c r="R41" s="162">
        <v>1585422</v>
      </c>
      <c r="S41" s="162"/>
      <c r="T41" s="163"/>
      <c r="U41" s="162">
        <v>14196</v>
      </c>
      <c r="V41" s="162"/>
      <c r="W41" s="290"/>
      <c r="X41" s="164"/>
      <c r="Y41" s="164"/>
    </row>
    <row r="42" spans="1:25" ht="39.950000000000003" customHeight="1" x14ac:dyDescent="0.2">
      <c r="A42" s="153">
        <f t="shared" si="3"/>
        <v>10</v>
      </c>
      <c r="B42" s="379" t="s">
        <v>273</v>
      </c>
      <c r="C42" s="380"/>
      <c r="D42" s="156"/>
      <c r="E42" s="376">
        <f>2540351+H42</f>
        <v>2540351</v>
      </c>
      <c r="F42" s="377"/>
      <c r="G42" s="378"/>
      <c r="H42" s="376">
        <f t="shared" si="4"/>
        <v>0</v>
      </c>
      <c r="I42" s="377"/>
      <c r="J42" s="377"/>
      <c r="K42" s="165"/>
      <c r="L42" s="376">
        <f t="shared" si="1"/>
        <v>0</v>
      </c>
      <c r="M42" s="377"/>
      <c r="N42" s="377"/>
      <c r="O42" s="378"/>
      <c r="P42" s="161">
        <f t="shared" si="2"/>
        <v>2540351</v>
      </c>
      <c r="Q42" s="162"/>
      <c r="R42" s="162"/>
      <c r="S42" s="162">
        <v>2540351</v>
      </c>
      <c r="T42" s="163"/>
      <c r="U42" s="162"/>
      <c r="V42" s="162"/>
      <c r="W42" s="290"/>
      <c r="X42" s="164"/>
      <c r="Y42" s="164"/>
    </row>
    <row r="43" spans="1:25" ht="39.950000000000003" customHeight="1" x14ac:dyDescent="0.2">
      <c r="A43" s="153">
        <f t="shared" si="3"/>
        <v>11</v>
      </c>
      <c r="B43" s="379" t="s">
        <v>274</v>
      </c>
      <c r="C43" s="380"/>
      <c r="D43" s="156"/>
      <c r="E43" s="376">
        <f>72221+H43</f>
        <v>72221</v>
      </c>
      <c r="F43" s="377"/>
      <c r="G43" s="378"/>
      <c r="H43" s="376">
        <f t="shared" si="4"/>
        <v>0</v>
      </c>
      <c r="I43" s="377"/>
      <c r="J43" s="377"/>
      <c r="K43" s="165"/>
      <c r="L43" s="376">
        <f t="shared" si="1"/>
        <v>0</v>
      </c>
      <c r="M43" s="377"/>
      <c r="N43" s="377"/>
      <c r="O43" s="378"/>
      <c r="P43" s="161">
        <f t="shared" si="2"/>
        <v>72221</v>
      </c>
      <c r="Q43" s="162"/>
      <c r="R43" s="162"/>
      <c r="S43" s="162">
        <v>72221</v>
      </c>
      <c r="T43" s="163"/>
      <c r="U43" s="162"/>
      <c r="V43" s="162"/>
      <c r="W43" s="290"/>
      <c r="X43" s="164"/>
      <c r="Y43" s="164"/>
    </row>
    <row r="44" spans="1:25" ht="39.950000000000003" customHeight="1" x14ac:dyDescent="0.2">
      <c r="A44" s="153">
        <f t="shared" si="3"/>
        <v>12</v>
      </c>
      <c r="B44" s="379" t="s">
        <v>286</v>
      </c>
      <c r="C44" s="380"/>
      <c r="D44" s="156"/>
      <c r="E44" s="376">
        <f>1012231+H44</f>
        <v>1012231</v>
      </c>
      <c r="F44" s="377"/>
      <c r="G44" s="378"/>
      <c r="H44" s="376">
        <f t="shared" si="4"/>
        <v>0</v>
      </c>
      <c r="I44" s="377"/>
      <c r="J44" s="377"/>
      <c r="K44" s="165"/>
      <c r="L44" s="376">
        <f t="shared" si="1"/>
        <v>0</v>
      </c>
      <c r="M44" s="377"/>
      <c r="N44" s="377"/>
      <c r="O44" s="378"/>
      <c r="P44" s="161">
        <f t="shared" si="2"/>
        <v>1012231</v>
      </c>
      <c r="Q44" s="162"/>
      <c r="R44" s="162"/>
      <c r="S44" s="162"/>
      <c r="T44" s="163">
        <v>958566</v>
      </c>
      <c r="U44" s="162">
        <v>53665</v>
      </c>
      <c r="V44" s="162"/>
      <c r="W44" s="290"/>
      <c r="X44" s="164"/>
      <c r="Y44" s="164"/>
    </row>
    <row r="45" spans="1:25" ht="39.950000000000003" customHeight="1" x14ac:dyDescent="0.2">
      <c r="A45" s="153">
        <f t="shared" si="3"/>
        <v>13</v>
      </c>
      <c r="B45" s="379" t="s">
        <v>360</v>
      </c>
      <c r="C45" s="380"/>
      <c r="D45" s="156"/>
      <c r="E45" s="376">
        <f>2896272+H45</f>
        <v>2896272</v>
      </c>
      <c r="F45" s="377"/>
      <c r="G45" s="378"/>
      <c r="H45" s="376">
        <f t="shared" si="4"/>
        <v>0</v>
      </c>
      <c r="I45" s="377"/>
      <c r="J45" s="377"/>
      <c r="K45" s="165"/>
      <c r="L45" s="376">
        <f t="shared" si="1"/>
        <v>0</v>
      </c>
      <c r="M45" s="377"/>
      <c r="N45" s="377"/>
      <c r="O45" s="378"/>
      <c r="P45" s="161">
        <f t="shared" si="2"/>
        <v>2896272</v>
      </c>
      <c r="Q45" s="162"/>
      <c r="R45" s="162"/>
      <c r="S45" s="162"/>
      <c r="T45" s="163">
        <v>1138875</v>
      </c>
      <c r="U45" s="162">
        <v>1727675</v>
      </c>
      <c r="V45" s="162">
        <v>29722</v>
      </c>
      <c r="W45" s="290"/>
      <c r="X45" s="164"/>
      <c r="Y45" s="164"/>
    </row>
    <row r="46" spans="1:25" ht="39.950000000000003" customHeight="1" x14ac:dyDescent="0.2">
      <c r="A46" s="153">
        <f t="shared" si="3"/>
        <v>14</v>
      </c>
      <c r="B46" s="379" t="s">
        <v>287</v>
      </c>
      <c r="C46" s="380"/>
      <c r="D46" s="156"/>
      <c r="E46" s="376">
        <f>263147+H46</f>
        <v>263147</v>
      </c>
      <c r="F46" s="377"/>
      <c r="G46" s="378"/>
      <c r="H46" s="376">
        <f t="shared" si="4"/>
        <v>0</v>
      </c>
      <c r="I46" s="377"/>
      <c r="J46" s="377"/>
      <c r="K46" s="165"/>
      <c r="L46" s="376">
        <f t="shared" si="1"/>
        <v>0</v>
      </c>
      <c r="M46" s="377"/>
      <c r="N46" s="377"/>
      <c r="O46" s="378"/>
      <c r="P46" s="161">
        <f t="shared" si="2"/>
        <v>263147</v>
      </c>
      <c r="Q46" s="162"/>
      <c r="R46" s="162"/>
      <c r="S46" s="162"/>
      <c r="T46" s="163"/>
      <c r="U46" s="162">
        <v>263147</v>
      </c>
      <c r="V46" s="162"/>
      <c r="W46" s="290"/>
      <c r="X46" s="164"/>
      <c r="Y46" s="164"/>
    </row>
    <row r="47" spans="1:25" ht="47.25" customHeight="1" x14ac:dyDescent="0.2">
      <c r="A47" s="153">
        <f t="shared" si="3"/>
        <v>15</v>
      </c>
      <c r="B47" s="379" t="s">
        <v>361</v>
      </c>
      <c r="C47" s="380"/>
      <c r="D47" s="156"/>
      <c r="E47" s="376">
        <f>1227220+H47</f>
        <v>1227220</v>
      </c>
      <c r="F47" s="377"/>
      <c r="G47" s="378"/>
      <c r="H47" s="376">
        <f t="shared" si="4"/>
        <v>0</v>
      </c>
      <c r="I47" s="377"/>
      <c r="J47" s="377"/>
      <c r="K47" s="165"/>
      <c r="L47" s="376">
        <f t="shared" si="1"/>
        <v>0</v>
      </c>
      <c r="M47" s="377"/>
      <c r="N47" s="377"/>
      <c r="O47" s="378"/>
      <c r="P47" s="161">
        <f t="shared" si="2"/>
        <v>1227220</v>
      </c>
      <c r="Q47" s="162"/>
      <c r="R47" s="162"/>
      <c r="S47" s="162"/>
      <c r="T47" s="163"/>
      <c r="U47" s="162">
        <v>818186</v>
      </c>
      <c r="V47" s="162">
        <v>409034</v>
      </c>
      <c r="W47" s="290"/>
      <c r="X47" s="164"/>
      <c r="Y47" s="164"/>
    </row>
    <row r="48" spans="1:25" s="276" customFormat="1" ht="45" customHeight="1" x14ac:dyDescent="0.2">
      <c r="A48" s="153">
        <f t="shared" si="3"/>
        <v>16</v>
      </c>
      <c r="B48" s="379" t="s">
        <v>362</v>
      </c>
      <c r="C48" s="380"/>
      <c r="D48" s="156"/>
      <c r="E48" s="376">
        <f>507755+H48</f>
        <v>507755</v>
      </c>
      <c r="F48" s="377"/>
      <c r="G48" s="378"/>
      <c r="H48" s="376">
        <f t="shared" si="4"/>
        <v>0</v>
      </c>
      <c r="I48" s="377"/>
      <c r="J48" s="377"/>
      <c r="K48" s="165"/>
      <c r="L48" s="376">
        <f t="shared" si="1"/>
        <v>0</v>
      </c>
      <c r="M48" s="377"/>
      <c r="N48" s="377"/>
      <c r="O48" s="378"/>
      <c r="P48" s="161">
        <f t="shared" si="2"/>
        <v>507755</v>
      </c>
      <c r="Q48" s="163"/>
      <c r="R48" s="163"/>
      <c r="S48" s="163"/>
      <c r="T48" s="163"/>
      <c r="U48" s="163">
        <v>338503</v>
      </c>
      <c r="V48" s="163">
        <v>169252</v>
      </c>
      <c r="W48" s="292"/>
      <c r="X48" s="275"/>
      <c r="Y48" s="275"/>
    </row>
    <row r="49" spans="1:29" ht="39.950000000000003" customHeight="1" x14ac:dyDescent="0.2">
      <c r="A49" s="153">
        <f t="shared" si="3"/>
        <v>17</v>
      </c>
      <c r="B49" s="379" t="s">
        <v>328</v>
      </c>
      <c r="C49" s="380"/>
      <c r="D49" s="156"/>
      <c r="E49" s="376">
        <f>1053296+H49</f>
        <v>1053296</v>
      </c>
      <c r="F49" s="377"/>
      <c r="G49" s="378"/>
      <c r="H49" s="376">
        <f t="shared" si="4"/>
        <v>0</v>
      </c>
      <c r="I49" s="377"/>
      <c r="J49" s="377"/>
      <c r="K49" s="165"/>
      <c r="L49" s="376">
        <f t="shared" si="1"/>
        <v>0</v>
      </c>
      <c r="M49" s="377"/>
      <c r="N49" s="377"/>
      <c r="O49" s="378"/>
      <c r="P49" s="161">
        <f t="shared" si="2"/>
        <v>1053296</v>
      </c>
      <c r="Q49" s="162"/>
      <c r="R49" s="162"/>
      <c r="S49" s="162"/>
      <c r="T49" s="163"/>
      <c r="U49" s="162">
        <v>1053296</v>
      </c>
      <c r="V49" s="162"/>
      <c r="W49" s="290"/>
      <c r="X49" s="164"/>
      <c r="Y49" s="164"/>
    </row>
    <row r="50" spans="1:29" ht="39.950000000000003" customHeight="1" x14ac:dyDescent="0.2">
      <c r="A50" s="153">
        <f t="shared" si="3"/>
        <v>18</v>
      </c>
      <c r="B50" s="379" t="s">
        <v>329</v>
      </c>
      <c r="C50" s="380"/>
      <c r="D50" s="156"/>
      <c r="E50" s="376">
        <f>147125+H50</f>
        <v>147125</v>
      </c>
      <c r="F50" s="377"/>
      <c r="G50" s="378"/>
      <c r="H50" s="376">
        <f t="shared" si="4"/>
        <v>0</v>
      </c>
      <c r="I50" s="377"/>
      <c r="J50" s="377"/>
      <c r="K50" s="165"/>
      <c r="L50" s="376">
        <f t="shared" si="1"/>
        <v>0</v>
      </c>
      <c r="M50" s="377"/>
      <c r="N50" s="377"/>
      <c r="O50" s="378"/>
      <c r="P50" s="161">
        <f t="shared" si="2"/>
        <v>147125</v>
      </c>
      <c r="Q50" s="162"/>
      <c r="R50" s="162"/>
      <c r="S50" s="162"/>
      <c r="T50" s="163">
        <v>0</v>
      </c>
      <c r="U50" s="162">
        <v>147125</v>
      </c>
      <c r="V50" s="162"/>
      <c r="W50" s="290"/>
      <c r="X50" s="164"/>
      <c r="Y50" s="164"/>
    </row>
    <row r="51" spans="1:29" ht="43.5" customHeight="1" x14ac:dyDescent="0.2">
      <c r="A51" s="153">
        <f t="shared" si="3"/>
        <v>19</v>
      </c>
      <c r="B51" s="379" t="s">
        <v>540</v>
      </c>
      <c r="C51" s="380"/>
      <c r="D51" s="156"/>
      <c r="E51" s="376">
        <f>H51</f>
        <v>336840</v>
      </c>
      <c r="F51" s="377"/>
      <c r="G51" s="378"/>
      <c r="H51" s="376">
        <f t="shared" si="4"/>
        <v>336840</v>
      </c>
      <c r="I51" s="377"/>
      <c r="J51" s="377"/>
      <c r="K51" s="157"/>
      <c r="L51" s="376">
        <v>0</v>
      </c>
      <c r="M51" s="377"/>
      <c r="N51" s="377"/>
      <c r="O51" s="378"/>
      <c r="P51" s="161"/>
      <c r="Q51" s="162"/>
      <c r="R51" s="162"/>
      <c r="S51" s="162"/>
      <c r="T51" s="163">
        <f>'[4]р октябрь'!E19</f>
        <v>0</v>
      </c>
      <c r="U51" s="162" t="e">
        <f>'реестр октябрь'!#REF!</f>
        <v>#REF!</v>
      </c>
      <c r="V51" s="162"/>
      <c r="W51" s="291">
        <v>336840</v>
      </c>
      <c r="X51" s="164"/>
      <c r="Y51" s="164"/>
    </row>
    <row r="52" spans="1:29" ht="43.5" hidden="1" customHeight="1" x14ac:dyDescent="0.2">
      <c r="A52" s="153">
        <v>17</v>
      </c>
      <c r="B52" s="379"/>
      <c r="C52" s="380"/>
      <c r="D52" s="156"/>
      <c r="E52" s="376">
        <f t="shared" ref="E52" si="5">Q52+R52+S52+T52</f>
        <v>0</v>
      </c>
      <c r="F52" s="377"/>
      <c r="G52" s="378"/>
      <c r="H52" s="165"/>
      <c r="I52" s="166"/>
      <c r="J52" s="166"/>
      <c r="K52" s="157"/>
      <c r="L52" s="376">
        <f t="shared" ref="L52" si="6">U52</f>
        <v>0</v>
      </c>
      <c r="M52" s="377"/>
      <c r="N52" s="377"/>
      <c r="O52" s="378"/>
      <c r="P52" s="161"/>
      <c r="Q52" s="162"/>
      <c r="R52" s="162"/>
      <c r="S52" s="162"/>
      <c r="T52" s="163"/>
      <c r="U52" s="162"/>
      <c r="V52" s="162"/>
      <c r="W52" s="290"/>
      <c r="X52" s="164"/>
      <c r="Y52" s="164"/>
    </row>
    <row r="53" spans="1:29" ht="22.5" customHeight="1" x14ac:dyDescent="0.2">
      <c r="A53" s="147"/>
      <c r="B53" s="361" t="s">
        <v>37</v>
      </c>
      <c r="C53" s="363"/>
      <c r="D53" s="153"/>
      <c r="E53" s="367">
        <f>SUM(E33:G52)</f>
        <v>115456098</v>
      </c>
      <c r="F53" s="368"/>
      <c r="G53" s="369"/>
      <c r="H53" s="367">
        <f>SUM(H33:J52)</f>
        <v>13253977</v>
      </c>
      <c r="I53" s="368"/>
      <c r="J53" s="369"/>
      <c r="K53" s="157"/>
      <c r="L53" s="367">
        <f>SUM(L33:O52)</f>
        <v>4019946</v>
      </c>
      <c r="M53" s="368"/>
      <c r="N53" s="368"/>
      <c r="O53" s="369"/>
      <c r="P53" s="167" t="e">
        <f>SUM(Q53:Y53)</f>
        <v>#REF!</v>
      </c>
      <c r="Q53" s="158">
        <f>SUM(Q33:Q40)</f>
        <v>3343116</v>
      </c>
      <c r="R53" s="158">
        <f>SUM(R33:R43)</f>
        <v>16959455</v>
      </c>
      <c r="S53" s="158">
        <f>SUM(S33:S43)</f>
        <v>16778150</v>
      </c>
      <c r="T53" s="158">
        <f>SUM(T33:T52)</f>
        <v>32470175</v>
      </c>
      <c r="U53" s="158" t="e">
        <f>SUM(U33:U51)</f>
        <v>#REF!</v>
      </c>
      <c r="V53" s="158">
        <f>SUM(V33:V51)</f>
        <v>6707148</v>
      </c>
      <c r="W53" s="159">
        <f>SUM(W32:W51)</f>
        <v>9234031</v>
      </c>
      <c r="X53" s="159">
        <f>SUM(X32:X51)</f>
        <v>4019946</v>
      </c>
      <c r="Y53" s="168"/>
      <c r="AC53" s="169"/>
    </row>
    <row r="54" spans="1:29" ht="21.75" customHeight="1" x14ac:dyDescent="0.2">
      <c r="A54" s="370" t="s">
        <v>275</v>
      </c>
      <c r="B54" s="371"/>
      <c r="C54" s="372"/>
      <c r="D54" s="153"/>
      <c r="E54" s="373"/>
      <c r="F54" s="374"/>
      <c r="G54" s="375"/>
      <c r="H54" s="373"/>
      <c r="I54" s="374"/>
      <c r="J54" s="375"/>
      <c r="K54" s="170"/>
      <c r="L54" s="376">
        <f>ROUND(L53*0.2,2)</f>
        <v>803989.2</v>
      </c>
      <c r="M54" s="377"/>
      <c r="N54" s="377"/>
      <c r="O54" s="378"/>
      <c r="P54" s="161" t="e">
        <f t="shared" ref="P54:V54" si="7">P53*0.2</f>
        <v>#REF!</v>
      </c>
      <c r="Q54" s="171">
        <f t="shared" si="7"/>
        <v>668623.19999999995</v>
      </c>
      <c r="R54" s="171">
        <f t="shared" si="7"/>
        <v>3391891</v>
      </c>
      <c r="S54" s="171">
        <f t="shared" si="7"/>
        <v>3355630</v>
      </c>
      <c r="T54" s="172">
        <f t="shared" si="7"/>
        <v>6494035</v>
      </c>
      <c r="U54" s="172" t="e">
        <f t="shared" si="7"/>
        <v>#REF!</v>
      </c>
      <c r="V54" s="172">
        <f t="shared" si="7"/>
        <v>1341429.6000000001</v>
      </c>
      <c r="W54" s="162"/>
      <c r="X54" s="173"/>
      <c r="Y54" s="173"/>
    </row>
    <row r="55" spans="1:29" ht="23.25" customHeight="1" x14ac:dyDescent="0.2">
      <c r="A55" s="361" t="s">
        <v>276</v>
      </c>
      <c r="B55" s="362"/>
      <c r="C55" s="363"/>
      <c r="D55" s="153"/>
      <c r="E55" s="364"/>
      <c r="F55" s="365"/>
      <c r="G55" s="366"/>
      <c r="H55" s="364"/>
      <c r="I55" s="365"/>
      <c r="J55" s="366"/>
      <c r="K55" s="170"/>
      <c r="L55" s="367">
        <f>L53+L54</f>
        <v>4823935.2</v>
      </c>
      <c r="M55" s="368"/>
      <c r="N55" s="368"/>
      <c r="O55" s="369"/>
      <c r="P55" s="167" t="e">
        <f t="shared" ref="P55:V55" si="8">P53+P54</f>
        <v>#REF!</v>
      </c>
      <c r="Q55" s="174">
        <f t="shared" si="8"/>
        <v>4011739.2</v>
      </c>
      <c r="R55" s="174">
        <f t="shared" si="8"/>
        <v>20351346</v>
      </c>
      <c r="S55" s="174">
        <f t="shared" si="8"/>
        <v>20133780</v>
      </c>
      <c r="T55" s="174">
        <f t="shared" si="8"/>
        <v>38964210</v>
      </c>
      <c r="U55" s="174" t="e">
        <f t="shared" si="8"/>
        <v>#REF!</v>
      </c>
      <c r="V55" s="174">
        <f t="shared" si="8"/>
        <v>8048577.5999999996</v>
      </c>
      <c r="W55" s="159"/>
      <c r="X55" s="168"/>
      <c r="Y55" s="175"/>
    </row>
    <row r="56" spans="1:29" ht="17.25" customHeight="1" x14ac:dyDescent="0.2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76"/>
      <c r="M56" s="176"/>
      <c r="N56" s="176"/>
      <c r="O56" s="176"/>
      <c r="P56" s="288" t="s">
        <v>363</v>
      </c>
      <c r="T56" s="177"/>
      <c r="U56" s="182"/>
    </row>
    <row r="57" spans="1:29" ht="18.75" x14ac:dyDescent="0.25">
      <c r="A57" s="360" t="s">
        <v>29</v>
      </c>
      <c r="B57" s="360"/>
      <c r="C57" s="124"/>
      <c r="D57" s="124"/>
      <c r="E57" s="124"/>
      <c r="F57" s="124"/>
      <c r="G57" s="124"/>
      <c r="H57" s="124"/>
      <c r="I57" s="124"/>
      <c r="J57" s="124"/>
      <c r="K57" s="124"/>
      <c r="L57" s="178"/>
      <c r="M57" s="178"/>
      <c r="N57" s="178"/>
      <c r="O57" s="178"/>
      <c r="P57" s="287">
        <f>L55*0.85</f>
        <v>4100344.92</v>
      </c>
      <c r="R57" s="179"/>
      <c r="T57" s="177"/>
      <c r="U57" s="182"/>
    </row>
    <row r="58" spans="1:29" ht="28.5" customHeight="1" x14ac:dyDescent="0.2">
      <c r="A58" s="355" t="s">
        <v>277</v>
      </c>
      <c r="B58" s="355"/>
      <c r="C58" s="355"/>
      <c r="D58" s="355"/>
      <c r="E58" s="124"/>
      <c r="F58" s="180"/>
      <c r="G58" s="180"/>
      <c r="H58" s="180"/>
      <c r="I58" s="180"/>
      <c r="J58" s="124"/>
      <c r="K58" s="124"/>
      <c r="L58" s="356" t="s">
        <v>42</v>
      </c>
      <c r="M58" s="356"/>
      <c r="N58" s="356"/>
      <c r="O58" s="356"/>
      <c r="P58" s="286"/>
      <c r="R58" s="182"/>
      <c r="T58" s="177"/>
    </row>
    <row r="59" spans="1:29" ht="12.75" customHeight="1" x14ac:dyDescent="0.25">
      <c r="A59" s="360"/>
      <c r="B59" s="360"/>
      <c r="C59" s="124"/>
      <c r="D59" s="124"/>
      <c r="E59" s="124"/>
      <c r="F59" s="358" t="s">
        <v>278</v>
      </c>
      <c r="G59" s="358"/>
      <c r="H59" s="358"/>
      <c r="I59" s="358"/>
      <c r="J59" s="121"/>
      <c r="K59" s="357" t="s">
        <v>279</v>
      </c>
      <c r="L59" s="357"/>
      <c r="M59" s="357"/>
      <c r="N59" s="357"/>
      <c r="O59" s="357"/>
      <c r="P59" s="119"/>
    </row>
    <row r="60" spans="1:29" x14ac:dyDescent="0.25">
      <c r="B60" s="150" t="s">
        <v>41</v>
      </c>
      <c r="C60" s="150"/>
      <c r="D60" s="124"/>
      <c r="E60" s="124"/>
    </row>
    <row r="61" spans="1:29" ht="9.75" customHeight="1" x14ac:dyDescent="0.25">
      <c r="B61" s="150"/>
      <c r="C61" s="150"/>
      <c r="D61" s="124"/>
      <c r="E61" s="124"/>
    </row>
    <row r="62" spans="1:29" x14ac:dyDescent="0.25">
      <c r="A62" s="360" t="s">
        <v>280</v>
      </c>
      <c r="B62" s="360"/>
      <c r="C62" s="360" t="s">
        <v>281</v>
      </c>
      <c r="D62" s="360"/>
      <c r="E62" s="360"/>
      <c r="F62" s="360"/>
      <c r="G62" s="357"/>
      <c r="H62" s="357"/>
      <c r="I62" s="357"/>
      <c r="J62" s="357"/>
      <c r="K62" s="121"/>
      <c r="L62" s="357"/>
      <c r="M62" s="357"/>
      <c r="N62" s="357"/>
      <c r="O62" s="357"/>
      <c r="P62" s="119"/>
    </row>
    <row r="63" spans="1:29" ht="24.75" customHeight="1" x14ac:dyDescent="0.25">
      <c r="A63" s="355" t="s">
        <v>282</v>
      </c>
      <c r="B63" s="355"/>
      <c r="C63" s="355"/>
      <c r="D63" s="355"/>
      <c r="E63" s="355"/>
      <c r="F63" s="183"/>
      <c r="G63" s="184"/>
      <c r="H63" s="184"/>
      <c r="I63" s="184"/>
      <c r="J63" s="150"/>
      <c r="K63" s="121"/>
      <c r="L63" s="356" t="s">
        <v>283</v>
      </c>
      <c r="M63" s="356"/>
      <c r="N63" s="356"/>
      <c r="O63" s="356"/>
      <c r="P63" s="181"/>
    </row>
    <row r="64" spans="1:29" ht="12.75" customHeight="1" x14ac:dyDescent="0.2">
      <c r="A64" s="357"/>
      <c r="B64" s="357"/>
      <c r="C64" s="121"/>
      <c r="D64" s="121"/>
      <c r="E64" s="121"/>
      <c r="F64" s="358" t="s">
        <v>278</v>
      </c>
      <c r="G64" s="358"/>
      <c r="H64" s="358"/>
      <c r="I64" s="358"/>
      <c r="J64" s="121"/>
      <c r="K64" s="359" t="s">
        <v>279</v>
      </c>
      <c r="L64" s="359"/>
      <c r="M64" s="359"/>
      <c r="N64" s="359"/>
      <c r="O64" s="359"/>
      <c r="P64" s="135"/>
    </row>
    <row r="65" spans="1:17" x14ac:dyDescent="0.25">
      <c r="B65" s="150" t="s">
        <v>41</v>
      </c>
      <c r="C65" s="121"/>
      <c r="D65" s="354"/>
      <c r="E65" s="354"/>
      <c r="F65" s="354"/>
      <c r="G65" s="354"/>
      <c r="H65" s="354"/>
      <c r="I65" s="354"/>
      <c r="J65" s="354"/>
      <c r="K65" s="354"/>
      <c r="L65" s="354"/>
      <c r="M65" s="354"/>
      <c r="N65" s="354"/>
      <c r="O65" s="354"/>
      <c r="P65" s="185"/>
      <c r="Q65" s="186"/>
    </row>
    <row r="66" spans="1:17" x14ac:dyDescent="0.2">
      <c r="A66" s="187"/>
      <c r="B66" s="354"/>
      <c r="C66" s="354"/>
      <c r="D66" s="354"/>
      <c r="E66" s="354"/>
      <c r="F66" s="354"/>
      <c r="G66" s="354"/>
      <c r="H66" s="354"/>
      <c r="I66" s="354"/>
      <c r="J66" s="354"/>
      <c r="K66" s="354"/>
      <c r="L66" s="354"/>
      <c r="M66" s="354"/>
      <c r="N66" s="354"/>
      <c r="O66" s="150"/>
      <c r="P66" s="119"/>
    </row>
  </sheetData>
  <autoFilter ref="A29:R55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0">
    <mergeCell ref="B66:N66"/>
    <mergeCell ref="A63:E63"/>
    <mergeCell ref="L63:O63"/>
    <mergeCell ref="A64:B64"/>
    <mergeCell ref="F64:I64"/>
    <mergeCell ref="K64:O64"/>
    <mergeCell ref="D65:O65"/>
    <mergeCell ref="A59:B59"/>
    <mergeCell ref="F59:I59"/>
    <mergeCell ref="K59:O59"/>
    <mergeCell ref="A62:B62"/>
    <mergeCell ref="C62:F62"/>
    <mergeCell ref="G62:J62"/>
    <mergeCell ref="L62:O62"/>
    <mergeCell ref="A55:C55"/>
    <mergeCell ref="E55:G55"/>
    <mergeCell ref="H55:J55"/>
    <mergeCell ref="L55:O55"/>
    <mergeCell ref="A57:B57"/>
    <mergeCell ref="A58:D58"/>
    <mergeCell ref="L58:O58"/>
    <mergeCell ref="B53:C53"/>
    <mergeCell ref="E53:G53"/>
    <mergeCell ref="H53:J53"/>
    <mergeCell ref="L53:O53"/>
    <mergeCell ref="A54:C54"/>
    <mergeCell ref="E54:G54"/>
    <mergeCell ref="H54:J54"/>
    <mergeCell ref="L54:O54"/>
    <mergeCell ref="B51:C51"/>
    <mergeCell ref="E51:G51"/>
    <mergeCell ref="H51:J51"/>
    <mergeCell ref="L51:O51"/>
    <mergeCell ref="B52:C52"/>
    <mergeCell ref="E52:G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B10:J10"/>
    <mergeCell ref="M10:O10"/>
    <mergeCell ref="C11:H11"/>
    <mergeCell ref="A4:L4"/>
    <mergeCell ref="M4:O4"/>
    <mergeCell ref="J5:L5"/>
    <mergeCell ref="M5:O5"/>
    <mergeCell ref="M6:O6"/>
    <mergeCell ref="C7:H7"/>
    <mergeCell ref="A1:F1"/>
    <mergeCell ref="G1:O1"/>
    <mergeCell ref="A2:F2"/>
    <mergeCell ref="G2:O2"/>
    <mergeCell ref="A3:F3"/>
    <mergeCell ref="G3:O3"/>
    <mergeCell ref="B8:J8"/>
    <mergeCell ref="M8:O8"/>
    <mergeCell ref="C9:H9"/>
  </mergeCells>
  <pageMargins left="0.70866141732283472" right="0.70866141732283472" top="0.74803149606299213" bottom="0.74803149606299213" header="0.31496062992125984" footer="0.31496062992125984"/>
  <pageSetup paperSize="9" scale="44" fitToHeight="10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8"/>
  <sheetViews>
    <sheetView view="pageBreakPreview" zoomScaleNormal="100" zoomScaleSheetLayoutView="100" workbookViewId="0">
      <selection activeCell="K17" sqref="K17"/>
    </sheetView>
  </sheetViews>
  <sheetFormatPr defaultColWidth="9.140625" defaultRowHeight="15" x14ac:dyDescent="0.25"/>
  <cols>
    <col min="1" max="1" width="17.85546875" style="115" customWidth="1"/>
    <col min="2" max="2" width="20.85546875" style="115" customWidth="1"/>
    <col min="3" max="3" width="52.42578125" style="115" customWidth="1"/>
    <col min="4" max="4" width="10.85546875" style="115" customWidth="1"/>
    <col min="5" max="5" width="20.5703125" style="115" customWidth="1"/>
    <col min="6" max="6" width="17.5703125" style="115" customWidth="1"/>
    <col min="7" max="7" width="27.85546875" style="115" customWidth="1"/>
    <col min="8" max="8" width="21.7109375" style="111" customWidth="1"/>
    <col min="9" max="9" width="20.42578125" style="83" customWidth="1"/>
    <col min="10" max="16384" width="9.140625" style="83"/>
  </cols>
  <sheetData>
    <row r="1" spans="1:10" ht="9.75" customHeight="1" x14ac:dyDescent="0.25">
      <c r="A1" s="80"/>
      <c r="B1" s="80"/>
      <c r="C1" s="80"/>
      <c r="D1" s="80"/>
      <c r="E1" s="80"/>
      <c r="F1" s="80"/>
      <c r="G1" s="80"/>
      <c r="H1" s="81"/>
      <c r="I1" s="82"/>
      <c r="J1" s="82"/>
    </row>
    <row r="2" spans="1:10" ht="34.5" customHeight="1" x14ac:dyDescent="0.25">
      <c r="A2" s="84" t="s">
        <v>29</v>
      </c>
      <c r="B2" s="426" t="s">
        <v>225</v>
      </c>
      <c r="C2" s="426"/>
      <c r="D2" s="426"/>
      <c r="E2" s="426"/>
      <c r="F2" s="426"/>
      <c r="G2" s="426"/>
      <c r="H2" s="85"/>
      <c r="I2" s="82"/>
      <c r="J2" s="82"/>
    </row>
    <row r="3" spans="1:10" ht="15" customHeight="1" x14ac:dyDescent="0.2">
      <c r="A3" s="86"/>
      <c r="B3" s="427" t="s">
        <v>226</v>
      </c>
      <c r="C3" s="427"/>
      <c r="D3" s="427"/>
      <c r="E3" s="427"/>
      <c r="F3" s="427"/>
      <c r="G3" s="427"/>
      <c r="H3" s="81"/>
      <c r="I3" s="82"/>
      <c r="J3" s="82"/>
    </row>
    <row r="4" spans="1:10" ht="45" customHeight="1" x14ac:dyDescent="0.2">
      <c r="A4" s="87" t="s">
        <v>31</v>
      </c>
      <c r="B4" s="428" t="s">
        <v>227</v>
      </c>
      <c r="C4" s="428"/>
      <c r="D4" s="428"/>
      <c r="E4" s="428"/>
      <c r="F4" s="428"/>
      <c r="G4" s="428"/>
      <c r="H4" s="85"/>
      <c r="I4" s="82"/>
      <c r="J4" s="82"/>
    </row>
    <row r="5" spans="1:10" ht="15" customHeight="1" x14ac:dyDescent="0.25">
      <c r="A5" s="88"/>
      <c r="B5" s="427" t="s">
        <v>226</v>
      </c>
      <c r="C5" s="427"/>
      <c r="D5" s="427"/>
      <c r="E5" s="427"/>
      <c r="F5" s="427"/>
      <c r="G5" s="427"/>
      <c r="H5" s="81"/>
      <c r="I5" s="82"/>
      <c r="J5" s="82"/>
    </row>
    <row r="6" spans="1:10" ht="60" customHeight="1" x14ac:dyDescent="0.2">
      <c r="A6" s="87" t="s">
        <v>46</v>
      </c>
      <c r="B6" s="428" t="s">
        <v>228</v>
      </c>
      <c r="C6" s="428"/>
      <c r="D6" s="428"/>
      <c r="E6" s="428"/>
      <c r="F6" s="428"/>
      <c r="G6" s="428"/>
      <c r="H6" s="89"/>
      <c r="I6" s="90"/>
      <c r="J6" s="90"/>
    </row>
    <row r="7" spans="1:10" ht="18" customHeight="1" x14ac:dyDescent="0.25">
      <c r="A7" s="88"/>
      <c r="B7" s="427" t="s">
        <v>229</v>
      </c>
      <c r="C7" s="427"/>
      <c r="D7" s="427"/>
      <c r="E7" s="427"/>
      <c r="F7" s="427"/>
      <c r="G7" s="427"/>
      <c r="H7" s="81"/>
      <c r="I7" s="82"/>
      <c r="J7" s="82"/>
    </row>
    <row r="8" spans="1:10" ht="26.25" customHeight="1" x14ac:dyDescent="0.2">
      <c r="A8" s="425" t="s">
        <v>545</v>
      </c>
      <c r="B8" s="425"/>
      <c r="C8" s="425"/>
      <c r="D8" s="425"/>
      <c r="E8" s="425"/>
      <c r="F8" s="425"/>
      <c r="G8" s="425"/>
      <c r="H8" s="91"/>
      <c r="I8" s="92"/>
      <c r="J8" s="92"/>
    </row>
    <row r="9" spans="1:10" ht="5.25" customHeight="1" x14ac:dyDescent="0.25">
      <c r="A9" s="93"/>
      <c r="B9" s="93"/>
      <c r="C9" s="93"/>
      <c r="D9" s="93"/>
      <c r="E9" s="93"/>
      <c r="F9" s="88"/>
      <c r="G9" s="93"/>
      <c r="H9" s="81"/>
    </row>
    <row r="10" spans="1:10" ht="24.75" customHeight="1" thickBot="1" x14ac:dyDescent="0.25">
      <c r="A10" s="94" t="s">
        <v>230</v>
      </c>
      <c r="B10" s="94" t="s">
        <v>231</v>
      </c>
      <c r="C10" s="94" t="s">
        <v>232</v>
      </c>
      <c r="D10" s="94" t="s">
        <v>233</v>
      </c>
      <c r="E10" s="94" t="s">
        <v>234</v>
      </c>
      <c r="F10" s="94" t="s">
        <v>235</v>
      </c>
      <c r="G10" s="94" t="s">
        <v>236</v>
      </c>
      <c r="H10" s="95" t="s">
        <v>237</v>
      </c>
    </row>
    <row r="11" spans="1:10" ht="30" customHeight="1" thickTop="1" thickBot="1" x14ac:dyDescent="0.25">
      <c r="A11" s="101">
        <v>1</v>
      </c>
      <c r="B11" s="304" t="s">
        <v>238</v>
      </c>
      <c r="C11" s="103" t="s">
        <v>239</v>
      </c>
      <c r="D11" s="101">
        <v>46</v>
      </c>
      <c r="E11" s="104">
        <f>'46_02-01-01(2016)'!M64</f>
        <v>4019946</v>
      </c>
      <c r="F11" s="105">
        <f>'46_02-01-01(2016)'!M65</f>
        <v>803989.2</v>
      </c>
      <c r="G11" s="106">
        <f t="shared" ref="G11" si="0">E11+F11</f>
        <v>4823935.2</v>
      </c>
      <c r="H11" s="99">
        <f>'46_02-01-01(2016)'!M66</f>
        <v>4823935.2</v>
      </c>
      <c r="I11" s="100">
        <f t="shared" ref="I11" si="1">G11-H11</f>
        <v>0</v>
      </c>
    </row>
    <row r="12" spans="1:10" ht="30" hidden="1" customHeight="1" x14ac:dyDescent="0.2">
      <c r="A12" s="298"/>
      <c r="B12" s="299"/>
      <c r="C12" s="300"/>
      <c r="D12" s="298"/>
      <c r="E12" s="301"/>
      <c r="F12" s="302"/>
      <c r="G12" s="303"/>
      <c r="H12" s="99"/>
      <c r="I12" s="100"/>
    </row>
    <row r="13" spans="1:10" ht="30" hidden="1" customHeight="1" thickBot="1" x14ac:dyDescent="0.25">
      <c r="A13" s="96"/>
      <c r="B13" s="102"/>
      <c r="C13" s="103"/>
      <c r="D13" s="101"/>
      <c r="E13" s="104"/>
      <c r="F13" s="105"/>
      <c r="G13" s="106"/>
      <c r="H13" s="99"/>
      <c r="I13" s="100"/>
    </row>
    <row r="14" spans="1:10" ht="30" hidden="1" customHeight="1" thickBot="1" x14ac:dyDescent="0.25">
      <c r="A14" s="280"/>
      <c r="B14" s="281"/>
      <c r="C14" s="282"/>
      <c r="D14" s="280"/>
      <c r="E14" s="283"/>
      <c r="F14" s="284"/>
      <c r="G14" s="285"/>
      <c r="H14" s="99"/>
      <c r="I14" s="100"/>
    </row>
    <row r="15" spans="1:10" ht="30.75" customHeight="1" thickTop="1" x14ac:dyDescent="0.25">
      <c r="A15" s="107"/>
      <c r="B15" s="108" t="s">
        <v>37</v>
      </c>
      <c r="C15" s="107"/>
      <c r="D15" s="107"/>
      <c r="E15" s="109">
        <f>SUM(E11:E14)</f>
        <v>4019946</v>
      </c>
      <c r="F15" s="109">
        <f>SUM(F11:F14)</f>
        <v>803989.2</v>
      </c>
      <c r="G15" s="109">
        <f>SUM(G11:G14)</f>
        <v>4823935.2</v>
      </c>
      <c r="H15" s="99">
        <f>SUM(H11:H14)</f>
        <v>4823935.2</v>
      </c>
      <c r="I15" s="110">
        <f>G15-H15</f>
        <v>0</v>
      </c>
    </row>
    <row r="16" spans="1:10" x14ac:dyDescent="0.25">
      <c r="A16" s="80"/>
      <c r="B16" s="80"/>
      <c r="C16" s="80"/>
      <c r="D16" s="80"/>
      <c r="E16" s="80"/>
      <c r="F16" s="80"/>
      <c r="G16" s="80"/>
    </row>
    <row r="17" spans="1:9" x14ac:dyDescent="0.25">
      <c r="A17" s="80"/>
      <c r="B17" s="80"/>
      <c r="C17" s="80"/>
      <c r="D17" s="80"/>
      <c r="E17" s="80"/>
      <c r="F17" s="80"/>
      <c r="G17" s="112"/>
      <c r="H17" s="113"/>
      <c r="I17" s="114"/>
    </row>
    <row r="18" spans="1:9" x14ac:dyDescent="0.25">
      <c r="A18" s="80"/>
      <c r="B18" s="80"/>
      <c r="C18" s="80"/>
      <c r="D18" s="80"/>
      <c r="E18" s="80"/>
      <c r="F18" s="80"/>
      <c r="G18" s="80"/>
    </row>
    <row r="19" spans="1:9" x14ac:dyDescent="0.25">
      <c r="A19" s="80"/>
      <c r="B19" s="80"/>
      <c r="C19" s="80"/>
      <c r="D19" s="80"/>
      <c r="E19" s="80"/>
      <c r="F19" s="80"/>
      <c r="G19" s="80"/>
    </row>
    <row r="20" spans="1:9" x14ac:dyDescent="0.25">
      <c r="A20" s="80"/>
      <c r="B20" s="80"/>
      <c r="C20" s="80"/>
      <c r="D20" s="80"/>
      <c r="E20" s="80"/>
      <c r="F20" s="80"/>
      <c r="G20" s="80"/>
    </row>
    <row r="21" spans="1:9" x14ac:dyDescent="0.25">
      <c r="A21" s="80"/>
      <c r="B21" s="80"/>
      <c r="C21" s="80"/>
      <c r="D21" s="80"/>
      <c r="E21" s="80"/>
      <c r="F21" s="80"/>
      <c r="G21" s="80"/>
    </row>
    <row r="22" spans="1:9" x14ac:dyDescent="0.25">
      <c r="A22" s="80"/>
      <c r="B22" s="80"/>
      <c r="C22" s="80"/>
      <c r="D22" s="80"/>
      <c r="E22" s="80"/>
      <c r="F22" s="80"/>
      <c r="G22" s="80"/>
    </row>
    <row r="23" spans="1:9" x14ac:dyDescent="0.25">
      <c r="A23" s="80"/>
      <c r="B23" s="80"/>
      <c r="C23" s="80"/>
      <c r="D23" s="80"/>
      <c r="E23" s="80"/>
      <c r="F23" s="80"/>
      <c r="G23" s="80"/>
    </row>
    <row r="38" spans="1:1" x14ac:dyDescent="0.25">
      <c r="A38" s="115">
        <v>7</v>
      </c>
    </row>
  </sheetData>
  <mergeCells count="7">
    <mergeCell ref="A8:G8"/>
    <mergeCell ref="B2:G2"/>
    <mergeCell ref="B3:G3"/>
    <mergeCell ref="B4:G4"/>
    <mergeCell ref="B5:G5"/>
    <mergeCell ref="B6:G6"/>
    <mergeCell ref="B7:G7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85"/>
  <sheetViews>
    <sheetView showGridLines="0" topLeftCell="A10" workbookViewId="0">
      <selection activeCell="A31" sqref="A31:O31"/>
    </sheetView>
  </sheetViews>
  <sheetFormatPr defaultColWidth="9.140625" defaultRowHeight="11.25" customHeight="1" x14ac:dyDescent="0.2"/>
  <cols>
    <col min="1" max="1" width="5.42578125" style="274" customWidth="1"/>
    <col min="2" max="2" width="8.28515625" style="274" customWidth="1"/>
    <col min="3" max="3" width="34.42578125" style="274" customWidth="1"/>
    <col min="4" max="4" width="11.85546875" style="274" customWidth="1"/>
    <col min="5" max="6" width="12.140625" style="274" customWidth="1"/>
    <col min="7" max="7" width="9.7109375" style="274" customWidth="1"/>
    <col min="8" max="9" width="12.140625" style="274" customWidth="1"/>
    <col min="10" max="10" width="9.7109375" style="274" customWidth="1"/>
    <col min="11" max="12" width="12.140625" style="274" customWidth="1"/>
    <col min="13" max="13" width="14.28515625" style="274" customWidth="1"/>
    <col min="14" max="14" width="12.140625" style="274" customWidth="1"/>
    <col min="15" max="15" width="12.7109375" style="274" customWidth="1"/>
    <col min="16" max="16" width="9.140625" style="274"/>
    <col min="17" max="16384" width="9.140625" style="293"/>
  </cols>
  <sheetData>
    <row r="1" spans="1:15" s="18" customFormat="1" ht="12.75" x14ac:dyDescent="0.2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2.75" x14ac:dyDescent="0.2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456" t="s">
        <v>0</v>
      </c>
      <c r="N2" s="456"/>
      <c r="O2" s="456"/>
    </row>
    <row r="3" spans="1:15" s="18" customFormat="1" ht="12.75" x14ac:dyDescent="0.2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457" t="s">
        <v>2</v>
      </c>
      <c r="N3" s="457"/>
      <c r="O3" s="457"/>
    </row>
    <row r="4" spans="1:15" s="18" customFormat="1" ht="12.75" x14ac:dyDescent="0.2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458"/>
      <c r="N4" s="459"/>
      <c r="O4" s="460"/>
    </row>
    <row r="5" spans="1:15" s="18" customFormat="1" ht="12.75" x14ac:dyDescent="0.2">
      <c r="A5" s="13" t="s">
        <v>3</v>
      </c>
      <c r="B5" s="22"/>
      <c r="C5" s="461"/>
      <c r="D5" s="461"/>
      <c r="E5" s="461"/>
      <c r="F5" s="461"/>
      <c r="G5" s="461"/>
      <c r="H5" s="461"/>
      <c r="I5" s="461"/>
      <c r="J5" s="461"/>
      <c r="K5" s="461"/>
      <c r="L5" s="26" t="s">
        <v>4</v>
      </c>
      <c r="M5" s="462"/>
      <c r="N5" s="445"/>
      <c r="O5" s="446"/>
    </row>
    <row r="6" spans="1:15" s="18" customFormat="1" ht="12.75" x14ac:dyDescent="0.2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468"/>
      <c r="N6" s="469"/>
      <c r="O6" s="470"/>
    </row>
    <row r="7" spans="1:15" s="18" customFormat="1" ht="39" customHeight="1" x14ac:dyDescent="0.2">
      <c r="A7" s="471" t="s">
        <v>29</v>
      </c>
      <c r="B7" s="471"/>
      <c r="C7" s="473" t="s">
        <v>44</v>
      </c>
      <c r="D7" s="473"/>
      <c r="E7" s="473"/>
      <c r="F7" s="473"/>
      <c r="G7" s="473"/>
      <c r="H7" s="473"/>
      <c r="I7" s="473"/>
      <c r="J7" s="473"/>
      <c r="K7" s="473"/>
      <c r="L7" s="31" t="s">
        <v>4</v>
      </c>
      <c r="M7" s="474" t="s">
        <v>30</v>
      </c>
      <c r="N7" s="475"/>
      <c r="O7" s="476"/>
    </row>
    <row r="8" spans="1:15" s="18" customFormat="1" ht="44.25" customHeight="1" x14ac:dyDescent="0.2">
      <c r="A8" s="471" t="s">
        <v>31</v>
      </c>
      <c r="B8" s="471"/>
      <c r="C8" s="477" t="s">
        <v>45</v>
      </c>
      <c r="D8" s="477"/>
      <c r="E8" s="477"/>
      <c r="F8" s="477"/>
      <c r="G8" s="477"/>
      <c r="H8" s="477"/>
      <c r="I8" s="477"/>
      <c r="J8" s="477"/>
      <c r="K8" s="477"/>
      <c r="L8" s="31" t="s">
        <v>4</v>
      </c>
      <c r="M8" s="456">
        <v>79730368</v>
      </c>
      <c r="N8" s="456"/>
      <c r="O8" s="456"/>
    </row>
    <row r="9" spans="1:15" s="18" customFormat="1" ht="45.75" customHeight="1" x14ac:dyDescent="0.2">
      <c r="A9" s="472" t="s">
        <v>46</v>
      </c>
      <c r="B9" s="472"/>
      <c r="C9" s="471" t="s">
        <v>47</v>
      </c>
      <c r="D9" s="471"/>
      <c r="E9" s="471"/>
      <c r="F9" s="471"/>
      <c r="G9" s="471"/>
      <c r="H9" s="471"/>
      <c r="I9" s="471"/>
      <c r="J9" s="471"/>
      <c r="K9" s="471"/>
      <c r="L9" s="32"/>
      <c r="M9" s="434"/>
      <c r="N9" s="435"/>
      <c r="O9" s="436"/>
    </row>
    <row r="10" spans="1:15" s="18" customFormat="1" ht="24" customHeight="1" x14ac:dyDescent="0.2">
      <c r="A10" s="13"/>
      <c r="B10" s="22"/>
      <c r="C10" s="466" t="s">
        <v>6</v>
      </c>
      <c r="D10" s="466"/>
      <c r="E10" s="466"/>
      <c r="F10" s="466"/>
      <c r="G10" s="466"/>
      <c r="H10" s="466"/>
      <c r="I10" s="466"/>
      <c r="J10" s="466"/>
      <c r="K10" s="466"/>
      <c r="L10" s="32"/>
      <c r="M10" s="458"/>
      <c r="N10" s="459"/>
      <c r="O10" s="460"/>
    </row>
    <row r="11" spans="1:15" s="18" customFormat="1" ht="12.75" x14ac:dyDescent="0.2">
      <c r="A11" s="467" t="s">
        <v>48</v>
      </c>
      <c r="B11" s="467"/>
      <c r="C11" s="461" t="s">
        <v>49</v>
      </c>
      <c r="D11" s="461"/>
      <c r="E11" s="461"/>
      <c r="F11" s="461"/>
      <c r="G11" s="461"/>
      <c r="H11" s="461"/>
      <c r="I11" s="461"/>
      <c r="J11" s="461"/>
      <c r="K11" s="461"/>
      <c r="L11" s="32"/>
      <c r="M11" s="434"/>
      <c r="N11" s="435"/>
      <c r="O11" s="436"/>
    </row>
    <row r="12" spans="1:15" s="18" customFormat="1" ht="12.75" x14ac:dyDescent="0.2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437" t="s">
        <v>32</v>
      </c>
      <c r="L12" s="438"/>
      <c r="M12" s="439" t="s">
        <v>33</v>
      </c>
      <c r="N12" s="440"/>
      <c r="O12" s="441"/>
    </row>
    <row r="13" spans="1:15" s="18" customFormat="1" ht="12.75" x14ac:dyDescent="0.2">
      <c r="A13" s="13"/>
      <c r="B13" s="22"/>
      <c r="C13" s="27"/>
      <c r="D13" s="1"/>
      <c r="E13" s="1"/>
      <c r="F13" s="1"/>
      <c r="G13" s="1"/>
      <c r="H13" s="1"/>
      <c r="I13" s="1"/>
      <c r="J13" s="1"/>
      <c r="K13" s="272" t="s">
        <v>8</v>
      </c>
      <c r="L13" s="33" t="s">
        <v>9</v>
      </c>
      <c r="M13" s="442" t="s">
        <v>34</v>
      </c>
      <c r="N13" s="443"/>
      <c r="O13" s="444"/>
    </row>
    <row r="14" spans="1:15" s="18" customFormat="1" ht="12.75" x14ac:dyDescent="0.2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2.75" hidden="1" x14ac:dyDescent="0.2">
      <c r="A15" s="13"/>
      <c r="B15" s="22"/>
      <c r="C15" s="27"/>
      <c r="D15" s="1"/>
      <c r="E15" s="1"/>
      <c r="F15" s="1"/>
      <c r="G15" s="1"/>
      <c r="H15" s="1"/>
      <c r="I15" s="445" t="s">
        <v>35</v>
      </c>
      <c r="J15" s="445"/>
      <c r="K15" s="446"/>
      <c r="L15" s="33" t="s">
        <v>9</v>
      </c>
      <c r="M15" s="439" t="s">
        <v>18</v>
      </c>
      <c r="N15" s="440"/>
      <c r="O15" s="441"/>
    </row>
    <row r="16" spans="1:15" s="18" customFormat="1" ht="12.75" hidden="1" x14ac:dyDescent="0.2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6" s="1" customFormat="1" ht="12.75" x14ac:dyDescent="0.2">
      <c r="C17" s="27"/>
      <c r="I17" s="437" t="s">
        <v>35</v>
      </c>
      <c r="J17" s="437"/>
      <c r="K17" s="438"/>
      <c r="L17" s="33" t="s">
        <v>9</v>
      </c>
      <c r="M17" s="439" t="s">
        <v>25</v>
      </c>
      <c r="N17" s="440"/>
      <c r="O17" s="441"/>
    </row>
    <row r="18" spans="1:16" s="1" customFormat="1" ht="12.75" x14ac:dyDescent="0.2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6" s="18" customFormat="1" ht="12.75" x14ac:dyDescent="0.2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442"/>
      <c r="N19" s="443"/>
      <c r="O19" s="444"/>
    </row>
    <row r="20" spans="1:16" s="18" customFormat="1" ht="12.75" x14ac:dyDescent="0.2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6" s="18" customFormat="1" ht="12.75" x14ac:dyDescent="0.2">
      <c r="A21" s="13"/>
      <c r="B21" s="22"/>
      <c r="C21" s="27"/>
      <c r="D21" s="1"/>
      <c r="E21" s="1"/>
      <c r="F21" s="1"/>
      <c r="G21" s="1"/>
      <c r="H21" s="1"/>
      <c r="I21" s="1"/>
      <c r="J21" s="1"/>
      <c r="K21" s="272"/>
      <c r="L21" s="273"/>
      <c r="M21" s="273"/>
      <c r="N21" s="273"/>
      <c r="O21" s="32"/>
    </row>
    <row r="22" spans="1:16" s="18" customFormat="1" ht="12.75" x14ac:dyDescent="0.2">
      <c r="A22" s="13"/>
      <c r="B22" s="22"/>
      <c r="C22" s="27"/>
      <c r="D22" s="1"/>
      <c r="E22" s="1"/>
      <c r="F22" s="1"/>
      <c r="G22" s="1"/>
      <c r="H22" s="1"/>
      <c r="I22" s="1"/>
      <c r="J22" s="1"/>
      <c r="K22" s="272"/>
      <c r="L22" s="465" t="s">
        <v>12</v>
      </c>
      <c r="M22" s="465" t="s">
        <v>13</v>
      </c>
      <c r="N22" s="457" t="s">
        <v>14</v>
      </c>
      <c r="O22" s="457"/>
    </row>
    <row r="23" spans="1:16" s="18" customFormat="1" ht="12.75" customHeight="1" x14ac:dyDescent="0.2">
      <c r="A23" s="13"/>
      <c r="B23" s="22"/>
      <c r="C23" s="27"/>
      <c r="D23" s="1"/>
      <c r="E23" s="1"/>
      <c r="F23" s="1"/>
      <c r="G23" s="1"/>
      <c r="H23" s="1"/>
      <c r="I23" s="1"/>
      <c r="J23" s="1"/>
      <c r="K23" s="272"/>
      <c r="L23" s="465"/>
      <c r="M23" s="465"/>
      <c r="N23" s="270" t="s">
        <v>15</v>
      </c>
      <c r="O23" s="270" t="s">
        <v>16</v>
      </c>
    </row>
    <row r="24" spans="1:16" s="18" customFormat="1" ht="12.75" x14ac:dyDescent="0.2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2"/>
      <c r="L24" s="34">
        <v>46</v>
      </c>
      <c r="M24" s="37">
        <f>O24</f>
        <v>44957</v>
      </c>
      <c r="N24" s="37">
        <v>44947</v>
      </c>
      <c r="O24" s="37">
        <v>44957</v>
      </c>
    </row>
    <row r="25" spans="1:16" s="18" customFormat="1" ht="12.75" x14ac:dyDescent="0.2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2"/>
      <c r="L25" s="271"/>
      <c r="M25" s="271"/>
      <c r="N25" s="271"/>
      <c r="O25" s="1"/>
    </row>
    <row r="26" spans="1:16" ht="12.75" x14ac:dyDescent="0.2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6" ht="21.75" customHeight="1" x14ac:dyDescent="0.2">
      <c r="A27" s="454" t="s">
        <v>55</v>
      </c>
      <c r="B27" s="454" t="s">
        <v>56</v>
      </c>
      <c r="C27" s="454" t="s">
        <v>57</v>
      </c>
      <c r="D27" s="454" t="s">
        <v>58</v>
      </c>
      <c r="E27" s="451" t="s">
        <v>59</v>
      </c>
      <c r="F27" s="453"/>
      <c r="G27" s="452"/>
      <c r="H27" s="451" t="s">
        <v>60</v>
      </c>
      <c r="I27" s="453"/>
      <c r="J27" s="452"/>
      <c r="K27" s="451" t="s">
        <v>61</v>
      </c>
      <c r="L27" s="452"/>
      <c r="M27" s="451" t="s">
        <v>62</v>
      </c>
      <c r="N27" s="453"/>
      <c r="O27" s="452"/>
    </row>
    <row r="28" spans="1:16" ht="33" customHeight="1" x14ac:dyDescent="0.2">
      <c r="A28" s="455"/>
      <c r="B28" s="455"/>
      <c r="C28" s="455"/>
      <c r="D28" s="455"/>
      <c r="E28" s="454" t="s">
        <v>63</v>
      </c>
      <c r="F28" s="43" t="s">
        <v>64</v>
      </c>
      <c r="G28" s="43" t="s">
        <v>65</v>
      </c>
      <c r="H28" s="454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454" t="s">
        <v>63</v>
      </c>
      <c r="N28" s="43" t="s">
        <v>64</v>
      </c>
      <c r="O28" s="43" t="s">
        <v>65</v>
      </c>
    </row>
    <row r="29" spans="1:16" ht="27.75" customHeight="1" x14ac:dyDescent="0.2">
      <c r="A29" s="455"/>
      <c r="B29" s="455"/>
      <c r="C29" s="455"/>
      <c r="D29" s="455"/>
      <c r="E29" s="455"/>
      <c r="F29" s="44" t="s">
        <v>68</v>
      </c>
      <c r="G29" s="44" t="s">
        <v>69</v>
      </c>
      <c r="H29" s="455"/>
      <c r="I29" s="44" t="s">
        <v>68</v>
      </c>
      <c r="J29" s="44" t="s">
        <v>69</v>
      </c>
      <c r="K29" s="44" t="s">
        <v>68</v>
      </c>
      <c r="L29" s="44" t="s">
        <v>69</v>
      </c>
      <c r="M29" s="455"/>
      <c r="N29" s="44" t="s">
        <v>68</v>
      </c>
      <c r="O29" s="44" t="s">
        <v>69</v>
      </c>
    </row>
    <row r="30" spans="1:16" s="294" customFormat="1" ht="12.75" x14ac:dyDescent="0.2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  <c r="P30" s="296"/>
    </row>
    <row r="31" spans="1:16" s="294" customFormat="1" ht="16.5" customHeight="1" x14ac:dyDescent="0.2">
      <c r="A31" s="463" t="s">
        <v>70</v>
      </c>
      <c r="B31" s="464"/>
      <c r="C31" s="464"/>
      <c r="D31" s="464"/>
      <c r="E31" s="464"/>
      <c r="F31" s="464"/>
      <c r="G31" s="464"/>
      <c r="H31" s="464"/>
      <c r="I31" s="464"/>
      <c r="J31" s="464"/>
      <c r="K31" s="464"/>
      <c r="L31" s="464"/>
      <c r="M31" s="464"/>
      <c r="N31" s="464"/>
      <c r="O31" s="464"/>
      <c r="P31" s="296"/>
    </row>
    <row r="32" spans="1:16" s="295" customFormat="1" ht="66.75" customHeight="1" x14ac:dyDescent="0.25">
      <c r="A32" s="46" t="s">
        <v>18</v>
      </c>
      <c r="B32" s="47" t="s">
        <v>511</v>
      </c>
      <c r="C32" s="48" t="s">
        <v>512</v>
      </c>
      <c r="D32" s="49" t="s">
        <v>546</v>
      </c>
      <c r="E32" s="51" t="s">
        <v>513</v>
      </c>
      <c r="F32" s="51" t="s">
        <v>514</v>
      </c>
      <c r="G32" s="51" t="s">
        <v>515</v>
      </c>
      <c r="H32" s="51" t="s">
        <v>547</v>
      </c>
      <c r="I32" s="51" t="s">
        <v>548</v>
      </c>
      <c r="J32" s="51" t="s">
        <v>549</v>
      </c>
      <c r="K32" s="50"/>
      <c r="L32" s="50"/>
      <c r="M32" s="51" t="s">
        <v>547</v>
      </c>
      <c r="N32" s="51" t="s">
        <v>548</v>
      </c>
      <c r="O32" s="51" t="s">
        <v>550</v>
      </c>
      <c r="P32" s="297"/>
    </row>
    <row r="33" spans="1:15" ht="25.5" x14ac:dyDescent="0.2">
      <c r="A33" s="52"/>
      <c r="B33" s="53"/>
      <c r="C33" s="54" t="s">
        <v>551</v>
      </c>
      <c r="D33" s="55"/>
      <c r="E33" s="56" t="s">
        <v>166</v>
      </c>
      <c r="F33" s="57"/>
      <c r="G33" s="57"/>
      <c r="H33" s="56" t="s">
        <v>552</v>
      </c>
      <c r="I33" s="57"/>
      <c r="J33" s="57"/>
      <c r="K33" s="57"/>
      <c r="L33" s="56" t="s">
        <v>166</v>
      </c>
      <c r="M33" s="56" t="s">
        <v>552</v>
      </c>
      <c r="N33" s="57"/>
      <c r="O33" s="57"/>
    </row>
    <row r="34" spans="1:15" ht="25.5" x14ac:dyDescent="0.2">
      <c r="A34" s="52"/>
      <c r="B34" s="53"/>
      <c r="C34" s="54" t="s">
        <v>553</v>
      </c>
      <c r="D34" s="55"/>
      <c r="E34" s="56" t="s">
        <v>75</v>
      </c>
      <c r="F34" s="57"/>
      <c r="G34" s="57"/>
      <c r="H34" s="56" t="s">
        <v>554</v>
      </c>
      <c r="I34" s="57"/>
      <c r="J34" s="57"/>
      <c r="K34" s="57"/>
      <c r="L34" s="56" t="s">
        <v>75</v>
      </c>
      <c r="M34" s="56" t="s">
        <v>554</v>
      </c>
      <c r="N34" s="57"/>
      <c r="O34" s="57"/>
    </row>
    <row r="35" spans="1:15" ht="12.75" x14ac:dyDescent="0.2">
      <c r="A35" s="52"/>
      <c r="B35" s="53"/>
      <c r="C35" s="54" t="s">
        <v>73</v>
      </c>
      <c r="D35" s="55"/>
      <c r="E35" s="57"/>
      <c r="F35" s="57"/>
      <c r="G35" s="57"/>
      <c r="H35" s="56" t="s">
        <v>555</v>
      </c>
      <c r="I35" s="57"/>
      <c r="J35" s="57"/>
      <c r="K35" s="57"/>
      <c r="L35" s="57"/>
      <c r="M35" s="56" t="s">
        <v>555</v>
      </c>
      <c r="N35" s="57"/>
      <c r="O35" s="57"/>
    </row>
    <row r="36" spans="1:15" ht="89.25" x14ac:dyDescent="0.2">
      <c r="A36" s="46" t="s">
        <v>21</v>
      </c>
      <c r="B36" s="47" t="s">
        <v>516</v>
      </c>
      <c r="C36" s="48" t="s">
        <v>517</v>
      </c>
      <c r="D36" s="49" t="s">
        <v>556</v>
      </c>
      <c r="E36" s="51" t="s">
        <v>518</v>
      </c>
      <c r="F36" s="51" t="s">
        <v>519</v>
      </c>
      <c r="G36" s="50"/>
      <c r="H36" s="51" t="s">
        <v>557</v>
      </c>
      <c r="I36" s="51" t="s">
        <v>558</v>
      </c>
      <c r="J36" s="50"/>
      <c r="K36" s="50"/>
      <c r="L36" s="50"/>
      <c r="M36" s="51" t="s">
        <v>557</v>
      </c>
      <c r="N36" s="51" t="s">
        <v>558</v>
      </c>
      <c r="O36" s="50"/>
    </row>
    <row r="37" spans="1:15" ht="76.5" x14ac:dyDescent="0.2">
      <c r="A37" s="46" t="s">
        <v>23</v>
      </c>
      <c r="B37" s="47" t="s">
        <v>520</v>
      </c>
      <c r="C37" s="48" t="s">
        <v>176</v>
      </c>
      <c r="D37" s="49" t="s">
        <v>559</v>
      </c>
      <c r="E37" s="51" t="s">
        <v>177</v>
      </c>
      <c r="F37" s="51" t="s">
        <v>178</v>
      </c>
      <c r="G37" s="50"/>
      <c r="H37" s="51" t="s">
        <v>560</v>
      </c>
      <c r="I37" s="51" t="s">
        <v>561</v>
      </c>
      <c r="J37" s="50"/>
      <c r="K37" s="50"/>
      <c r="L37" s="50"/>
      <c r="M37" s="51" t="s">
        <v>560</v>
      </c>
      <c r="N37" s="51" t="s">
        <v>561</v>
      </c>
      <c r="O37" s="50"/>
    </row>
    <row r="38" spans="1:15" ht="102" x14ac:dyDescent="0.2">
      <c r="A38" s="46" t="s">
        <v>25</v>
      </c>
      <c r="B38" s="47" t="s">
        <v>521</v>
      </c>
      <c r="C38" s="48" t="s">
        <v>180</v>
      </c>
      <c r="D38" s="49" t="s">
        <v>562</v>
      </c>
      <c r="E38" s="51" t="s">
        <v>181</v>
      </c>
      <c r="F38" s="51" t="s">
        <v>182</v>
      </c>
      <c r="G38" s="50"/>
      <c r="H38" s="51" t="s">
        <v>563</v>
      </c>
      <c r="I38" s="51" t="s">
        <v>564</v>
      </c>
      <c r="J38" s="50"/>
      <c r="K38" s="50"/>
      <c r="L38" s="50"/>
      <c r="M38" s="51" t="s">
        <v>563</v>
      </c>
      <c r="N38" s="51" t="s">
        <v>564</v>
      </c>
      <c r="O38" s="50"/>
    </row>
    <row r="39" spans="1:15" ht="76.5" x14ac:dyDescent="0.2">
      <c r="A39" s="46" t="s">
        <v>43</v>
      </c>
      <c r="B39" s="47" t="s">
        <v>522</v>
      </c>
      <c r="C39" s="48" t="s">
        <v>523</v>
      </c>
      <c r="D39" s="49" t="s">
        <v>565</v>
      </c>
      <c r="E39" s="51" t="s">
        <v>524</v>
      </c>
      <c r="F39" s="51" t="s">
        <v>525</v>
      </c>
      <c r="G39" s="50"/>
      <c r="H39" s="51" t="s">
        <v>566</v>
      </c>
      <c r="I39" s="51" t="s">
        <v>567</v>
      </c>
      <c r="J39" s="50"/>
      <c r="K39" s="50"/>
      <c r="L39" s="50"/>
      <c r="M39" s="51" t="s">
        <v>566</v>
      </c>
      <c r="N39" s="51" t="s">
        <v>567</v>
      </c>
      <c r="O39" s="50"/>
    </row>
    <row r="40" spans="1:15" ht="76.5" x14ac:dyDescent="0.2">
      <c r="A40" s="46" t="s">
        <v>76</v>
      </c>
      <c r="B40" s="47" t="s">
        <v>526</v>
      </c>
      <c r="C40" s="48" t="s">
        <v>527</v>
      </c>
      <c r="D40" s="49" t="s">
        <v>568</v>
      </c>
      <c r="E40" s="51" t="s">
        <v>528</v>
      </c>
      <c r="F40" s="51" t="s">
        <v>529</v>
      </c>
      <c r="G40" s="50"/>
      <c r="H40" s="51" t="s">
        <v>569</v>
      </c>
      <c r="I40" s="51" t="s">
        <v>570</v>
      </c>
      <c r="J40" s="50"/>
      <c r="K40" s="50"/>
      <c r="L40" s="50"/>
      <c r="M40" s="51" t="s">
        <v>569</v>
      </c>
      <c r="N40" s="51" t="s">
        <v>570</v>
      </c>
      <c r="O40" s="50"/>
    </row>
    <row r="41" spans="1:15" ht="76.5" x14ac:dyDescent="0.2">
      <c r="A41" s="46" t="s">
        <v>77</v>
      </c>
      <c r="B41" s="47" t="s">
        <v>530</v>
      </c>
      <c r="C41" s="48" t="s">
        <v>184</v>
      </c>
      <c r="D41" s="49" t="s">
        <v>571</v>
      </c>
      <c r="E41" s="51" t="s">
        <v>185</v>
      </c>
      <c r="F41" s="51" t="s">
        <v>186</v>
      </c>
      <c r="G41" s="50"/>
      <c r="H41" s="51" t="s">
        <v>572</v>
      </c>
      <c r="I41" s="51" t="s">
        <v>573</v>
      </c>
      <c r="J41" s="50"/>
      <c r="K41" s="50"/>
      <c r="L41" s="50"/>
      <c r="M41" s="51" t="s">
        <v>572</v>
      </c>
      <c r="N41" s="51" t="s">
        <v>573</v>
      </c>
      <c r="O41" s="50"/>
    </row>
    <row r="42" spans="1:15" ht="76.5" x14ac:dyDescent="0.2">
      <c r="A42" s="46" t="s">
        <v>78</v>
      </c>
      <c r="B42" s="47" t="s">
        <v>531</v>
      </c>
      <c r="C42" s="48" t="s">
        <v>188</v>
      </c>
      <c r="D42" s="49" t="s">
        <v>571</v>
      </c>
      <c r="E42" s="51" t="s">
        <v>189</v>
      </c>
      <c r="F42" s="51" t="s">
        <v>190</v>
      </c>
      <c r="G42" s="50"/>
      <c r="H42" s="51" t="s">
        <v>574</v>
      </c>
      <c r="I42" s="51" t="s">
        <v>575</v>
      </c>
      <c r="J42" s="50"/>
      <c r="K42" s="50"/>
      <c r="L42" s="50"/>
      <c r="M42" s="51" t="s">
        <v>574</v>
      </c>
      <c r="N42" s="51" t="s">
        <v>575</v>
      </c>
      <c r="O42" s="50"/>
    </row>
    <row r="43" spans="1:15" ht="76.5" x14ac:dyDescent="0.2">
      <c r="A43" s="46" t="s">
        <v>79</v>
      </c>
      <c r="B43" s="47" t="s">
        <v>532</v>
      </c>
      <c r="C43" s="48" t="s">
        <v>533</v>
      </c>
      <c r="D43" s="49" t="s">
        <v>576</v>
      </c>
      <c r="E43" s="51" t="s">
        <v>534</v>
      </c>
      <c r="F43" s="51" t="s">
        <v>535</v>
      </c>
      <c r="G43" s="50"/>
      <c r="H43" s="51" t="s">
        <v>577</v>
      </c>
      <c r="I43" s="51" t="s">
        <v>578</v>
      </c>
      <c r="J43" s="50"/>
      <c r="K43" s="50"/>
      <c r="L43" s="50"/>
      <c r="M43" s="51" t="s">
        <v>577</v>
      </c>
      <c r="N43" s="51" t="s">
        <v>578</v>
      </c>
      <c r="O43" s="50"/>
    </row>
    <row r="44" spans="1:15" ht="76.5" x14ac:dyDescent="0.2">
      <c r="A44" s="46" t="s">
        <v>80</v>
      </c>
      <c r="B44" s="47" t="s">
        <v>536</v>
      </c>
      <c r="C44" s="48" t="s">
        <v>537</v>
      </c>
      <c r="D44" s="49" t="s">
        <v>576</v>
      </c>
      <c r="E44" s="51" t="s">
        <v>538</v>
      </c>
      <c r="F44" s="51" t="s">
        <v>539</v>
      </c>
      <c r="G44" s="50"/>
      <c r="H44" s="51" t="s">
        <v>579</v>
      </c>
      <c r="I44" s="51" t="s">
        <v>580</v>
      </c>
      <c r="J44" s="50"/>
      <c r="K44" s="50"/>
      <c r="L44" s="50"/>
      <c r="M44" s="51" t="s">
        <v>579</v>
      </c>
      <c r="N44" s="51" t="s">
        <v>580</v>
      </c>
      <c r="O44" s="50"/>
    </row>
    <row r="45" spans="1:15" ht="38.25" x14ac:dyDescent="0.2">
      <c r="A45" s="447" t="s">
        <v>201</v>
      </c>
      <c r="B45" s="448"/>
      <c r="C45" s="448"/>
      <c r="D45" s="448"/>
      <c r="E45" s="448"/>
      <c r="F45" s="448"/>
      <c r="G45" s="448"/>
      <c r="H45" s="51" t="s">
        <v>581</v>
      </c>
      <c r="I45" s="51" t="s">
        <v>582</v>
      </c>
      <c r="J45" s="51" t="s">
        <v>583</v>
      </c>
      <c r="K45" s="50"/>
      <c r="L45" s="50"/>
      <c r="M45" s="51" t="s">
        <v>584</v>
      </c>
      <c r="N45" s="51" t="s">
        <v>585</v>
      </c>
      <c r="O45" s="51" t="s">
        <v>583</v>
      </c>
    </row>
    <row r="46" spans="1:15" ht="12.75" x14ac:dyDescent="0.2">
      <c r="A46" s="447" t="s">
        <v>202</v>
      </c>
      <c r="B46" s="448"/>
      <c r="C46" s="448"/>
      <c r="D46" s="448"/>
      <c r="E46" s="448"/>
      <c r="F46" s="448"/>
      <c r="G46" s="448"/>
      <c r="H46" s="50"/>
      <c r="I46" s="50"/>
      <c r="J46" s="50"/>
      <c r="K46" s="50"/>
      <c r="L46" s="50"/>
      <c r="M46" s="50"/>
      <c r="N46" s="50"/>
      <c r="O46" s="50"/>
    </row>
    <row r="47" spans="1:15" ht="25.5" x14ac:dyDescent="0.2">
      <c r="A47" s="447" t="s">
        <v>203</v>
      </c>
      <c r="B47" s="448"/>
      <c r="C47" s="448"/>
      <c r="D47" s="448"/>
      <c r="E47" s="448"/>
      <c r="F47" s="448"/>
      <c r="G47" s="448"/>
      <c r="H47" s="51" t="s">
        <v>586</v>
      </c>
      <c r="I47" s="50"/>
      <c r="J47" s="50"/>
      <c r="K47" s="50"/>
      <c r="L47" s="50"/>
      <c r="M47" s="51" t="s">
        <v>587</v>
      </c>
      <c r="N47" s="50"/>
      <c r="O47" s="50"/>
    </row>
    <row r="48" spans="1:15" ht="25.5" x14ac:dyDescent="0.2">
      <c r="A48" s="447" t="s">
        <v>204</v>
      </c>
      <c r="B48" s="448"/>
      <c r="C48" s="448"/>
      <c r="D48" s="448"/>
      <c r="E48" s="448"/>
      <c r="F48" s="448"/>
      <c r="G48" s="448"/>
      <c r="H48" s="51" t="s">
        <v>588</v>
      </c>
      <c r="I48" s="50"/>
      <c r="J48" s="50"/>
      <c r="K48" s="50"/>
      <c r="L48" s="50"/>
      <c r="M48" s="51" t="s">
        <v>589</v>
      </c>
      <c r="N48" s="50"/>
      <c r="O48" s="50"/>
    </row>
    <row r="49" spans="1:15" ht="25.5" x14ac:dyDescent="0.2">
      <c r="A49" s="447" t="s">
        <v>205</v>
      </c>
      <c r="B49" s="448"/>
      <c r="C49" s="448"/>
      <c r="D49" s="448"/>
      <c r="E49" s="448"/>
      <c r="F49" s="448"/>
      <c r="G49" s="448"/>
      <c r="H49" s="51" t="s">
        <v>590</v>
      </c>
      <c r="I49" s="50"/>
      <c r="J49" s="50"/>
      <c r="K49" s="50"/>
      <c r="L49" s="50"/>
      <c r="M49" s="51" t="s">
        <v>591</v>
      </c>
      <c r="N49" s="50"/>
      <c r="O49" s="50"/>
    </row>
    <row r="50" spans="1:15" ht="25.5" x14ac:dyDescent="0.2">
      <c r="A50" s="449" t="s">
        <v>206</v>
      </c>
      <c r="B50" s="450"/>
      <c r="C50" s="450"/>
      <c r="D50" s="450"/>
      <c r="E50" s="450"/>
      <c r="F50" s="450"/>
      <c r="G50" s="450"/>
      <c r="H50" s="58" t="s">
        <v>592</v>
      </c>
      <c r="I50" s="59"/>
      <c r="J50" s="59"/>
      <c r="K50" s="59"/>
      <c r="L50" s="59"/>
      <c r="M50" s="58" t="s">
        <v>552</v>
      </c>
      <c r="N50" s="59"/>
      <c r="O50" s="59"/>
    </row>
    <row r="51" spans="1:15" ht="25.5" x14ac:dyDescent="0.2">
      <c r="A51" s="449" t="s">
        <v>207</v>
      </c>
      <c r="B51" s="450"/>
      <c r="C51" s="450"/>
      <c r="D51" s="450"/>
      <c r="E51" s="450"/>
      <c r="F51" s="450"/>
      <c r="G51" s="450"/>
      <c r="H51" s="58" t="s">
        <v>593</v>
      </c>
      <c r="I51" s="59"/>
      <c r="J51" s="59"/>
      <c r="K51" s="59"/>
      <c r="L51" s="59"/>
      <c r="M51" s="58" t="s">
        <v>554</v>
      </c>
      <c r="N51" s="59"/>
      <c r="O51" s="59"/>
    </row>
    <row r="52" spans="1:15" ht="12.75" x14ac:dyDescent="0.2">
      <c r="A52" s="449" t="s">
        <v>26</v>
      </c>
      <c r="B52" s="450"/>
      <c r="C52" s="450"/>
      <c r="D52" s="450"/>
      <c r="E52" s="450"/>
      <c r="F52" s="450"/>
      <c r="G52" s="450"/>
      <c r="H52" s="59"/>
      <c r="I52" s="59"/>
      <c r="J52" s="59"/>
      <c r="K52" s="59"/>
      <c r="L52" s="59"/>
      <c r="M52" s="59"/>
      <c r="N52" s="59"/>
      <c r="O52" s="59"/>
    </row>
    <row r="53" spans="1:15" ht="12.75" x14ac:dyDescent="0.2">
      <c r="A53" s="447" t="s">
        <v>213</v>
      </c>
      <c r="B53" s="448"/>
      <c r="C53" s="448"/>
      <c r="D53" s="448"/>
      <c r="E53" s="448"/>
      <c r="F53" s="448"/>
      <c r="G53" s="448"/>
      <c r="H53" s="50"/>
      <c r="I53" s="50"/>
      <c r="J53" s="50"/>
      <c r="K53" s="50"/>
      <c r="L53" s="50"/>
      <c r="M53" s="50"/>
      <c r="N53" s="50"/>
      <c r="O53" s="50"/>
    </row>
    <row r="54" spans="1:15" ht="12.75" x14ac:dyDescent="0.2">
      <c r="A54" s="447" t="s">
        <v>208</v>
      </c>
      <c r="B54" s="448"/>
      <c r="C54" s="448"/>
      <c r="D54" s="448"/>
      <c r="E54" s="448"/>
      <c r="F54" s="448"/>
      <c r="G54" s="448"/>
      <c r="H54" s="50"/>
      <c r="I54" s="50"/>
      <c r="J54" s="50"/>
      <c r="K54" s="50"/>
      <c r="L54" s="50"/>
      <c r="M54" s="50"/>
      <c r="N54" s="50"/>
      <c r="O54" s="50"/>
    </row>
    <row r="55" spans="1:15" ht="25.5" x14ac:dyDescent="0.2">
      <c r="A55" s="447" t="s">
        <v>214</v>
      </c>
      <c r="B55" s="448"/>
      <c r="C55" s="448"/>
      <c r="D55" s="448"/>
      <c r="E55" s="448"/>
      <c r="F55" s="448"/>
      <c r="G55" s="448"/>
      <c r="H55" s="51" t="s">
        <v>594</v>
      </c>
      <c r="I55" s="50"/>
      <c r="J55" s="50"/>
      <c r="K55" s="50"/>
      <c r="L55" s="50"/>
      <c r="M55" s="51" t="s">
        <v>595</v>
      </c>
      <c r="N55" s="50"/>
      <c r="O55" s="50"/>
    </row>
    <row r="56" spans="1:15" ht="12.75" x14ac:dyDescent="0.2">
      <c r="A56" s="447" t="s">
        <v>215</v>
      </c>
      <c r="B56" s="448"/>
      <c r="C56" s="448"/>
      <c r="D56" s="448"/>
      <c r="E56" s="448"/>
      <c r="F56" s="448"/>
      <c r="G56" s="448"/>
      <c r="H56" s="50"/>
      <c r="I56" s="50"/>
      <c r="J56" s="50"/>
      <c r="K56" s="50"/>
      <c r="L56" s="50"/>
      <c r="M56" s="51" t="s">
        <v>596</v>
      </c>
      <c r="N56" s="50"/>
      <c r="O56" s="50"/>
    </row>
    <row r="57" spans="1:15" ht="25.5" x14ac:dyDescent="0.2">
      <c r="A57" s="449" t="s">
        <v>216</v>
      </c>
      <c r="B57" s="450"/>
      <c r="C57" s="450"/>
      <c r="D57" s="450"/>
      <c r="E57" s="450"/>
      <c r="F57" s="450"/>
      <c r="G57" s="450"/>
      <c r="H57" s="58" t="s">
        <v>594</v>
      </c>
      <c r="I57" s="59"/>
      <c r="J57" s="59"/>
      <c r="K57" s="59"/>
      <c r="L57" s="59"/>
      <c r="M57" s="58" t="s">
        <v>596</v>
      </c>
      <c r="N57" s="59"/>
      <c r="O57" s="59"/>
    </row>
    <row r="58" spans="1:15" s="1" customFormat="1" ht="15" customHeight="1" x14ac:dyDescent="0.2">
      <c r="A58" s="429" t="s">
        <v>217</v>
      </c>
      <c r="B58" s="430"/>
      <c r="C58" s="430"/>
      <c r="D58" s="430"/>
      <c r="E58" s="430"/>
      <c r="F58" s="430"/>
      <c r="G58" s="431"/>
      <c r="H58" s="60"/>
      <c r="I58" s="61"/>
      <c r="J58" s="61"/>
      <c r="K58" s="61"/>
      <c r="L58" s="61"/>
      <c r="M58" s="62">
        <f>ROUND(M57/100*0.96,0)</f>
        <v>27958</v>
      </c>
      <c r="N58" s="61"/>
      <c r="O58" s="61"/>
    </row>
    <row r="59" spans="1:15" s="1" customFormat="1" ht="15" customHeight="1" x14ac:dyDescent="0.2">
      <c r="A59" s="429" t="s">
        <v>36</v>
      </c>
      <c r="B59" s="430"/>
      <c r="C59" s="430"/>
      <c r="D59" s="430"/>
      <c r="E59" s="430"/>
      <c r="F59" s="430"/>
      <c r="G59" s="431"/>
      <c r="H59" s="60"/>
      <c r="I59" s="61"/>
      <c r="J59" s="61"/>
      <c r="K59" s="61"/>
      <c r="L59" s="61"/>
      <c r="M59" s="63">
        <f>M57+M58</f>
        <v>2940251</v>
      </c>
      <c r="N59" s="61"/>
      <c r="O59" s="61"/>
    </row>
    <row r="60" spans="1:15" s="1" customFormat="1" ht="15" customHeight="1" x14ac:dyDescent="0.2">
      <c r="A60" s="429" t="s">
        <v>218</v>
      </c>
      <c r="B60" s="430"/>
      <c r="C60" s="430"/>
      <c r="D60" s="430"/>
      <c r="E60" s="430"/>
      <c r="F60" s="430"/>
      <c r="G60" s="431"/>
      <c r="H60" s="60"/>
      <c r="I60" s="61"/>
      <c r="J60" s="61"/>
      <c r="K60" s="61"/>
      <c r="L60" s="61"/>
      <c r="M60" s="62">
        <f>ROUND(M59*0.9833333333,0)</f>
        <v>2891247</v>
      </c>
      <c r="N60" s="61"/>
      <c r="O60" s="61"/>
    </row>
    <row r="61" spans="1:15" s="1" customFormat="1" ht="15" customHeight="1" x14ac:dyDescent="0.2">
      <c r="A61" s="429" t="s">
        <v>219</v>
      </c>
      <c r="B61" s="430"/>
      <c r="C61" s="430"/>
      <c r="D61" s="430"/>
      <c r="E61" s="430"/>
      <c r="F61" s="430"/>
      <c r="G61" s="431"/>
      <c r="H61" s="60"/>
      <c r="I61" s="61"/>
      <c r="J61" s="61"/>
      <c r="K61" s="61"/>
      <c r="L61" s="61"/>
      <c r="M61" s="62">
        <f>ROUND(M60*1.25085,0)</f>
        <v>3616516</v>
      </c>
      <c r="N61" s="61"/>
      <c r="O61" s="61"/>
    </row>
    <row r="62" spans="1:15" s="1" customFormat="1" ht="15" customHeight="1" x14ac:dyDescent="0.2">
      <c r="A62" s="429" t="s">
        <v>220</v>
      </c>
      <c r="B62" s="430"/>
      <c r="C62" s="430"/>
      <c r="D62" s="430"/>
      <c r="E62" s="430"/>
      <c r="F62" s="430"/>
      <c r="G62" s="431"/>
      <c r="H62" s="60"/>
      <c r="I62" s="61"/>
      <c r="J62" s="61"/>
      <c r="K62" s="61"/>
      <c r="L62" s="61"/>
      <c r="M62" s="62">
        <f>ROUND(M61*1.07521,0)</f>
        <v>3888514</v>
      </c>
      <c r="N62" s="61"/>
      <c r="O62" s="61"/>
    </row>
    <row r="63" spans="1:15" s="1" customFormat="1" ht="15" customHeight="1" x14ac:dyDescent="0.2">
      <c r="A63" s="429" t="s">
        <v>221</v>
      </c>
      <c r="B63" s="430"/>
      <c r="C63" s="430"/>
      <c r="D63" s="430"/>
      <c r="E63" s="430"/>
      <c r="F63" s="430"/>
      <c r="G63" s="431"/>
      <c r="H63" s="60"/>
      <c r="I63" s="61"/>
      <c r="J63" s="61"/>
      <c r="K63" s="61"/>
      <c r="L63" s="61"/>
      <c r="M63" s="62">
        <f>ROUND(M62*1.0338,0)</f>
        <v>4019946</v>
      </c>
      <c r="N63" s="61"/>
      <c r="O63" s="61"/>
    </row>
    <row r="64" spans="1:15" s="1" customFormat="1" ht="15" customHeight="1" x14ac:dyDescent="0.2">
      <c r="A64" s="429" t="s">
        <v>37</v>
      </c>
      <c r="B64" s="430"/>
      <c r="C64" s="430"/>
      <c r="D64" s="430"/>
      <c r="E64" s="430"/>
      <c r="F64" s="430"/>
      <c r="G64" s="431"/>
      <c r="H64" s="60"/>
      <c r="I64" s="61"/>
      <c r="J64" s="61"/>
      <c r="K64" s="61"/>
      <c r="L64" s="61"/>
      <c r="M64" s="62">
        <f>M63</f>
        <v>4019946</v>
      </c>
      <c r="N64" s="61"/>
      <c r="O64" s="61"/>
    </row>
    <row r="65" spans="1:17" s="1" customFormat="1" ht="15" customHeight="1" x14ac:dyDescent="0.2">
      <c r="A65" s="429" t="s">
        <v>38</v>
      </c>
      <c r="B65" s="430"/>
      <c r="C65" s="430"/>
      <c r="D65" s="430"/>
      <c r="E65" s="430"/>
      <c r="F65" s="430"/>
      <c r="G65" s="431"/>
      <c r="H65" s="60"/>
      <c r="I65" s="61"/>
      <c r="J65" s="61"/>
      <c r="K65" s="61"/>
      <c r="L65" s="61"/>
      <c r="M65" s="64">
        <f>ROUND(M64*0.2,2)</f>
        <v>803989.2</v>
      </c>
      <c r="N65" s="61"/>
      <c r="O65" s="61"/>
    </row>
    <row r="66" spans="1:17" s="1" customFormat="1" ht="15" customHeight="1" x14ac:dyDescent="0.2">
      <c r="A66" s="429" t="s">
        <v>39</v>
      </c>
      <c r="B66" s="430"/>
      <c r="C66" s="430"/>
      <c r="D66" s="430"/>
      <c r="E66" s="430"/>
      <c r="F66" s="430"/>
      <c r="G66" s="431"/>
      <c r="H66" s="60"/>
      <c r="I66" s="61"/>
      <c r="J66" s="61"/>
      <c r="K66" s="61"/>
      <c r="L66" s="61"/>
      <c r="M66" s="64">
        <f>M64+M65</f>
        <v>4823935.2</v>
      </c>
      <c r="N66" s="61"/>
      <c r="O66" s="61"/>
      <c r="Q66" s="278"/>
    </row>
    <row r="67" spans="1:17" s="1" customFormat="1" ht="12.75" x14ac:dyDescent="0.2">
      <c r="B67" s="65"/>
      <c r="C67" s="66"/>
      <c r="D67" s="67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7" s="1" customFormat="1" ht="12.75" x14ac:dyDescent="0.2">
      <c r="B68" s="65"/>
      <c r="C68" s="66"/>
      <c r="D68" s="67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7" s="1" customFormat="1" ht="12.75" x14ac:dyDescent="0.2">
      <c r="B69" s="277"/>
      <c r="C69" s="69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7" s="1" customFormat="1" ht="11.25" customHeight="1" x14ac:dyDescent="0.2">
      <c r="C70" s="27"/>
    </row>
    <row r="71" spans="1:17" s="1" customFormat="1" ht="11.25" customHeight="1" x14ac:dyDescent="0.2">
      <c r="C71" s="27"/>
    </row>
    <row r="72" spans="1:17" s="4" customFormat="1" ht="12.75" x14ac:dyDescent="0.2">
      <c r="A72" s="2"/>
      <c r="B72" s="11" t="s">
        <v>27</v>
      </c>
      <c r="C72" s="70" t="s">
        <v>222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8"/>
      <c r="O72" s="8"/>
    </row>
    <row r="73" spans="1:17" s="8" customFormat="1" ht="12.75" x14ac:dyDescent="0.2">
      <c r="A73" s="5"/>
      <c r="B73" s="6"/>
      <c r="C73" s="432" t="s">
        <v>40</v>
      </c>
      <c r="D73" s="432"/>
      <c r="E73" s="432"/>
      <c r="F73" s="432"/>
      <c r="G73" s="432"/>
      <c r="H73" s="432"/>
      <c r="I73" s="432"/>
      <c r="J73" s="432"/>
      <c r="K73" s="432"/>
      <c r="L73" s="432"/>
      <c r="M73" s="432"/>
      <c r="N73" s="7"/>
      <c r="O73" s="1"/>
    </row>
    <row r="74" spans="1:17" s="1" customFormat="1" ht="12.75" x14ac:dyDescent="0.2">
      <c r="A74" s="5"/>
      <c r="B74" s="6"/>
      <c r="C74" s="71"/>
      <c r="D74" s="15"/>
      <c r="E74" s="9"/>
      <c r="F74" s="9"/>
      <c r="G74" s="9"/>
      <c r="H74" s="9"/>
      <c r="I74" s="10"/>
      <c r="J74" s="10"/>
      <c r="K74" s="10"/>
      <c r="L74" s="10"/>
      <c r="M74" s="9"/>
      <c r="N74" s="5"/>
    </row>
    <row r="75" spans="1:17" s="1" customFormat="1" ht="12.75" x14ac:dyDescent="0.2">
      <c r="A75" s="2"/>
      <c r="B75" s="11" t="s">
        <v>41</v>
      </c>
      <c r="C75" s="72"/>
      <c r="D75" s="15"/>
      <c r="E75" s="11"/>
      <c r="F75" s="11"/>
      <c r="G75" s="11"/>
      <c r="H75" s="11"/>
      <c r="I75" s="11"/>
      <c r="J75" s="11"/>
      <c r="K75" s="11"/>
      <c r="L75" s="11"/>
      <c r="M75" s="9"/>
      <c r="N75" s="5"/>
    </row>
    <row r="76" spans="1:17" s="1" customFormat="1" ht="12.75" x14ac:dyDescent="0.2">
      <c r="A76" s="5"/>
      <c r="B76" s="6"/>
      <c r="C76" s="71"/>
      <c r="D76" s="15"/>
      <c r="E76" s="9"/>
      <c r="F76" s="9"/>
      <c r="G76" s="9"/>
      <c r="H76" s="9"/>
      <c r="I76" s="10"/>
      <c r="J76" s="10"/>
      <c r="K76" s="10"/>
      <c r="L76" s="10"/>
      <c r="M76" s="9"/>
      <c r="N76" s="5"/>
    </row>
    <row r="77" spans="1:17" s="1" customFormat="1" ht="24.75" customHeight="1" x14ac:dyDescent="0.2">
      <c r="B77" s="73"/>
      <c r="C77" s="74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7" s="1" customFormat="1" ht="12.75" x14ac:dyDescent="0.2">
      <c r="A78" s="2"/>
      <c r="B78" s="11" t="s">
        <v>28</v>
      </c>
      <c r="C78" s="75" t="s">
        <v>223</v>
      </c>
      <c r="D78" s="12"/>
      <c r="E78" s="12"/>
      <c r="F78" s="12"/>
      <c r="G78" s="12"/>
      <c r="H78" s="12"/>
      <c r="I78" s="12"/>
      <c r="J78" s="12" t="s">
        <v>42</v>
      </c>
      <c r="K78" s="12"/>
      <c r="L78" s="12"/>
      <c r="M78" s="76"/>
      <c r="N78" s="77"/>
    </row>
    <row r="79" spans="1:17" s="1" customFormat="1" ht="12.75" x14ac:dyDescent="0.2">
      <c r="A79" s="5"/>
      <c r="B79" s="6"/>
      <c r="C79" s="433" t="s">
        <v>40</v>
      </c>
      <c r="D79" s="433"/>
      <c r="E79" s="433"/>
      <c r="F79" s="433"/>
      <c r="G79" s="433"/>
      <c r="H79" s="433"/>
      <c r="I79" s="433"/>
      <c r="J79" s="433"/>
      <c r="K79" s="433"/>
      <c r="L79" s="433"/>
      <c r="M79" s="433"/>
      <c r="N79" s="7"/>
    </row>
    <row r="80" spans="1:17" s="1" customFormat="1" ht="12.75" x14ac:dyDescent="0.2">
      <c r="A80" s="5"/>
      <c r="B80" s="6"/>
      <c r="C80" s="71"/>
    </row>
    <row r="81" spans="1:16" s="1" customFormat="1" ht="12.75" x14ac:dyDescent="0.2">
      <c r="A81" s="2"/>
      <c r="B81" s="11" t="s">
        <v>41</v>
      </c>
      <c r="C81" s="72"/>
    </row>
    <row r="82" spans="1:16" s="79" customFormat="1" ht="12.75" x14ac:dyDescent="0.2">
      <c r="A82" s="65"/>
      <c r="B82" s="65"/>
      <c r="C82" s="66"/>
      <c r="D82" s="67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78"/>
    </row>
    <row r="83" spans="1:16" s="279" customFormat="1" ht="12" x14ac:dyDescent="0.2">
      <c r="A83" s="274"/>
      <c r="B83" s="274"/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</row>
    <row r="108" ht="12" x14ac:dyDescent="0.2"/>
    <row r="185" ht="12" x14ac:dyDescent="0.2"/>
  </sheetData>
  <mergeCells count="67">
    <mergeCell ref="A64:G64"/>
    <mergeCell ref="A65:G65"/>
    <mergeCell ref="A66:G66"/>
    <mergeCell ref="C73:M73"/>
    <mergeCell ref="C79:M79"/>
    <mergeCell ref="A58:G58"/>
    <mergeCell ref="A59:G59"/>
    <mergeCell ref="A60:G60"/>
    <mergeCell ref="A61:G61"/>
    <mergeCell ref="A62:G62"/>
    <mergeCell ref="A63:G63"/>
    <mergeCell ref="M11:O11"/>
    <mergeCell ref="K12:L12"/>
    <mergeCell ref="M12:O12"/>
    <mergeCell ref="M13:O13"/>
    <mergeCell ref="I15:K15"/>
    <mergeCell ref="M15:O15"/>
    <mergeCell ref="A55:G55"/>
    <mergeCell ref="A56:G56"/>
    <mergeCell ref="A57:G57"/>
    <mergeCell ref="A46:G46"/>
    <mergeCell ref="A27:A29"/>
    <mergeCell ref="B27:B29"/>
    <mergeCell ref="C27:C29"/>
    <mergeCell ref="D27:D29"/>
    <mergeCell ref="E27:G27"/>
    <mergeCell ref="E28:E29"/>
    <mergeCell ref="H28:H29"/>
    <mergeCell ref="M28:M29"/>
    <mergeCell ref="A31:O31"/>
    <mergeCell ref="A45:G45"/>
    <mergeCell ref="A53:G53"/>
    <mergeCell ref="A54:G54"/>
    <mergeCell ref="A47:G47"/>
    <mergeCell ref="A48:G48"/>
    <mergeCell ref="A49:G49"/>
    <mergeCell ref="A50:G50"/>
    <mergeCell ref="A51:G51"/>
    <mergeCell ref="A52:G52"/>
    <mergeCell ref="M2:O2"/>
    <mergeCell ref="M3:O3"/>
    <mergeCell ref="M4:O4"/>
    <mergeCell ref="C5:K5"/>
    <mergeCell ref="M5:O5"/>
    <mergeCell ref="M19:O19"/>
    <mergeCell ref="C10:K10"/>
    <mergeCell ref="M10:O10"/>
    <mergeCell ref="H27:J27"/>
    <mergeCell ref="K27:L27"/>
    <mergeCell ref="M27:O27"/>
    <mergeCell ref="L22:L23"/>
    <mergeCell ref="M22:M23"/>
    <mergeCell ref="N22:O22"/>
    <mergeCell ref="A11:B11"/>
    <mergeCell ref="C11:K11"/>
    <mergeCell ref="M6:O6"/>
    <mergeCell ref="A7:B7"/>
    <mergeCell ref="I17:K17"/>
    <mergeCell ref="M17:O17"/>
    <mergeCell ref="A9:B9"/>
    <mergeCell ref="C9:K9"/>
    <mergeCell ref="M9:O9"/>
    <mergeCell ref="C7:K7"/>
    <mergeCell ref="M7:O7"/>
    <mergeCell ref="A8:B8"/>
    <mergeCell ref="C8:K8"/>
    <mergeCell ref="M8:O8"/>
  </mergeCells>
  <pageMargins left="0.23622047901153601" right="0.23622047901153601" top="0.74803149700164795" bottom="0.74803149700164795" header="0.31496062874794001" footer="0.31496062874794001"/>
  <pageSetup paperSize="9" scale="24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O36"/>
  <sheetViews>
    <sheetView view="pageBreakPreview" topLeftCell="P10" zoomScale="70" zoomScaleNormal="60" zoomScaleSheetLayoutView="70" workbookViewId="0">
      <selection activeCell="Z17" sqref="Z17"/>
    </sheetView>
  </sheetViews>
  <sheetFormatPr defaultColWidth="9.140625" defaultRowHeight="15" x14ac:dyDescent="0.2"/>
  <cols>
    <col min="1" max="1" width="6.85546875" style="188" customWidth="1"/>
    <col min="2" max="2" width="27.28515625" style="188" customWidth="1"/>
    <col min="3" max="3" width="21.140625" style="188" customWidth="1"/>
    <col min="4" max="4" width="11.5703125" style="188" customWidth="1"/>
    <col min="5" max="5" width="17.42578125" style="188" customWidth="1"/>
    <col min="6" max="6" width="18.7109375" style="188" customWidth="1"/>
    <col min="7" max="7" width="22.140625" style="188" customWidth="1"/>
    <col min="8" max="11" width="19.7109375" style="189" customWidth="1"/>
    <col min="12" max="17" width="19.7109375" style="188" customWidth="1"/>
    <col min="18" max="32" width="19.7109375" style="190" customWidth="1"/>
    <col min="33" max="33" width="22.5703125" style="190" customWidth="1"/>
    <col min="34" max="34" width="15.28515625" style="188" customWidth="1"/>
    <col min="35" max="35" width="11.7109375" style="188" customWidth="1"/>
    <col min="36" max="36" width="19.28515625" style="188" customWidth="1"/>
    <col min="37" max="37" width="19.5703125" style="188" customWidth="1"/>
    <col min="38" max="38" width="23.7109375" style="188" customWidth="1"/>
    <col min="39" max="39" width="12" style="188" bestFit="1" customWidth="1"/>
    <col min="40" max="16384" width="9.140625" style="188"/>
  </cols>
  <sheetData>
    <row r="2" spans="1:41" ht="26.25" customHeight="1" x14ac:dyDescent="0.2">
      <c r="C2" s="491" t="s">
        <v>288</v>
      </c>
      <c r="D2" s="491"/>
      <c r="E2" s="491"/>
      <c r="F2" s="491"/>
      <c r="G2" s="491"/>
      <c r="H2" s="491"/>
    </row>
    <row r="3" spans="1:41" ht="42" customHeight="1" x14ac:dyDescent="0.2">
      <c r="C3" s="492" t="s">
        <v>289</v>
      </c>
      <c r="D3" s="492"/>
      <c r="E3" s="492"/>
      <c r="F3" s="492"/>
      <c r="G3" s="492"/>
      <c r="H3" s="492"/>
      <c r="I3" s="492"/>
    </row>
    <row r="5" spans="1:41" x14ac:dyDescent="0.2">
      <c r="A5" s="188" t="s">
        <v>290</v>
      </c>
      <c r="K5" s="191"/>
      <c r="M5" s="192"/>
      <c r="O5" s="192"/>
      <c r="Q5" s="192"/>
      <c r="R5" s="193"/>
      <c r="S5" s="193"/>
      <c r="T5" s="193"/>
      <c r="U5" s="193"/>
      <c r="V5" s="193"/>
      <c r="AF5" s="193" t="s">
        <v>291</v>
      </c>
      <c r="AG5" s="193"/>
    </row>
    <row r="6" spans="1:41" x14ac:dyDescent="0.2">
      <c r="I6" s="194" t="s">
        <v>281</v>
      </c>
      <c r="J6" s="194"/>
      <c r="K6" s="194"/>
      <c r="L6" s="195"/>
      <c r="M6" s="195"/>
      <c r="N6" s="195"/>
      <c r="O6" s="195"/>
      <c r="P6" s="195"/>
      <c r="Q6" s="195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</row>
    <row r="8" spans="1:41" ht="18.75" customHeight="1" x14ac:dyDescent="0.2">
      <c r="A8" s="493" t="s">
        <v>292</v>
      </c>
      <c r="B8" s="493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93"/>
      <c r="V8" s="493"/>
      <c r="W8" s="493"/>
      <c r="X8" s="493"/>
      <c r="Y8" s="493"/>
      <c r="Z8" s="493"/>
      <c r="AA8" s="493"/>
      <c r="AB8" s="493"/>
      <c r="AC8" s="493"/>
      <c r="AD8" s="493"/>
      <c r="AE8" s="493"/>
      <c r="AF8" s="493"/>
      <c r="AG8" s="493"/>
    </row>
    <row r="9" spans="1:41" x14ac:dyDescent="0.2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3"/>
      <c r="AB9" s="493"/>
      <c r="AC9" s="493"/>
      <c r="AD9" s="493"/>
      <c r="AE9" s="493"/>
      <c r="AF9" s="493"/>
      <c r="AG9" s="493"/>
    </row>
    <row r="10" spans="1:41" x14ac:dyDescent="0.2">
      <c r="A10" s="197"/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</row>
    <row r="11" spans="1:41" ht="66" customHeight="1" x14ac:dyDescent="0.2">
      <c r="A11" s="494" t="s">
        <v>230</v>
      </c>
      <c r="B11" s="494" t="s">
        <v>293</v>
      </c>
      <c r="C11" s="494" t="s">
        <v>294</v>
      </c>
      <c r="D11" s="494" t="s">
        <v>295</v>
      </c>
      <c r="E11" s="494" t="s">
        <v>296</v>
      </c>
      <c r="F11" s="494" t="s">
        <v>297</v>
      </c>
      <c r="G11" s="494"/>
      <c r="H11" s="481" t="s">
        <v>298</v>
      </c>
      <c r="I11" s="481"/>
      <c r="J11" s="481" t="s">
        <v>299</v>
      </c>
      <c r="K11" s="481"/>
      <c r="L11" s="481" t="s">
        <v>300</v>
      </c>
      <c r="M11" s="481"/>
      <c r="N11" s="481" t="s">
        <v>301</v>
      </c>
      <c r="O11" s="481"/>
      <c r="P11" s="481" t="s">
        <v>302</v>
      </c>
      <c r="Q11" s="481"/>
      <c r="R11" s="481" t="s">
        <v>303</v>
      </c>
      <c r="S11" s="481"/>
      <c r="T11" s="481" t="s">
        <v>304</v>
      </c>
      <c r="U11" s="481"/>
      <c r="V11" s="481" t="s">
        <v>305</v>
      </c>
      <c r="W11" s="481"/>
      <c r="X11" s="481" t="s">
        <v>306</v>
      </c>
      <c r="Y11" s="481"/>
      <c r="Z11" s="495" t="s">
        <v>325</v>
      </c>
      <c r="AA11" s="496"/>
      <c r="AB11" s="481" t="s">
        <v>326</v>
      </c>
      <c r="AC11" s="481"/>
      <c r="AD11" s="481" t="s">
        <v>330</v>
      </c>
      <c r="AE11" s="481"/>
      <c r="AF11" s="481" t="s">
        <v>307</v>
      </c>
      <c r="AG11" s="481"/>
    </row>
    <row r="12" spans="1:41" ht="34.5" customHeight="1" x14ac:dyDescent="0.2">
      <c r="A12" s="494"/>
      <c r="B12" s="494"/>
      <c r="C12" s="494"/>
      <c r="D12" s="494"/>
      <c r="E12" s="494"/>
      <c r="F12" s="198" t="s">
        <v>308</v>
      </c>
      <c r="G12" s="198" t="s">
        <v>309</v>
      </c>
      <c r="H12" s="199" t="s">
        <v>308</v>
      </c>
      <c r="I12" s="199" t="s">
        <v>309</v>
      </c>
      <c r="J12" s="199" t="s">
        <v>308</v>
      </c>
      <c r="K12" s="199" t="s">
        <v>309</v>
      </c>
      <c r="L12" s="200" t="s">
        <v>308</v>
      </c>
      <c r="M12" s="200" t="s">
        <v>309</v>
      </c>
      <c r="N12" s="200" t="s">
        <v>308</v>
      </c>
      <c r="O12" s="200" t="s">
        <v>309</v>
      </c>
      <c r="P12" s="200" t="s">
        <v>308</v>
      </c>
      <c r="Q12" s="200" t="s">
        <v>309</v>
      </c>
      <c r="R12" s="199" t="s">
        <v>308</v>
      </c>
      <c r="S12" s="199" t="s">
        <v>309</v>
      </c>
      <c r="T12" s="199" t="s">
        <v>308</v>
      </c>
      <c r="U12" s="199" t="s">
        <v>309</v>
      </c>
      <c r="V12" s="199" t="s">
        <v>308</v>
      </c>
      <c r="W12" s="199" t="s">
        <v>309</v>
      </c>
      <c r="X12" s="199" t="s">
        <v>308</v>
      </c>
      <c r="Y12" s="199" t="s">
        <v>309</v>
      </c>
      <c r="Z12" s="199"/>
      <c r="AA12" s="199"/>
      <c r="AB12" s="199"/>
      <c r="AC12" s="199"/>
      <c r="AD12" s="199"/>
      <c r="AE12" s="199"/>
      <c r="AF12" s="199" t="s">
        <v>308</v>
      </c>
      <c r="AG12" s="199" t="s">
        <v>309</v>
      </c>
    </row>
    <row r="13" spans="1:41" ht="58.5" customHeight="1" x14ac:dyDescent="0.25">
      <c r="A13" s="200">
        <v>1</v>
      </c>
      <c r="B13" s="201" t="s">
        <v>310</v>
      </c>
      <c r="C13" s="200" t="s">
        <v>311</v>
      </c>
      <c r="D13" s="200" t="s">
        <v>224</v>
      </c>
      <c r="E13" s="202">
        <v>43001</v>
      </c>
      <c r="F13" s="203">
        <v>162.333</v>
      </c>
      <c r="G13" s="202">
        <f>E13*F13</f>
        <v>6980481.3300000001</v>
      </c>
      <c r="H13" s="204">
        <v>56.175634000000002</v>
      </c>
      <c r="I13" s="205">
        <f>E13*H13</f>
        <v>2415608.44</v>
      </c>
      <c r="J13" s="204">
        <v>39.474451999999999</v>
      </c>
      <c r="K13" s="205">
        <f>E13*J13</f>
        <v>1697440.91</v>
      </c>
      <c r="L13" s="206">
        <f>21.136</f>
        <v>21.135999999999999</v>
      </c>
      <c r="M13" s="207">
        <f>E13*L13</f>
        <v>908869.14</v>
      </c>
      <c r="N13" s="206"/>
      <c r="O13" s="207">
        <f>E13*N13</f>
        <v>0</v>
      </c>
      <c r="P13" s="206">
        <f>45.54696</f>
        <v>45.546959999999999</v>
      </c>
      <c r="Q13" s="208">
        <f>E13*P13</f>
        <v>1958564.83</v>
      </c>
      <c r="R13" s="209"/>
      <c r="S13" s="210"/>
      <c r="T13" s="210"/>
      <c r="U13" s="210"/>
      <c r="V13" s="210"/>
      <c r="W13" s="210"/>
      <c r="X13" s="210"/>
      <c r="Y13" s="210"/>
      <c r="Z13" s="209"/>
      <c r="AA13" s="210"/>
      <c r="AB13" s="209"/>
      <c r="AC13" s="210"/>
      <c r="AD13" s="209"/>
      <c r="AE13" s="210"/>
      <c r="AF13" s="211">
        <f>F13-H13-P13-T13-V13-X13-AD13-J13-L13-N13</f>
        <v>0</v>
      </c>
      <c r="AG13" s="210">
        <v>0</v>
      </c>
      <c r="AH13" s="212" t="s">
        <v>312</v>
      </c>
      <c r="AI13" s="212" t="s">
        <v>313</v>
      </c>
      <c r="AJ13" s="213"/>
      <c r="AK13" s="212"/>
      <c r="AL13" s="212"/>
      <c r="AM13" s="212"/>
      <c r="AN13" s="212"/>
      <c r="AO13" s="212"/>
    </row>
    <row r="14" spans="1:41" ht="58.5" customHeight="1" x14ac:dyDescent="0.25">
      <c r="A14" s="200">
        <v>2</v>
      </c>
      <c r="B14" s="201" t="s">
        <v>314</v>
      </c>
      <c r="C14" s="200" t="s">
        <v>311</v>
      </c>
      <c r="D14" s="200" t="s">
        <v>224</v>
      </c>
      <c r="E14" s="202">
        <v>43001</v>
      </c>
      <c r="F14" s="214">
        <v>65.281999999999996</v>
      </c>
      <c r="G14" s="202">
        <f>E14*F14</f>
        <v>2807191.28</v>
      </c>
      <c r="H14" s="215">
        <v>63.835433999999999</v>
      </c>
      <c r="I14" s="205">
        <f>E14*H14</f>
        <v>2744987.5</v>
      </c>
      <c r="J14" s="210"/>
      <c r="K14" s="205">
        <f>E14*J14</f>
        <v>0</v>
      </c>
      <c r="L14" s="216">
        <v>1.4470000000000001</v>
      </c>
      <c r="M14" s="207">
        <f t="shared" ref="M14:M19" si="0">E14*L14</f>
        <v>62222.45</v>
      </c>
      <c r="N14" s="217"/>
      <c r="O14" s="207">
        <f t="shared" ref="O14:O19" si="1">E14*N14</f>
        <v>0</v>
      </c>
      <c r="P14" s="217"/>
      <c r="Q14" s="208">
        <f t="shared" ref="Q14:Q19" si="2">E14*P14</f>
        <v>0</v>
      </c>
      <c r="R14" s="218"/>
      <c r="S14" s="205"/>
      <c r="T14" s="205"/>
      <c r="U14" s="205"/>
      <c r="V14" s="205"/>
      <c r="W14" s="210"/>
      <c r="X14" s="210"/>
      <c r="Y14" s="210"/>
      <c r="Z14" s="210"/>
      <c r="AA14" s="210"/>
      <c r="AB14" s="210"/>
      <c r="AC14" s="210"/>
      <c r="AD14" s="210"/>
      <c r="AE14" s="210"/>
      <c r="AF14" s="211">
        <f>F14-H14-P14-T14-V14-X14-AD14-J14-L14-N14</f>
        <v>0</v>
      </c>
      <c r="AG14" s="210">
        <v>0</v>
      </c>
      <c r="AH14" s="219" t="s">
        <v>315</v>
      </c>
      <c r="AI14" s="212"/>
      <c r="AJ14" s="213"/>
      <c r="AK14" s="213"/>
      <c r="AL14" s="212"/>
      <c r="AM14" s="212"/>
      <c r="AN14" s="212"/>
      <c r="AO14" s="212"/>
    </row>
    <row r="15" spans="1:41" s="227" customFormat="1" ht="86.25" customHeight="1" x14ac:dyDescent="0.25">
      <c r="A15" s="199">
        <v>3</v>
      </c>
      <c r="B15" s="220" t="s">
        <v>316</v>
      </c>
      <c r="C15" s="199" t="s">
        <v>317</v>
      </c>
      <c r="D15" s="199" t="s">
        <v>224</v>
      </c>
      <c r="E15" s="210">
        <f>E14</f>
        <v>43001</v>
      </c>
      <c r="F15" s="221">
        <v>57.976999999999997</v>
      </c>
      <c r="G15" s="210">
        <f>E15*F15</f>
        <v>2493068.98</v>
      </c>
      <c r="H15" s="222"/>
      <c r="I15" s="205">
        <f t="shared" ref="I15:I19" si="3">E15*H15</f>
        <v>0</v>
      </c>
      <c r="J15" s="223"/>
      <c r="K15" s="205">
        <f>H15*I15</f>
        <v>0</v>
      </c>
      <c r="L15" s="215">
        <f>24.292461-L13</f>
        <v>3.1564610000000002</v>
      </c>
      <c r="M15" s="205">
        <f t="shared" si="0"/>
        <v>135730.98000000001</v>
      </c>
      <c r="N15" s="223"/>
      <c r="O15" s="205">
        <f t="shared" si="1"/>
        <v>0</v>
      </c>
      <c r="P15" s="223"/>
      <c r="Q15" s="205">
        <f t="shared" si="2"/>
        <v>0</v>
      </c>
      <c r="R15" s="218">
        <v>5.3789999999999996</v>
      </c>
      <c r="S15" s="205">
        <f>E15*R15</f>
        <v>231302.38</v>
      </c>
      <c r="T15" s="218">
        <v>24.166</v>
      </c>
      <c r="U15" s="205">
        <f>E15*T15</f>
        <v>1039162.17</v>
      </c>
      <c r="V15" s="209">
        <v>25.276</v>
      </c>
      <c r="W15" s="210">
        <f>E15*V15</f>
        <v>1086893.28</v>
      </c>
      <c r="X15" s="210"/>
      <c r="Y15" s="210"/>
      <c r="Z15" s="210"/>
      <c r="AA15" s="210"/>
      <c r="AB15" s="210"/>
      <c r="AC15" s="210"/>
      <c r="AD15" s="210"/>
      <c r="AE15" s="210"/>
      <c r="AF15" s="211">
        <f>F15-H15-P15-T15-V15-X15-AD15-J15-L15-N15-R15</f>
        <v>0</v>
      </c>
      <c r="AG15" s="210">
        <v>0</v>
      </c>
      <c r="AH15" s="224"/>
      <c r="AI15" s="225"/>
      <c r="AJ15" s="213"/>
      <c r="AK15" s="213"/>
      <c r="AL15" s="226"/>
      <c r="AM15" s="225"/>
      <c r="AN15" s="225"/>
      <c r="AO15" s="225"/>
    </row>
    <row r="16" spans="1:41" s="227" customFormat="1" ht="58.5" customHeight="1" x14ac:dyDescent="0.25">
      <c r="A16" s="199">
        <v>4</v>
      </c>
      <c r="B16" s="220" t="s">
        <v>318</v>
      </c>
      <c r="C16" s="199" t="s">
        <v>317</v>
      </c>
      <c r="D16" s="199" t="s">
        <v>224</v>
      </c>
      <c r="E16" s="210">
        <f>E15</f>
        <v>43001</v>
      </c>
      <c r="F16" s="221">
        <v>232.56</v>
      </c>
      <c r="G16" s="210">
        <f t="shared" ref="G16" si="4">E16*F16</f>
        <v>10000312.560000001</v>
      </c>
      <c r="H16" s="210"/>
      <c r="I16" s="205">
        <f t="shared" si="3"/>
        <v>0</v>
      </c>
      <c r="J16" s="210"/>
      <c r="K16" s="205">
        <f>E16*J16</f>
        <v>0</v>
      </c>
      <c r="L16" s="215">
        <f>94.486656+10.9585-L14</f>
        <v>103.99815599999999</v>
      </c>
      <c r="M16" s="205">
        <f t="shared" si="0"/>
        <v>4472024.71</v>
      </c>
      <c r="N16" s="215">
        <f>99.14766</f>
        <v>99.147660000000002</v>
      </c>
      <c r="O16" s="205">
        <f t="shared" si="1"/>
        <v>4263448.53</v>
      </c>
      <c r="P16" s="210"/>
      <c r="Q16" s="205">
        <f t="shared" si="2"/>
        <v>0</v>
      </c>
      <c r="R16" s="218"/>
      <c r="S16" s="205">
        <f t="shared" ref="S16:S19" si="5">E16*R16</f>
        <v>0</v>
      </c>
      <c r="T16" s="218">
        <v>29.414000000000001</v>
      </c>
      <c r="U16" s="205">
        <f>E16*T16</f>
        <v>1264831.4099999999</v>
      </c>
      <c r="V16" s="228"/>
      <c r="W16" s="210">
        <f>E16*V16</f>
        <v>0</v>
      </c>
      <c r="X16" s="209"/>
      <c r="Y16" s="210"/>
      <c r="Z16" s="210"/>
      <c r="AA16" s="210"/>
      <c r="AB16" s="210"/>
      <c r="AC16" s="210"/>
      <c r="AD16" s="210"/>
      <c r="AE16" s="210"/>
      <c r="AF16" s="211">
        <f>F16-H16-P16-T16-V16-X16-AD16-J16-L16-N16-R16</f>
        <v>0</v>
      </c>
      <c r="AG16" s="210">
        <v>0</v>
      </c>
      <c r="AH16" s="224"/>
      <c r="AI16" s="225"/>
      <c r="AJ16" s="213"/>
      <c r="AK16" s="213"/>
      <c r="AL16" s="229"/>
      <c r="AM16" s="230"/>
      <c r="AN16" s="225"/>
      <c r="AO16" s="225"/>
    </row>
    <row r="17" spans="1:41" s="190" customFormat="1" ht="69.75" customHeight="1" x14ac:dyDescent="0.25">
      <c r="A17" s="199">
        <v>5</v>
      </c>
      <c r="B17" s="220" t="s">
        <v>319</v>
      </c>
      <c r="C17" s="199" t="s">
        <v>320</v>
      </c>
      <c r="D17" s="199" t="s">
        <v>224</v>
      </c>
      <c r="E17" s="210">
        <f>E16</f>
        <v>43001</v>
      </c>
      <c r="F17" s="221">
        <v>460.83100000000002</v>
      </c>
      <c r="G17" s="210">
        <f>E17*F17</f>
        <v>19816193.829999998</v>
      </c>
      <c r="H17" s="222"/>
      <c r="I17" s="205">
        <f t="shared" si="3"/>
        <v>0</v>
      </c>
      <c r="J17" s="223"/>
      <c r="K17" s="205">
        <f>H17*I17</f>
        <v>0</v>
      </c>
      <c r="L17" s="231"/>
      <c r="M17" s="232">
        <f t="shared" si="0"/>
        <v>0</v>
      </c>
      <c r="N17" s="233"/>
      <c r="O17" s="232">
        <f t="shared" si="1"/>
        <v>0</v>
      </c>
      <c r="P17" s="233"/>
      <c r="Q17" s="205">
        <f t="shared" si="2"/>
        <v>0</v>
      </c>
      <c r="R17" s="218"/>
      <c r="S17" s="205">
        <f t="shared" si="5"/>
        <v>0</v>
      </c>
      <c r="T17" s="218">
        <v>1.9890000000000001</v>
      </c>
      <c r="U17" s="205">
        <f>E17*T17</f>
        <v>85528.99</v>
      </c>
      <c r="V17" s="209">
        <f>187.41-V15</f>
        <v>162.13399999999999</v>
      </c>
      <c r="W17" s="210">
        <f>E17*V17</f>
        <v>6971924.1299999999</v>
      </c>
      <c r="X17" s="199">
        <v>52.062199999999997</v>
      </c>
      <c r="Y17" s="210">
        <f>E17*X17</f>
        <v>2238726.66</v>
      </c>
      <c r="Z17" s="223" t="e">
        <f>#REF!+#REF!+#REF!</f>
        <v>#REF!</v>
      </c>
      <c r="AA17" s="210" t="e">
        <f>E17*Z17</f>
        <v>#REF!</v>
      </c>
      <c r="AB17" s="267" t="e">
        <f>#REF!-AB19</f>
        <v>#REF!</v>
      </c>
      <c r="AC17" s="209" t="e">
        <f>E17*AB17</f>
        <v>#REF!</v>
      </c>
      <c r="AD17" s="267"/>
      <c r="AE17" s="210"/>
      <c r="AF17" s="211" t="e">
        <f>F17-H17-P17-T17-V17-X17-AD17-J17-L17-N17-R17-Z17-AB17</f>
        <v>#REF!</v>
      </c>
      <c r="AG17" s="210">
        <v>0</v>
      </c>
      <c r="AH17" s="268"/>
      <c r="AI17" s="235"/>
      <c r="AJ17" s="235"/>
      <c r="AK17" s="235"/>
      <c r="AL17" s="235"/>
      <c r="AM17" s="236"/>
      <c r="AN17" s="235"/>
      <c r="AO17" s="235"/>
    </row>
    <row r="18" spans="1:41" s="190" customFormat="1" ht="58.5" customHeight="1" x14ac:dyDescent="0.25">
      <c r="A18" s="199">
        <v>6</v>
      </c>
      <c r="B18" s="220" t="s">
        <v>321</v>
      </c>
      <c r="C18" s="199" t="s">
        <v>320</v>
      </c>
      <c r="D18" s="199" t="s">
        <v>224</v>
      </c>
      <c r="E18" s="210">
        <f>E17</f>
        <v>43001</v>
      </c>
      <c r="F18" s="221">
        <v>77.531999999999996</v>
      </c>
      <c r="G18" s="210">
        <f t="shared" ref="G18:G19" si="6">E18*F18</f>
        <v>3333953.53</v>
      </c>
      <c r="H18" s="210"/>
      <c r="I18" s="205">
        <f t="shared" si="3"/>
        <v>0</v>
      </c>
      <c r="J18" s="210"/>
      <c r="K18" s="205">
        <f>E18*J18</f>
        <v>0</v>
      </c>
      <c r="L18" s="231"/>
      <c r="M18" s="232">
        <f t="shared" si="0"/>
        <v>0</v>
      </c>
      <c r="N18" s="231"/>
      <c r="O18" s="232">
        <f t="shared" si="1"/>
        <v>0</v>
      </c>
      <c r="P18" s="237"/>
      <c r="Q18" s="205">
        <f t="shared" si="2"/>
        <v>0</v>
      </c>
      <c r="R18" s="218"/>
      <c r="S18" s="205">
        <f t="shared" si="5"/>
        <v>0</v>
      </c>
      <c r="T18" s="238">
        <f>106.946-T16</f>
        <v>77.531999999999996</v>
      </c>
      <c r="U18" s="205">
        <f>E18*T18</f>
        <v>3333953.53</v>
      </c>
      <c r="V18" s="210"/>
      <c r="W18" s="210"/>
      <c r="X18" s="209"/>
      <c r="Y18" s="210"/>
      <c r="Z18" s="210"/>
      <c r="AA18" s="210"/>
      <c r="AB18" s="210"/>
      <c r="AC18" s="209"/>
      <c r="AD18" s="210"/>
      <c r="AE18" s="210"/>
      <c r="AF18" s="211">
        <f>F18-H18-P18-T18-V18-X18-AD18-J18-L18-N18-R18</f>
        <v>0</v>
      </c>
      <c r="AG18" s="210">
        <f>G18-I18-K18-M18-Q18-O18-U18-W18</f>
        <v>0</v>
      </c>
      <c r="AH18" s="234"/>
      <c r="AI18" s="235"/>
      <c r="AJ18" s="235"/>
      <c r="AK18" s="235"/>
      <c r="AL18" s="235"/>
      <c r="AM18" s="235"/>
      <c r="AN18" s="235"/>
      <c r="AO18" s="235"/>
    </row>
    <row r="19" spans="1:41" s="190" customFormat="1" ht="64.5" customHeight="1" x14ac:dyDescent="0.25">
      <c r="A19" s="199">
        <v>7</v>
      </c>
      <c r="B19" s="220" t="s">
        <v>322</v>
      </c>
      <c r="C19" s="199" t="s">
        <v>323</v>
      </c>
      <c r="D19" s="199" t="s">
        <v>224</v>
      </c>
      <c r="E19" s="210">
        <f>E18</f>
        <v>43001</v>
      </c>
      <c r="F19" s="221">
        <v>50.722000000000001</v>
      </c>
      <c r="G19" s="210">
        <f t="shared" si="6"/>
        <v>2181096.7200000002</v>
      </c>
      <c r="H19" s="210"/>
      <c r="I19" s="205">
        <f t="shared" si="3"/>
        <v>0</v>
      </c>
      <c r="J19" s="210"/>
      <c r="K19" s="205">
        <f>E19*J19</f>
        <v>0</v>
      </c>
      <c r="L19" s="231"/>
      <c r="M19" s="232">
        <f t="shared" si="0"/>
        <v>0</v>
      </c>
      <c r="N19" s="231"/>
      <c r="O19" s="232">
        <f t="shared" si="1"/>
        <v>0</v>
      </c>
      <c r="P19" s="237"/>
      <c r="Q19" s="205">
        <f t="shared" si="2"/>
        <v>0</v>
      </c>
      <c r="R19" s="218"/>
      <c r="S19" s="205">
        <f t="shared" si="5"/>
        <v>0</v>
      </c>
      <c r="T19" s="239"/>
      <c r="U19" s="205"/>
      <c r="V19" s="210"/>
      <c r="W19" s="210"/>
      <c r="X19" s="209"/>
      <c r="Y19" s="210"/>
      <c r="Z19" s="210"/>
      <c r="AA19" s="210"/>
      <c r="AB19" s="209">
        <v>15.638999999999999</v>
      </c>
      <c r="AC19" s="209">
        <f t="shared" ref="AC19" si="7">E19*AB19</f>
        <v>672492.63899999997</v>
      </c>
      <c r="AD19" s="223" t="e">
        <f>#REF!</f>
        <v>#REF!</v>
      </c>
      <c r="AE19" s="210" t="e">
        <f>E19*AD19</f>
        <v>#REF!</v>
      </c>
      <c r="AF19" s="211" t="e">
        <f>F19-H19-P19-T19-V19-X19-AD19-J19-L19-N19-R19-Z19-AB19</f>
        <v>#REF!</v>
      </c>
      <c r="AG19" s="210" t="e">
        <f>E19*AF19</f>
        <v>#REF!</v>
      </c>
      <c r="AH19" s="234"/>
      <c r="AI19" s="235"/>
      <c r="AJ19" s="235"/>
      <c r="AK19" s="235"/>
      <c r="AL19" s="235"/>
      <c r="AM19" s="235"/>
      <c r="AN19" s="235"/>
      <c r="AO19" s="235"/>
    </row>
    <row r="20" spans="1:41" ht="32.25" customHeight="1" x14ac:dyDescent="0.25">
      <c r="A20" s="485" t="s">
        <v>284</v>
      </c>
      <c r="B20" s="486"/>
      <c r="C20" s="486"/>
      <c r="D20" s="486"/>
      <c r="E20" s="487"/>
      <c r="F20" s="240">
        <f>SUM(F13:F19)</f>
        <v>1107.24</v>
      </c>
      <c r="G20" s="240">
        <f t="shared" ref="G20:AG20" si="8">SUM(G13:G19)</f>
        <v>47612298.229999997</v>
      </c>
      <c r="H20" s="240">
        <f t="shared" si="8"/>
        <v>120.01</v>
      </c>
      <c r="I20" s="240">
        <f t="shared" si="8"/>
        <v>5160595.9400000004</v>
      </c>
      <c r="J20" s="241">
        <f t="shared" si="8"/>
        <v>39.473999999999997</v>
      </c>
      <c r="K20" s="240">
        <f t="shared" si="8"/>
        <v>1697440.91</v>
      </c>
      <c r="L20" s="241">
        <f t="shared" si="8"/>
        <v>129.738</v>
      </c>
      <c r="M20" s="240">
        <f t="shared" si="8"/>
        <v>5578847.2800000003</v>
      </c>
      <c r="N20" s="241">
        <f t="shared" si="8"/>
        <v>99.147999999999996</v>
      </c>
      <c r="O20" s="240">
        <f t="shared" si="8"/>
        <v>4263448.53</v>
      </c>
      <c r="P20" s="241">
        <f t="shared" si="8"/>
        <v>45.546999999999997</v>
      </c>
      <c r="Q20" s="240">
        <f t="shared" si="8"/>
        <v>1958564.83</v>
      </c>
      <c r="R20" s="241">
        <f t="shared" si="8"/>
        <v>5.3789999999999996</v>
      </c>
      <c r="S20" s="240">
        <f t="shared" si="8"/>
        <v>231302.38</v>
      </c>
      <c r="T20" s="241">
        <f t="shared" si="8"/>
        <v>133.101</v>
      </c>
      <c r="U20" s="240">
        <f t="shared" si="8"/>
        <v>5723476.0999999996</v>
      </c>
      <c r="V20" s="241">
        <f t="shared" si="8"/>
        <v>187.41</v>
      </c>
      <c r="W20" s="240">
        <f t="shared" si="8"/>
        <v>8058817.4100000001</v>
      </c>
      <c r="X20" s="242">
        <f t="shared" si="8"/>
        <v>52.062199999999997</v>
      </c>
      <c r="Y20" s="240">
        <f t="shared" si="8"/>
        <v>2238726.66</v>
      </c>
      <c r="Z20" s="240" t="e">
        <f t="shared" si="8"/>
        <v>#REF!</v>
      </c>
      <c r="AA20" s="240" t="e">
        <f t="shared" si="8"/>
        <v>#REF!</v>
      </c>
      <c r="AB20" s="240" t="e">
        <f t="shared" ref="AB20:AC20" si="9">SUM(AB13:AB19)</f>
        <v>#REF!</v>
      </c>
      <c r="AC20" s="240" t="e">
        <f t="shared" si="9"/>
        <v>#REF!</v>
      </c>
      <c r="AD20" s="240" t="e">
        <f>AD19</f>
        <v>#REF!</v>
      </c>
      <c r="AE20" s="240" t="e">
        <f t="shared" si="8"/>
        <v>#REF!</v>
      </c>
      <c r="AF20" s="221" t="e">
        <f>SUM(AF13:AF19)</f>
        <v>#REF!</v>
      </c>
      <c r="AG20" s="269" t="e">
        <f t="shared" si="8"/>
        <v>#REF!</v>
      </c>
      <c r="AH20" s="212"/>
      <c r="AI20" s="212"/>
      <c r="AJ20" s="243"/>
      <c r="AK20" s="244"/>
      <c r="AL20" s="212"/>
      <c r="AM20" s="212"/>
      <c r="AN20" s="212"/>
      <c r="AO20" s="212"/>
    </row>
    <row r="21" spans="1:41" ht="19.5" hidden="1" x14ac:dyDescent="0.25">
      <c r="AH21" s="212"/>
      <c r="AI21" s="212"/>
      <c r="AJ21" s="245"/>
      <c r="AK21" s="212"/>
      <c r="AL21" s="212"/>
      <c r="AM21" s="212"/>
      <c r="AN21" s="212"/>
      <c r="AO21" s="212"/>
    </row>
    <row r="22" spans="1:41" ht="19.5" hidden="1" x14ac:dyDescent="0.25">
      <c r="I22" s="246"/>
      <c r="K22" s="246"/>
      <c r="M22" s="247"/>
      <c r="O22" s="247"/>
      <c r="Q22" s="247"/>
      <c r="W22" s="248"/>
      <c r="AH22" s="212"/>
      <c r="AI22" s="212"/>
      <c r="AJ22" s="245" t="e">
        <f>#REF!+#REF!+#REF!+#REF!+#REF!+#REF!</f>
        <v>#REF!</v>
      </c>
      <c r="AK22" s="249"/>
      <c r="AL22" s="212"/>
      <c r="AM22" s="212"/>
      <c r="AN22" s="212"/>
      <c r="AO22" s="212"/>
    </row>
    <row r="23" spans="1:41" ht="19.5" hidden="1" x14ac:dyDescent="0.25">
      <c r="F23" s="247"/>
      <c r="J23" s="246"/>
      <c r="K23" s="250"/>
      <c r="L23" s="247"/>
      <c r="M23" s="251"/>
      <c r="N23" s="247"/>
      <c r="O23" s="251"/>
      <c r="P23" s="247"/>
      <c r="Q23" s="251"/>
      <c r="S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G23" s="252"/>
      <c r="AH23" s="212"/>
      <c r="AI23" s="212"/>
      <c r="AJ23" s="212"/>
      <c r="AK23" s="212"/>
      <c r="AL23" s="212"/>
      <c r="AM23" s="212"/>
      <c r="AN23" s="212"/>
      <c r="AO23" s="212"/>
    </row>
    <row r="24" spans="1:41" ht="19.5" x14ac:dyDescent="0.25">
      <c r="B24" s="253"/>
      <c r="C24" s="254"/>
      <c r="S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H24" s="212"/>
      <c r="AI24" s="212"/>
      <c r="AJ24" s="212"/>
      <c r="AK24" s="212"/>
      <c r="AL24" s="212"/>
      <c r="AM24" s="212"/>
      <c r="AN24" s="212"/>
      <c r="AO24" s="212"/>
    </row>
    <row r="25" spans="1:41" ht="19.5" x14ac:dyDescent="0.25">
      <c r="A25" s="484" t="s">
        <v>29</v>
      </c>
      <c r="B25" s="484"/>
      <c r="C25" s="255"/>
      <c r="D25" s="255"/>
      <c r="E25" s="255"/>
      <c r="F25" s="255"/>
      <c r="G25" s="255"/>
      <c r="H25" s="256"/>
      <c r="I25" s="256"/>
      <c r="J25" s="256"/>
      <c r="K25" s="256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7"/>
      <c r="AG25" s="255"/>
      <c r="AH25" s="258"/>
      <c r="AI25" s="258"/>
      <c r="AJ25" s="258"/>
      <c r="AK25" s="212"/>
      <c r="AL25" s="212"/>
      <c r="AM25" s="212"/>
      <c r="AN25" s="212"/>
      <c r="AO25" s="212"/>
    </row>
    <row r="26" spans="1:41" ht="28.5" customHeight="1" x14ac:dyDescent="0.25">
      <c r="A26" s="480" t="s">
        <v>277</v>
      </c>
      <c r="B26" s="480"/>
      <c r="C26" s="480"/>
      <c r="D26" s="480"/>
      <c r="E26" s="255"/>
      <c r="F26" s="259"/>
      <c r="G26" s="259"/>
      <c r="H26" s="260"/>
      <c r="I26" s="482" t="s">
        <v>324</v>
      </c>
      <c r="J26" s="482"/>
      <c r="K26" s="482"/>
      <c r="L26" s="482"/>
      <c r="M26" s="482"/>
      <c r="N26" s="482"/>
      <c r="O26" s="482"/>
      <c r="P26" s="482"/>
      <c r="Q26" s="482"/>
      <c r="R26" s="482"/>
      <c r="S26" s="482"/>
      <c r="T26" s="482"/>
      <c r="U26" s="482"/>
      <c r="V26" s="482"/>
      <c r="W26" s="482"/>
      <c r="X26" s="482"/>
      <c r="Y26" s="482"/>
      <c r="Z26" s="482"/>
      <c r="AA26" s="482"/>
      <c r="AB26" s="482"/>
      <c r="AC26" s="482"/>
      <c r="AD26" s="482"/>
      <c r="AE26" s="482"/>
      <c r="AF26" s="482"/>
      <c r="AG26" s="255"/>
      <c r="AH26" s="483"/>
      <c r="AI26" s="483"/>
      <c r="AJ26" s="483"/>
      <c r="AK26" s="212"/>
      <c r="AL26" s="212"/>
      <c r="AM26" s="212"/>
      <c r="AN26" s="212"/>
      <c r="AO26" s="212"/>
    </row>
    <row r="27" spans="1:41" ht="15" customHeight="1" x14ac:dyDescent="0.2">
      <c r="A27" s="480"/>
      <c r="B27" s="480"/>
      <c r="C27" s="255"/>
      <c r="D27" s="255"/>
      <c r="E27" s="255"/>
      <c r="F27" s="478" t="s">
        <v>278</v>
      </c>
      <c r="G27" s="478"/>
      <c r="H27" s="478"/>
      <c r="I27" s="261" t="s">
        <v>279</v>
      </c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479"/>
      <c r="AH27" s="479"/>
      <c r="AI27" s="479"/>
      <c r="AJ27" s="479"/>
    </row>
    <row r="28" spans="1:41" x14ac:dyDescent="0.2">
      <c r="A28" s="190"/>
      <c r="B28" s="262" t="s">
        <v>41</v>
      </c>
      <c r="C28" s="262"/>
      <c r="D28" s="255"/>
      <c r="E28" s="255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AH28" s="190"/>
      <c r="AI28" s="190"/>
      <c r="AJ28" s="190"/>
    </row>
    <row r="29" spans="1:41" x14ac:dyDescent="0.2">
      <c r="A29" s="190"/>
      <c r="B29" s="262"/>
      <c r="C29" s="262"/>
      <c r="D29" s="255"/>
      <c r="E29" s="255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AH29" s="190"/>
      <c r="AI29" s="190"/>
      <c r="AJ29" s="190"/>
    </row>
    <row r="30" spans="1:41" hidden="1" x14ac:dyDescent="0.2">
      <c r="A30" s="190"/>
      <c r="B30" s="262"/>
      <c r="C30" s="262"/>
      <c r="D30" s="255"/>
      <c r="E30" s="255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AH30" s="190"/>
      <c r="AI30" s="190"/>
      <c r="AJ30" s="190"/>
    </row>
    <row r="31" spans="1:41" hidden="1" x14ac:dyDescent="0.2">
      <c r="A31" s="190"/>
      <c r="B31" s="262"/>
      <c r="C31" s="262"/>
      <c r="D31" s="255"/>
      <c r="E31" s="255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AH31" s="190"/>
      <c r="AI31" s="190"/>
      <c r="AJ31" s="190"/>
    </row>
    <row r="32" spans="1:41" hidden="1" x14ac:dyDescent="0.2">
      <c r="A32" s="479"/>
      <c r="B32" s="479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63"/>
      <c r="AI32" s="255"/>
      <c r="AJ32" s="255"/>
    </row>
    <row r="33" spans="1:36" ht="33" customHeight="1" x14ac:dyDescent="0.2">
      <c r="A33" s="484" t="s">
        <v>280</v>
      </c>
      <c r="B33" s="484"/>
      <c r="C33" s="484"/>
      <c r="D33" s="484"/>
      <c r="E33" s="484"/>
      <c r="F33" s="484"/>
      <c r="G33" s="479"/>
      <c r="H33" s="479"/>
      <c r="I33" s="479"/>
      <c r="J33" s="479"/>
      <c r="K33" s="479"/>
      <c r="L33" s="479"/>
      <c r="M33" s="479"/>
      <c r="N33" s="479"/>
      <c r="O33" s="479"/>
      <c r="P33" s="479"/>
      <c r="Q33" s="479"/>
      <c r="R33" s="479"/>
      <c r="S33" s="479"/>
      <c r="T33" s="479"/>
      <c r="U33" s="479"/>
      <c r="V33" s="479"/>
      <c r="W33" s="479"/>
      <c r="X33" s="479"/>
      <c r="Y33" s="479"/>
      <c r="Z33" s="479"/>
      <c r="AA33" s="479"/>
      <c r="AB33" s="479"/>
      <c r="AC33" s="479"/>
      <c r="AD33" s="479"/>
      <c r="AE33" s="479"/>
      <c r="AF33" s="479"/>
      <c r="AG33" s="264"/>
      <c r="AH33" s="479"/>
      <c r="AI33" s="479"/>
      <c r="AJ33" s="479"/>
    </row>
    <row r="34" spans="1:36" ht="36" customHeight="1" x14ac:dyDescent="0.2">
      <c r="A34" s="480" t="s">
        <v>282</v>
      </c>
      <c r="B34" s="480"/>
      <c r="C34" s="480"/>
      <c r="D34" s="480"/>
      <c r="E34" s="480"/>
      <c r="F34" s="265"/>
      <c r="G34" s="266"/>
      <c r="H34" s="266"/>
      <c r="I34" s="482" t="s">
        <v>283</v>
      </c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482"/>
      <c r="W34" s="482"/>
      <c r="X34" s="482"/>
      <c r="Y34" s="482"/>
      <c r="Z34" s="482"/>
      <c r="AA34" s="482"/>
      <c r="AB34" s="482"/>
      <c r="AC34" s="482"/>
      <c r="AD34" s="482"/>
      <c r="AE34" s="482"/>
      <c r="AF34" s="482"/>
      <c r="AG34" s="264"/>
      <c r="AH34" s="489"/>
      <c r="AI34" s="489"/>
      <c r="AJ34" s="489"/>
    </row>
    <row r="35" spans="1:36" ht="15" customHeight="1" x14ac:dyDescent="0.2">
      <c r="A35" s="479"/>
      <c r="B35" s="479"/>
      <c r="C35" s="264"/>
      <c r="D35" s="264"/>
      <c r="E35" s="264"/>
      <c r="F35" s="478" t="s">
        <v>278</v>
      </c>
      <c r="G35" s="478"/>
      <c r="H35" s="478"/>
      <c r="I35" s="261" t="s">
        <v>279</v>
      </c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490"/>
      <c r="AH35" s="490"/>
      <c r="AI35" s="490"/>
      <c r="AJ35" s="490"/>
    </row>
    <row r="36" spans="1:36" x14ac:dyDescent="0.2">
      <c r="A36" s="190"/>
      <c r="B36" s="262" t="s">
        <v>41</v>
      </c>
      <c r="C36" s="264"/>
      <c r="D36" s="488"/>
      <c r="E36" s="488"/>
      <c r="F36" s="488"/>
      <c r="G36" s="488"/>
      <c r="H36" s="488"/>
      <c r="I36" s="488"/>
      <c r="J36" s="488"/>
      <c r="K36" s="488"/>
      <c r="L36" s="488"/>
      <c r="M36" s="488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  <c r="AD36" s="488"/>
      <c r="AE36" s="488"/>
      <c r="AF36" s="488"/>
      <c r="AG36" s="488"/>
      <c r="AH36" s="488"/>
      <c r="AI36" s="488"/>
      <c r="AJ36" s="488"/>
    </row>
  </sheetData>
  <mergeCells count="41">
    <mergeCell ref="C2:H2"/>
    <mergeCell ref="C3:I3"/>
    <mergeCell ref="A8:AG9"/>
    <mergeCell ref="A11:A12"/>
    <mergeCell ref="B11:B12"/>
    <mergeCell ref="C11:C12"/>
    <mergeCell ref="D11:D12"/>
    <mergeCell ref="E11:E12"/>
    <mergeCell ref="F11:G11"/>
    <mergeCell ref="H11:I11"/>
    <mergeCell ref="Z11:AA11"/>
    <mergeCell ref="AD11:AE11"/>
    <mergeCell ref="V11:W11"/>
    <mergeCell ref="X11:Y11"/>
    <mergeCell ref="AB11:AC11"/>
    <mergeCell ref="AF11:AG11"/>
    <mergeCell ref="D36:AJ36"/>
    <mergeCell ref="A32:B32"/>
    <mergeCell ref="A33:F33"/>
    <mergeCell ref="G33:AF33"/>
    <mergeCell ref="AH33:AJ33"/>
    <mergeCell ref="A34:E34"/>
    <mergeCell ref="I34:AF34"/>
    <mergeCell ref="AH34:AJ34"/>
    <mergeCell ref="A35:B35"/>
    <mergeCell ref="F35:H35"/>
    <mergeCell ref="AG35:AJ35"/>
    <mergeCell ref="F27:H27"/>
    <mergeCell ref="AG27:AJ27"/>
    <mergeCell ref="A26:D26"/>
    <mergeCell ref="R11:S11"/>
    <mergeCell ref="T11:U11"/>
    <mergeCell ref="I26:AF26"/>
    <mergeCell ref="AH26:AJ26"/>
    <mergeCell ref="A27:B27"/>
    <mergeCell ref="A25:B25"/>
    <mergeCell ref="J11:K11"/>
    <mergeCell ref="L11:M11"/>
    <mergeCell ref="N11:O11"/>
    <mergeCell ref="P11:Q11"/>
    <mergeCell ref="A20:E20"/>
  </mergeCells>
  <pageMargins left="0.70866141732283472" right="0.70866141732283472" top="0.74803149606299213" bottom="0.74803149606299213" header="0.31496062992125984" footer="0.31496062992125984"/>
  <pageSetup paperSize="9" scale="2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кс-3 апрель</vt:lpstr>
      <vt:lpstr>реестр октябрь</vt:lpstr>
      <vt:lpstr>43 02-01-01(2016)-100%</vt:lpstr>
      <vt:lpstr>кс-3 январь-2</vt:lpstr>
      <vt:lpstr>р январь-2</vt:lpstr>
      <vt:lpstr>46_02-01-01(2016)</vt:lpstr>
      <vt:lpstr>М-29 нояб</vt:lpstr>
      <vt:lpstr>'46_02-01-01(2016)'!Заголовки_для_печати</vt:lpstr>
      <vt:lpstr>'кс-3 апрель'!Область_печати</vt:lpstr>
      <vt:lpstr>'кс-3 январь-2'!Область_печати</vt:lpstr>
      <vt:lpstr>'М-29 нояб'!Область_печати</vt:lpstr>
      <vt:lpstr>'р январь-2'!Область_печати</vt:lpstr>
      <vt:lpstr>'реестр октябрь'!Область_печати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2023-04-28T08:42:39Z</cp:lastPrinted>
  <dcterms:created xsi:type="dcterms:W3CDTF">2020-09-30T08:50:27Z</dcterms:created>
  <dcterms:modified xsi:type="dcterms:W3CDTF">2023-10-21T11:14:19Z</dcterms:modified>
</cp:coreProperties>
</file>