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РАБОЧАЯ (от НВ)\05-03-01 ПЖ\"/>
    </mc:Choice>
  </mc:AlternateContent>
  <xr:revisionPtr revIDLastSave="0" documentId="13_ncr:1_{0B3B56EF-046F-4883-A0E5-FDFB73F841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асчет для %" sheetId="2" r:id="rId1"/>
    <sheet name="Лист1" sheetId="1" r:id="rId2"/>
  </sheets>
  <definedNames>
    <definedName name="_xlnm.Print_Area" localSheetId="1">Лист1!$A$1:$G$30</definedName>
    <definedName name="_xlnm.Print_Area" localSheetId="0">'расчет для %'!$A$1:$J$30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2" l="1"/>
  <c r="F6" i="2"/>
  <c r="F21" i="1" l="1"/>
  <c r="F16" i="1"/>
  <c r="F21" i="2"/>
  <c r="J3" i="2"/>
  <c r="I3" i="2"/>
  <c r="H3" i="2"/>
  <c r="J21" i="2"/>
  <c r="J20" i="2"/>
  <c r="F20" i="2"/>
  <c r="F15" i="2"/>
  <c r="J16" i="2"/>
  <c r="J15" i="2"/>
  <c r="H14" i="2"/>
  <c r="H16" i="2"/>
  <c r="H15" i="2" s="1"/>
  <c r="D16" i="2"/>
  <c r="D15" i="2" s="1"/>
  <c r="F16" i="2"/>
  <c r="E16" i="2"/>
  <c r="F19" i="2"/>
  <c r="D21" i="2"/>
  <c r="H21" i="2"/>
  <c r="H20" i="2"/>
  <c r="H19" i="2"/>
  <c r="J19" i="2" s="1"/>
  <c r="I20" i="2"/>
  <c r="I19" i="2"/>
  <c r="I16" i="2"/>
  <c r="I15" i="2"/>
  <c r="I14" i="2"/>
  <c r="D20" i="2"/>
  <c r="D14" i="2"/>
  <c r="E15" i="2"/>
  <c r="F14" i="2"/>
  <c r="E14" i="2"/>
  <c r="E20" i="2"/>
  <c r="E19" i="2"/>
  <c r="D19" i="2"/>
  <c r="F12" i="2"/>
  <c r="E12" i="2"/>
  <c r="F10" i="2"/>
  <c r="E9" i="2"/>
  <c r="F9" i="2" s="1"/>
  <c r="E7" i="2"/>
  <c r="F7" i="2" s="1"/>
  <c r="D7" i="2"/>
  <c r="E5" i="2"/>
  <c r="F5" i="2" s="1"/>
  <c r="F20" i="1"/>
  <c r="F15" i="1"/>
  <c r="F14" i="1"/>
  <c r="D14" i="1"/>
  <c r="D16" i="1"/>
  <c r="D21" i="1"/>
  <c r="F19" i="1"/>
  <c r="D19" i="1"/>
  <c r="E12" i="1"/>
  <c r="F12" i="1" s="1"/>
  <c r="E5" i="1"/>
  <c r="F5" i="1" s="1"/>
  <c r="E7" i="1"/>
  <c r="D7" i="1"/>
  <c r="F10" i="1"/>
  <c r="E9" i="1"/>
  <c r="F9" i="1" s="1"/>
  <c r="F22" i="2" l="1"/>
  <c r="F6" i="1"/>
  <c r="F7" i="1" l="1"/>
  <c r="F22" i="1" s="1"/>
</calcChain>
</file>

<file path=xl/sharedStrings.xml><?xml version="1.0" encoding="utf-8"?>
<sst xmlns="http://schemas.openxmlformats.org/spreadsheetml/2006/main" count="106" uniqueCount="57">
  <si>
    <t>количество</t>
  </si>
  <si>
    <t xml:space="preserve">1. </t>
  </si>
  <si>
    <t>Демонтаж упора:</t>
  </si>
  <si>
    <t>крепления</t>
  </si>
  <si>
    <t>щебень, м3</t>
  </si>
  <si>
    <t>шпалы, шт</t>
  </si>
  <si>
    <t>Рельсы , т</t>
  </si>
  <si>
    <t>2.</t>
  </si>
  <si>
    <t>3.</t>
  </si>
  <si>
    <t>-</t>
  </si>
  <si>
    <t>4.</t>
  </si>
  <si>
    <t>5.</t>
  </si>
  <si>
    <t>масса /объемный вес единицы, т/м3</t>
  </si>
  <si>
    <t>масса, т</t>
  </si>
  <si>
    <t>наименование работ</t>
  </si>
  <si>
    <t>шпалы деревяные, шт</t>
  </si>
  <si>
    <t>брусья, шпалы</t>
  </si>
  <si>
    <t>перевод, рельсы, крепления,  т</t>
  </si>
  <si>
    <t>шпалы ж/б</t>
  </si>
  <si>
    <t>0,27т</t>
  </si>
  <si>
    <t>рельсы Р65</t>
  </si>
  <si>
    <t>перевозка на расстояние:</t>
  </si>
  <si>
    <t>Ведомость демонтажных работ</t>
  </si>
  <si>
    <t>Составил</t>
  </si>
  <si>
    <t>ИТОГО</t>
  </si>
  <si>
    <t>Разборка пути отдельными элементами на железобетонных шпалах тип рельсов: Р65, длина рельсов 12,5 м, на 1 км число шпал 1840</t>
  </si>
  <si>
    <t>на 2 км</t>
  </si>
  <si>
    <t>утилизация</t>
  </si>
  <si>
    <t xml:space="preserve">Разборка стрелочных переводов М 1/9 Р-65 на деревянных шпалах </t>
  </si>
  <si>
    <t>4 шт</t>
  </si>
  <si>
    <t>Лист 31 ПЖ</t>
  </si>
  <si>
    <t>Лист 14 ПЖ</t>
  </si>
  <si>
    <t>20 м3</t>
  </si>
  <si>
    <t xml:space="preserve">Замена балласта </t>
  </si>
  <si>
    <t>357,56 м.п.</t>
  </si>
  <si>
    <t>Балласт</t>
  </si>
  <si>
    <t>Лист 1 ПЖ.ВР3</t>
  </si>
  <si>
    <t>0,295 км</t>
  </si>
  <si>
    <t>0,514 км</t>
  </si>
  <si>
    <t>64,88 кг</t>
  </si>
  <si>
    <t>70 кг</t>
  </si>
  <si>
    <t>рельсы Р-65</t>
  </si>
  <si>
    <t xml:space="preserve">Разборка пути поэлементно на рельсах 12,5м Р-65 при 1840 деревянных шпалах </t>
  </si>
  <si>
    <t>ПЖ лист 20</t>
  </si>
  <si>
    <t>543 к-т</t>
  </si>
  <si>
    <t>30,83 кг</t>
  </si>
  <si>
    <t>946 к-т</t>
  </si>
  <si>
    <t>рельсы Р65, т</t>
  </si>
  <si>
    <t>крепления,т</t>
  </si>
  <si>
    <t>рельсы Р-65, т</t>
  </si>
  <si>
    <t>крепления, т</t>
  </si>
  <si>
    <t>шпалы, шт/т</t>
  </si>
  <si>
    <t>0,21747 км</t>
  </si>
  <si>
    <t>0,07975 км</t>
  </si>
  <si>
    <t>масса ед.</t>
  </si>
  <si>
    <t>масса всего</t>
  </si>
  <si>
    <t>октябрь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</si>
</sst>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164" fontId="0" fillId="2" borderId="1" xfId="1" applyFont="1" applyFill="1" applyBorder="1" applyAlignment="1">
      <alignment horizontal="center" vertical="center"/>
    </xf>
    <xf numFmtId="164" fontId="3" fillId="2" borderId="1" xfId="1" applyFont="1" applyFill="1" applyBorder="1" applyAlignment="1">
      <alignment horizontal="center" vertical="center"/>
    </xf>
    <xf numFmtId="0" fontId="1" fillId="2" borderId="1" xfId="0" applyFont="1" applyFill="1" applyBorder="1"/>
    <xf numFmtId="164" fontId="0" fillId="2" borderId="1" xfId="1" applyFont="1" applyFill="1" applyBorder="1" applyAlignment="1">
      <alignment horizontal="center"/>
    </xf>
    <xf numFmtId="164" fontId="0" fillId="2" borderId="1" xfId="1" applyFont="1" applyFill="1" applyBorder="1"/>
    <xf numFmtId="0" fontId="0" fillId="0" borderId="5" xfId="0" applyBorder="1"/>
    <xf numFmtId="0" fontId="1" fillId="0" borderId="1" xfId="0" applyFont="1" applyBorder="1"/>
    <xf numFmtId="2" fontId="0" fillId="2" borderId="1" xfId="0" applyNumberFormat="1" applyFill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/>
    <xf numFmtId="1" fontId="0" fillId="2" borderId="1" xfId="0" applyNumberFormat="1" applyFill="1" applyBorder="1" applyAlignment="1">
      <alignment horizontal="center" vertical="center"/>
    </xf>
    <xf numFmtId="2" fontId="1" fillId="0" borderId="1" xfId="0" applyNumberFormat="1" applyFont="1" applyBorder="1"/>
    <xf numFmtId="165" fontId="0" fillId="2" borderId="1" xfId="0" applyNumberFormat="1" applyFill="1" applyBorder="1" applyAlignment="1">
      <alignment horizontal="center"/>
    </xf>
    <xf numFmtId="164" fontId="0" fillId="2" borderId="1" xfId="1" applyFont="1" applyFill="1" applyBorder="1" applyAlignment="1">
      <alignment vertical="center"/>
    </xf>
    <xf numFmtId="165" fontId="0" fillId="2" borderId="1" xfId="0" applyNumberForma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64" fontId="4" fillId="2" borderId="1" xfId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/>
    </xf>
    <xf numFmtId="164" fontId="4" fillId="2" borderId="1" xfId="1" applyFont="1" applyFill="1" applyBorder="1" applyAlignment="1">
      <alignment vertical="center"/>
    </xf>
    <xf numFmtId="164" fontId="0" fillId="3" borderId="1" xfId="1" applyFont="1" applyFill="1" applyBorder="1" applyAlignment="1">
      <alignment horizontal="center" vertical="center"/>
    </xf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" fontId="4" fillId="2" borderId="6" xfId="0" applyNumberFormat="1" applyFont="1" applyFill="1" applyBorder="1" applyAlignment="1">
      <alignment horizontal="center" vertical="center"/>
    </xf>
    <xf numFmtId="1" fontId="0" fillId="2" borderId="6" xfId="0" applyNumberForma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10" xfId="0" applyFill="1" applyBorder="1"/>
    <xf numFmtId="0" fontId="0" fillId="2" borderId="11" xfId="0" applyFill="1" applyBorder="1"/>
    <xf numFmtId="0" fontId="0" fillId="2" borderId="11" xfId="0" applyFill="1" applyBorder="1" applyAlignment="1">
      <alignment horizontal="center"/>
    </xf>
    <xf numFmtId="0" fontId="0" fillId="0" borderId="15" xfId="0" applyBorder="1"/>
    <xf numFmtId="0" fontId="1" fillId="0" borderId="16" xfId="0" applyFont="1" applyBorder="1"/>
    <xf numFmtId="2" fontId="1" fillId="0" borderId="16" xfId="0" applyNumberFormat="1" applyFont="1" applyBorder="1"/>
    <xf numFmtId="0" fontId="0" fillId="0" borderId="17" xfId="0" applyBorder="1"/>
    <xf numFmtId="0" fontId="0" fillId="0" borderId="6" xfId="0" applyBorder="1" applyAlignment="1">
      <alignment horizontal="center" vertical="center" wrapText="1"/>
    </xf>
    <xf numFmtId="0" fontId="0" fillId="3" borderId="1" xfId="0" applyFill="1" applyBorder="1"/>
    <xf numFmtId="1" fontId="0" fillId="3" borderId="1" xfId="0" applyNumberFormat="1" applyFill="1" applyBorder="1"/>
    <xf numFmtId="0" fontId="0" fillId="3" borderId="1" xfId="0" applyFill="1" applyBorder="1" applyAlignment="1">
      <alignment horizontal="center"/>
    </xf>
    <xf numFmtId="164" fontId="5" fillId="3" borderId="1" xfId="1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3F636-1403-4BF3-AA6D-CE2EA9BFEA70}">
  <dimension ref="B1:J26"/>
  <sheetViews>
    <sheetView tabSelected="1" view="pageBreakPreview" topLeftCell="A11" zoomScaleNormal="100" zoomScaleSheetLayoutView="100" workbookViewId="0">
      <selection activeCell="H14" sqref="H14"/>
    </sheetView>
  </sheetViews>
  <sheetFormatPr defaultRowHeight="15" x14ac:dyDescent="0.25"/>
  <cols>
    <col min="1" max="1" width="1.7109375" customWidth="1"/>
    <col min="2" max="2" width="6.140625" customWidth="1"/>
    <col min="3" max="3" width="22.5703125" customWidth="1"/>
    <col min="4" max="4" width="14.28515625" customWidth="1"/>
    <col min="5" max="5" width="17.5703125" customWidth="1"/>
    <col min="6" max="6" width="15.42578125" customWidth="1"/>
    <col min="7" max="7" width="15" customWidth="1"/>
    <col min="8" max="8" width="12.85546875" customWidth="1"/>
    <col min="9" max="9" width="16" customWidth="1"/>
    <col min="10" max="10" width="15.28515625" customWidth="1"/>
  </cols>
  <sheetData>
    <row r="1" spans="2:10" x14ac:dyDescent="0.25">
      <c r="B1" s="52" t="s">
        <v>22</v>
      </c>
      <c r="C1" s="52"/>
      <c r="D1" s="52"/>
      <c r="E1" s="52"/>
      <c r="F1" s="52"/>
      <c r="G1" s="52"/>
    </row>
    <row r="2" spans="2:10" ht="15.75" thickBot="1" x14ac:dyDescent="0.3">
      <c r="H2" s="57" t="s">
        <v>56</v>
      </c>
      <c r="I2" s="57"/>
      <c r="J2" s="57"/>
    </row>
    <row r="3" spans="2:10" ht="45" x14ac:dyDescent="0.25">
      <c r="B3" s="36"/>
      <c r="C3" s="37" t="s">
        <v>14</v>
      </c>
      <c r="D3" s="37" t="s">
        <v>0</v>
      </c>
      <c r="E3" s="38" t="s">
        <v>12</v>
      </c>
      <c r="F3" s="38" t="s">
        <v>13</v>
      </c>
      <c r="G3" s="39" t="s">
        <v>21</v>
      </c>
      <c r="H3" s="47" t="str">
        <f>D3</f>
        <v>количество</v>
      </c>
      <c r="I3" s="3" t="str">
        <f>E3</f>
        <v>масса /объемный вес единицы, т/м3</v>
      </c>
      <c r="J3" s="3" t="str">
        <f>G3</f>
        <v>перевозка на расстояние:</v>
      </c>
    </row>
    <row r="4" spans="2:10" x14ac:dyDescent="0.25">
      <c r="B4" s="40" t="s">
        <v>1</v>
      </c>
      <c r="C4" s="12" t="s">
        <v>2</v>
      </c>
      <c r="D4" s="6"/>
      <c r="E4" s="6"/>
      <c r="F4" s="6"/>
      <c r="G4" s="41"/>
      <c r="H4" s="30"/>
      <c r="I4" s="1"/>
      <c r="J4" s="1"/>
    </row>
    <row r="5" spans="2:10" x14ac:dyDescent="0.25">
      <c r="B5" s="40"/>
      <c r="C5" s="4" t="s">
        <v>6</v>
      </c>
      <c r="D5" s="6" t="s">
        <v>9</v>
      </c>
      <c r="E5" s="17">
        <f>(272.2+700+4.2+0.48+0.64+0.2)/1000</f>
        <v>0.97772000000000014</v>
      </c>
      <c r="F5" s="17">
        <f>E5*1</f>
        <v>0.97772000000000014</v>
      </c>
      <c r="G5" s="42" t="s">
        <v>26</v>
      </c>
      <c r="H5" s="30"/>
      <c r="I5" s="1"/>
      <c r="J5" s="1"/>
    </row>
    <row r="6" spans="2:10" x14ac:dyDescent="0.25">
      <c r="B6" s="40"/>
      <c r="C6" s="4" t="s">
        <v>4</v>
      </c>
      <c r="D6" s="6" t="s">
        <v>32</v>
      </c>
      <c r="E6" s="6">
        <v>1.8</v>
      </c>
      <c r="F6" s="6">
        <f>E6*20</f>
        <v>36</v>
      </c>
      <c r="G6" s="53" t="s">
        <v>27</v>
      </c>
      <c r="H6" s="30"/>
      <c r="I6" s="1"/>
      <c r="J6" s="1"/>
    </row>
    <row r="7" spans="2:10" x14ac:dyDescent="0.25">
      <c r="B7" s="40"/>
      <c r="C7" s="4" t="s">
        <v>15</v>
      </c>
      <c r="D7" s="6">
        <f>2+2+4</f>
        <v>8</v>
      </c>
      <c r="E7" s="17">
        <f>(128.8+67.6+44.8)/1000</f>
        <v>0.2412</v>
      </c>
      <c r="F7" s="17">
        <f>E7*27</f>
        <v>6.5123999999999995</v>
      </c>
      <c r="G7" s="54"/>
      <c r="H7" s="30"/>
      <c r="I7" s="1"/>
      <c r="J7" s="1"/>
    </row>
    <row r="8" spans="2:10" s="7" customFormat="1" ht="60" x14ac:dyDescent="0.25">
      <c r="B8" s="40" t="s">
        <v>7</v>
      </c>
      <c r="C8" s="5" t="s">
        <v>28</v>
      </c>
      <c r="D8" s="6" t="s">
        <v>29</v>
      </c>
      <c r="E8" s="6"/>
      <c r="F8" s="6"/>
      <c r="G8" s="41"/>
      <c r="H8" s="31"/>
      <c r="I8" s="4"/>
      <c r="J8" s="4"/>
    </row>
    <row r="9" spans="2:10" s="7" customFormat="1" ht="19.5" customHeight="1" x14ac:dyDescent="0.25">
      <c r="B9" s="40"/>
      <c r="C9" s="4" t="s">
        <v>16</v>
      </c>
      <c r="D9" s="6"/>
      <c r="E9" s="11">
        <f>21*3.6*99/1000</f>
        <v>7.4844000000000008</v>
      </c>
      <c r="F9" s="11">
        <f>E9*4</f>
        <v>29.937600000000003</v>
      </c>
      <c r="G9" s="42" t="s">
        <v>27</v>
      </c>
      <c r="H9" s="31"/>
      <c r="I9" s="4"/>
      <c r="J9" s="4"/>
    </row>
    <row r="10" spans="2:10" s="7" customFormat="1" ht="28.5" customHeight="1" x14ac:dyDescent="0.25">
      <c r="B10" s="40"/>
      <c r="C10" s="9" t="s">
        <v>17</v>
      </c>
      <c r="D10" s="6"/>
      <c r="E10" s="6">
        <v>14.5</v>
      </c>
      <c r="F10" s="11">
        <f>E10*4</f>
        <v>58</v>
      </c>
      <c r="G10" s="42" t="s">
        <v>26</v>
      </c>
      <c r="H10" s="31"/>
      <c r="I10" s="4"/>
      <c r="J10" s="4"/>
    </row>
    <row r="11" spans="2:10" s="7" customFormat="1" x14ac:dyDescent="0.25">
      <c r="B11" s="40" t="s">
        <v>8</v>
      </c>
      <c r="C11" s="5" t="s">
        <v>33</v>
      </c>
      <c r="D11" s="6" t="s">
        <v>34</v>
      </c>
      <c r="E11" s="6"/>
      <c r="F11" s="11"/>
      <c r="G11" s="41"/>
      <c r="H11" s="31"/>
      <c r="I11" s="4"/>
      <c r="J11" s="4"/>
    </row>
    <row r="12" spans="2:10" s="7" customFormat="1" ht="20.25" customHeight="1" x14ac:dyDescent="0.25">
      <c r="B12" s="40"/>
      <c r="C12" s="4" t="s">
        <v>35</v>
      </c>
      <c r="D12" s="6"/>
      <c r="E12" s="17">
        <f>178.2+222.75+213.864</f>
        <v>614.81399999999996</v>
      </c>
      <c r="F12" s="11">
        <f>E12</f>
        <v>614.81399999999996</v>
      </c>
      <c r="G12" s="42" t="s">
        <v>27</v>
      </c>
      <c r="H12" s="31"/>
      <c r="I12" s="4"/>
      <c r="J12" s="4"/>
    </row>
    <row r="13" spans="2:10" s="7" customFormat="1" ht="75" x14ac:dyDescent="0.25">
      <c r="B13" s="40" t="s">
        <v>10</v>
      </c>
      <c r="C13" s="5" t="s">
        <v>42</v>
      </c>
      <c r="D13" s="6" t="s">
        <v>37</v>
      </c>
      <c r="E13" s="4"/>
      <c r="F13" s="4"/>
      <c r="G13" s="41"/>
      <c r="H13" s="32" t="s">
        <v>53</v>
      </c>
      <c r="I13" s="6" t="s">
        <v>54</v>
      </c>
      <c r="J13" s="6" t="s">
        <v>55</v>
      </c>
    </row>
    <row r="14" spans="2:10" x14ac:dyDescent="0.25">
      <c r="B14" s="40"/>
      <c r="C14" s="4" t="s">
        <v>49</v>
      </c>
      <c r="D14" s="6">
        <f>295*2</f>
        <v>590</v>
      </c>
      <c r="E14" s="24">
        <f>64.88/1000</f>
        <v>6.4879999999999993E-2</v>
      </c>
      <c r="F14" s="10">
        <f>E14*590</f>
        <v>38.279199999999996</v>
      </c>
      <c r="G14" s="55" t="s">
        <v>26</v>
      </c>
      <c r="H14" s="33">
        <f>79.75*2</f>
        <v>159.5</v>
      </c>
      <c r="I14" s="25">
        <f>64.88/1000</f>
        <v>6.4879999999999993E-2</v>
      </c>
      <c r="J14" s="26">
        <f>I14*H14</f>
        <v>10.34836</v>
      </c>
    </row>
    <row r="15" spans="2:10" x14ac:dyDescent="0.25">
      <c r="B15" s="40"/>
      <c r="C15" s="4" t="s">
        <v>50</v>
      </c>
      <c r="D15" s="20">
        <f>D16</f>
        <v>542.79999999999995</v>
      </c>
      <c r="E15" s="24">
        <f>30.83/1000</f>
        <v>3.083E-2</v>
      </c>
      <c r="F15" s="10">
        <f>E15*D15</f>
        <v>16.734523999999997</v>
      </c>
      <c r="G15" s="56"/>
      <c r="H15" s="34">
        <f>H16</f>
        <v>146.74</v>
      </c>
      <c r="I15" s="25">
        <f>30.83/1000</f>
        <v>3.083E-2</v>
      </c>
      <c r="J15" s="26">
        <f>I15*H15</f>
        <v>4.5239942000000006</v>
      </c>
    </row>
    <row r="16" spans="2:10" x14ac:dyDescent="0.25">
      <c r="B16" s="40"/>
      <c r="C16" s="4" t="s">
        <v>51</v>
      </c>
      <c r="D16" s="20">
        <f>0.295*1840</f>
        <v>542.79999999999995</v>
      </c>
      <c r="E16" s="6">
        <f>70/1000</f>
        <v>7.0000000000000007E-2</v>
      </c>
      <c r="F16" s="10">
        <f>543*E16</f>
        <v>38.010000000000005</v>
      </c>
      <c r="G16" s="42" t="s">
        <v>27</v>
      </c>
      <c r="H16" s="35">
        <f>0.07975*1840</f>
        <v>146.74</v>
      </c>
      <c r="I16" s="6">
        <f>70/1000</f>
        <v>7.0000000000000007E-2</v>
      </c>
      <c r="J16" s="10">
        <f>79.75*I16</f>
        <v>5.5825000000000005</v>
      </c>
    </row>
    <row r="17" spans="2:10" x14ac:dyDescent="0.25">
      <c r="B17" s="40"/>
      <c r="C17" s="4"/>
      <c r="D17" s="6"/>
      <c r="E17" s="6"/>
      <c r="F17" s="6"/>
      <c r="G17" s="41"/>
      <c r="H17" s="32"/>
      <c r="I17" s="6"/>
      <c r="J17" s="6"/>
    </row>
    <row r="18" spans="2:10" ht="120" x14ac:dyDescent="0.25">
      <c r="B18" s="40" t="s">
        <v>11</v>
      </c>
      <c r="C18" s="5" t="s">
        <v>25</v>
      </c>
      <c r="D18" s="6" t="s">
        <v>38</v>
      </c>
      <c r="E18" s="4"/>
      <c r="F18" s="4"/>
      <c r="G18" s="41"/>
      <c r="H18" s="32" t="s">
        <v>52</v>
      </c>
      <c r="I18" s="4"/>
      <c r="J18" s="4"/>
    </row>
    <row r="19" spans="2:10" x14ac:dyDescent="0.25">
      <c r="B19" s="40"/>
      <c r="C19" s="4" t="s">
        <v>47</v>
      </c>
      <c r="D19" s="6">
        <f>514*2</f>
        <v>1028</v>
      </c>
      <c r="E19" s="22">
        <f>64.88/1000</f>
        <v>6.4879999999999993E-2</v>
      </c>
      <c r="F19" s="10">
        <f>D19*E19</f>
        <v>66.696639999999988</v>
      </c>
      <c r="G19" s="55" t="s">
        <v>26</v>
      </c>
      <c r="H19" s="33">
        <f>217.47*2</f>
        <v>434.94</v>
      </c>
      <c r="I19" s="27">
        <f>64.88/1000</f>
        <v>6.4879999999999993E-2</v>
      </c>
      <c r="J19" s="26">
        <f>H19*I19</f>
        <v>28.218907199999997</v>
      </c>
    </row>
    <row r="20" spans="2:10" x14ac:dyDescent="0.25">
      <c r="B20" s="40"/>
      <c r="C20" s="4" t="s">
        <v>48</v>
      </c>
      <c r="D20" s="20">
        <f>D21</f>
        <v>945.76</v>
      </c>
      <c r="E20" s="22">
        <f>30.83/1000</f>
        <v>3.083E-2</v>
      </c>
      <c r="F20" s="23">
        <f>E20*D20</f>
        <v>29.157780800000001</v>
      </c>
      <c r="G20" s="56"/>
      <c r="H20" s="34">
        <f>H21</f>
        <v>400.14479999999998</v>
      </c>
      <c r="I20" s="27">
        <f>30.83/1000</f>
        <v>3.083E-2</v>
      </c>
      <c r="J20" s="28">
        <f>I20*H20</f>
        <v>12.336464183999999</v>
      </c>
    </row>
    <row r="21" spans="2:10" x14ac:dyDescent="0.25">
      <c r="B21" s="40"/>
      <c r="C21" s="4" t="s">
        <v>18</v>
      </c>
      <c r="D21" s="20">
        <f>0.514*1840</f>
        <v>945.76</v>
      </c>
      <c r="E21" s="8">
        <v>0.27</v>
      </c>
      <c r="F21" s="29">
        <f>D21*E21</f>
        <v>255.35520000000002</v>
      </c>
      <c r="G21" s="42" t="s">
        <v>27</v>
      </c>
      <c r="H21" s="35">
        <f>0.21747*1840</f>
        <v>400.14479999999998</v>
      </c>
      <c r="I21" s="8">
        <v>0.27</v>
      </c>
      <c r="J21" s="29">
        <f>H21*I21</f>
        <v>108.039096</v>
      </c>
    </row>
    <row r="22" spans="2:10" ht="15.75" thickBot="1" x14ac:dyDescent="0.3">
      <c r="B22" s="43"/>
      <c r="C22" s="44" t="s">
        <v>24</v>
      </c>
      <c r="D22" s="44"/>
      <c r="E22" s="44"/>
      <c r="F22" s="45">
        <f>SUM(F4:F21)</f>
        <v>1190.4750647999999</v>
      </c>
      <c r="G22" s="46"/>
      <c r="H22" s="30"/>
      <c r="I22" s="1"/>
      <c r="J22" s="1"/>
    </row>
    <row r="23" spans="2:10" x14ac:dyDescent="0.25">
      <c r="B23" s="18"/>
      <c r="C23" s="19"/>
      <c r="D23" s="19"/>
      <c r="E23" s="19"/>
      <c r="F23" s="19"/>
      <c r="G23" s="18"/>
    </row>
    <row r="24" spans="2:10" x14ac:dyDescent="0.25">
      <c r="B24" s="18"/>
      <c r="C24" s="19"/>
      <c r="D24" s="19"/>
      <c r="E24" s="19"/>
      <c r="F24" s="19"/>
      <c r="G24" s="18"/>
    </row>
    <row r="25" spans="2:10" x14ac:dyDescent="0.25">
      <c r="B25" s="18"/>
      <c r="C25" s="19"/>
      <c r="D25" s="19"/>
      <c r="E25" s="19"/>
      <c r="F25" s="19"/>
      <c r="G25" s="18"/>
    </row>
    <row r="26" spans="2:10" x14ac:dyDescent="0.25">
      <c r="C26" s="7" t="s">
        <v>23</v>
      </c>
      <c r="D26" s="15"/>
      <c r="E26" s="15"/>
      <c r="F26" s="15"/>
    </row>
  </sheetData>
  <mergeCells count="5">
    <mergeCell ref="B1:G1"/>
    <mergeCell ref="G6:G7"/>
    <mergeCell ref="G14:G15"/>
    <mergeCell ref="G19:G20"/>
    <mergeCell ref="H2:J2"/>
  </mergeCells>
  <pageMargins left="0.31496062992125984" right="0.31496062992125984" top="0.55118110236220474" bottom="0.55118110236220474" header="0.31496062992125984" footer="0.31496062992125984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6"/>
  <sheetViews>
    <sheetView view="pageBreakPreview" zoomScaleNormal="100" zoomScaleSheetLayoutView="100" workbookViewId="0">
      <selection activeCell="I22" sqref="I22"/>
    </sheetView>
  </sheetViews>
  <sheetFormatPr defaultRowHeight="15" x14ac:dyDescent="0.25"/>
  <cols>
    <col min="1" max="1" width="1.7109375" customWidth="1"/>
    <col min="2" max="2" width="6.140625" customWidth="1"/>
    <col min="3" max="3" width="22.5703125" customWidth="1"/>
    <col min="4" max="4" width="14.28515625" customWidth="1"/>
    <col min="5" max="5" width="17.5703125" customWidth="1"/>
    <col min="6" max="6" width="15.42578125" customWidth="1"/>
    <col min="7" max="7" width="15" customWidth="1"/>
  </cols>
  <sheetData>
    <row r="1" spans="2:11" x14ac:dyDescent="0.25">
      <c r="B1" s="52" t="s">
        <v>22</v>
      </c>
      <c r="C1" s="52"/>
      <c r="D1" s="52"/>
      <c r="E1" s="52"/>
      <c r="F1" s="52"/>
      <c r="G1" s="52"/>
    </row>
    <row r="3" spans="2:11" ht="45" x14ac:dyDescent="0.25">
      <c r="B3" s="1"/>
      <c r="C3" s="2" t="s">
        <v>14</v>
      </c>
      <c r="D3" s="2" t="s">
        <v>0</v>
      </c>
      <c r="E3" s="3" t="s">
        <v>12</v>
      </c>
      <c r="F3" s="3" t="s">
        <v>13</v>
      </c>
      <c r="G3" s="3" t="s">
        <v>21</v>
      </c>
    </row>
    <row r="4" spans="2:11" x14ac:dyDescent="0.25">
      <c r="B4" s="4" t="s">
        <v>1</v>
      </c>
      <c r="C4" s="12" t="s">
        <v>2</v>
      </c>
      <c r="D4" s="6"/>
      <c r="E4" s="6"/>
      <c r="F4" s="6"/>
      <c r="G4" s="4"/>
    </row>
    <row r="5" spans="2:11" x14ac:dyDescent="0.25">
      <c r="B5" s="4"/>
      <c r="C5" s="4" t="s">
        <v>6</v>
      </c>
      <c r="D5" s="6" t="s">
        <v>9</v>
      </c>
      <c r="E5" s="17">
        <f>(272.2+700+4.2+0.48+0.64+0.2)/1000</f>
        <v>0.97772000000000014</v>
      </c>
      <c r="F5" s="17">
        <f>E5*1</f>
        <v>0.97772000000000014</v>
      </c>
      <c r="G5" s="8" t="s">
        <v>26</v>
      </c>
    </row>
    <row r="6" spans="2:11" x14ac:dyDescent="0.25">
      <c r="B6" s="4"/>
      <c r="C6" s="4" t="s">
        <v>4</v>
      </c>
      <c r="D6" s="6" t="s">
        <v>32</v>
      </c>
      <c r="E6" s="6">
        <v>1.8</v>
      </c>
      <c r="F6" s="6">
        <f>E6*20</f>
        <v>36</v>
      </c>
      <c r="G6" s="58" t="s">
        <v>27</v>
      </c>
      <c r="I6" t="s">
        <v>30</v>
      </c>
    </row>
    <row r="7" spans="2:11" x14ac:dyDescent="0.25">
      <c r="B7" s="4"/>
      <c r="C7" s="4" t="s">
        <v>15</v>
      </c>
      <c r="D7" s="6">
        <f>2+2+4</f>
        <v>8</v>
      </c>
      <c r="E7" s="17">
        <f>(128.8+67.6+44.8)/1000</f>
        <v>0.2412</v>
      </c>
      <c r="F7" s="17">
        <f>E7*27</f>
        <v>6.5123999999999995</v>
      </c>
      <c r="G7" s="59"/>
    </row>
    <row r="8" spans="2:11" s="7" customFormat="1" ht="60" x14ac:dyDescent="0.25">
      <c r="B8" s="4" t="s">
        <v>7</v>
      </c>
      <c r="C8" s="5" t="s">
        <v>28</v>
      </c>
      <c r="D8" s="6" t="s">
        <v>29</v>
      </c>
      <c r="E8" s="6"/>
      <c r="F8" s="6"/>
      <c r="G8" s="4"/>
    </row>
    <row r="9" spans="2:11" s="7" customFormat="1" ht="19.5" customHeight="1" x14ac:dyDescent="0.25">
      <c r="B9" s="4"/>
      <c r="C9" s="4" t="s">
        <v>16</v>
      </c>
      <c r="D9" s="6"/>
      <c r="E9" s="11">
        <f>21*3.6*99/1000</f>
        <v>7.4844000000000008</v>
      </c>
      <c r="F9" s="11">
        <f>E9*4</f>
        <v>29.937600000000003</v>
      </c>
      <c r="G9" s="8" t="s">
        <v>27</v>
      </c>
    </row>
    <row r="10" spans="2:11" s="7" customFormat="1" ht="28.5" customHeight="1" x14ac:dyDescent="0.25">
      <c r="B10" s="4"/>
      <c r="C10" s="9" t="s">
        <v>17</v>
      </c>
      <c r="D10" s="6"/>
      <c r="E10" s="6">
        <v>14.5</v>
      </c>
      <c r="F10" s="11">
        <f>E10*4</f>
        <v>58</v>
      </c>
      <c r="G10" s="8" t="s">
        <v>26</v>
      </c>
      <c r="I10" s="7" t="s">
        <v>31</v>
      </c>
    </row>
    <row r="11" spans="2:11" s="7" customFormat="1" x14ac:dyDescent="0.25">
      <c r="B11" s="4" t="s">
        <v>8</v>
      </c>
      <c r="C11" s="5" t="s">
        <v>33</v>
      </c>
      <c r="D11" s="6" t="s">
        <v>34</v>
      </c>
      <c r="E11" s="6"/>
      <c r="F11" s="11"/>
      <c r="G11" s="4"/>
      <c r="K11" s="11"/>
    </row>
    <row r="12" spans="2:11" s="7" customFormat="1" ht="20.25" customHeight="1" x14ac:dyDescent="0.25">
      <c r="B12" s="4"/>
      <c r="C12" s="4" t="s">
        <v>35</v>
      </c>
      <c r="D12" s="6"/>
      <c r="E12" s="17">
        <f>178.2+222.75+213.864</f>
        <v>614.81399999999996</v>
      </c>
      <c r="F12" s="11">
        <f>E12</f>
        <v>614.81399999999996</v>
      </c>
      <c r="G12" s="8" t="s">
        <v>27</v>
      </c>
      <c r="I12" s="7" t="s">
        <v>36</v>
      </c>
    </row>
    <row r="13" spans="2:11" s="7" customFormat="1" ht="75" x14ac:dyDescent="0.25">
      <c r="B13" s="4" t="s">
        <v>10</v>
      </c>
      <c r="C13" s="5" t="s">
        <v>42</v>
      </c>
      <c r="D13" s="6" t="s">
        <v>37</v>
      </c>
      <c r="E13" s="4"/>
      <c r="F13" s="4"/>
      <c r="G13" s="4"/>
    </row>
    <row r="14" spans="2:11" x14ac:dyDescent="0.25">
      <c r="B14" s="4"/>
      <c r="C14" s="4" t="s">
        <v>41</v>
      </c>
      <c r="D14" s="6">
        <f>295*2</f>
        <v>590</v>
      </c>
      <c r="E14" s="6" t="s">
        <v>39</v>
      </c>
      <c r="F14" s="10">
        <f>64.88*590/1000</f>
        <v>38.279199999999996</v>
      </c>
      <c r="G14" s="60" t="s">
        <v>26</v>
      </c>
    </row>
    <row r="15" spans="2:11" x14ac:dyDescent="0.25">
      <c r="B15" s="4"/>
      <c r="C15" s="4" t="s">
        <v>3</v>
      </c>
      <c r="D15" s="6" t="s">
        <v>44</v>
      </c>
      <c r="E15" s="6" t="s">
        <v>45</v>
      </c>
      <c r="F15" s="10">
        <f>30.83*543/1000</f>
        <v>16.740689999999997</v>
      </c>
      <c r="G15" s="61"/>
    </row>
    <row r="16" spans="2:11" x14ac:dyDescent="0.25">
      <c r="B16" s="4"/>
      <c r="C16" s="4" t="s">
        <v>5</v>
      </c>
      <c r="D16" s="20">
        <f>0.295*1840</f>
        <v>542.79999999999995</v>
      </c>
      <c r="E16" s="6" t="s">
        <v>40</v>
      </c>
      <c r="F16" s="10">
        <f>543*70/1000</f>
        <v>38.01</v>
      </c>
      <c r="G16" s="8" t="s">
        <v>27</v>
      </c>
      <c r="I16" t="s">
        <v>43</v>
      </c>
    </row>
    <row r="17" spans="2:7" x14ac:dyDescent="0.25">
      <c r="B17" s="4"/>
      <c r="C17" s="4"/>
      <c r="D17" s="6"/>
      <c r="E17" s="6"/>
      <c r="F17" s="6"/>
      <c r="G17" s="4"/>
    </row>
    <row r="18" spans="2:7" ht="120" x14ac:dyDescent="0.25">
      <c r="B18" s="4" t="s">
        <v>11</v>
      </c>
      <c r="C18" s="5" t="s">
        <v>25</v>
      </c>
      <c r="D18" s="6" t="s">
        <v>38</v>
      </c>
      <c r="E18" s="4"/>
      <c r="F18" s="4"/>
      <c r="G18" s="4"/>
    </row>
    <row r="19" spans="2:7" x14ac:dyDescent="0.25">
      <c r="B19" s="4"/>
      <c r="C19" s="4" t="s">
        <v>20</v>
      </c>
      <c r="D19" s="4">
        <f>514*2</f>
        <v>1028</v>
      </c>
      <c r="E19" s="8" t="s">
        <v>39</v>
      </c>
      <c r="F19" s="13">
        <f>1028*64.88/1000</f>
        <v>66.696640000000002</v>
      </c>
      <c r="G19" s="60" t="s">
        <v>26</v>
      </c>
    </row>
    <row r="20" spans="2:7" x14ac:dyDescent="0.25">
      <c r="B20" s="4"/>
      <c r="C20" s="4" t="s">
        <v>3</v>
      </c>
      <c r="D20" s="4" t="s">
        <v>46</v>
      </c>
      <c r="E20" s="8">
        <v>30.83</v>
      </c>
      <c r="F20" s="14">
        <f>30.83*946/1000</f>
        <v>29.165179999999996</v>
      </c>
      <c r="G20" s="61"/>
    </row>
    <row r="21" spans="2:7" x14ac:dyDescent="0.25">
      <c r="B21" s="48"/>
      <c r="C21" s="48" t="s">
        <v>18</v>
      </c>
      <c r="D21" s="49">
        <f>0.514*1840</f>
        <v>945.76</v>
      </c>
      <c r="E21" s="50" t="s">
        <v>19</v>
      </c>
      <c r="F21" s="51">
        <f>162*0.27</f>
        <v>43.74</v>
      </c>
      <c r="G21" s="50" t="s">
        <v>27</v>
      </c>
    </row>
    <row r="22" spans="2:7" x14ac:dyDescent="0.25">
      <c r="B22" s="1"/>
      <c r="C22" s="16" t="s">
        <v>24</v>
      </c>
      <c r="D22" s="16"/>
      <c r="E22" s="16"/>
      <c r="F22" s="21">
        <f>SUM(F4:F21)</f>
        <v>978.87342999999987</v>
      </c>
      <c r="G22" s="1"/>
    </row>
    <row r="23" spans="2:7" x14ac:dyDescent="0.25">
      <c r="B23" s="18"/>
      <c r="C23" s="19"/>
      <c r="D23" s="19"/>
      <c r="E23" s="19"/>
      <c r="F23" s="19"/>
      <c r="G23" s="18"/>
    </row>
    <row r="24" spans="2:7" x14ac:dyDescent="0.25">
      <c r="B24" s="18"/>
      <c r="C24" s="19"/>
      <c r="D24" s="19"/>
      <c r="E24" s="19"/>
      <c r="F24" s="19"/>
      <c r="G24" s="18"/>
    </row>
    <row r="25" spans="2:7" x14ac:dyDescent="0.25">
      <c r="B25" s="18"/>
      <c r="C25" s="19"/>
      <c r="D25" s="19"/>
      <c r="E25" s="19"/>
      <c r="F25" s="19"/>
      <c r="G25" s="18"/>
    </row>
    <row r="26" spans="2:7" x14ac:dyDescent="0.25">
      <c r="C26" s="7" t="s">
        <v>23</v>
      </c>
      <c r="D26" s="15"/>
      <c r="E26" s="15"/>
      <c r="F26" s="15"/>
    </row>
  </sheetData>
  <mergeCells count="4">
    <mergeCell ref="G6:G7"/>
    <mergeCell ref="G19:G20"/>
    <mergeCell ref="G14:G15"/>
    <mergeCell ref="B1:G1"/>
  </mergeCells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расчет для %</vt:lpstr>
      <vt:lpstr>Лист1</vt:lpstr>
      <vt:lpstr>Лист1!Область_печати</vt:lpstr>
      <vt:lpstr>'расчет для %'!Область_печати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v.kuznetsova</dc:creator>
  <cp:lastModifiedBy>Анастасия</cp:lastModifiedBy>
  <cp:lastPrinted>2021-10-19T07:25:32Z</cp:lastPrinted>
  <dcterms:created xsi:type="dcterms:W3CDTF">2021-10-11T08:29:21Z</dcterms:created>
  <dcterms:modified xsi:type="dcterms:W3CDTF">2023-10-09T09:11:00Z</dcterms:modified>
</cp:coreProperties>
</file>