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Мытищи\"/>
    </mc:Choice>
  </mc:AlternateContent>
  <xr:revisionPtr revIDLastSave="0" documentId="8_{1B60CF7A-0946-4C0E-8A6E-C63E29F08505}" xr6:coauthVersionLast="45" xr6:coauthVersionMax="45" xr10:uidLastSave="{00000000-0000-0000-0000-000000000000}"/>
  <bookViews>
    <workbookView xWindow="-120" yWindow="-120" windowWidth="29040" windowHeight="15840" tabRatio="914" xr2:uid="{00000000-000D-0000-FFFF-FFFF00000000}"/>
  </bookViews>
  <sheets>
    <sheet name="Свод 217" sheetId="13" r:id="rId1"/>
    <sheet name="СМР ПЖ+" sheetId="8" r:id="rId2"/>
    <sheet name="мат ПЖ+" sheetId="3" r:id="rId3"/>
    <sheet name="СМР НВК-" sheetId="12" r:id="rId4"/>
    <sheet name="мат НВК+" sheetId="7" r:id="rId5"/>
    <sheet name="СМР ЭС+" sheetId="26" r:id="rId6"/>
    <sheet name="мат ЭС+ " sheetId="29" r:id="rId7"/>
    <sheet name="СМР ГП-" sheetId="27" r:id="rId8"/>
    <sheet name="мат ГП-" sheetId="30" r:id="rId9"/>
    <sheet name="СМР КС" sheetId="28" state="hidden" r:id="rId10"/>
    <sheet name="мат КС  " sheetId="31" state="hidden" r:id="rId11"/>
    <sheet name="СМР АС-" sheetId="32" r:id="rId12"/>
    <sheet name="мат АС-" sheetId="33" r:id="rId13"/>
    <sheet name="СМР трнсбрдр-" sheetId="24" r:id="rId14"/>
    <sheet name="мат трнсбрдр-" sheetId="25" r:id="rId15"/>
  </sheets>
  <definedNames>
    <definedName name="_xlnm.Print_Area" localSheetId="12">'мат АС-'!$A$1:$G$45</definedName>
    <definedName name="_xlnm.Print_Area" localSheetId="8">'мат ГП-'!$A$1:$G$37</definedName>
    <definedName name="_xlnm.Print_Area" localSheetId="10">'мат КС  '!$A$1:$G$25</definedName>
    <definedName name="_xlnm.Print_Area" localSheetId="4">'мат НВК+'!$A$1:$G$90</definedName>
    <definedName name="_xlnm.Print_Area" localSheetId="2">'мат ПЖ+'!$A$1:$G$54</definedName>
    <definedName name="_xlnm.Print_Area" localSheetId="14">'мат трнсбрдр-'!$A$1:$G$82</definedName>
    <definedName name="_xlnm.Print_Area" localSheetId="6">'мат ЭС+ '!$A$1:$G$11</definedName>
    <definedName name="_xlnm.Print_Area" localSheetId="0">'Свод 217'!$A$1:$H$10</definedName>
    <definedName name="_xlnm.Print_Area" localSheetId="11">'СМР АС-'!$A$1:$G$53</definedName>
    <definedName name="_xlnm.Print_Area" localSheetId="7">'СМР ГП-'!$A$1:$G$72</definedName>
    <definedName name="_xlnm.Print_Area" localSheetId="9">'СМР КС'!$A$1:$G$20</definedName>
    <definedName name="_xlnm.Print_Area" localSheetId="3">'СМР НВК-'!$A$1:$G$177</definedName>
    <definedName name="_xlnm.Print_Area" localSheetId="1">'СМР ПЖ+'!$A$1:$G$26</definedName>
    <definedName name="_xlnm.Print_Area" localSheetId="13">'СМР трнсбрдр-'!$A$1:$G$63</definedName>
    <definedName name="_xlnm.Print_Area" localSheetId="5">'СМР ЭС+'!$A$1:$G$18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" i="24" l="1"/>
  <c r="G46" i="24" s="1"/>
  <c r="F12" i="24"/>
  <c r="G12" i="24" s="1"/>
  <c r="F40" i="32"/>
  <c r="G40" i="32" s="1"/>
  <c r="F12" i="32"/>
  <c r="G12" i="32" s="1"/>
  <c r="D69" i="27"/>
  <c r="F69" i="27" s="1"/>
  <c r="G69" i="27" s="1"/>
  <c r="D68" i="27"/>
  <c r="F68" i="27" s="1"/>
  <c r="G68" i="27" s="1"/>
  <c r="F8" i="27"/>
  <c r="G8" i="27" s="1"/>
  <c r="F163" i="12"/>
  <c r="G163" i="12" s="1"/>
  <c r="F142" i="12"/>
  <c r="G142" i="12" s="1"/>
  <c r="F100" i="12"/>
  <c r="G100" i="12" s="1"/>
  <c r="F73" i="12"/>
  <c r="G73" i="12" s="1"/>
  <c r="F48" i="12"/>
  <c r="G48" i="12" s="1"/>
  <c r="F14" i="12"/>
  <c r="G14" i="12" s="1"/>
  <c r="D11" i="30" l="1"/>
  <c r="D162" i="12"/>
  <c r="D141" i="12"/>
  <c r="D119" i="12"/>
  <c r="D99" i="12"/>
  <c r="D72" i="12"/>
  <c r="F53" i="3"/>
  <c r="D12" i="8"/>
  <c r="H34" i="33" l="1"/>
  <c r="D34" i="33"/>
  <c r="H32" i="33"/>
  <c r="H33" i="33"/>
  <c r="H63" i="25"/>
  <c r="H62" i="25"/>
  <c r="H61" i="25"/>
  <c r="E52" i="25" l="1"/>
  <c r="F52" i="25" s="1"/>
  <c r="E50" i="25"/>
  <c r="E49" i="25"/>
  <c r="E48" i="25"/>
  <c r="E30" i="24" l="1"/>
  <c r="F35" i="33" l="1"/>
  <c r="F19" i="30" l="1"/>
  <c r="E73" i="25"/>
  <c r="E72" i="25"/>
  <c r="E80" i="25"/>
  <c r="E77" i="25"/>
  <c r="E76" i="25"/>
  <c r="E75" i="25"/>
  <c r="E74" i="25"/>
  <c r="E63" i="25" l="1"/>
  <c r="E62" i="25"/>
  <c r="E61" i="25"/>
  <c r="E40" i="25"/>
  <c r="E39" i="25"/>
  <c r="E35" i="25"/>
  <c r="E34" i="25"/>
  <c r="E28" i="25"/>
  <c r="E27" i="25"/>
  <c r="E26" i="25"/>
  <c r="E12" i="33"/>
  <c r="E34" i="33"/>
  <c r="E54" i="7"/>
  <c r="D54" i="7"/>
  <c r="E39" i="7"/>
  <c r="D39" i="7"/>
  <c r="E30" i="7"/>
  <c r="E29" i="7"/>
  <c r="E28" i="7"/>
  <c r="E10" i="7"/>
  <c r="D10" i="7"/>
  <c r="F31" i="32" l="1"/>
  <c r="G31" i="32" s="1"/>
  <c r="F30" i="32"/>
  <c r="G30" i="32" s="1"/>
  <c r="F29" i="32"/>
  <c r="G29" i="32" s="1"/>
  <c r="F28" i="32"/>
  <c r="G28" i="32" s="1"/>
  <c r="F9" i="27"/>
  <c r="G9" i="27" s="1"/>
  <c r="E60" i="27"/>
  <c r="E27" i="27"/>
  <c r="E81" i="25" l="1"/>
  <c r="E55" i="25"/>
  <c r="E54" i="25"/>
  <c r="E18" i="25"/>
  <c r="E17" i="25"/>
  <c r="F24" i="31"/>
  <c r="G24" i="31" s="1"/>
  <c r="F23" i="31"/>
  <c r="G23" i="31" s="1"/>
  <c r="F22" i="31"/>
  <c r="G22" i="31" s="1"/>
  <c r="F21" i="31"/>
  <c r="G21" i="31" s="1"/>
  <c r="F20" i="31"/>
  <c r="G20" i="31" s="1"/>
  <c r="F19" i="31"/>
  <c r="G19" i="31" s="1"/>
  <c r="F18" i="31"/>
  <c r="G18" i="31" s="1"/>
  <c r="F17" i="31"/>
  <c r="G17" i="31" s="1"/>
  <c r="F16" i="31"/>
  <c r="G16" i="31" s="1"/>
  <c r="F15" i="31"/>
  <c r="G15" i="31" s="1"/>
  <c r="F14" i="31"/>
  <c r="G14" i="31" s="1"/>
  <c r="F13" i="31"/>
  <c r="G13" i="31" s="1"/>
  <c r="F12" i="31"/>
  <c r="G12" i="31" s="1"/>
  <c r="F11" i="31"/>
  <c r="G11" i="31" s="1"/>
  <c r="F10" i="31"/>
  <c r="G10" i="31" s="1"/>
  <c r="F9" i="31"/>
  <c r="G9" i="31" s="1"/>
  <c r="F8" i="31"/>
  <c r="G8" i="31" s="1"/>
  <c r="F7" i="31"/>
  <c r="G7" i="31" s="1"/>
  <c r="F6" i="31"/>
  <c r="G6" i="31" s="1"/>
  <c r="F5" i="31"/>
  <c r="G5" i="31" s="1"/>
  <c r="E15" i="25"/>
  <c r="E14" i="25"/>
  <c r="E13" i="25"/>
  <c r="E12" i="25"/>
  <c r="E11" i="25"/>
  <c r="E9" i="25"/>
  <c r="E8" i="25"/>
  <c r="E44" i="33"/>
  <c r="F44" i="33" s="1"/>
  <c r="G44" i="33" s="1"/>
  <c r="E43" i="33"/>
  <c r="E40" i="33"/>
  <c r="E39" i="33"/>
  <c r="E38" i="33"/>
  <c r="E32" i="33"/>
  <c r="E28" i="33"/>
  <c r="E27" i="33"/>
  <c r="E26" i="33"/>
  <c r="E21" i="33"/>
  <c r="E7" i="25"/>
  <c r="F43" i="33"/>
  <c r="G43" i="33" s="1"/>
  <c r="F42" i="33"/>
  <c r="G42" i="33" s="1"/>
  <c r="F37" i="33"/>
  <c r="G37" i="33" s="1"/>
  <c r="G25" i="31" l="1"/>
  <c r="G7" i="13" s="1"/>
  <c r="A6" i="3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8" i="31" s="1"/>
  <c r="A19" i="31" s="1"/>
  <c r="A20" i="31" s="1"/>
  <c r="A21" i="31" s="1"/>
  <c r="A22" i="31" s="1"/>
  <c r="A23" i="31" s="1"/>
  <c r="A24" i="31" s="1"/>
  <c r="F37" i="3" l="1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G53" i="3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51" i="3"/>
  <c r="G51" i="3" s="1"/>
  <c r="F38" i="24" l="1"/>
  <c r="G38" i="24" s="1"/>
  <c r="F37" i="24"/>
  <c r="G37" i="24" s="1"/>
  <c r="F39" i="24"/>
  <c r="G39" i="24" s="1"/>
  <c r="F52" i="24"/>
  <c r="G52" i="24" s="1"/>
  <c r="F51" i="24"/>
  <c r="G51" i="24" s="1"/>
  <c r="F50" i="24"/>
  <c r="G50" i="24" s="1"/>
  <c r="F49" i="24"/>
  <c r="G49" i="24" s="1"/>
  <c r="F48" i="24"/>
  <c r="G48" i="24" s="1"/>
  <c r="F45" i="24"/>
  <c r="G45" i="24" s="1"/>
  <c r="F44" i="24"/>
  <c r="G44" i="24" s="1"/>
  <c r="F43" i="24"/>
  <c r="G43" i="24" s="1"/>
  <c r="F42" i="24"/>
  <c r="G42" i="24" s="1"/>
  <c r="F41" i="24"/>
  <c r="G41" i="24" s="1"/>
  <c r="F36" i="24"/>
  <c r="G36" i="24" s="1"/>
  <c r="F35" i="24"/>
  <c r="G35" i="24" s="1"/>
  <c r="F34" i="24"/>
  <c r="G34" i="24" s="1"/>
  <c r="F32" i="24"/>
  <c r="G32" i="24" s="1"/>
  <c r="F31" i="24"/>
  <c r="G31" i="24" s="1"/>
  <c r="F30" i="24"/>
  <c r="G30" i="24" s="1"/>
  <c r="F29" i="24"/>
  <c r="G29" i="24" s="1"/>
  <c r="F28" i="24"/>
  <c r="G28" i="24" s="1"/>
  <c r="F27" i="24"/>
  <c r="G27" i="24" s="1"/>
  <c r="F26" i="24"/>
  <c r="G26" i="24" s="1"/>
  <c r="F25" i="24"/>
  <c r="G25" i="24" s="1"/>
  <c r="F24" i="24"/>
  <c r="G24" i="24" s="1"/>
  <c r="F23" i="24"/>
  <c r="G23" i="24" s="1"/>
  <c r="F22" i="24"/>
  <c r="G22" i="24" s="1"/>
  <c r="F21" i="24"/>
  <c r="G21" i="24" s="1"/>
  <c r="F19" i="24"/>
  <c r="G19" i="24" s="1"/>
  <c r="F18" i="24"/>
  <c r="G18" i="24" s="1"/>
  <c r="F17" i="24"/>
  <c r="G17" i="24" s="1"/>
  <c r="F16" i="24"/>
  <c r="G16" i="24" s="1"/>
  <c r="F15" i="24"/>
  <c r="G15" i="24" s="1"/>
  <c r="F14" i="24"/>
  <c r="G14" i="24" s="1"/>
  <c r="A8" i="24"/>
  <c r="A9" i="24" s="1"/>
  <c r="A10" i="24" s="1"/>
  <c r="A11" i="24" s="1"/>
  <c r="F11" i="24"/>
  <c r="G11" i="24" s="1"/>
  <c r="F10" i="24"/>
  <c r="G10" i="24" s="1"/>
  <c r="F9" i="24"/>
  <c r="G9" i="24" s="1"/>
  <c r="F8" i="24"/>
  <c r="G8" i="24" s="1"/>
  <c r="F7" i="24"/>
  <c r="G7" i="24" s="1"/>
  <c r="D81" i="25"/>
  <c r="F81" i="25" s="1"/>
  <c r="G81" i="25" s="1"/>
  <c r="D80" i="25"/>
  <c r="D79" i="25"/>
  <c r="D78" i="25"/>
  <c r="D77" i="25"/>
  <c r="D76" i="25"/>
  <c r="D75" i="25"/>
  <c r="D74" i="25"/>
  <c r="D66" i="25"/>
  <c r="D65" i="25"/>
  <c r="D64" i="25"/>
  <c r="D63" i="25"/>
  <c r="D62" i="25"/>
  <c r="D61" i="25"/>
  <c r="D60" i="25"/>
  <c r="D55" i="25"/>
  <c r="D54" i="25"/>
  <c r="D50" i="25"/>
  <c r="D47" i="25"/>
  <c r="D45" i="25"/>
  <c r="D44" i="25"/>
  <c r="D43" i="25"/>
  <c r="D40" i="25"/>
  <c r="D39" i="25"/>
  <c r="D35" i="25"/>
  <c r="D34" i="25"/>
  <c r="D29" i="25"/>
  <c r="D28" i="25"/>
  <c r="D27" i="25"/>
  <c r="D26" i="25"/>
  <c r="D18" i="25"/>
  <c r="D17" i="25"/>
  <c r="D15" i="25"/>
  <c r="D14" i="25"/>
  <c r="D13" i="25"/>
  <c r="D12" i="25"/>
  <c r="D11" i="25"/>
  <c r="D9" i="25"/>
  <c r="D8" i="25"/>
  <c r="D7" i="25"/>
  <c r="F25" i="32"/>
  <c r="G25" i="32" s="1"/>
  <c r="F24" i="32"/>
  <c r="G24" i="32" s="1"/>
  <c r="F49" i="32"/>
  <c r="G49" i="32" s="1"/>
  <c r="D14" i="32"/>
  <c r="F14" i="32" s="1"/>
  <c r="G14" i="32" s="1"/>
  <c r="F50" i="32"/>
  <c r="G50" i="32" s="1"/>
  <c r="F48" i="32"/>
  <c r="G48" i="32" s="1"/>
  <c r="F47" i="32"/>
  <c r="G47" i="32" s="1"/>
  <c r="F46" i="32"/>
  <c r="G46" i="32" s="1"/>
  <c r="F45" i="32"/>
  <c r="G45" i="32" s="1"/>
  <c r="F44" i="32"/>
  <c r="G44" i="32" s="1"/>
  <c r="F43" i="32"/>
  <c r="G43" i="32" s="1"/>
  <c r="F42" i="32"/>
  <c r="G42" i="32" s="1"/>
  <c r="F39" i="32"/>
  <c r="G39" i="32" s="1"/>
  <c r="F38" i="32"/>
  <c r="G38" i="32" s="1"/>
  <c r="F37" i="32"/>
  <c r="G37" i="32" s="1"/>
  <c r="F36" i="32"/>
  <c r="G36" i="32" s="1"/>
  <c r="F35" i="32"/>
  <c r="G35" i="32" s="1"/>
  <c r="F34" i="32"/>
  <c r="G34" i="32" s="1"/>
  <c r="F26" i="32"/>
  <c r="G26" i="32" s="1"/>
  <c r="A8" i="32"/>
  <c r="A9" i="32" s="1"/>
  <c r="A10" i="32" s="1"/>
  <c r="A11" i="32" s="1"/>
  <c r="F10" i="32"/>
  <c r="G10" i="32" s="1"/>
  <c r="F11" i="32"/>
  <c r="G11" i="32" s="1"/>
  <c r="F9" i="32"/>
  <c r="G9" i="32" s="1"/>
  <c r="F23" i="32"/>
  <c r="G23" i="32" s="1"/>
  <c r="F22" i="32"/>
  <c r="G22" i="32" s="1"/>
  <c r="F21" i="32"/>
  <c r="G21" i="32" s="1"/>
  <c r="F20" i="32"/>
  <c r="G20" i="32" s="1"/>
  <c r="F19" i="32"/>
  <c r="G19" i="32" s="1"/>
  <c r="F18" i="32"/>
  <c r="G18" i="32" s="1"/>
  <c r="F17" i="32"/>
  <c r="G17" i="32" s="1"/>
  <c r="F16" i="32"/>
  <c r="G16" i="32" s="1"/>
  <c r="F15" i="32"/>
  <c r="G15" i="32" s="1"/>
  <c r="F8" i="32"/>
  <c r="G8" i="32" s="1"/>
  <c r="F7" i="32"/>
  <c r="D40" i="33"/>
  <c r="F40" i="33" s="1"/>
  <c r="G40" i="33" s="1"/>
  <c r="D39" i="33"/>
  <c r="F39" i="33" s="1"/>
  <c r="G39" i="33" s="1"/>
  <c r="D38" i="33"/>
  <c r="F38" i="33" s="1"/>
  <c r="G38" i="33" s="1"/>
  <c r="D33" i="33"/>
  <c r="F33" i="33" s="1"/>
  <c r="G33" i="33" s="1"/>
  <c r="D32" i="33"/>
  <c r="F32" i="33" s="1"/>
  <c r="G32" i="33" s="1"/>
  <c r="D31" i="33"/>
  <c r="F31" i="33" s="1"/>
  <c r="G31" i="33" s="1"/>
  <c r="F23" i="33"/>
  <c r="G23" i="33" s="1"/>
  <c r="F22" i="33"/>
  <c r="G22" i="33" s="1"/>
  <c r="F21" i="33"/>
  <c r="G21" i="33" s="1"/>
  <c r="F20" i="33"/>
  <c r="G20" i="33" s="1"/>
  <c r="F18" i="33"/>
  <c r="G18" i="33" s="1"/>
  <c r="F17" i="33"/>
  <c r="G17" i="33" s="1"/>
  <c r="D28" i="33"/>
  <c r="F28" i="33" s="1"/>
  <c r="G28" i="33" s="1"/>
  <c r="D27" i="33"/>
  <c r="F27" i="33" s="1"/>
  <c r="G27" i="33" s="1"/>
  <c r="D26" i="33"/>
  <c r="F26" i="33" s="1"/>
  <c r="G26" i="33" s="1"/>
  <c r="F25" i="33"/>
  <c r="G25" i="33" s="1"/>
  <c r="D12" i="33"/>
  <c r="F12" i="33" s="1"/>
  <c r="G12" i="33" s="1"/>
  <c r="G35" i="33"/>
  <c r="F34" i="33"/>
  <c r="G34" i="33" s="1"/>
  <c r="F16" i="33"/>
  <c r="G16" i="33" s="1"/>
  <c r="F15" i="33"/>
  <c r="G15" i="33" s="1"/>
  <c r="F14" i="33"/>
  <c r="G14" i="33" s="1"/>
  <c r="F13" i="33"/>
  <c r="G13" i="33" s="1"/>
  <c r="F11" i="33"/>
  <c r="G11" i="33" s="1"/>
  <c r="F10" i="33"/>
  <c r="G10" i="33" s="1"/>
  <c r="F9" i="33"/>
  <c r="G9" i="33" s="1"/>
  <c r="F8" i="33"/>
  <c r="G8" i="33" s="1"/>
  <c r="F7" i="33"/>
  <c r="G7" i="33" s="1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20" i="33" s="1"/>
  <c r="G18" i="28"/>
  <c r="F18" i="28"/>
  <c r="D63" i="27"/>
  <c r="F63" i="27" s="1"/>
  <c r="G63" i="27" s="1"/>
  <c r="F67" i="27"/>
  <c r="G67" i="27" s="1"/>
  <c r="F65" i="27"/>
  <c r="G65" i="27" s="1"/>
  <c r="D66" i="27"/>
  <c r="F66" i="27" s="1"/>
  <c r="G66" i="27" s="1"/>
  <c r="F60" i="27"/>
  <c r="G60" i="27" s="1"/>
  <c r="F59" i="27"/>
  <c r="G59" i="27" s="1"/>
  <c r="F58" i="27"/>
  <c r="G58" i="27" s="1"/>
  <c r="F57" i="27"/>
  <c r="G57" i="27" s="1"/>
  <c r="F56" i="27"/>
  <c r="G56" i="27" s="1"/>
  <c r="F55" i="27"/>
  <c r="G55" i="27" s="1"/>
  <c r="F54" i="27"/>
  <c r="G54" i="27" s="1"/>
  <c r="F53" i="27"/>
  <c r="G53" i="27" s="1"/>
  <c r="D62" i="27"/>
  <c r="F62" i="27" s="1"/>
  <c r="G62" i="27" s="1"/>
  <c r="F51" i="27"/>
  <c r="G51" i="27" s="1"/>
  <c r="F49" i="27"/>
  <c r="G49" i="27" s="1"/>
  <c r="F47" i="27"/>
  <c r="G47" i="27" s="1"/>
  <c r="F45" i="27"/>
  <c r="G45" i="27" s="1"/>
  <c r="F43" i="27"/>
  <c r="G43" i="27" s="1"/>
  <c r="F42" i="27"/>
  <c r="G42" i="27" s="1"/>
  <c r="F40" i="27"/>
  <c r="G40" i="27" s="1"/>
  <c r="F39" i="27"/>
  <c r="G39" i="27" s="1"/>
  <c r="F37" i="27"/>
  <c r="G37" i="27" s="1"/>
  <c r="F36" i="27"/>
  <c r="G36" i="27" s="1"/>
  <c r="F35" i="27"/>
  <c r="G35" i="27" s="1"/>
  <c r="F34" i="27"/>
  <c r="G34" i="27" s="1"/>
  <c r="F32" i="27"/>
  <c r="G32" i="27" s="1"/>
  <c r="F30" i="27"/>
  <c r="G30" i="27" s="1"/>
  <c r="F29" i="27"/>
  <c r="G29" i="27" s="1"/>
  <c r="F28" i="27"/>
  <c r="G28" i="27" s="1"/>
  <c r="F27" i="27"/>
  <c r="G27" i="27" s="1"/>
  <c r="F26" i="27"/>
  <c r="G26" i="27" s="1"/>
  <c r="F24" i="27"/>
  <c r="G24" i="27" s="1"/>
  <c r="F23" i="27"/>
  <c r="G23" i="27" s="1"/>
  <c r="F22" i="27"/>
  <c r="G22" i="27" s="1"/>
  <c r="F21" i="27"/>
  <c r="G21" i="27" s="1"/>
  <c r="F20" i="27"/>
  <c r="G20" i="27" s="1"/>
  <c r="F19" i="27"/>
  <c r="G19" i="27" s="1"/>
  <c r="F17" i="27"/>
  <c r="G17" i="27" s="1"/>
  <c r="F15" i="27"/>
  <c r="G15" i="27" s="1"/>
  <c r="F14" i="27"/>
  <c r="G14" i="27" s="1"/>
  <c r="A7" i="27"/>
  <c r="F12" i="27"/>
  <c r="G12" i="27" s="1"/>
  <c r="F11" i="27"/>
  <c r="G11" i="27" s="1"/>
  <c r="F10" i="27"/>
  <c r="G10" i="27" s="1"/>
  <c r="F7" i="27"/>
  <c r="G7" i="27" s="1"/>
  <c r="F6" i="27"/>
  <c r="G6" i="27" s="1"/>
  <c r="F36" i="30"/>
  <c r="G36" i="30" s="1"/>
  <c r="F34" i="30"/>
  <c r="G34" i="30" s="1"/>
  <c r="F32" i="30"/>
  <c r="G32" i="30" s="1"/>
  <c r="F30" i="30"/>
  <c r="G30" i="30" s="1"/>
  <c r="F29" i="30"/>
  <c r="G29" i="30" s="1"/>
  <c r="F27" i="30"/>
  <c r="G27" i="30" s="1"/>
  <c r="F26" i="30"/>
  <c r="G26" i="30" s="1"/>
  <c r="F25" i="30"/>
  <c r="G25" i="30" s="1"/>
  <c r="G19" i="30"/>
  <c r="F17" i="30"/>
  <c r="G17" i="30" s="1"/>
  <c r="F15" i="30"/>
  <c r="G15" i="30" s="1"/>
  <c r="F14" i="30"/>
  <c r="G14" i="30" s="1"/>
  <c r="F13" i="30"/>
  <c r="G13" i="30" s="1"/>
  <c r="F12" i="30"/>
  <c r="G12" i="30" s="1"/>
  <c r="F11" i="30"/>
  <c r="G11" i="30" s="1"/>
  <c r="F9" i="30"/>
  <c r="G9" i="30" s="1"/>
  <c r="F8" i="30"/>
  <c r="G8" i="30" s="1"/>
  <c r="F7" i="30"/>
  <c r="G7" i="30" s="1"/>
  <c r="A7" i="30"/>
  <c r="A8" i="30" s="1"/>
  <c r="A9" i="30" s="1"/>
  <c r="A11" i="30" s="1"/>
  <c r="A12" i="30" s="1"/>
  <c r="A13" i="30" s="1"/>
  <c r="A14" i="30" s="1"/>
  <c r="A15" i="30" s="1"/>
  <c r="A17" i="30" s="1"/>
  <c r="A19" i="30" s="1"/>
  <c r="A20" i="30" s="1"/>
  <c r="A21" i="30" s="1"/>
  <c r="A22" i="30" s="1"/>
  <c r="A23" i="30" s="1"/>
  <c r="A25" i="30" s="1"/>
  <c r="A26" i="30" s="1"/>
  <c r="A27" i="30" s="1"/>
  <c r="A29" i="30" s="1"/>
  <c r="A30" i="30" s="1"/>
  <c r="A32" i="30" s="1"/>
  <c r="A34" i="30" s="1"/>
  <c r="A36" i="30" s="1"/>
  <c r="F6" i="30"/>
  <c r="A8" i="26"/>
  <c r="A9" i="26" s="1"/>
  <c r="A10" i="26" s="1"/>
  <c r="A12" i="26" s="1"/>
  <c r="A13" i="26" s="1"/>
  <c r="A14" i="26" s="1"/>
  <c r="A15" i="26" s="1"/>
  <c r="F10" i="26"/>
  <c r="G10" i="26" s="1"/>
  <c r="F7" i="26"/>
  <c r="G7" i="26" s="1"/>
  <c r="F8" i="26"/>
  <c r="G8" i="26" s="1"/>
  <c r="F9" i="26"/>
  <c r="G9" i="26" s="1"/>
  <c r="F15" i="26"/>
  <c r="G15" i="26" s="1"/>
  <c r="F14" i="26"/>
  <c r="G14" i="26" s="1"/>
  <c r="F13" i="26"/>
  <c r="G13" i="26" s="1"/>
  <c r="F12" i="26"/>
  <c r="G12" i="26" s="1"/>
  <c r="F10" i="29"/>
  <c r="G10" i="29" s="1"/>
  <c r="F9" i="29"/>
  <c r="G9" i="29" s="1"/>
  <c r="F8" i="29"/>
  <c r="G8" i="29" s="1"/>
  <c r="F7" i="29"/>
  <c r="G7" i="29" s="1"/>
  <c r="A7" i="29"/>
  <c r="A8" i="29" s="1"/>
  <c r="A9" i="29" s="1"/>
  <c r="A10" i="29" s="1"/>
  <c r="F6" i="29"/>
  <c r="G6" i="29" s="1"/>
  <c r="F174" i="12"/>
  <c r="G174" i="12" s="1"/>
  <c r="F173" i="12"/>
  <c r="G173" i="12" s="1"/>
  <c r="F172" i="12"/>
  <c r="G172" i="12" s="1"/>
  <c r="F170" i="12"/>
  <c r="G170" i="12" s="1"/>
  <c r="F169" i="12"/>
  <c r="G169" i="12" s="1"/>
  <c r="F168" i="12"/>
  <c r="G168" i="12" s="1"/>
  <c r="F167" i="12"/>
  <c r="G167" i="12" s="1"/>
  <c r="F166" i="12"/>
  <c r="G166" i="12" s="1"/>
  <c r="F165" i="12"/>
  <c r="G165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F156" i="12"/>
  <c r="G156" i="12" s="1"/>
  <c r="F153" i="12"/>
  <c r="G153" i="12" s="1"/>
  <c r="F152" i="12"/>
  <c r="G152" i="12" s="1"/>
  <c r="F151" i="12"/>
  <c r="G151" i="12" s="1"/>
  <c r="F149" i="12"/>
  <c r="G149" i="12" s="1"/>
  <c r="F148" i="12"/>
  <c r="G148" i="12" s="1"/>
  <c r="F147" i="12"/>
  <c r="G147" i="12" s="1"/>
  <c r="F146" i="12"/>
  <c r="G146" i="12" s="1"/>
  <c r="F145" i="12"/>
  <c r="G145" i="12" s="1"/>
  <c r="F144" i="12"/>
  <c r="G144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2" i="12"/>
  <c r="G132" i="12" s="1"/>
  <c r="F131" i="12"/>
  <c r="G131" i="12" s="1"/>
  <c r="F130" i="12"/>
  <c r="G130" i="12" s="1"/>
  <c r="F128" i="12"/>
  <c r="G128" i="12" s="1"/>
  <c r="F127" i="12"/>
  <c r="G127" i="12" s="1"/>
  <c r="F126" i="12"/>
  <c r="G126" i="12" s="1"/>
  <c r="F125" i="12"/>
  <c r="G125" i="12" s="1"/>
  <c r="F124" i="12"/>
  <c r="G124" i="12" s="1"/>
  <c r="F123" i="12"/>
  <c r="G123" i="12" s="1"/>
  <c r="F119" i="12"/>
  <c r="G119" i="12" s="1"/>
  <c r="F121" i="12"/>
  <c r="G121" i="12" s="1"/>
  <c r="F120" i="12"/>
  <c r="G120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113" i="12"/>
  <c r="G113" i="12" s="1"/>
  <c r="F82" i="7"/>
  <c r="G82" i="7" s="1"/>
  <c r="F81" i="7"/>
  <c r="G81" i="7" s="1"/>
  <c r="F80" i="7"/>
  <c r="G80" i="7" s="1"/>
  <c r="F79" i="7"/>
  <c r="G79" i="7" s="1"/>
  <c r="F78" i="7"/>
  <c r="G78" i="7" s="1"/>
  <c r="F77" i="7"/>
  <c r="G77" i="7" s="1"/>
  <c r="F75" i="7"/>
  <c r="G75" i="7" s="1"/>
  <c r="F74" i="7"/>
  <c r="G74" i="7" s="1"/>
  <c r="F73" i="7"/>
  <c r="G73" i="7" s="1"/>
  <c r="F72" i="7"/>
  <c r="G72" i="7" s="1"/>
  <c r="F71" i="7"/>
  <c r="G71" i="7" s="1"/>
  <c r="F70" i="7"/>
  <c r="G70" i="7" s="1"/>
  <c r="F104" i="12"/>
  <c r="G104" i="12" s="1"/>
  <c r="F110" i="12"/>
  <c r="G110" i="12" s="1"/>
  <c r="F108" i="12"/>
  <c r="G108" i="12" s="1"/>
  <c r="F107" i="12"/>
  <c r="G107" i="12" s="1"/>
  <c r="F106" i="12"/>
  <c r="G106" i="12" s="1"/>
  <c r="F105" i="12"/>
  <c r="G105" i="12" s="1"/>
  <c r="F103" i="12"/>
  <c r="G103" i="12" s="1"/>
  <c r="F102" i="12"/>
  <c r="G102" i="12" s="1"/>
  <c r="F99" i="12"/>
  <c r="G99" i="12" s="1"/>
  <c r="F98" i="12"/>
  <c r="G98" i="12" s="1"/>
  <c r="F97" i="12"/>
  <c r="G97" i="12" s="1"/>
  <c r="F96" i="12"/>
  <c r="G96" i="12" s="1"/>
  <c r="F95" i="12"/>
  <c r="G95" i="12" s="1"/>
  <c r="F94" i="12"/>
  <c r="G94" i="12" s="1"/>
  <c r="F93" i="12"/>
  <c r="G93" i="12" s="1"/>
  <c r="F52" i="12"/>
  <c r="G52" i="12" s="1"/>
  <c r="F18" i="12"/>
  <c r="G18" i="12" s="1"/>
  <c r="F77" i="12"/>
  <c r="G77" i="12" s="1"/>
  <c r="F90" i="12"/>
  <c r="G90" i="12" s="1"/>
  <c r="F89" i="12"/>
  <c r="G89" i="12" s="1"/>
  <c r="F88" i="12"/>
  <c r="G88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8" i="12"/>
  <c r="G78" i="12" s="1"/>
  <c r="F76" i="12"/>
  <c r="G76" i="12" s="1"/>
  <c r="F75" i="12"/>
  <c r="G75" i="12" s="1"/>
  <c r="F72" i="12"/>
  <c r="G72" i="12" s="1"/>
  <c r="F71" i="12"/>
  <c r="G71" i="12" s="1"/>
  <c r="F70" i="12"/>
  <c r="G70" i="12" s="1"/>
  <c r="F69" i="12"/>
  <c r="G69" i="12" s="1"/>
  <c r="F68" i="12"/>
  <c r="G68" i="12" s="1"/>
  <c r="F67" i="12"/>
  <c r="G67" i="12" s="1"/>
  <c r="F66" i="12"/>
  <c r="G66" i="12" s="1"/>
  <c r="F63" i="12"/>
  <c r="G63" i="12" s="1"/>
  <c r="F61" i="12"/>
  <c r="G61" i="12" s="1"/>
  <c r="F60" i="12"/>
  <c r="G60" i="12" s="1"/>
  <c r="F59" i="12"/>
  <c r="G59" i="12" s="1"/>
  <c r="F58" i="12"/>
  <c r="G58" i="12" s="1"/>
  <c r="F57" i="12"/>
  <c r="G57" i="12" s="1"/>
  <c r="F56" i="12"/>
  <c r="G56" i="12" s="1"/>
  <c r="F55" i="12"/>
  <c r="G55" i="12" s="1"/>
  <c r="F54" i="12"/>
  <c r="G54" i="12" s="1"/>
  <c r="F53" i="12"/>
  <c r="G53" i="12" s="1"/>
  <c r="F51" i="12"/>
  <c r="G51" i="12" s="1"/>
  <c r="F50" i="12"/>
  <c r="G50" i="12" s="1"/>
  <c r="F47" i="12"/>
  <c r="G47" i="12" s="1"/>
  <c r="F46" i="12"/>
  <c r="G46" i="12" s="1"/>
  <c r="F45" i="12"/>
  <c r="G45" i="12" s="1"/>
  <c r="F44" i="12"/>
  <c r="G44" i="12" s="1"/>
  <c r="F43" i="12"/>
  <c r="G43" i="12" s="1"/>
  <c r="F42" i="12"/>
  <c r="G42" i="12" s="1"/>
  <c r="F41" i="12"/>
  <c r="G41" i="12" s="1"/>
  <c r="A8" i="12"/>
  <c r="A9" i="12" s="1"/>
  <c r="A10" i="12" s="1"/>
  <c r="A11" i="12" s="1"/>
  <c r="A12" i="12" s="1"/>
  <c r="A13" i="12" s="1"/>
  <c r="F35" i="12"/>
  <c r="G35" i="12" s="1"/>
  <c r="F38" i="12"/>
  <c r="G38" i="12" s="1"/>
  <c r="F36" i="12"/>
  <c r="G36" i="12" s="1"/>
  <c r="F34" i="12"/>
  <c r="G34" i="12" s="1"/>
  <c r="F32" i="12"/>
  <c r="G32" i="12" s="1"/>
  <c r="F31" i="12"/>
  <c r="G31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A15" i="24" l="1"/>
  <c r="A16" i="24" s="1"/>
  <c r="A17" i="24" s="1"/>
  <c r="A18" i="24" s="1"/>
  <c r="A19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4" i="24" s="1"/>
  <c r="A35" i="24" s="1"/>
  <c r="A36" i="24" s="1"/>
  <c r="A37" i="24" s="1"/>
  <c r="A38" i="24" s="1"/>
  <c r="A39" i="24" s="1"/>
  <c r="A41" i="24" s="1"/>
  <c r="A42" i="24" s="1"/>
  <c r="A43" i="24" s="1"/>
  <c r="A44" i="24" s="1"/>
  <c r="A45" i="24" s="1"/>
  <c r="A12" i="24"/>
  <c r="A12" i="32"/>
  <c r="A15" i="32" s="1"/>
  <c r="A16" i="32" s="1"/>
  <c r="A17" i="32" s="1"/>
  <c r="A18" i="32" s="1"/>
  <c r="A19" i="32" s="1"/>
  <c r="A20" i="32" s="1"/>
  <c r="A21" i="32" s="1"/>
  <c r="A22" i="32" s="1"/>
  <c r="A23" i="32" s="1"/>
  <c r="A10" i="27"/>
  <c r="A11" i="27" s="1"/>
  <c r="A12" i="27" s="1"/>
  <c r="A14" i="27" s="1"/>
  <c r="A15" i="27" s="1"/>
  <c r="A17" i="27" s="1"/>
  <c r="A19" i="27" s="1"/>
  <c r="A20" i="27" s="1"/>
  <c r="A21" i="27" s="1"/>
  <c r="A22" i="27" s="1"/>
  <c r="A23" i="27" s="1"/>
  <c r="A24" i="27" s="1"/>
  <c r="A26" i="27" s="1"/>
  <c r="A27" i="27" s="1"/>
  <c r="A28" i="27" s="1"/>
  <c r="A29" i="27" s="1"/>
  <c r="A30" i="27" s="1"/>
  <c r="A32" i="27" s="1"/>
  <c r="A34" i="27" s="1"/>
  <c r="A35" i="27" s="1"/>
  <c r="A36" i="27" s="1"/>
  <c r="A37" i="27" s="1"/>
  <c r="A39" i="27" s="1"/>
  <c r="A40" i="27" s="1"/>
  <c r="A42" i="27" s="1"/>
  <c r="A43" i="27" s="1"/>
  <c r="A45" i="27" s="1"/>
  <c r="A47" i="27" s="1"/>
  <c r="A49" i="27" s="1"/>
  <c r="A51" i="27" s="1"/>
  <c r="A53" i="27" s="1"/>
  <c r="A54" i="27" s="1"/>
  <c r="A55" i="27" s="1"/>
  <c r="A56" i="27" s="1"/>
  <c r="A57" i="27" s="1"/>
  <c r="A58" i="27" s="1"/>
  <c r="A59" i="27" s="1"/>
  <c r="A60" i="27" s="1"/>
  <c r="A62" i="27" s="1"/>
  <c r="A63" i="27" s="1"/>
  <c r="A65" i="27" s="1"/>
  <c r="A66" i="27" s="1"/>
  <c r="A67" i="27" s="1"/>
  <c r="A68" i="27" s="1"/>
  <c r="A8" i="27"/>
  <c r="A17" i="12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1" i="12" s="1"/>
  <c r="A32" i="12" s="1"/>
  <c r="A34" i="12" s="1"/>
  <c r="A35" i="12" s="1"/>
  <c r="A36" i="12" s="1"/>
  <c r="A38" i="12" s="1"/>
  <c r="A42" i="12" s="1"/>
  <c r="A43" i="12" s="1"/>
  <c r="A44" i="12" s="1"/>
  <c r="A45" i="12" s="1"/>
  <c r="A46" i="12" s="1"/>
  <c r="A47" i="12" s="1"/>
  <c r="A14" i="12"/>
  <c r="G16" i="26"/>
  <c r="F51" i="32"/>
  <c r="F52" i="32" s="1"/>
  <c r="F53" i="32" s="1"/>
  <c r="C8" i="13" s="1"/>
  <c r="F70" i="27"/>
  <c r="F16" i="26"/>
  <c r="F45" i="33"/>
  <c r="D8" i="13" s="1"/>
  <c r="F37" i="30"/>
  <c r="D6" i="13" s="1"/>
  <c r="G7" i="32"/>
  <c r="G51" i="32" s="1"/>
  <c r="G52" i="32" s="1"/>
  <c r="G53" i="32" s="1"/>
  <c r="F8" i="13" s="1"/>
  <c r="A21" i="33"/>
  <c r="A22" i="33" s="1"/>
  <c r="A23" i="33" s="1"/>
  <c r="G45" i="33"/>
  <c r="G8" i="13" s="1"/>
  <c r="F25" i="31"/>
  <c r="G6" i="30"/>
  <c r="G37" i="30" s="1"/>
  <c r="G6" i="13" s="1"/>
  <c r="F11" i="29"/>
  <c r="D5" i="13" s="1"/>
  <c r="G11" i="29"/>
  <c r="G5" i="13" s="1"/>
  <c r="A49" i="24" l="1"/>
  <c r="A50" i="24" s="1"/>
  <c r="A51" i="24" s="1"/>
  <c r="A52" i="24" s="1"/>
  <c r="A55" i="24" s="1"/>
  <c r="A46" i="24"/>
  <c r="A51" i="12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3" i="12" s="1"/>
  <c r="A67" i="12" s="1"/>
  <c r="A68" i="12" s="1"/>
  <c r="A69" i="12" s="1"/>
  <c r="A70" i="12" s="1"/>
  <c r="A71" i="12" s="1"/>
  <c r="A72" i="12" s="1"/>
  <c r="A48" i="12"/>
  <c r="D7" i="13"/>
  <c r="A24" i="32"/>
  <c r="A25" i="32" s="1"/>
  <c r="A26" i="32" s="1"/>
  <c r="A28" i="32" s="1"/>
  <c r="A29" i="32" s="1"/>
  <c r="A30" i="32" s="1"/>
  <c r="A31" i="32" s="1"/>
  <c r="A34" i="32" s="1"/>
  <c r="A35" i="32" s="1"/>
  <c r="A36" i="32" s="1"/>
  <c r="A37" i="32" s="1"/>
  <c r="A38" i="32" s="1"/>
  <c r="A39" i="32" s="1"/>
  <c r="E8" i="13"/>
  <c r="H8" i="13"/>
  <c r="A25" i="33"/>
  <c r="A26" i="33" s="1"/>
  <c r="A27" i="33" s="1"/>
  <c r="A28" i="33" s="1"/>
  <c r="A43" i="32" l="1"/>
  <c r="A44" i="32" s="1"/>
  <c r="A45" i="32" s="1"/>
  <c r="A46" i="32" s="1"/>
  <c r="A48" i="32" s="1"/>
  <c r="A49" i="32" s="1"/>
  <c r="A50" i="32" s="1"/>
  <c r="A40" i="32"/>
  <c r="A76" i="12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8" i="12" s="1"/>
  <c r="A89" i="12" s="1"/>
  <c r="A90" i="12" s="1"/>
  <c r="A93" i="12" s="1"/>
  <c r="A94" i="12" s="1"/>
  <c r="A95" i="12" s="1"/>
  <c r="A96" i="12" s="1"/>
  <c r="A97" i="12" s="1"/>
  <c r="A98" i="12" s="1"/>
  <c r="A99" i="12" s="1"/>
  <c r="A73" i="12"/>
  <c r="A31" i="33"/>
  <c r="A32" i="33" s="1"/>
  <c r="A33" i="33" s="1"/>
  <c r="A34" i="33" s="1"/>
  <c r="A35" i="33" s="1"/>
  <c r="A37" i="33" s="1"/>
  <c r="A38" i="33" s="1"/>
  <c r="A39" i="33" s="1"/>
  <c r="A40" i="33" s="1"/>
  <c r="A42" i="33" s="1"/>
  <c r="A43" i="33" s="1"/>
  <c r="A44" i="33" s="1"/>
  <c r="A103" i="12" l="1"/>
  <c r="A104" i="12" s="1"/>
  <c r="A105" i="12" s="1"/>
  <c r="A106" i="12" s="1"/>
  <c r="A107" i="12" s="1"/>
  <c r="A108" i="12" s="1"/>
  <c r="A110" i="12" s="1"/>
  <c r="A114" i="12" s="1"/>
  <c r="A115" i="12" s="1"/>
  <c r="A116" i="12" s="1"/>
  <c r="A117" i="12" s="1"/>
  <c r="A118" i="12" s="1"/>
  <c r="A119" i="12" s="1"/>
  <c r="A120" i="12" s="1"/>
  <c r="A121" i="12" s="1"/>
  <c r="A123" i="12" s="1"/>
  <c r="A124" i="12" s="1"/>
  <c r="A125" i="12" s="1"/>
  <c r="A126" i="12" s="1"/>
  <c r="A127" i="12" s="1"/>
  <c r="A128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00" i="12"/>
  <c r="F16" i="12"/>
  <c r="G16" i="12" s="1"/>
  <c r="F17" i="12"/>
  <c r="G17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F7" i="12"/>
  <c r="F61" i="7"/>
  <c r="G61" i="7" s="1"/>
  <c r="F60" i="7"/>
  <c r="G60" i="7" s="1"/>
  <c r="F47" i="7"/>
  <c r="G47" i="7" s="1"/>
  <c r="F46" i="7"/>
  <c r="G46" i="7" s="1"/>
  <c r="F24" i="7"/>
  <c r="G24" i="7" s="1"/>
  <c r="F25" i="7"/>
  <c r="G25" i="7" s="1"/>
  <c r="F26" i="7"/>
  <c r="G26" i="7" s="1"/>
  <c r="F27" i="7"/>
  <c r="G27" i="7" s="1"/>
  <c r="F28" i="7"/>
  <c r="G28" i="7" s="1"/>
  <c r="D30" i="7"/>
  <c r="D29" i="7"/>
  <c r="D21" i="8"/>
  <c r="F11" i="8"/>
  <c r="G11" i="8" s="1"/>
  <c r="F9" i="8"/>
  <c r="G9" i="8" s="1"/>
  <c r="D12" i="3"/>
  <c r="D11" i="3"/>
  <c r="D10" i="3"/>
  <c r="D8" i="3"/>
  <c r="D5" i="3"/>
  <c r="A145" i="12" l="1"/>
  <c r="A146" i="12" s="1"/>
  <c r="A147" i="12" s="1"/>
  <c r="A148" i="12" s="1"/>
  <c r="A149" i="12" s="1"/>
  <c r="A151" i="12" s="1"/>
  <c r="A152" i="12" s="1"/>
  <c r="A153" i="12" s="1"/>
  <c r="A156" i="12" s="1"/>
  <c r="A157" i="12" s="1"/>
  <c r="A158" i="12" s="1"/>
  <c r="A159" i="12" s="1"/>
  <c r="A160" i="12" s="1"/>
  <c r="A161" i="12" s="1"/>
  <c r="A162" i="12" s="1"/>
  <c r="A142" i="12"/>
  <c r="G7" i="12"/>
  <c r="F175" i="12"/>
  <c r="F19" i="28"/>
  <c r="F20" i="28" s="1"/>
  <c r="C7" i="13" s="1"/>
  <c r="E7" i="13" s="1"/>
  <c r="G8" i="12"/>
  <c r="G70" i="27"/>
  <c r="F80" i="25"/>
  <c r="G80" i="25" s="1"/>
  <c r="F79" i="25"/>
  <c r="G79" i="25" s="1"/>
  <c r="F78" i="25"/>
  <c r="G78" i="25" s="1"/>
  <c r="F77" i="25"/>
  <c r="G77" i="25" s="1"/>
  <c r="F76" i="25"/>
  <c r="G76" i="25" s="1"/>
  <c r="F75" i="25"/>
  <c r="G75" i="25" s="1"/>
  <c r="F74" i="25"/>
  <c r="G74" i="25" s="1"/>
  <c r="F73" i="25"/>
  <c r="G73" i="25" s="1"/>
  <c r="F72" i="25"/>
  <c r="G72" i="25" s="1"/>
  <c r="F71" i="25"/>
  <c r="G71" i="25" s="1"/>
  <c r="F69" i="25"/>
  <c r="F68" i="25"/>
  <c r="G68" i="25" s="1"/>
  <c r="F67" i="25"/>
  <c r="G67" i="25" s="1"/>
  <c r="F66" i="25"/>
  <c r="G66" i="25" s="1"/>
  <c r="F65" i="25"/>
  <c r="G65" i="25" s="1"/>
  <c r="F64" i="25"/>
  <c r="G64" i="25" s="1"/>
  <c r="F63" i="25"/>
  <c r="G63" i="25" s="1"/>
  <c r="F62" i="25"/>
  <c r="G62" i="25" s="1"/>
  <c r="F61" i="25"/>
  <c r="G61" i="25" s="1"/>
  <c r="F60" i="25"/>
  <c r="G60" i="25" s="1"/>
  <c r="F59" i="25"/>
  <c r="G59" i="25" s="1"/>
  <c r="F58" i="25"/>
  <c r="G58" i="25" s="1"/>
  <c r="F57" i="25"/>
  <c r="G57" i="25" s="1"/>
  <c r="F56" i="25"/>
  <c r="G56" i="25" s="1"/>
  <c r="F55" i="25"/>
  <c r="G55" i="25" s="1"/>
  <c r="F54" i="25"/>
  <c r="G54" i="25" s="1"/>
  <c r="F53" i="25"/>
  <c r="G53" i="25" s="1"/>
  <c r="G52" i="25"/>
  <c r="F51" i="25"/>
  <c r="G51" i="25" s="1"/>
  <c r="F50" i="25"/>
  <c r="G50" i="25" s="1"/>
  <c r="F49" i="25"/>
  <c r="G49" i="25" s="1"/>
  <c r="F48" i="25"/>
  <c r="G48" i="25" s="1"/>
  <c r="F47" i="25"/>
  <c r="G47" i="25" s="1"/>
  <c r="F46" i="25"/>
  <c r="G46" i="25" s="1"/>
  <c r="F45" i="25"/>
  <c r="G45" i="25" s="1"/>
  <c r="F44" i="25"/>
  <c r="G44" i="25" s="1"/>
  <c r="F43" i="25"/>
  <c r="G43" i="25" s="1"/>
  <c r="F42" i="25"/>
  <c r="G42" i="25" s="1"/>
  <c r="F41" i="25"/>
  <c r="G41" i="25" s="1"/>
  <c r="F40" i="25"/>
  <c r="G40" i="25" s="1"/>
  <c r="F39" i="25"/>
  <c r="G39" i="25" s="1"/>
  <c r="F38" i="25"/>
  <c r="G38" i="25" s="1"/>
  <c r="F37" i="25"/>
  <c r="G37" i="25" s="1"/>
  <c r="F36" i="25"/>
  <c r="G36" i="25" s="1"/>
  <c r="F35" i="25"/>
  <c r="G35" i="25" s="1"/>
  <c r="F34" i="25"/>
  <c r="G34" i="25" s="1"/>
  <c r="F33" i="25"/>
  <c r="G33" i="25" s="1"/>
  <c r="F32" i="25"/>
  <c r="G32" i="25" s="1"/>
  <c r="F31" i="25"/>
  <c r="G31" i="25" s="1"/>
  <c r="F30" i="25"/>
  <c r="G30" i="25" s="1"/>
  <c r="F29" i="25"/>
  <c r="G29" i="25" s="1"/>
  <c r="F28" i="25"/>
  <c r="G28" i="25" s="1"/>
  <c r="F27" i="25"/>
  <c r="G27" i="25" s="1"/>
  <c r="F26" i="25"/>
  <c r="G26" i="25" s="1"/>
  <c r="F25" i="25"/>
  <c r="G25" i="25" s="1"/>
  <c r="F24" i="25"/>
  <c r="G24" i="25" s="1"/>
  <c r="F23" i="25"/>
  <c r="G23" i="25" s="1"/>
  <c r="F22" i="25"/>
  <c r="G22" i="25" s="1"/>
  <c r="F21" i="25"/>
  <c r="G21" i="25" s="1"/>
  <c r="F20" i="25"/>
  <c r="G20" i="25" s="1"/>
  <c r="F19" i="25"/>
  <c r="G19" i="25" s="1"/>
  <c r="F18" i="25"/>
  <c r="G18" i="25" s="1"/>
  <c r="F17" i="25"/>
  <c r="G17" i="25" s="1"/>
  <c r="F15" i="25"/>
  <c r="G15" i="25" s="1"/>
  <c r="F14" i="25"/>
  <c r="G14" i="25" s="1"/>
  <c r="F13" i="25"/>
  <c r="G13" i="25" s="1"/>
  <c r="F12" i="25"/>
  <c r="G12" i="25" s="1"/>
  <c r="F11" i="25"/>
  <c r="G11" i="25" s="1"/>
  <c r="F9" i="25"/>
  <c r="G9" i="25" s="1"/>
  <c r="F8" i="25"/>
  <c r="G8" i="25" s="1"/>
  <c r="A8" i="25"/>
  <c r="A9" i="25" s="1"/>
  <c r="F7" i="25"/>
  <c r="G7" i="25" s="1"/>
  <c r="F60" i="24"/>
  <c r="G60" i="24" s="1"/>
  <c r="F59" i="24"/>
  <c r="G59" i="24" s="1"/>
  <c r="F57" i="24"/>
  <c r="G57" i="24" s="1"/>
  <c r="F56" i="24"/>
  <c r="G56" i="24" s="1"/>
  <c r="F55" i="24"/>
  <c r="A56" i="24"/>
  <c r="A57" i="24" s="1"/>
  <c r="A59" i="24" s="1"/>
  <c r="A166" i="12" l="1"/>
  <c r="A167" i="12" s="1"/>
  <c r="A168" i="12" s="1"/>
  <c r="A169" i="12" s="1"/>
  <c r="A170" i="12" s="1"/>
  <c r="A172" i="12" s="1"/>
  <c r="A173" i="12" s="1"/>
  <c r="A174" i="12" s="1"/>
  <c r="A163" i="12"/>
  <c r="G175" i="12"/>
  <c r="A11" i="25"/>
  <c r="A12" i="25" s="1"/>
  <c r="A13" i="25" s="1"/>
  <c r="A14" i="25" s="1"/>
  <c r="A15" i="25" s="1"/>
  <c r="G69" i="25"/>
  <c r="G82" i="25" s="1"/>
  <c r="F82" i="25"/>
  <c r="D9" i="13" s="1"/>
  <c r="G55" i="24"/>
  <c r="G61" i="24" s="1"/>
  <c r="F61" i="24"/>
  <c r="G19" i="28"/>
  <c r="G20" i="28" s="1"/>
  <c r="F7" i="13" s="1"/>
  <c r="H7" i="13" s="1"/>
  <c r="G71" i="27"/>
  <c r="G72" i="27" s="1"/>
  <c r="F6" i="13" s="1"/>
  <c r="H6" i="13" s="1"/>
  <c r="F71" i="27"/>
  <c r="F72" i="27" s="1"/>
  <c r="C6" i="13" s="1"/>
  <c r="E6" i="13" s="1"/>
  <c r="G17" i="26"/>
  <c r="G18" i="26" s="1"/>
  <c r="F5" i="13" s="1"/>
  <c r="H5" i="13" s="1"/>
  <c r="F17" i="26"/>
  <c r="F18" i="26" s="1"/>
  <c r="C5" i="13" s="1"/>
  <c r="E5" i="13" s="1"/>
  <c r="A17" i="25" l="1"/>
  <c r="A18" i="25" s="1"/>
  <c r="A19" i="25" s="1"/>
  <c r="A20" i="25" s="1"/>
  <c r="A21" i="25" s="1"/>
  <c r="G9" i="13"/>
  <c r="A60" i="24"/>
  <c r="G62" i="24"/>
  <c r="G63" i="24" s="1"/>
  <c r="F9" i="13" s="1"/>
  <c r="F62" i="24"/>
  <c r="F63" i="24" s="1"/>
  <c r="C9" i="13" s="1"/>
  <c r="E9" i="13" s="1"/>
  <c r="H9" i="13" l="1"/>
  <c r="A24" i="25"/>
  <c r="A25" i="25" s="1"/>
  <c r="A26" i="25" s="1"/>
  <c r="A27" i="25" s="1"/>
  <c r="A28" i="25" s="1"/>
  <c r="A29" i="25" s="1"/>
  <c r="A30" i="25" s="1"/>
  <c r="A31" i="25" s="1"/>
  <c r="A32" i="25" s="1"/>
  <c r="A34" i="25" l="1"/>
  <c r="A35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F20" i="8"/>
  <c r="G20" i="8" s="1"/>
  <c r="A54" i="25" l="1"/>
  <c r="A55" i="25" s="1"/>
  <c r="F68" i="7"/>
  <c r="G68" i="7" s="1"/>
  <c r="F67" i="7"/>
  <c r="G67" i="7" s="1"/>
  <c r="F66" i="7"/>
  <c r="G66" i="7" s="1"/>
  <c r="F65" i="7"/>
  <c r="G65" i="7" s="1"/>
  <c r="F64" i="7"/>
  <c r="G64" i="7" s="1"/>
  <c r="F52" i="7"/>
  <c r="G52" i="7" s="1"/>
  <c r="F59" i="7"/>
  <c r="G59" i="7" s="1"/>
  <c r="F58" i="7"/>
  <c r="G58" i="7" s="1"/>
  <c r="F57" i="7"/>
  <c r="G57" i="7" s="1"/>
  <c r="F56" i="7"/>
  <c r="G56" i="7" s="1"/>
  <c r="F55" i="7"/>
  <c r="G55" i="7" s="1"/>
  <c r="F54" i="7"/>
  <c r="G54" i="7" s="1"/>
  <c r="F53" i="7"/>
  <c r="G53" i="7" s="1"/>
  <c r="F51" i="7"/>
  <c r="G51" i="7" s="1"/>
  <c r="F50" i="7"/>
  <c r="G50" i="7" s="1"/>
  <c r="F63" i="7"/>
  <c r="G63" i="7" s="1"/>
  <c r="F49" i="7"/>
  <c r="G49" i="7" s="1"/>
  <c r="F35" i="7"/>
  <c r="G35" i="7" s="1"/>
  <c r="F38" i="7"/>
  <c r="G38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9" i="7"/>
  <c r="G39" i="7" s="1"/>
  <c r="F37" i="7"/>
  <c r="G37" i="7" s="1"/>
  <c r="F36" i="7"/>
  <c r="G36" i="7" s="1"/>
  <c r="A57" i="25" l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F87" i="7"/>
  <c r="G87" i="7" s="1"/>
  <c r="F33" i="7" l="1"/>
  <c r="G33" i="7" s="1"/>
  <c r="G176" i="12" l="1"/>
  <c r="G177" i="12" s="1"/>
  <c r="F4" i="13" s="1"/>
  <c r="F176" i="12"/>
  <c r="F177" i="12" s="1"/>
  <c r="C4" i="13" s="1"/>
  <c r="F89" i="7"/>
  <c r="G89" i="7" s="1"/>
  <c r="F88" i="7"/>
  <c r="G88" i="7" s="1"/>
  <c r="F86" i="7"/>
  <c r="G86" i="7" s="1"/>
  <c r="F85" i="7"/>
  <c r="G85" i="7" s="1"/>
  <c r="F32" i="7"/>
  <c r="G32" i="7" s="1"/>
  <c r="F31" i="7"/>
  <c r="G31" i="7" s="1"/>
  <c r="F30" i="7"/>
  <c r="G30" i="7" s="1"/>
  <c r="F29" i="7"/>
  <c r="G29" i="7" s="1"/>
  <c r="F23" i="7"/>
  <c r="G23" i="7" s="1"/>
  <c r="F22" i="7"/>
  <c r="G22" i="7" s="1"/>
  <c r="F14" i="7"/>
  <c r="G14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8" l="1"/>
  <c r="F18" i="8"/>
  <c r="G18" i="8" s="1"/>
  <c r="F10" i="8"/>
  <c r="G10" i="8" s="1"/>
  <c r="F8" i="8"/>
  <c r="G8" i="8" s="1"/>
  <c r="F23" i="8"/>
  <c r="G23" i="8" s="1"/>
  <c r="F22" i="8"/>
  <c r="G22" i="8" s="1"/>
  <c r="F21" i="8"/>
  <c r="G21" i="8" s="1"/>
  <c r="F19" i="8"/>
  <c r="F16" i="8"/>
  <c r="G16" i="8" s="1"/>
  <c r="F15" i="8"/>
  <c r="G15" i="8" s="1"/>
  <c r="F14" i="8"/>
  <c r="G14" i="8" s="1"/>
  <c r="F7" i="8"/>
  <c r="G7" i="8" s="1"/>
  <c r="A7" i="8"/>
  <c r="A8" i="8" s="1"/>
  <c r="A6" i="3"/>
  <c r="A7" i="3" s="1"/>
  <c r="A8" i="3" s="1"/>
  <c r="A9" i="3" s="1"/>
  <c r="A10" i="3" s="1"/>
  <c r="A11" i="3" s="1"/>
  <c r="A12" i="3" s="1"/>
  <c r="A13" i="3" s="1"/>
  <c r="A15" i="3" s="1"/>
  <c r="F41" i="3"/>
  <c r="G41" i="3" s="1"/>
  <c r="F43" i="3"/>
  <c r="G43" i="3" s="1"/>
  <c r="F42" i="3"/>
  <c r="G42" i="3" s="1"/>
  <c r="F40" i="3"/>
  <c r="G40" i="3" s="1"/>
  <c r="F38" i="3"/>
  <c r="G38" i="3" s="1"/>
  <c r="F39" i="3"/>
  <c r="G39" i="3" s="1"/>
  <c r="F15" i="3"/>
  <c r="G15" i="3" s="1"/>
  <c r="F14" i="3"/>
  <c r="G14" i="3" s="1"/>
  <c r="F12" i="3"/>
  <c r="G12" i="3" s="1"/>
  <c r="F11" i="3"/>
  <c r="G11" i="3" s="1"/>
  <c r="F16" i="3"/>
  <c r="G16" i="3" s="1"/>
  <c r="F13" i="3"/>
  <c r="G13" i="3" s="1"/>
  <c r="F10" i="3"/>
  <c r="G10" i="3" s="1"/>
  <c r="F9" i="3"/>
  <c r="G9" i="3" s="1"/>
  <c r="F7" i="3"/>
  <c r="G7" i="3" s="1"/>
  <c r="F5" i="3"/>
  <c r="G5" i="3" s="1"/>
  <c r="G19" i="8" l="1"/>
  <c r="F24" i="8"/>
  <c r="F25" i="8" s="1"/>
  <c r="F26" i="8" s="1"/>
  <c r="C3" i="13" s="1"/>
  <c r="G6" i="8"/>
  <c r="A9" i="8"/>
  <c r="A10" i="8" s="1"/>
  <c r="A11" i="8" s="1"/>
  <c r="A14" i="8" s="1"/>
  <c r="A16" i="3"/>
  <c r="A17" i="3" s="1"/>
  <c r="A18" i="3" s="1"/>
  <c r="A19" i="3" s="1"/>
  <c r="A20" i="3" s="1"/>
  <c r="A21" i="3" s="1"/>
  <c r="A22" i="3" s="1"/>
  <c r="F8" i="3"/>
  <c r="G8" i="3" s="1"/>
  <c r="G24" i="8"/>
  <c r="G25" i="8" s="1"/>
  <c r="G26" i="8" s="1"/>
  <c r="F3" i="1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5" i="8"/>
  <c r="F6" i="3"/>
  <c r="F54" i="3" s="1"/>
  <c r="D3" i="13" s="1"/>
  <c r="E3" i="13" s="1"/>
  <c r="A40" i="3" l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53" i="3" s="1"/>
  <c r="A16" i="8"/>
  <c r="A18" i="8" s="1"/>
  <c r="A19" i="8" s="1"/>
  <c r="A20" i="8" s="1"/>
  <c r="A21" i="8" s="1"/>
  <c r="A22" i="8" s="1"/>
  <c r="A23" i="8" s="1"/>
  <c r="G6" i="3"/>
  <c r="G54" i="3" s="1"/>
  <c r="G3" i="13" s="1"/>
  <c r="H3" i="13" s="1"/>
  <c r="F84" i="7" l="1"/>
  <c r="G84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6" i="7"/>
  <c r="A22" i="7" l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5" i="7" s="1"/>
  <c r="A36" i="7" s="1"/>
  <c r="A37" i="7" s="1"/>
  <c r="F90" i="7"/>
  <c r="D4" i="13" s="1"/>
  <c r="E4" i="13" s="1"/>
  <c r="E10" i="13" s="1"/>
  <c r="G15" i="7"/>
  <c r="G6" i="7"/>
  <c r="G90" i="7" l="1"/>
  <c r="G4" i="13" s="1"/>
  <c r="H4" i="13" s="1"/>
  <c r="A38" i="7" l="1"/>
  <c r="A39" i="7" s="1"/>
  <c r="A40" i="7" s="1"/>
  <c r="A41" i="7" s="1"/>
  <c r="A42" i="7" s="1"/>
  <c r="A43" i="7" s="1"/>
  <c r="A44" i="7" s="1"/>
  <c r="A45" i="7" s="1"/>
  <c r="A46" i="7" l="1"/>
  <c r="A47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l="1"/>
  <c r="A61" i="7" s="1"/>
  <c r="A63" i="7" s="1"/>
  <c r="A64" i="7" s="1"/>
  <c r="A65" i="7" s="1"/>
  <c r="A66" i="7" s="1"/>
  <c r="A67" i="7" s="1"/>
  <c r="A68" i="7" s="1"/>
  <c r="A70" i="7" l="1"/>
  <c r="A71" i="7" s="1"/>
  <c r="A72" i="7" s="1"/>
  <c r="A73" i="7" s="1"/>
  <c r="A74" i="7" s="1"/>
  <c r="A75" i="7" s="1"/>
  <c r="A77" i="7" s="1"/>
  <c r="A78" i="7" s="1"/>
  <c r="A79" i="7" s="1"/>
  <c r="A80" i="7" s="1"/>
  <c r="A81" i="7" s="1"/>
  <c r="A82" i="7" s="1"/>
  <c r="A84" i="7" s="1"/>
  <c r="A85" i="7" s="1"/>
  <c r="A86" i="7" s="1"/>
  <c r="A87" i="7" s="1"/>
  <c r="A88" i="7" s="1"/>
  <c r="A89" i="7" s="1"/>
  <c r="D10" i="13"/>
  <c r="G10" i="13" l="1"/>
  <c r="F10" i="13" l="1"/>
  <c r="C10" i="13"/>
  <c r="H10" i="13" l="1"/>
</calcChain>
</file>

<file path=xl/sharedStrings.xml><?xml version="1.0" encoding="utf-8"?>
<sst xmlns="http://schemas.openxmlformats.org/spreadsheetml/2006/main" count="1461" uniqueCount="546">
  <si>
    <t>Песок</t>
  </si>
  <si>
    <t>шт</t>
  </si>
  <si>
    <t>м3</t>
  </si>
  <si>
    <t>м</t>
  </si>
  <si>
    <t>комплект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</si>
  <si>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</si>
  <si>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</si>
  <si>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</si>
  <si>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</si>
  <si>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</si>
  <si>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</si>
  <si>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Сооружение земляного полотна</t>
  </si>
  <si>
    <t>шт.</t>
  </si>
  <si>
    <t>№ п/п</t>
  </si>
  <si>
    <t>Наименование работ и затрат</t>
  </si>
  <si>
    <t>Ед.изм</t>
  </si>
  <si>
    <t>Цена за единицу</t>
  </si>
  <si>
    <t>т</t>
  </si>
  <si>
    <t>кг</t>
  </si>
  <si>
    <t>Грунтовка ГФ-021</t>
  </si>
  <si>
    <t>Кострец безостный</t>
  </si>
  <si>
    <t>Овсянка луговая</t>
  </si>
  <si>
    <t>Ежа сборная</t>
  </si>
  <si>
    <t>Кольцо стеновое КС20.6</t>
  </si>
  <si>
    <t>Кольцо стеновое КС20.9</t>
  </si>
  <si>
    <t>Битумная мастика Технониколь №24</t>
  </si>
  <si>
    <t>Песок строительный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</si>
  <si>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</si>
  <si>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</si>
  <si>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</si>
  <si>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</si>
  <si>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</si>
  <si>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</si>
  <si>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</si>
  <si>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контррельсовый уголка в комплекте с башмаками и кремплением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</si>
  <si>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</si>
  <si>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</si>
  <si>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</si>
  <si>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</si>
  <si>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</si>
  <si>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</si>
  <si>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</si>
  <si>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</si>
  <si>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>ИТОГО без НДС</t>
  </si>
  <si>
    <t>Итого без НДС</t>
  </si>
  <si>
    <t>Цена за единицу без НДС</t>
  </si>
  <si>
    <t>Доработка грунта вручную</t>
  </si>
  <si>
    <t>Обратная засыпка местным грунтом механизированным способом</t>
  </si>
  <si>
    <t>Уплотнение грунта пневматическими трамбовками</t>
  </si>
  <si>
    <t>Разработка грунта вручную</t>
  </si>
  <si>
    <t>Отвозка лишнего грунта  на расстояние до 30 км с утилизацией</t>
  </si>
  <si>
    <t>Земляные работы</t>
  </si>
  <si>
    <t>Доработка грунта в траншее вручную</t>
  </si>
  <si>
    <t>Обратная засыпка грунта бульдозером (95%)</t>
  </si>
  <si>
    <t>Погрузка лишнего грунта в автосамосвалы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</si>
  <si>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</si>
  <si>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</si>
  <si>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</si>
  <si>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 xml:space="preserve">Обратная засыпка грунта вручную </t>
  </si>
  <si>
    <t>Окраска мк покрытием из 2 слоев «алпол»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</si>
  <si>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</si>
  <si>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</si>
  <si>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</si>
  <si>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</si>
  <si>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</si>
  <si>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</si>
  <si>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</si>
  <si>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</si>
  <si>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</si>
  <si>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Монтаж муфты соединительной 10кВ 3СТп-10-70/120</t>
  </si>
  <si>
    <t>Монтаж трубы ПНД-110 SN12 в траншее на глубине 1 м</t>
  </si>
  <si>
    <t xml:space="preserve">Разработка сухого грунта механизированным способом </t>
  </si>
  <si>
    <t>Обратная засыпка грунта вручную  (5%)</t>
  </si>
  <si>
    <t>Заделка  концов футляра</t>
  </si>
  <si>
    <t>футляр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</si>
  <si>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</si>
  <si>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</si>
  <si>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</si>
  <si>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</si>
  <si>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</si>
  <si>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Обратная засыпка грунта вручную</t>
  </si>
  <si>
    <t>ООО "ТЕХРЕСУРС"</t>
  </si>
  <si>
    <t>Цена за ед без НДС</t>
  </si>
  <si>
    <t>Ед изм</t>
  </si>
  <si>
    <t>Демонтажные работы</t>
  </si>
  <si>
    <t>Щебень балластный категории II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</si>
  <si>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</si>
  <si>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</si>
  <si>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</si>
  <si>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</si>
  <si>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</si>
  <si>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</si>
  <si>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</si>
  <si>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</si>
  <si>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</si>
  <si>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</si>
  <si>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</si>
  <si>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</si>
  <si>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ливневой канализации (К2) на участке К2-7 – К2-8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</si>
  <si>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</si>
  <si>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</si>
  <si>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Труба полиэтиленовая напорная ПЭ100 SDR17 ∅280х16,6 «питьевая»</t>
  </si>
  <si>
    <t>Опорно-направляющее кольцо ОНК для трубы Дн=280 мм</t>
  </si>
  <si>
    <t>Втулка ПЭ100 SDR 17 под фланец d=250 мм PN10 кгс/см2 (для труб ∅280 мм)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</si>
  <si>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</si>
  <si>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</si>
  <si>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</si>
  <si>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</si>
  <si>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Цементно-песчаный раствор М100</t>
  </si>
  <si>
    <t>Плита днища ПН 15</t>
  </si>
  <si>
    <t>Кольцо стеновое КС15.9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</si>
  <si>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</si>
  <si>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</si>
  <si>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</si>
  <si>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</si>
  <si>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Грунтовка Праймер Технониколь №1</t>
  </si>
  <si>
    <t>Щебень фракции 20-40 мм, М600</t>
  </si>
  <si>
    <t>Труба полиэтиленовая напорная ПЭ100 SDR17 ∅225х13,4 «питьевая»</t>
  </si>
  <si>
    <t>Опорно-направляющее кольцо ОНК для трубы Дн=225 мм</t>
  </si>
  <si>
    <t>Втулка ПЭ100 SDR 17 под фланец d=315 мм PN10 кгс/см2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</si>
  <si>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</si>
  <si>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</si>
  <si>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Труба полиэтиленовая напорная ПЭ100 SDR17 ∅315х18,7 «питьевая»</t>
  </si>
  <si>
    <t>Опорно-направляющее кольцо ОНК для трубы Дн=315 мм</t>
  </si>
  <si>
    <t>Отвод сварной 45° ПЭ100 SDR17 ∅315х18,7</t>
  </si>
  <si>
    <t>Прокладка из паронита А-300-10 для фланца ∅300 мм, PN1,0 МПа, исп. А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</si>
  <si>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</si>
  <si>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</si>
  <si>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НПВХ гофрированная двухслойная DN 1000 мм SN16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</si>
  <si>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</si>
  <si>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</si>
  <si>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</si>
  <si>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</si>
  <si>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</si>
  <si>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Труба двустенная жесткая для кабельной канализации ПНД‐110 SN12</t>
  </si>
  <si>
    <t>Кабель силовой с алюминиевыми жилами сечением 3х120 мм2 АСБ‐6</t>
  </si>
  <si>
    <t>Муфта соединительная на напряжение до 10 кВ 3СТп‐10‐70/120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</si>
  <si>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</si>
  <si>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</si>
  <si>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</si>
  <si>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</si>
  <si>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</si>
  <si>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</si>
  <si>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</si>
  <si>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</si>
  <si>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</si>
  <si>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</si>
  <si>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</si>
  <si>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</si>
  <si>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</si>
  <si>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</si>
  <si>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</si>
  <si>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</si>
  <si>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</si>
  <si>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</si>
  <si>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</si>
  <si>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</si>
  <si>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</si>
  <si>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</si>
  <si>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</si>
  <si>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</si>
  <si>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</si>
  <si>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Демонтаж существующих труб стальных электросварных ø219х6,0</t>
  </si>
  <si>
    <t>Прокладка труб полиэтиленовых напорных ПЭ100  SDR17  ø315х18,7 «питьевая»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</si>
  <si>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</si>
  <si>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</si>
  <si>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</si>
  <si>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</si>
  <si>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</si>
  <si>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</si>
  <si>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 xml:space="preserve">Транспортировка для утилизации на полигон на расстояние 25 км 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</si>
  <si>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</si>
  <si>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</si>
  <si>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</si>
  <si>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</si>
  <si>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</si>
  <si>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</si>
  <si>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</si>
  <si>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</si>
  <si>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</si>
  <si>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</si>
  <si>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</si>
  <si>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</si>
  <si>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</si>
  <si>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Устройство основания под колодцы щебеночного</t>
  </si>
  <si>
    <t>Погрузка демонтированных элементов</t>
  </si>
  <si>
    <t>присоединение</t>
  </si>
  <si>
    <t>Бетон В10</t>
  </si>
  <si>
    <t>Сталь угловая 50х5, l=245 мм</t>
  </si>
  <si>
    <t>Полоса стальная 5х80 L=300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</si>
  <si>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</si>
  <si>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</si>
  <si>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</si>
  <si>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</si>
  <si>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</si>
  <si>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</si>
  <si>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</si>
  <si>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</si>
  <si>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</si>
  <si>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</si>
  <si>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</si>
  <si>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</si>
  <si>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</si>
  <si>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</si>
  <si>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</si>
  <si>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</si>
  <si>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</si>
  <si>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</si>
  <si>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</si>
  <si>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</si>
  <si>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</si>
  <si>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Бортовые камни БР 100.30.15</t>
  </si>
  <si>
    <t>Подкладки с упорами МП372.01.000</t>
  </si>
  <si>
    <t>Подкладки МП372.00.001</t>
  </si>
  <si>
    <t>Сверление стыковых отверстий в новых рельсах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</si>
  <si>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</si>
  <si>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</si>
  <si>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Бетон В30 W6 F200</t>
  </si>
  <si>
    <t>Арматура ∅18-А400С</t>
  </si>
  <si>
    <t>Битумная грунтовка Технониколь №01</t>
  </si>
  <si>
    <t>Бетон В25 W6 F200</t>
  </si>
  <si>
    <t>Песок средней крупности</t>
  </si>
  <si>
    <t>Металлоконструкции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</si>
  <si>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</si>
  <si>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</si>
  <si>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ПЖ 217 путь</t>
  </si>
  <si>
    <t>Рельсы новые НТ типа Р-65 длина 12,5 м (новые без болтовых отверстий) (29,25т)</t>
  </si>
  <si>
    <t>Рельсы старогодние НТ типа Р-65 длина 12,5 м (3,25т)</t>
  </si>
  <si>
    <t>Рельсы старогодние НТ типа Р-65 длина 25 м  (4,875т)</t>
  </si>
  <si>
    <t>Haклaдки новые 1P-65</t>
  </si>
  <si>
    <t>Haклaдки старогодние 1P-65</t>
  </si>
  <si>
    <t>Болт М27х160 (276  шт.)</t>
  </si>
  <si>
    <t>Гайка М27 (276  шт.)</t>
  </si>
  <si>
    <t>Шайба пружинная 27 (276  шт.)</t>
  </si>
  <si>
    <t>Деревянные пропитанные шпалы II тип</t>
  </si>
  <si>
    <t>Скрепления КД 65 - 1056 компл (13,126т)</t>
  </si>
  <si>
    <t>Гайка М22 (266,11 кг)</t>
  </si>
  <si>
    <t>Шайба двухвитковая М25 (253,44 кг)</t>
  </si>
  <si>
    <t>Клемма промежуточная (1 351,68 кг)</t>
  </si>
  <si>
    <t>Болт клеммный М22х75 (728,64 кг)</t>
  </si>
  <si>
    <t>Шурупы путевые М24х170 (2 492,16 кг)</t>
  </si>
  <si>
    <t>Подкладка КД-65 (10 243,2 кг)</t>
  </si>
  <si>
    <t>Прокладка ЦП-361 нашпальная (КД-65) (696,66 кг)</t>
  </si>
  <si>
    <t>Прокладка ЦП-363 подрельсовая (КД-65) (264 кг)</t>
  </si>
  <si>
    <t>Контррельсовые уголки с креплением</t>
  </si>
  <si>
    <t>Контррельсовый уголок СП850 длина 9 м МСЗ.8318.00.000-03</t>
  </si>
  <si>
    <t>компл</t>
  </si>
  <si>
    <t>Контррельсовый уголок СП850 длина 9 м МСЗ.8318.00.000-04</t>
  </si>
  <si>
    <t>Контррельсовый уголок СП850 длина 9 м МСЗ.8318.00.000-05</t>
  </si>
  <si>
    <t>Планка МСЗ.8318.00.002</t>
  </si>
  <si>
    <t>Планка МСЗ.8318.00.003</t>
  </si>
  <si>
    <t>Болт М22х105</t>
  </si>
  <si>
    <t>Гайка М22</t>
  </si>
  <si>
    <t>Шайба двухвитковая М25</t>
  </si>
  <si>
    <t>Болт М22х85</t>
  </si>
  <si>
    <t>Прокладка регулировочная</t>
  </si>
  <si>
    <t>Шурупы путевые М24х170</t>
  </si>
  <si>
    <t>Комплект деревянных брусьев для стрелочного перевода №20 марки 1/9, тип рельс Р65</t>
  </si>
  <si>
    <t>Деревянные брусья длиной 3м</t>
  </si>
  <si>
    <t>Деревянные брусья длиной 3,25м</t>
  </si>
  <si>
    <t>Деревянные брусья длиной 3,5м</t>
  </si>
  <si>
    <t>Деревянные брусья длиной 3,75м</t>
  </si>
  <si>
    <t>Деревянные брусья длиной 4м</t>
  </si>
  <si>
    <t>Деревянные брусья длиной 4,25м</t>
  </si>
  <si>
    <t>Деревянные брусья длиной 4,5м</t>
  </si>
  <si>
    <t>Деревянные брусья длиной 4,75м</t>
  </si>
  <si>
    <t>Деревянные брусья длиной 5м</t>
  </si>
  <si>
    <t>Деревянные брусья длиной 5,25м</t>
  </si>
  <si>
    <t>Устройство насыпи</t>
  </si>
  <si>
    <t>Балластировка путей</t>
  </si>
  <si>
    <t>Планировка откосов насыпи</t>
  </si>
  <si>
    <t>планировка площадки выемки</t>
  </si>
  <si>
    <t>Планировка откосов выемки</t>
  </si>
  <si>
    <t>Балластировка путей щебнем</t>
  </si>
  <si>
    <t>Укладка старогоднего стрелочного перевода типа Р65 марка 1/9 правый, с комплектом деревянных брусьев и креплений</t>
  </si>
  <si>
    <t>Труба стальная электросварная прямошовная группы В по ГОСТ 10705-80* сталь 20 ∅530х8,0 (футляр) с весьма усиленной гидроизоляцией</t>
  </si>
  <si>
    <t>Фланц свободный стальной Dу 250 мм (для труб ∅280 мм)</t>
  </si>
  <si>
    <t>Гайка М20</t>
  </si>
  <si>
    <t>Шайба М20</t>
  </si>
  <si>
    <t>Фланц стальной плоский приварной Dу 250 мм Ру 10 кгс/см2</t>
  </si>
  <si>
    <t>Плита перекрытия 2ПП 15-2</t>
  </si>
  <si>
    <t>132-23-ПЖ. Железнодорожные пути</t>
  </si>
  <si>
    <t>132-23-НВК. Наружные сети водоснабжения и канализации</t>
  </si>
  <si>
    <t>Переустройство хозпитьевого водопровода (В1) на участке В1-1/ПГ - В1-2</t>
  </si>
  <si>
    <t>Переустройство хозпитьевого водопровода (В1) на участке В1-3 - В1-4</t>
  </si>
  <si>
    <t>Труба стальная электросварная прямошовная группы В по ГОСТ 10705-80* сталь 20 ∅426х7,0 (футляр) с весьма усиленной гидроизоляцией</t>
  </si>
  <si>
    <t>Фланц свободный стальной Dу 200 мм (для труб ∅225 мм)</t>
  </si>
  <si>
    <t>Прокладка из паронита А-200-10 для фланца ∅200 мм, PN1,0 МПа, исп. А шт. 1</t>
  </si>
  <si>
    <t>Переустройство хозпитьевого водопровода (В1) на участке В1-5 - В1-5А/Уг.1 - В1-6</t>
  </si>
  <si>
    <t>Фланц свободный стальной Dу 300 мм (для труб ∅315 мм)</t>
  </si>
  <si>
    <t>Переустройство ливневой канализации (К2) на участке К2-7 - К2-8</t>
  </si>
  <si>
    <t>Труба стальная электросварная прямошовная группы В по ГОСТ 10705-80* сталь 20 ∅1220х10,0 мм (футляр) с весьма усиленной гидроизоляцией</t>
  </si>
  <si>
    <t>Переустройство ливневой канализации (К2) на участке К2-11 - К2-13</t>
  </si>
  <si>
    <t>Труба стальная электросварная прямошовная группы В по ГОСТ 10705-80* сталь 20 ∅820х8,0 мм (футляр) с весьма усиленной гидроизоляцией</t>
  </si>
  <si>
    <t>НВК 217 путь</t>
  </si>
  <si>
    <t>ЭС 217 путь</t>
  </si>
  <si>
    <t>ГП 217 путь</t>
  </si>
  <si>
    <t>КС 217 путь</t>
  </si>
  <si>
    <t>Прокладка труб стальных электросварных прямошовных ø530х8,0 сталь 20 (футляр) + Монтаж опорно-направляющих колец ОНК для трубы Дн=280мм - 2шт.</t>
  </si>
  <si>
    <t>Прокладка труб полиэтиленовых напорных ПЭ100 SDR17 ø280х16,6 «питьевая»</t>
  </si>
  <si>
    <t xml:space="preserve">Заделка межтрубного пространства в футляре (кожухе) цементно-песчаным раствором М100 </t>
  </si>
  <si>
    <t>Прокладка труб стальных электросварных прямошовных ø530х8,0 группы (футляр) + Установка опорно-направляющих колец ОНК для трубы Дн=315 мм - 12шт</t>
  </si>
  <si>
    <t>Монтаж отвода 45град. ПЭ 100 SDR17 d=315 мм - 14,8кг/шт.</t>
  </si>
  <si>
    <t>Переустройство ливневой канализации (К2) на участке К2-9 - К2-10</t>
  </si>
  <si>
    <t>Переустройство ливневой канализации (К2) на участке К2-11 - К2-12</t>
  </si>
  <si>
    <t xml:space="preserve">132-23-ЭС. Электроснабжение. </t>
  </si>
  <si>
    <t>Переустройство кабельных линий</t>
  </si>
  <si>
    <t>Уплотнитель кабельных проходов термоусаживаемый УКПт‐120/28</t>
  </si>
  <si>
    <t>Точки 14‐15</t>
  </si>
  <si>
    <t>Прокладка кабеля АСБ-6 сеч. 3х120мм2 в траншее в трубе</t>
  </si>
  <si>
    <t>Заделка труб уплотнителем кабельных проходов термоусаживаемым УКПт-120/28</t>
  </si>
  <si>
    <t>Устройство постели из песка</t>
  </si>
  <si>
    <t>132-23-ГП. Генеральный план</t>
  </si>
  <si>
    <t>Водоотводной лоток, прикромочный лоток</t>
  </si>
  <si>
    <t>Прикромочный лоток Б1-18-50</t>
  </si>
  <si>
    <t>Благоустройство (бетонное покрытие)</t>
  </si>
  <si>
    <t>Бетон монолитный кл.В25, F 75, W6 ГОСТ 26633-2015 h = 0,15м</t>
  </si>
  <si>
    <t>Корректировка колоддца В1-1 /ПГ на сети хозпитьевого водопровода</t>
  </si>
  <si>
    <t>Реконструкция колодца К2-7 на сети ливневой канализации</t>
  </si>
  <si>
    <t>Реконструкция колодца К2-8 на сети ливневой канализации</t>
  </si>
  <si>
    <t>Привозка недостатка грунта автосамосвалом</t>
  </si>
  <si>
    <t>Благоустройство (Прикромочный лоток)</t>
  </si>
  <si>
    <t>Бетон монолитный кл.В25, F 75, W6 ГОСТ 26633-2015 h = 0,15 м</t>
  </si>
  <si>
    <t>Демонтаж. Бетон монолитный кл.В25, F 75, W6 ГОСТ 26633-2015 h = 0,15 м</t>
  </si>
  <si>
    <t>Корректировка колодца В1-1 / ПГ на сети хозпитьевого водопровода</t>
  </si>
  <si>
    <t>Монтаж кольца стенового КС15.9 (0,4м3)</t>
  </si>
  <si>
    <t>Монтаж кольца стенового КС20.9 (0,59м3)</t>
  </si>
  <si>
    <t>Монтаж кольца стенового КС20.6 (0,39м3)</t>
  </si>
  <si>
    <t>Благоустройство (Бетонное покрытие) 183м2</t>
  </si>
  <si>
    <t>Демонтаж (существующее бетонное покрытие) 150м2</t>
  </si>
  <si>
    <t>Демонтаж существующ. эстакады.</t>
  </si>
  <si>
    <t>Демонтаж монолитных железобетонных фундаментов</t>
  </si>
  <si>
    <t>Демонтаж фермы Ф-1 весом 3076 кг</t>
  </si>
  <si>
    <t>Демонтаж фермы Ф-2 весом 3250 кг</t>
  </si>
  <si>
    <t>Демонтаж фермы Ф-3 весом 3020 кг</t>
  </si>
  <si>
    <t>Демонтаж деталей крепления трубопроводов весом 50,5 кг</t>
  </si>
  <si>
    <t>Вывоз излишка грунта</t>
  </si>
  <si>
    <t>км</t>
  </si>
  <si>
    <t>Погрузка  лишнего грунта на автосамосвал</t>
  </si>
  <si>
    <t>Объемы выборки, вывоза и утилизации грунта и строительного мусора</t>
  </si>
  <si>
    <t xml:space="preserve">Погрузка лишнего грунта </t>
  </si>
  <si>
    <t>Погрузка строительного мусора</t>
  </si>
  <si>
    <t>Демонтаж существующей опоры Оп- 1весом 943 кг (3772 кг)</t>
  </si>
  <si>
    <t>132-23-КС. Контактная сеть</t>
  </si>
  <si>
    <t>Трансбордер 217 путь</t>
  </si>
  <si>
    <t>Проволока биметаллическая Ø 4 мм БСМ2</t>
  </si>
  <si>
    <t>Проволока биметаллическая Ø 6 мм БСМ2</t>
  </si>
  <si>
    <t>Узел крепления консоли УКС 04969 КС.МК-14-088</t>
  </si>
  <si>
    <t>Узел крепления тяги консоли ЛЭЗ 40.0368</t>
  </si>
  <si>
    <t>Узел крепления пяты консоли ЛЭЗ 40.0368-01</t>
  </si>
  <si>
    <t>Узел подключения заземляющего проводника к рельсу УКЗУ-3</t>
  </si>
  <si>
    <t>Заземляющий проводник - сталь круглая D=12мм</t>
  </si>
  <si>
    <t>Трубка для изоляции спуска заземления ПВХ-18,5х1,5</t>
  </si>
  <si>
    <t>Кронштейн индивидуального заземлителя УКС 04911 КС.МК-14</t>
  </si>
  <si>
    <t>Стойка металлическая МШК1-10-100 КС.МК-14</t>
  </si>
  <si>
    <t>Опора железобетонная ССА100.6-3.1</t>
  </si>
  <si>
    <t>Изоляция в узеле крепления опор к фундаментам</t>
  </si>
  <si>
    <t>Втулка изолирующая КС 201.200.105</t>
  </si>
  <si>
    <t>Оголовок изолирующий УКС 06131</t>
  </si>
  <si>
    <t>Шайба изолирующая КС 201.200.118</t>
  </si>
  <si>
    <t>Колпачок изолирующий КС 201.200.117</t>
  </si>
  <si>
    <t>Фундамент железобетонный ТСА-4.5-100</t>
  </si>
  <si>
    <t>Знак «Высокое напряжение»</t>
  </si>
  <si>
    <t>Смазка графитная электропроводящая ж.д. КЖ</t>
  </si>
  <si>
    <t>АС 217 путь</t>
  </si>
  <si>
    <t>Архитектурно-строительные решения</t>
  </si>
  <si>
    <t>132-23-АС1. Архитектурно-строительные решения. Ограждение</t>
  </si>
  <si>
    <t>132-23-АС2. Архитектурно-строительные решения. Защитное сооружение</t>
  </si>
  <si>
    <t>Сборные железобетонные, монолитные и кирпичные конструкции</t>
  </si>
  <si>
    <t>Бетон В20 W6 F150</t>
  </si>
  <si>
    <t>Щебень фр. 20-40</t>
  </si>
  <si>
    <t>Кирпич КР-р-по 250х120х88/1,4НФ/150/2,0/50</t>
  </si>
  <si>
    <t>Фундаменты ограждения ФО-2</t>
  </si>
  <si>
    <t>Панели ограждения ПО-2</t>
  </si>
  <si>
    <t>Болт М24х900 (16 шт.)</t>
  </si>
  <si>
    <t>Покрытие Цинол</t>
  </si>
  <si>
    <t>Покрытие Алпол</t>
  </si>
  <si>
    <t>Цементный раствор М100</t>
  </si>
  <si>
    <t>Покрытие Полифан Стандат ВД-КЧ-1ФА</t>
  </si>
  <si>
    <t>Ворота ВР-1</t>
  </si>
  <si>
    <t>Арматура ∅8 АIII</t>
  </si>
  <si>
    <t>Стойка СТ-1 (406,4 кг)-4 шт.</t>
  </si>
  <si>
    <t>Труба 160х160х6 (4 шт.)</t>
  </si>
  <si>
    <t>Прокат листовой 20х400 (4 шт.)</t>
  </si>
  <si>
    <t>Прокат листовой 8х150 (12 шт.)</t>
  </si>
  <si>
    <t>Прокат листовой 6х180 (4 шт.)</t>
  </si>
  <si>
    <t>Свая буронабивная СВ-1 - 4шт.</t>
  </si>
  <si>
    <t>Бетон В25 W8</t>
  </si>
  <si>
    <t>Арматура ∅16-А500С</t>
  </si>
  <si>
    <t>Арматура ∅5-Вр500</t>
  </si>
  <si>
    <t>Прокат листовой 50х6</t>
  </si>
  <si>
    <t>Фундамент монолитный ФМ-1 - 1шт.</t>
  </si>
  <si>
    <t>Бетон В25 W6 F150</t>
  </si>
  <si>
    <t>Арматура ∅12-А500С</t>
  </si>
  <si>
    <t>Арматура ∅6-А240</t>
  </si>
  <si>
    <t>Пролетное строение ПБ-1 - 1шт.</t>
  </si>
  <si>
    <t>Арматура ∅25-А500С</t>
  </si>
  <si>
    <t>Устройство кирпичной кладки из кирпича КР-р-по 250х120х88/1,4НФ/150/2,0/50 на растворе М50</t>
  </si>
  <si>
    <t>Устройство монолитных фундаментов из бетона кл. В20, W6, F150</t>
  </si>
  <si>
    <t>Устройство анкерных болтов в монолитных фундаментах</t>
  </si>
  <si>
    <t>Окраска анкерных болтов 2-мя слоя «Алпола» по 1 слою «Цинол»</t>
  </si>
  <si>
    <t>Устройство щебеночной подготовки из щебня фр. 20-40 мм под фундаменты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</si>
  <si>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</si>
  <si>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</si>
  <si>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</si>
  <si>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Очистка поверхности сборных железобетонных и монолитных фундаментов перед обмазкой</t>
  </si>
  <si>
    <t>Заделка панелей ограждения в фундаментах бетоном кл. В20, W6, F150</t>
  </si>
  <si>
    <t>Устройство металлических стоек для ворот</t>
  </si>
  <si>
    <t>Установка металлических ворот</t>
  </si>
  <si>
    <t>Окраска мк покрытием из 2-х слоев «Алпола» по 1 слою «Цинол»</t>
  </si>
  <si>
    <t>Устройство деталей крепления стоек ворот в кирпичной кладке</t>
  </si>
  <si>
    <t>Бурение скважин в обсадных трубах Ø630 мм L=11 м (4 шт)</t>
  </si>
  <si>
    <t>Фундаменты</t>
  </si>
  <si>
    <t>Устройство основания из экструдированного пенополистирола толщиной 100 мм</t>
  </si>
  <si>
    <t>Устройство подготовки из бетона кл. В7,5 толщиной 100 мм под монолитные железобетонные конструкции</t>
  </si>
  <si>
    <t>Устройство монолитных ж/б свай из бетона класса В25, W8</t>
  </si>
  <si>
    <t>Устройство монолитного ж/б фундамента из бетона класса В25, W6, F150</t>
  </si>
  <si>
    <t>Устройство монолитного ж/б пролетного строения из бетона класса В25, W6, F150</t>
  </si>
  <si>
    <t>Разные работы</t>
  </si>
  <si>
    <t>Очистка боковых поверхностей монолитных фундаментов от грязи</t>
  </si>
  <si>
    <t>Установка железобетонных оград из панелей (2,5м*32 шт)</t>
  </si>
  <si>
    <t>Огрунтовка поверхностей сборных железобетонных поверхностей  за один раз</t>
  </si>
  <si>
    <t xml:space="preserve">Обмазка поверхностей сборных железобетонных поверхностей  битумной мастикой за 2 раза </t>
  </si>
  <si>
    <t>132-23-АС. Архитектурно-строительные решения. Трансбордер</t>
  </si>
  <si>
    <t>Ферма Ф-1 (225,9 кг) 1 шт.</t>
  </si>
  <si>
    <t>Уголок L50x5, l=7300 (4 шт.)</t>
  </si>
  <si>
    <t>Уголок L50x70х5, l=1000 (4 шт.)</t>
  </si>
  <si>
    <t>Уголок L35x4</t>
  </si>
  <si>
    <t>Стойка СТ-1 (417,5 кг) 1 шт.</t>
  </si>
  <si>
    <t>Швеллеры 24, l=5660 мм (2 шт.)</t>
  </si>
  <si>
    <t>Прокат стальной 140х10, l=280 (18 шт.)</t>
  </si>
  <si>
    <t>Швеллеры 120х60х4, l=700 (2 шт.)</t>
  </si>
  <si>
    <t>Прокат стальной 240х10, l=600 (2 шт.)</t>
  </si>
  <si>
    <t>Прокат стальной 600х20, l=600 (1 шт.)</t>
  </si>
  <si>
    <t>Полоса -8х100 (4 шт.)</t>
  </si>
  <si>
    <t>Полоса -8х40 (4 шт.)</t>
  </si>
  <si>
    <t>Монолитные ж/б конструкции</t>
  </si>
  <si>
    <t>Подпорная стена ПС1 ( 2 шт.)</t>
  </si>
  <si>
    <t>Арматура ∅12-А400С</t>
  </si>
  <si>
    <t>Арматура ∅8-А240</t>
  </si>
  <si>
    <t>Уголок L125x12 (2 шт.)</t>
  </si>
  <si>
    <t>Рулонная гидроизоляция Техноэласт ЭПП</t>
  </si>
  <si>
    <t xml:space="preserve">Закладная деталь Зд1- 4шт. </t>
  </si>
  <si>
    <t>Лист 12х200</t>
  </si>
  <si>
    <t>Плита трансбордера Пл1</t>
  </si>
  <si>
    <t>Подкладка КБ50 (6,9 кг/шт.)</t>
  </si>
  <si>
    <t>Шайба двухвитковая М22 (60 шт.)</t>
  </si>
  <si>
    <t>Гайка М22 (60 шт.)</t>
  </si>
  <si>
    <t>Болт М22 (60 шт.)</t>
  </si>
  <si>
    <t>Резиновая прокладка 6..8 мм</t>
  </si>
  <si>
    <t>Сетка С1 из ∅ 8 А-I (30 шт.)</t>
  </si>
  <si>
    <t>Рельс Р50 (393,7 кг/шт.)</t>
  </si>
  <si>
    <t>Накладка 1 Р50 (18,8 кг/шт.)</t>
  </si>
  <si>
    <t>Болт стыковой М24х150 (0,8 кг/шт.)</t>
  </si>
  <si>
    <t>Техноплекс 35, толщиной 20 мм</t>
  </si>
  <si>
    <t>Технониколь ПУ Flor, размером 20х20 мм</t>
  </si>
  <si>
    <t>Закладная деталь Зд1 - 30 шт.</t>
  </si>
  <si>
    <t>Фундамент ФМ-1</t>
  </si>
  <si>
    <t>Сетка С1 из ∅ 8 А-I (3шт)</t>
  </si>
  <si>
    <t>Анкерный болт ∅8 L=985 (4 шт)</t>
  </si>
  <si>
    <t>Шайба (8 шт.)</t>
  </si>
  <si>
    <t>Гайка М24 (12 шт.)</t>
  </si>
  <si>
    <t>Щебень М600 изверженных пород, крупность 40…60 мм</t>
  </si>
  <si>
    <t>132-23-ЭМ. Трансбордер. Силовое электрооборудование</t>
  </si>
  <si>
    <t>Опорный фарфоровый изолятор ИОР 10-7,5 I УХЛ 2</t>
  </si>
  <si>
    <t>Резьбовая шпилька М10 (2 шт.)</t>
  </si>
  <si>
    <t>Резьбовая шпилька М16  (2 шт.)</t>
  </si>
  <si>
    <t>Гайка М10 (15 шт.)</t>
  </si>
  <si>
    <t>Гайка М16 (15 шт.)</t>
  </si>
  <si>
    <t>Шайба 10/125 (15 шт.)</t>
  </si>
  <si>
    <t>Шайба 16/125 (15 шт.)</t>
  </si>
  <si>
    <t>Шайба пружинная 10/127 (15 шт.)</t>
  </si>
  <si>
    <t>Шайба пружинная 16/127 (15 шт.)</t>
  </si>
  <si>
    <t>Круг стальной горячекатаный ∅16 мм</t>
  </si>
  <si>
    <t>Уголок стальной L50x70х5, l=1000</t>
  </si>
  <si>
    <t>Земляные работы под плиту трансбордера Пл1</t>
  </si>
  <si>
    <t>Подпорная стена ПС1</t>
  </si>
  <si>
    <t>Устройство подпорной стены из бетона В25 W6 F200</t>
  </si>
  <si>
    <t>Устройство бетонной подготовки из бетона В10 толщиной 100 мм</t>
  </si>
  <si>
    <t>Рулонная гидроизоляция Техноэласт ЭПП в 2 слоя</t>
  </si>
  <si>
    <t>Установка закладной детали Зд1 (16,4кг)</t>
  </si>
  <si>
    <t>Устройство плиты трансбордера из бетона В25 W6 F200</t>
  </si>
  <si>
    <t>Устройство плиты трансбордера из бетона В10 толщиной 100 мм</t>
  </si>
  <si>
    <t>Установка закладной детали Зд1 (246кг)</t>
  </si>
  <si>
    <t>Устройство деформационного шва с помощью утеплителя Техноплекс 35 толщиной 20 мм</t>
  </si>
  <si>
    <t>Устройство герметика Технониколь ПУ Flor, размером 20х20 мм</t>
  </si>
  <si>
    <t>Усиление основания под плиту щебнем изверженных пород крупностью 40…60 мм с трамбованием основания щебеночной подготовки слоем 100 мм</t>
  </si>
  <si>
    <t>Установка деталей крепления</t>
  </si>
  <si>
    <t>Устройство металлической стойки СТ-1 (0,42т)</t>
  </si>
  <si>
    <t>Огрунтовка (ГФ-021) металлоконструкций в заводских условиях в 1 слой</t>
  </si>
  <si>
    <t>Устройство монолитных ж/б фундаментов</t>
  </si>
  <si>
    <t>Устройство монолитных ж/б фундаментов из бетона кл. В25 F200, W6</t>
  </si>
  <si>
    <t>Термодиффузионное цинкование болтов толщиной не более 30 мм в заводских условиях</t>
  </si>
  <si>
    <t>Устройство бетонной подготовки из бетона В10 по монолитный ж/б фундамент ФМ-1</t>
  </si>
  <si>
    <t>Устройство заполнения рихтовочного зазора Бетоном В30 на мелком заполнителе</t>
  </si>
  <si>
    <t>Обмазка битумной мастикой (ТЕХНОНИКОЛЬ №24. Расход 0,7 кг/м2 на один слой) за 2 раза по битумной грунтовке (ТЕХНОНИКОЛЬ № 01 – 0,20-0,30 кг/м2) за 1 раз</t>
  </si>
  <si>
    <t>Монтаж опорного фарфорового изолятора ИОР 10-7,5 I УХЛ 2</t>
  </si>
  <si>
    <t>Монтаж оборудования и материалов (высота монтажа до 7 м)</t>
  </si>
  <si>
    <t>Монтаж круга стального горячекатаного ∅16 мм Сталь 3 ГОСТ 2590-2006</t>
  </si>
  <si>
    <t>Монтаж уголка стального L50x70х5, l=1000 ГОСТ 19771-93</t>
  </si>
  <si>
    <t>Прокат черных металлов (высота монтажа до 7 м)</t>
  </si>
  <si>
    <t>Установка металлической фермы Ф-1 (1 шт.)</t>
  </si>
  <si>
    <t>Огрунтовка металлических поверхностей  грунтовкой цинконаполненной</t>
  </si>
  <si>
    <t>Установка подкладки КБ50 (207 кг)</t>
  </si>
  <si>
    <t>Установка клемы ПК (42 кг)</t>
  </si>
  <si>
    <t>Установка резиновой прокладки 6..8 мм</t>
  </si>
  <si>
    <t>Установка Рельса Р50 (0,79т)</t>
  </si>
  <si>
    <t>Установка накладки 1Р50 (37,6 кг)</t>
  </si>
  <si>
    <t>Хомут крепления консоли ЛЭЗ.40.0368-01 (D=350 с упором)</t>
  </si>
  <si>
    <t xml:space="preserve">Нумерация опор </t>
  </si>
  <si>
    <t>Узел крепления заземления УКС 05600-03 (Р65; пост.ток; Lк=4,5 м)</t>
  </si>
  <si>
    <t>Кронштейн индивидуального заземления  УКС 04911</t>
  </si>
  <si>
    <t xml:space="preserve">Разработка сухого техногенного грунта механизированным способом </t>
  </si>
  <si>
    <t>Разработка (выборка) техногенного грунта</t>
  </si>
  <si>
    <t>Болт М20х75 (36 шт)</t>
  </si>
  <si>
    <t>Болт М20х75 (8 шт.)</t>
  </si>
  <si>
    <t>Болт М20х80 (24 шт.)</t>
  </si>
  <si>
    <t xml:space="preserve">Плита внутренняя (номер по проекту 2741.001) </t>
  </si>
  <si>
    <t>Монтаж резьбовой шпильки М10 арт. 210151 (+15шт. гайки М10 арт. 210156 + 15шт. шайбы 10/125 арт. 210161 + 15шт. шайбы пружинной 10/127 арт. 210171)</t>
  </si>
  <si>
    <t>Монтаж резьбовой шпильки М16 арт. 210153  (+15шт. гайки М16 арт. 210158 + 15шт. шайбы 16/125 арт. 210163 + 15шт. шайбы пружинной 16/127 арт. 210173)</t>
  </si>
  <si>
    <t xml:space="preserve">Трубы обсадные Ø630х8 </t>
  </si>
  <si>
    <t>Клемма ПК (0,7кг/шт.)</t>
  </si>
  <si>
    <t>м3/ шт.</t>
  </si>
  <si>
    <t>0,015/25</t>
  </si>
  <si>
    <t>ООО "ЭлектроЭнергетика"</t>
  </si>
  <si>
    <t>отсутствует в рд, в со есть рельсы новые без болтовых отверстий</t>
  </si>
  <si>
    <t>нет в рд</t>
  </si>
  <si>
    <t>прокладок в рд 3шт</t>
  </si>
  <si>
    <t>в вор плиты+кольца+люки подробно</t>
  </si>
  <si>
    <t>2м3</t>
  </si>
  <si>
    <t>кубов!!!</t>
  </si>
  <si>
    <t>щебенка 0,63м3 упущена</t>
  </si>
  <si>
    <t>щебенка 5м3 упущена</t>
  </si>
  <si>
    <t>упущены узлы крепления 2компл</t>
  </si>
  <si>
    <t>12 по рд</t>
  </si>
  <si>
    <t>кф-1,75</t>
  </si>
  <si>
    <t>232,3кг</t>
  </si>
  <si>
    <t>ЭМ-КИК</t>
  </si>
  <si>
    <t>ЭМ КИК</t>
  </si>
  <si>
    <t>тонны!</t>
  </si>
  <si>
    <t>23м3, т.е. по 1,6т/м3</t>
  </si>
  <si>
    <t xml:space="preserve">Утилизация грунта </t>
  </si>
  <si>
    <t xml:space="preserve">Уплотнение грунта пневматическими трамбовками </t>
  </si>
  <si>
    <t>Устройство планировочной насыпи бульдозером или иными</t>
  </si>
  <si>
    <t>Примечания</t>
  </si>
  <si>
    <t>Выемка и погрузка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</si>
</sst>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_-* #,##0.0_-;\-* #,##0.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</cellStyleXfs>
  <cellXfs count="27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9" fontId="0" fillId="0" borderId="0" xfId="2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1" applyNumberFormat="1" applyFon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2" borderId="0" xfId="0" applyFill="1"/>
    <xf numFmtId="165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4" applyFont="1" applyBorder="1" applyAlignment="1">
      <alignment horizontal="left" vertical="center" wrapText="1"/>
    </xf>
    <xf numFmtId="43" fontId="5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3" fontId="8" fillId="0" borderId="1" xfId="1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43" fontId="8" fillId="2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0" fontId="8" fillId="0" borderId="1" xfId="0" applyFont="1" applyBorder="1"/>
    <xf numFmtId="0" fontId="8" fillId="3" borderId="1" xfId="0" applyFont="1" applyFill="1" applyBorder="1"/>
    <xf numFmtId="165" fontId="8" fillId="0" borderId="1" xfId="1" applyNumberFormat="1" applyFont="1" applyBorder="1"/>
    <xf numFmtId="165" fontId="8" fillId="3" borderId="1" xfId="1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1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8" fillId="0" borderId="0" xfId="0" applyFont="1"/>
    <xf numFmtId="0" fontId="10" fillId="2" borderId="7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left" vertical="center"/>
    </xf>
    <xf numFmtId="166" fontId="8" fillId="3" borderId="1" xfId="0" applyNumberFormat="1" applyFont="1" applyFill="1" applyBorder="1"/>
    <xf numFmtId="43" fontId="10" fillId="0" borderId="1" xfId="1" applyFont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8" fillId="3" borderId="1" xfId="0" applyNumberFormat="1" applyFont="1" applyFill="1" applyBorder="1" applyAlignment="1">
      <alignment vertical="center"/>
    </xf>
    <xf numFmtId="166" fontId="8" fillId="0" borderId="1" xfId="0" applyNumberFormat="1" applyFont="1" applyBorder="1" applyAlignment="1">
      <alignment vertical="center"/>
    </xf>
    <xf numFmtId="43" fontId="7" fillId="2" borderId="1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166" fontId="5" fillId="3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165" fontId="5" fillId="3" borderId="1" xfId="1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3" fontId="8" fillId="5" borderId="1" xfId="1" applyFont="1" applyFill="1" applyBorder="1" applyAlignment="1">
      <alignment vertical="center"/>
    </xf>
    <xf numFmtId="43" fontId="10" fillId="5" borderId="1" xfId="1" applyFont="1" applyFill="1" applyBorder="1"/>
    <xf numFmtId="43" fontId="8" fillId="5" borderId="1" xfId="1" applyFont="1" applyFill="1" applyBorder="1" applyAlignment="1">
      <alignment horizontal="right" vertical="center"/>
    </xf>
    <xf numFmtId="43" fontId="10" fillId="5" borderId="1" xfId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right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1" xfId="1" applyFont="1" applyFill="1" applyBorder="1"/>
    <xf numFmtId="43" fontId="4" fillId="0" borderId="1" xfId="1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43" fontId="5" fillId="0" borderId="1" xfId="1" applyFont="1" applyBorder="1"/>
    <xf numFmtId="43" fontId="9" fillId="0" borderId="1" xfId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vertical="center" wrapText="1"/>
    </xf>
    <xf numFmtId="167" fontId="4" fillId="2" borderId="1" xfId="0" applyNumberFormat="1" applyFont="1" applyFill="1" applyBorder="1" applyAlignment="1">
      <alignment vertical="center" wrapText="1"/>
    </xf>
    <xf numFmtId="0" fontId="4" fillId="2" borderId="1" xfId="4" applyFont="1" applyFill="1" applyBorder="1" applyAlignment="1">
      <alignment horizontal="left" vertical="center" wrapText="1"/>
    </xf>
    <xf numFmtId="43" fontId="8" fillId="2" borderId="1" xfId="1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vertical="center" wrapText="1"/>
    </xf>
    <xf numFmtId="43" fontId="8" fillId="0" borderId="1" xfId="1" applyFont="1" applyFill="1" applyBorder="1" applyAlignment="1">
      <alignment vertical="center"/>
    </xf>
    <xf numFmtId="0" fontId="4" fillId="0" borderId="1" xfId="4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165" fontId="10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167" fontId="9" fillId="2" borderId="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167" fontId="8" fillId="2" borderId="1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0" borderId="1" xfId="4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8" fontId="8" fillId="2" borderId="1" xfId="0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wrapText="1"/>
    </xf>
    <xf numFmtId="43" fontId="0" fillId="0" borderId="0" xfId="1" applyFont="1"/>
    <xf numFmtId="43" fontId="0" fillId="2" borderId="0" xfId="1" applyFont="1" applyFill="1"/>
    <xf numFmtId="43" fontId="15" fillId="0" borderId="0" xfId="1" applyFont="1"/>
    <xf numFmtId="0" fontId="7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1" xfId="0" applyBorder="1" applyAlignment="1">
      <alignment horizontal="left"/>
    </xf>
    <xf numFmtId="0" fontId="7" fillId="6" borderId="1" xfId="4" applyFont="1" applyFill="1" applyBorder="1" applyAlignment="1">
      <alignment horizontal="left" vertical="center" wrapText="1"/>
    </xf>
    <xf numFmtId="0" fontId="16" fillId="0" borderId="1" xfId="4" applyFont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vertical="center" wrapText="1"/>
    </xf>
    <xf numFmtId="2" fontId="9" fillId="4" borderId="1" xfId="0" applyNumberFormat="1" applyFont="1" applyFill="1" applyBorder="1" applyAlignment="1">
      <alignment vertical="center" wrapText="1"/>
    </xf>
    <xf numFmtId="167" fontId="9" fillId="4" borderId="1" xfId="0" applyNumberFormat="1" applyFont="1" applyFill="1" applyBorder="1" applyAlignment="1">
      <alignment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0" fontId="4" fillId="2" borderId="3" xfId="4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43" fontId="8" fillId="7" borderId="1" xfId="1" applyFont="1" applyFill="1" applyBorder="1" applyAlignment="1">
      <alignment horizontal="center" vertical="center" wrapText="1"/>
    </xf>
    <xf numFmtId="165" fontId="8" fillId="7" borderId="1" xfId="1" applyNumberFormat="1" applyFont="1" applyFill="1" applyBorder="1" applyAlignment="1">
      <alignment horizontal="center" vertical="center" wrapText="1"/>
    </xf>
    <xf numFmtId="165" fontId="4" fillId="7" borderId="1" xfId="1" applyNumberFormat="1" applyFont="1" applyFill="1" applyBorder="1" applyAlignment="1">
      <alignment horizontal="center" vertical="center" wrapText="1"/>
    </xf>
    <xf numFmtId="169" fontId="8" fillId="7" borderId="1" xfId="1" applyNumberFormat="1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vertical="center" wrapText="1"/>
    </xf>
    <xf numFmtId="2" fontId="8" fillId="7" borderId="1" xfId="0" applyNumberFormat="1" applyFont="1" applyFill="1" applyBorder="1" applyAlignment="1">
      <alignment vertical="center" wrapText="1"/>
    </xf>
    <xf numFmtId="0" fontId="13" fillId="0" borderId="11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3" fontId="13" fillId="2" borderId="0" xfId="1" applyNumberFormat="1" applyFont="1" applyFill="1" applyAlignment="1">
      <alignment horizontal="left" vertical="center" indent="1"/>
    </xf>
    <xf numFmtId="0" fontId="13" fillId="2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" fontId="4" fillId="7" borderId="1" xfId="0" applyNumberFormat="1" applyFont="1" applyFill="1" applyBorder="1" applyAlignment="1">
      <alignment vertical="center" wrapText="1"/>
    </xf>
    <xf numFmtId="167" fontId="4" fillId="7" borderId="1" xfId="0" applyNumberFormat="1" applyFont="1" applyFill="1" applyBorder="1" applyAlignment="1">
      <alignment vertical="center" wrapText="1"/>
    </xf>
    <xf numFmtId="1" fontId="4" fillId="8" borderId="1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165" fontId="13" fillId="0" borderId="0" xfId="1" applyNumberFormat="1" applyFont="1" applyAlignment="1">
      <alignment horizontal="left" vertical="center"/>
    </xf>
    <xf numFmtId="0" fontId="13" fillId="0" borderId="11" xfId="0" applyFont="1" applyBorder="1" applyAlignment="1">
      <alignment vertical="center" wrapText="1"/>
    </xf>
    <xf numFmtId="1" fontId="4" fillId="6" borderId="1" xfId="0" applyNumberFormat="1" applyFont="1" applyFill="1" applyBorder="1" applyAlignment="1">
      <alignment vertical="center" wrapText="1"/>
    </xf>
    <xf numFmtId="167" fontId="4" fillId="8" borderId="1" xfId="0" applyNumberFormat="1" applyFont="1" applyFill="1" applyBorder="1" applyAlignment="1">
      <alignment vertical="center" wrapText="1"/>
    </xf>
    <xf numFmtId="168" fontId="4" fillId="6" borderId="1" xfId="0" applyNumberFormat="1" applyFont="1" applyFill="1" applyBorder="1" applyAlignment="1">
      <alignment vertical="center" wrapText="1"/>
    </xf>
    <xf numFmtId="2" fontId="4" fillId="7" borderId="1" xfId="0" applyNumberFormat="1" applyFont="1" applyFill="1" applyBorder="1" applyAlignment="1">
      <alignment vertical="center" wrapText="1"/>
    </xf>
    <xf numFmtId="167" fontId="8" fillId="7" borderId="1" xfId="0" applyNumberFormat="1" applyFont="1" applyFill="1" applyBorder="1" applyAlignment="1">
      <alignment vertical="center" wrapText="1"/>
    </xf>
    <xf numFmtId="1" fontId="9" fillId="7" borderId="1" xfId="0" applyNumberFormat="1" applyFont="1" applyFill="1" applyBorder="1" applyAlignment="1">
      <alignment vertical="center" wrapText="1"/>
    </xf>
    <xf numFmtId="2" fontId="9" fillId="7" borderId="1" xfId="0" applyNumberFormat="1" applyFont="1" applyFill="1" applyBorder="1" applyAlignment="1">
      <alignment vertical="center" wrapText="1"/>
    </xf>
    <xf numFmtId="2" fontId="9" fillId="6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3" fillId="2" borderId="0" xfId="0" applyFont="1" applyFill="1"/>
    <xf numFmtId="165" fontId="13" fillId="0" borderId="0" xfId="1" applyNumberFormat="1" applyFont="1"/>
    <xf numFmtId="2" fontId="4" fillId="6" borderId="1" xfId="0" applyNumberFormat="1" applyFont="1" applyFill="1" applyBorder="1" applyAlignment="1">
      <alignment vertical="center" wrapText="1"/>
    </xf>
    <xf numFmtId="168" fontId="8" fillId="6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3" fontId="8" fillId="7" borderId="1" xfId="0" applyNumberFormat="1" applyFont="1" applyFill="1" applyBorder="1" applyAlignment="1">
      <alignment horizontal="right" vertical="center"/>
    </xf>
    <xf numFmtId="2" fontId="8" fillId="6" borderId="1" xfId="0" applyNumberFormat="1" applyFont="1" applyFill="1" applyBorder="1" applyAlignment="1">
      <alignment vertical="center" wrapText="1"/>
    </xf>
    <xf numFmtId="168" fontId="8" fillId="7" borderId="1" xfId="0" applyNumberFormat="1" applyFont="1" applyFill="1" applyBorder="1" applyAlignment="1">
      <alignment horizontal="center" vertical="center" wrapText="1"/>
    </xf>
    <xf numFmtId="165" fontId="13" fillId="0" borderId="0" xfId="1" applyNumberFormat="1" applyFont="1" applyAlignment="1">
      <alignment horizontal="left"/>
    </xf>
    <xf numFmtId="165" fontId="13" fillId="2" borderId="0" xfId="1" applyNumberFormat="1" applyFont="1" applyFill="1" applyAlignment="1">
      <alignment horizontal="left"/>
    </xf>
    <xf numFmtId="168" fontId="4" fillId="7" borderId="1" xfId="0" applyNumberFormat="1" applyFont="1" applyFill="1" applyBorder="1" applyAlignment="1">
      <alignment vertical="center" wrapText="1"/>
    </xf>
    <xf numFmtId="167" fontId="8" fillId="6" borderId="1" xfId="0" applyNumberFormat="1" applyFont="1" applyFill="1" applyBorder="1" applyAlignment="1">
      <alignment vertical="center" wrapText="1"/>
    </xf>
    <xf numFmtId="167" fontId="13" fillId="0" borderId="0" xfId="0" applyNumberFormat="1" applyFont="1" applyAlignment="1">
      <alignment horizontal="left"/>
    </xf>
    <xf numFmtId="164" fontId="13" fillId="0" borderId="0" xfId="0" applyNumberFormat="1" applyFont="1" applyAlignment="1">
      <alignment horizontal="left"/>
    </xf>
    <xf numFmtId="165" fontId="4" fillId="6" borderId="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5" fillId="0" borderId="3" xfId="4" applyFont="1" applyBorder="1" applyAlignment="1">
      <alignment horizontal="right" vertical="center" wrapText="1"/>
    </xf>
    <xf numFmtId="0" fontId="5" fillId="0" borderId="8" xfId="4" applyFont="1" applyBorder="1" applyAlignment="1">
      <alignment horizontal="right" vertical="center" wrapText="1"/>
    </xf>
    <xf numFmtId="0" fontId="5" fillId="0" borderId="4" xfId="4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14" xfId="4" applyFont="1" applyBorder="1" applyAlignment="1">
      <alignment horizontal="right" vertical="center" wrapText="1"/>
    </xf>
    <xf numFmtId="0" fontId="5" fillId="0" borderId="15" xfId="4" applyFont="1" applyBorder="1" applyAlignment="1">
      <alignment horizontal="right" vertical="center" wrapText="1"/>
    </xf>
    <xf numFmtId="0" fontId="5" fillId="0" borderId="5" xfId="4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3" fontId="8" fillId="2" borderId="6" xfId="1" applyNumberFormat="1" applyFont="1" applyFill="1" applyBorder="1" applyAlignment="1">
      <alignment horizontal="center" vertical="center"/>
    </xf>
    <xf numFmtId="43" fontId="8" fillId="2" borderId="2" xfId="1" applyNumberFormat="1" applyFont="1" applyFill="1" applyBorder="1" applyAlignment="1">
      <alignment horizontal="center" vertical="center"/>
    </xf>
    <xf numFmtId="43" fontId="8" fillId="2" borderId="7" xfId="1" applyNumberFormat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9" borderId="7" xfId="0" applyFont="1" applyFill="1" applyBorder="1" applyAlignment="1">
      <alignment horizontal="center" vertical="center"/>
    </xf>
    <xf numFmtId="0" fontId="4" fillId="9" borderId="1" xfId="4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167" fontId="4" fillId="9" borderId="1" xfId="0" applyNumberFormat="1" applyFont="1" applyFill="1" applyBorder="1" applyAlignment="1">
      <alignment vertical="center" wrapText="1"/>
    </xf>
    <xf numFmtId="1" fontId="4" fillId="9" borderId="1" xfId="0" applyNumberFormat="1" applyFont="1" applyFill="1" applyBorder="1" applyAlignment="1">
      <alignment vertical="center" wrapText="1"/>
    </xf>
    <xf numFmtId="43" fontId="7" fillId="9" borderId="1" xfId="1" applyFont="1" applyFill="1" applyBorder="1" applyAlignment="1">
      <alignment horizontal="center" vertical="center" wrapText="1"/>
    </xf>
    <xf numFmtId="43" fontId="8" fillId="9" borderId="1" xfId="1" applyFont="1" applyFill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center" wrapText="1"/>
    </xf>
    <xf numFmtId="2" fontId="4" fillId="9" borderId="1" xfId="0" applyNumberFormat="1" applyFont="1" applyFill="1" applyBorder="1" applyAlignment="1">
      <alignment vertical="center" wrapText="1"/>
    </xf>
    <xf numFmtId="0" fontId="4" fillId="9" borderId="3" xfId="0" applyFont="1" applyFill="1" applyBorder="1" applyAlignment="1">
      <alignment horizontal="left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4" fillId="10" borderId="1" xfId="1" applyFont="1" applyFill="1" applyBorder="1" applyAlignment="1">
      <alignment horizontal="center" vertical="center" wrapText="1"/>
    </xf>
    <xf numFmtId="43" fontId="7" fillId="10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view="pageBreakPreview" zoomScaleNormal="100" zoomScaleSheetLayoutView="100" workbookViewId="0">
      <selection activeCell="D23" sqref="D23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212" t="s">
        <v>13</v>
      </c>
      <c r="B1" s="212" t="s">
        <v>89</v>
      </c>
      <c r="C1" s="211" t="s">
        <v>94</v>
      </c>
      <c r="D1" s="211"/>
      <c r="E1" s="211"/>
      <c r="F1" s="213" t="s">
        <v>95</v>
      </c>
      <c r="G1" s="213"/>
      <c r="H1" s="213"/>
    </row>
    <row r="2" spans="1:11" ht="28.5" x14ac:dyDescent="0.25">
      <c r="A2" s="212"/>
      <c r="B2" s="212"/>
      <c r="C2" s="82" t="s">
        <v>90</v>
      </c>
      <c r="D2" s="83" t="s">
        <v>91</v>
      </c>
      <c r="E2" s="83" t="s">
        <v>92</v>
      </c>
      <c r="F2" s="84" t="s">
        <v>90</v>
      </c>
      <c r="G2" s="85" t="s">
        <v>91</v>
      </c>
      <c r="H2" s="85" t="s">
        <v>92</v>
      </c>
    </row>
    <row r="3" spans="1:11" x14ac:dyDescent="0.25">
      <c r="A3" s="42">
        <v>1</v>
      </c>
      <c r="B3" s="36" t="s">
        <v>225</v>
      </c>
      <c r="C3" s="86">
        <f>'СМР ПЖ+'!F26</f>
        <v>3789681.35</v>
      </c>
      <c r="D3" s="88">
        <f>'мат ПЖ+'!F54</f>
        <v>2948613</v>
      </c>
      <c r="E3" s="89">
        <f t="shared" ref="E3:E8" si="0">C3+D3</f>
        <v>6738294.3499999996</v>
      </c>
      <c r="F3" s="90">
        <f>'СМР ПЖ+'!G26</f>
        <v>4547617.62</v>
      </c>
      <c r="G3" s="91">
        <f>'мат ПЖ+'!G54</f>
        <v>3538335.6</v>
      </c>
      <c r="H3" s="92">
        <f t="shared" ref="H3:H8" si="1">F3+G3</f>
        <v>8085953.2200000007</v>
      </c>
      <c r="I3" s="5"/>
    </row>
    <row r="4" spans="1:11" x14ac:dyDescent="0.25">
      <c r="A4" s="42">
        <v>2</v>
      </c>
      <c r="B4" s="137" t="s">
        <v>294</v>
      </c>
      <c r="C4" s="86">
        <f>'СМР НВК-'!F177</f>
        <v>9293317.3200000003</v>
      </c>
      <c r="D4" s="88">
        <f>'мат НВК+'!F90</f>
        <v>5708132.7499999991</v>
      </c>
      <c r="E4" s="89">
        <f t="shared" si="0"/>
        <v>15001450.07</v>
      </c>
      <c r="F4" s="90">
        <f>'СМР НВК-'!G177</f>
        <v>11151980.799999999</v>
      </c>
      <c r="G4" s="91">
        <f>'мат НВК+'!G90</f>
        <v>6849759.2900000019</v>
      </c>
      <c r="H4" s="92">
        <f t="shared" si="1"/>
        <v>18001740.09</v>
      </c>
      <c r="I4" s="5"/>
      <c r="J4" s="5"/>
      <c r="K4" s="5"/>
    </row>
    <row r="5" spans="1:11" x14ac:dyDescent="0.25">
      <c r="A5" s="42">
        <v>3</v>
      </c>
      <c r="B5" s="137" t="s">
        <v>295</v>
      </c>
      <c r="C5" s="86">
        <f>'СМР ЭС+'!F18</f>
        <v>100905.9</v>
      </c>
      <c r="D5" s="88">
        <f>'мат ЭС+ '!F11</f>
        <v>83335</v>
      </c>
      <c r="E5" s="89">
        <f t="shared" si="0"/>
        <v>184240.9</v>
      </c>
      <c r="F5" s="90">
        <f>'СМР ЭС+'!G18</f>
        <v>121087.07999999999</v>
      </c>
      <c r="G5" s="91">
        <f>'мат ЭС+ '!G11</f>
        <v>100002</v>
      </c>
      <c r="H5" s="92">
        <f t="shared" si="1"/>
        <v>221089.08</v>
      </c>
      <c r="I5" s="5"/>
      <c r="J5" s="5"/>
      <c r="K5" s="5"/>
    </row>
    <row r="6" spans="1:11" x14ac:dyDescent="0.25">
      <c r="A6" s="42">
        <v>4</v>
      </c>
      <c r="B6" s="137" t="s">
        <v>296</v>
      </c>
      <c r="C6" s="86">
        <f>'СМР ГП-'!F72</f>
        <v>15509288.749999998</v>
      </c>
      <c r="D6" s="88">
        <f>'мат ГП-'!F37</f>
        <v>7120627.71</v>
      </c>
      <c r="E6" s="89">
        <f t="shared" si="0"/>
        <v>22629916.459999997</v>
      </c>
      <c r="F6" s="90">
        <f>'СМР ГП-'!G72</f>
        <v>18611146.5</v>
      </c>
      <c r="G6" s="91">
        <f>'мат ГП-'!G37</f>
        <v>8544753.2400000002</v>
      </c>
      <c r="H6" s="92">
        <f t="shared" si="1"/>
        <v>27155899.740000002</v>
      </c>
      <c r="I6" s="5"/>
      <c r="J6" s="5"/>
      <c r="K6" s="5"/>
    </row>
    <row r="7" spans="1:11" hidden="1" x14ac:dyDescent="0.25">
      <c r="A7" s="42">
        <v>5</v>
      </c>
      <c r="B7" s="140" t="s">
        <v>297</v>
      </c>
      <c r="C7" s="86">
        <f>'СМР КС'!F20*0</f>
        <v>0</v>
      </c>
      <c r="D7" s="88">
        <f>'мат КС  '!F25*0</f>
        <v>0</v>
      </c>
      <c r="E7" s="89">
        <f t="shared" si="0"/>
        <v>0</v>
      </c>
      <c r="F7" s="90">
        <f>'СМР КС'!G20*0</f>
        <v>0</v>
      </c>
      <c r="G7" s="91">
        <f>'мат КС  '!G25*0</f>
        <v>0</v>
      </c>
      <c r="H7" s="92">
        <f t="shared" si="1"/>
        <v>0</v>
      </c>
      <c r="I7" s="5"/>
      <c r="J7" s="5"/>
      <c r="K7" s="5"/>
    </row>
    <row r="8" spans="1:11" x14ac:dyDescent="0.25">
      <c r="A8" s="42">
        <v>5</v>
      </c>
      <c r="B8" s="137" t="s">
        <v>364</v>
      </c>
      <c r="C8" s="86">
        <f>'СМР АС-'!F53</f>
        <v>2753485.64</v>
      </c>
      <c r="D8" s="88">
        <f>'мат АС-'!F45</f>
        <v>4826590.370000002</v>
      </c>
      <c r="E8" s="89">
        <f t="shared" si="0"/>
        <v>7580076.0100000016</v>
      </c>
      <c r="F8" s="90">
        <f>'СМР АС-'!G53</f>
        <v>3304182.7699999996</v>
      </c>
      <c r="G8" s="91">
        <f>'мат АС-'!G45</f>
        <v>5791908.4499999983</v>
      </c>
      <c r="H8" s="92">
        <f t="shared" si="1"/>
        <v>9096091.2199999988</v>
      </c>
      <c r="I8" s="5"/>
      <c r="J8" s="5"/>
      <c r="K8" s="5"/>
    </row>
    <row r="9" spans="1:11" x14ac:dyDescent="0.25">
      <c r="A9" s="42">
        <v>6</v>
      </c>
      <c r="B9" s="34" t="s">
        <v>344</v>
      </c>
      <c r="C9" s="86">
        <f>'СМР трнсбрдр-'!F63</f>
        <v>2915203.290000001</v>
      </c>
      <c r="D9" s="88">
        <f>'мат трнсбрдр-'!F82</f>
        <v>1379593.5100000002</v>
      </c>
      <c r="E9" s="89">
        <f t="shared" ref="E9" si="2">C9+D9</f>
        <v>4294796.8000000007</v>
      </c>
      <c r="F9" s="90">
        <f>'СМР трнсбрдр-'!G63</f>
        <v>3498243.9600000004</v>
      </c>
      <c r="G9" s="91">
        <f>'мат трнсбрдр-'!G82</f>
        <v>1655512.2199999997</v>
      </c>
      <c r="H9" s="92">
        <f t="shared" ref="H9" si="3">F9+G9</f>
        <v>5153756.18</v>
      </c>
      <c r="I9" s="5"/>
    </row>
    <row r="10" spans="1:11" x14ac:dyDescent="0.25">
      <c r="A10" s="50"/>
      <c r="B10" s="32" t="s">
        <v>93</v>
      </c>
      <c r="C10" s="87">
        <f t="shared" ref="C10:H10" si="4">SUM(C3:C9)</f>
        <v>34361882.25</v>
      </c>
      <c r="D10" s="87">
        <f t="shared" si="4"/>
        <v>22066892.340000004</v>
      </c>
      <c r="E10" s="87">
        <f t="shared" si="4"/>
        <v>56428774.590000004</v>
      </c>
      <c r="F10" s="93">
        <f t="shared" si="4"/>
        <v>41234258.729999997</v>
      </c>
      <c r="G10" s="93">
        <f t="shared" si="4"/>
        <v>26480270.800000001</v>
      </c>
      <c r="H10" s="93">
        <f t="shared" si="4"/>
        <v>67714529.530000001</v>
      </c>
      <c r="I10" s="5"/>
    </row>
    <row r="11" spans="1:11" x14ac:dyDescent="0.25">
      <c r="A11" s="57"/>
      <c r="B11" s="57"/>
      <c r="C11" s="57"/>
      <c r="D11" s="57"/>
      <c r="E11" s="57"/>
      <c r="I11" s="5"/>
    </row>
    <row r="12" spans="1:11" x14ac:dyDescent="0.25">
      <c r="A12" s="57"/>
      <c r="B12" s="57"/>
      <c r="C12" s="57"/>
      <c r="D12" s="57"/>
      <c r="E12" s="57"/>
    </row>
    <row r="13" spans="1:11" x14ac:dyDescent="0.25">
      <c r="A13" s="57"/>
      <c r="B13" s="57"/>
      <c r="C13" s="57"/>
      <c r="D13" s="57"/>
      <c r="E13" s="57"/>
    </row>
    <row r="14" spans="1:11" x14ac:dyDescent="0.25">
      <c r="A14" s="57"/>
      <c r="B14" s="57"/>
      <c r="C14" s="57"/>
      <c r="D14" s="57"/>
      <c r="E14" s="57"/>
    </row>
    <row r="15" spans="1:11" x14ac:dyDescent="0.25">
      <c r="A15" s="57"/>
      <c r="B15" s="57"/>
      <c r="C15" s="57"/>
      <c r="D15" s="57"/>
      <c r="E15" s="57"/>
    </row>
    <row r="16" spans="1:11" x14ac:dyDescent="0.25">
      <c r="A16" s="57"/>
      <c r="B16" s="57"/>
      <c r="C16" s="57"/>
      <c r="D16" s="57"/>
      <c r="E16" s="57"/>
    </row>
    <row r="17" spans="1:5" x14ac:dyDescent="0.25">
      <c r="A17" s="57"/>
      <c r="B17" s="57"/>
      <c r="C17" s="57"/>
      <c r="D17" s="57"/>
      <c r="E17" s="57"/>
    </row>
    <row r="18" spans="1:5" x14ac:dyDescent="0.25">
      <c r="A18" s="57"/>
      <c r="B18" s="57"/>
      <c r="C18" s="57"/>
      <c r="D18" s="57"/>
      <c r="E18" s="57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</sheetPr>
  <dimension ref="A1:H20"/>
  <sheetViews>
    <sheetView view="pageBreakPreview" zoomScale="80" zoomScaleNormal="100" zoomScaleSheetLayoutView="80" workbookViewId="0">
      <selection activeCell="G19" sqref="G19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</cols>
  <sheetData>
    <row r="1" spans="1:7" x14ac:dyDescent="0.25">
      <c r="A1" s="222" t="s">
        <v>13</v>
      </c>
      <c r="B1" s="230" t="s">
        <v>9</v>
      </c>
      <c r="C1" s="230" t="s">
        <v>15</v>
      </c>
      <c r="D1" s="230" t="s">
        <v>10</v>
      </c>
      <c r="E1" s="230" t="s">
        <v>81</v>
      </c>
      <c r="F1" s="230"/>
      <c r="G1" s="230"/>
    </row>
    <row r="2" spans="1:7" ht="42.75" x14ac:dyDescent="0.25">
      <c r="A2" s="222"/>
      <c r="B2" s="230"/>
      <c r="C2" s="230"/>
      <c r="D2" s="230"/>
      <c r="E2" s="122" t="s">
        <v>45</v>
      </c>
      <c r="F2" s="122" t="s">
        <v>43</v>
      </c>
      <c r="G2" s="38" t="s">
        <v>28</v>
      </c>
    </row>
    <row r="3" spans="1:7" ht="17.2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7.25" customHeight="1" x14ac:dyDescent="0.25">
      <c r="A4" s="60"/>
      <c r="B4" s="220" t="s">
        <v>343</v>
      </c>
      <c r="C4" s="231"/>
      <c r="D4" s="221"/>
      <c r="E4" s="62"/>
      <c r="F4" s="63"/>
      <c r="G4" s="51"/>
    </row>
    <row r="5" spans="1:7" ht="18" customHeight="1" x14ac:dyDescent="0.25">
      <c r="A5" s="58"/>
      <c r="B5" s="25"/>
      <c r="C5" s="66"/>
      <c r="D5" s="66"/>
      <c r="E5" s="68"/>
      <c r="F5" s="26"/>
      <c r="G5" s="73"/>
    </row>
    <row r="6" spans="1:7" ht="18" customHeight="1" x14ac:dyDescent="0.25">
      <c r="A6" s="58"/>
      <c r="B6" s="25"/>
      <c r="C6" s="66"/>
      <c r="D6" s="66"/>
      <c r="E6" s="68"/>
      <c r="F6" s="26"/>
      <c r="G6" s="73"/>
    </row>
    <row r="7" spans="1:7" ht="18" customHeight="1" x14ac:dyDescent="0.25">
      <c r="A7" s="58"/>
      <c r="B7" s="25"/>
      <c r="C7" s="66"/>
      <c r="D7" s="66"/>
      <c r="E7" s="68"/>
      <c r="F7" s="26"/>
      <c r="G7" s="73"/>
    </row>
    <row r="8" spans="1:7" ht="18" customHeight="1" x14ac:dyDescent="0.25">
      <c r="A8" s="58"/>
      <c r="B8" s="25"/>
      <c r="C8" s="66"/>
      <c r="D8" s="66"/>
      <c r="E8" s="68"/>
      <c r="F8" s="26"/>
      <c r="G8" s="73"/>
    </row>
    <row r="9" spans="1:7" ht="18" customHeight="1" x14ac:dyDescent="0.25">
      <c r="A9" s="58"/>
      <c r="B9" s="25"/>
      <c r="C9" s="66"/>
      <c r="D9" s="66"/>
      <c r="E9" s="68"/>
      <c r="F9" s="26"/>
      <c r="G9" s="73"/>
    </row>
    <row r="10" spans="1:7" ht="18" customHeight="1" x14ac:dyDescent="0.25">
      <c r="A10" s="58"/>
      <c r="B10" s="25"/>
      <c r="C10" s="66"/>
      <c r="D10" s="66"/>
      <c r="E10" s="68"/>
      <c r="F10" s="26"/>
      <c r="G10" s="73"/>
    </row>
    <row r="11" spans="1:7" ht="18" customHeight="1" x14ac:dyDescent="0.25">
      <c r="A11" s="58"/>
      <c r="B11" s="25"/>
      <c r="C11" s="66"/>
      <c r="D11" s="66"/>
      <c r="E11" s="68"/>
      <c r="F11" s="26"/>
      <c r="G11" s="73"/>
    </row>
    <row r="12" spans="1:7" ht="18" customHeight="1" x14ac:dyDescent="0.25">
      <c r="A12" s="58"/>
      <c r="B12" s="25"/>
      <c r="C12" s="66"/>
      <c r="D12" s="66"/>
      <c r="E12" s="68"/>
      <c r="F12" s="26"/>
      <c r="G12" s="73"/>
    </row>
    <row r="13" spans="1:7" ht="18" customHeight="1" x14ac:dyDescent="0.25">
      <c r="A13" s="58"/>
      <c r="B13" s="25"/>
      <c r="C13" s="66"/>
      <c r="D13" s="66"/>
      <c r="E13" s="68"/>
      <c r="F13" s="26"/>
      <c r="G13" s="73"/>
    </row>
    <row r="14" spans="1:7" ht="18" customHeight="1" x14ac:dyDescent="0.25">
      <c r="A14" s="58"/>
      <c r="B14" s="25"/>
      <c r="C14" s="66"/>
      <c r="D14" s="66"/>
      <c r="E14" s="68"/>
      <c r="F14" s="26"/>
      <c r="G14" s="73"/>
    </row>
    <row r="15" spans="1:7" ht="18" customHeight="1" x14ac:dyDescent="0.25">
      <c r="A15" s="58"/>
      <c r="B15" s="25"/>
      <c r="C15" s="66"/>
      <c r="D15" s="66"/>
      <c r="E15" s="68"/>
      <c r="F15" s="26"/>
      <c r="G15" s="73"/>
    </row>
    <row r="16" spans="1:7" ht="18" customHeight="1" x14ac:dyDescent="0.25">
      <c r="A16" s="58"/>
      <c r="B16" s="25"/>
      <c r="C16" s="66"/>
      <c r="D16" s="66"/>
      <c r="E16" s="68"/>
      <c r="F16" s="26"/>
      <c r="G16" s="73"/>
    </row>
    <row r="17" spans="1:8" ht="18" customHeight="1" x14ac:dyDescent="0.25">
      <c r="A17" s="58"/>
      <c r="B17" s="25"/>
      <c r="C17" s="66"/>
      <c r="D17" s="66"/>
      <c r="E17" s="68"/>
      <c r="F17" s="26"/>
      <c r="G17" s="73"/>
    </row>
    <row r="18" spans="1:8" x14ac:dyDescent="0.25">
      <c r="A18" s="71"/>
      <c r="B18" s="232" t="s">
        <v>86</v>
      </c>
      <c r="C18" s="233"/>
      <c r="D18" s="233"/>
      <c r="E18" s="234"/>
      <c r="F18" s="64">
        <f>SUM(F5:F17)</f>
        <v>0</v>
      </c>
      <c r="G18" s="64">
        <f>SUM(G5:G17)</f>
        <v>0</v>
      </c>
    </row>
    <row r="19" spans="1:8" x14ac:dyDescent="0.25">
      <c r="A19" s="217" t="s">
        <v>87</v>
      </c>
      <c r="B19" s="218"/>
      <c r="C19" s="218"/>
      <c r="D19" s="218"/>
      <c r="E19" s="219"/>
      <c r="F19" s="98">
        <f>ROUND(F18*0.03,2)</f>
        <v>0</v>
      </c>
      <c r="G19" s="98">
        <f>ROUND(G18*0.03,2)</f>
        <v>0</v>
      </c>
      <c r="H19" s="6"/>
    </row>
    <row r="20" spans="1:8" x14ac:dyDescent="0.25">
      <c r="A20" s="217" t="s">
        <v>88</v>
      </c>
      <c r="B20" s="218"/>
      <c r="C20" s="218"/>
      <c r="D20" s="218"/>
      <c r="E20" s="219"/>
      <c r="F20" s="98">
        <f>F18+F19</f>
        <v>0</v>
      </c>
      <c r="G20" s="98">
        <f>G18+G19</f>
        <v>0</v>
      </c>
      <c r="H20" s="6"/>
    </row>
  </sheetData>
  <mergeCells count="9">
    <mergeCell ref="A20:E20"/>
    <mergeCell ref="B18:E18"/>
    <mergeCell ref="A19:E19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79998168889431442"/>
  </sheetPr>
  <dimension ref="A1:H25"/>
  <sheetViews>
    <sheetView view="pageBreakPreview" zoomScale="80" zoomScaleNormal="100" zoomScaleSheetLayoutView="80" workbookViewId="0">
      <selection activeCell="G19" sqref="G19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</cols>
  <sheetData>
    <row r="1" spans="1:8" ht="19.5" customHeight="1" x14ac:dyDescent="0.25">
      <c r="A1" s="212" t="s">
        <v>13</v>
      </c>
      <c r="B1" s="242" t="s">
        <v>9</v>
      </c>
      <c r="C1" s="212" t="s">
        <v>83</v>
      </c>
      <c r="D1" s="212" t="s">
        <v>10</v>
      </c>
      <c r="E1" s="235" t="s">
        <v>81</v>
      </c>
      <c r="F1" s="235"/>
      <c r="G1" s="235"/>
    </row>
    <row r="2" spans="1:8" s="7" customFormat="1" ht="28.5" x14ac:dyDescent="0.25">
      <c r="A2" s="212"/>
      <c r="B2" s="242"/>
      <c r="C2" s="212"/>
      <c r="D2" s="212"/>
      <c r="E2" s="121" t="s">
        <v>82</v>
      </c>
      <c r="F2" s="119" t="s">
        <v>5</v>
      </c>
      <c r="G2" s="119" t="s">
        <v>6</v>
      </c>
    </row>
    <row r="3" spans="1:8" ht="13.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21.75" customHeight="1" x14ac:dyDescent="0.25">
      <c r="A4" s="60"/>
      <c r="B4" s="220" t="s">
        <v>343</v>
      </c>
      <c r="C4" s="231"/>
      <c r="D4" s="221"/>
      <c r="E4" s="62"/>
      <c r="F4" s="63"/>
      <c r="G4" s="51"/>
    </row>
    <row r="5" spans="1:8" s="146" customFormat="1" ht="15.75" x14ac:dyDescent="0.25">
      <c r="A5" s="145">
        <v>1</v>
      </c>
      <c r="B5" s="153" t="s">
        <v>345</v>
      </c>
      <c r="C5" s="141" t="s">
        <v>337</v>
      </c>
      <c r="D5" s="151">
        <v>0.02</v>
      </c>
      <c r="E5" s="139"/>
      <c r="F5" s="90">
        <f t="shared" ref="F5:F24" si="0">ROUND(E5*D5,2)</f>
        <v>0</v>
      </c>
      <c r="G5" s="90">
        <f t="shared" ref="G5:G24" si="1">ROUND(F5*1.2,2)</f>
        <v>0</v>
      </c>
    </row>
    <row r="6" spans="1:8" s="146" customFormat="1" ht="15.75" x14ac:dyDescent="0.25">
      <c r="A6" s="145">
        <f>A5+1</f>
        <v>2</v>
      </c>
      <c r="B6" s="153" t="s">
        <v>346</v>
      </c>
      <c r="C6" s="141" t="s">
        <v>337</v>
      </c>
      <c r="D6" s="151">
        <v>0.01</v>
      </c>
      <c r="E6" s="139"/>
      <c r="F6" s="90">
        <f t="shared" si="0"/>
        <v>0</v>
      </c>
      <c r="G6" s="90">
        <f t="shared" si="1"/>
        <v>0</v>
      </c>
    </row>
    <row r="7" spans="1:8" s="146" customFormat="1" ht="15.75" x14ac:dyDescent="0.25">
      <c r="A7" s="145">
        <f t="shared" ref="A7:A16" si="2">A6+1</f>
        <v>3</v>
      </c>
      <c r="B7" s="153" t="s">
        <v>347</v>
      </c>
      <c r="C7" s="27" t="s">
        <v>12</v>
      </c>
      <c r="D7" s="124">
        <v>6</v>
      </c>
      <c r="E7" s="99">
        <v>4900</v>
      </c>
      <c r="F7" s="39">
        <f t="shared" si="0"/>
        <v>29400</v>
      </c>
      <c r="G7" s="39">
        <f t="shared" si="1"/>
        <v>35280</v>
      </c>
    </row>
    <row r="8" spans="1:8" s="146" customFormat="1" ht="15.75" x14ac:dyDescent="0.25">
      <c r="A8" s="145">
        <f t="shared" si="2"/>
        <v>4</v>
      </c>
      <c r="B8" s="153" t="s">
        <v>348</v>
      </c>
      <c r="C8" s="132" t="s">
        <v>12</v>
      </c>
      <c r="D8" s="150">
        <v>1</v>
      </c>
      <c r="E8" s="139"/>
      <c r="F8" s="90">
        <f t="shared" si="0"/>
        <v>0</v>
      </c>
      <c r="G8" s="90">
        <f t="shared" si="1"/>
        <v>0</v>
      </c>
    </row>
    <row r="9" spans="1:8" s="146" customFormat="1" ht="15.75" x14ac:dyDescent="0.25">
      <c r="A9" s="145">
        <f t="shared" si="2"/>
        <v>5</v>
      </c>
      <c r="B9" s="123" t="s">
        <v>349</v>
      </c>
      <c r="C9" s="27" t="s">
        <v>12</v>
      </c>
      <c r="D9" s="124">
        <v>1</v>
      </c>
      <c r="E9" s="99">
        <v>5164</v>
      </c>
      <c r="F9" s="39">
        <f t="shared" si="0"/>
        <v>5164</v>
      </c>
      <c r="G9" s="39">
        <f t="shared" si="1"/>
        <v>6196.8</v>
      </c>
      <c r="H9" s="147" t="s">
        <v>508</v>
      </c>
    </row>
    <row r="10" spans="1:8" s="146" customFormat="1" ht="15.75" x14ac:dyDescent="0.25">
      <c r="A10" s="145">
        <f t="shared" si="2"/>
        <v>6</v>
      </c>
      <c r="B10" s="148" t="s">
        <v>509</v>
      </c>
      <c r="C10" s="27" t="s">
        <v>12</v>
      </c>
      <c r="D10" s="124">
        <v>4</v>
      </c>
      <c r="E10" s="99"/>
      <c r="F10" s="39">
        <f t="shared" si="0"/>
        <v>0</v>
      </c>
      <c r="G10" s="39">
        <f t="shared" si="1"/>
        <v>0</v>
      </c>
    </row>
    <row r="11" spans="1:8" s="146" customFormat="1" ht="15.75" x14ac:dyDescent="0.25">
      <c r="A11" s="145">
        <f t="shared" si="2"/>
        <v>7</v>
      </c>
      <c r="B11" s="123" t="s">
        <v>350</v>
      </c>
      <c r="C11" s="27" t="s">
        <v>12</v>
      </c>
      <c r="D11" s="124">
        <v>4</v>
      </c>
      <c r="E11" s="99">
        <v>3926</v>
      </c>
      <c r="F11" s="39">
        <f t="shared" si="0"/>
        <v>15704</v>
      </c>
      <c r="G11" s="39">
        <f t="shared" si="1"/>
        <v>18844.8</v>
      </c>
      <c r="H11" s="147" t="s">
        <v>510</v>
      </c>
    </row>
    <row r="12" spans="1:8" s="146" customFormat="1" ht="15.75" x14ac:dyDescent="0.25">
      <c r="A12" s="145">
        <f t="shared" si="2"/>
        <v>8</v>
      </c>
      <c r="B12" s="148" t="s">
        <v>351</v>
      </c>
      <c r="C12" s="141" t="s">
        <v>3</v>
      </c>
      <c r="D12" s="150">
        <v>14</v>
      </c>
      <c r="E12" s="139"/>
      <c r="F12" s="90">
        <f t="shared" si="0"/>
        <v>0</v>
      </c>
      <c r="G12" s="90">
        <f t="shared" si="1"/>
        <v>0</v>
      </c>
    </row>
    <row r="13" spans="1:8" s="146" customFormat="1" ht="15.75" x14ac:dyDescent="0.25">
      <c r="A13" s="145">
        <f t="shared" si="2"/>
        <v>9</v>
      </c>
      <c r="B13" s="148" t="s">
        <v>352</v>
      </c>
      <c r="C13" s="141" t="s">
        <v>3</v>
      </c>
      <c r="D13" s="150">
        <v>14</v>
      </c>
      <c r="E13" s="139"/>
      <c r="F13" s="90">
        <f t="shared" si="0"/>
        <v>0</v>
      </c>
      <c r="G13" s="90">
        <f t="shared" si="1"/>
        <v>0</v>
      </c>
    </row>
    <row r="14" spans="1:8" s="146" customFormat="1" ht="14.25" customHeight="1" x14ac:dyDescent="0.25">
      <c r="A14" s="145">
        <f t="shared" si="2"/>
        <v>10</v>
      </c>
      <c r="B14" s="123" t="s">
        <v>353</v>
      </c>
      <c r="C14" s="27" t="s">
        <v>12</v>
      </c>
      <c r="D14" s="124">
        <v>4</v>
      </c>
      <c r="E14" s="99">
        <v>563</v>
      </c>
      <c r="F14" s="39">
        <f t="shared" si="0"/>
        <v>2252</v>
      </c>
      <c r="G14" s="39">
        <f t="shared" si="1"/>
        <v>2702.4</v>
      </c>
      <c r="H14" s="147" t="s">
        <v>511</v>
      </c>
    </row>
    <row r="15" spans="1:8" s="146" customFormat="1" ht="15.75" x14ac:dyDescent="0.25">
      <c r="A15" s="145">
        <f t="shared" si="2"/>
        <v>11</v>
      </c>
      <c r="B15" s="148" t="s">
        <v>354</v>
      </c>
      <c r="C15" s="27" t="s">
        <v>12</v>
      </c>
      <c r="D15" s="124">
        <v>3</v>
      </c>
      <c r="E15" s="99">
        <v>97736</v>
      </c>
      <c r="F15" s="39">
        <f t="shared" si="0"/>
        <v>293208</v>
      </c>
      <c r="G15" s="39">
        <f t="shared" si="1"/>
        <v>351849.6</v>
      </c>
    </row>
    <row r="16" spans="1:8" s="146" customFormat="1" ht="15.75" x14ac:dyDescent="0.25">
      <c r="A16" s="145">
        <f t="shared" si="2"/>
        <v>12</v>
      </c>
      <c r="B16" s="148" t="s">
        <v>355</v>
      </c>
      <c r="C16" s="132" t="s">
        <v>12</v>
      </c>
      <c r="D16" s="150">
        <v>1</v>
      </c>
      <c r="E16" s="139"/>
      <c r="F16" s="90">
        <f t="shared" si="0"/>
        <v>0</v>
      </c>
      <c r="G16" s="90">
        <f t="shared" si="1"/>
        <v>0</v>
      </c>
    </row>
    <row r="17" spans="1:8" s="146" customFormat="1" ht="15.75" x14ac:dyDescent="0.25">
      <c r="A17" s="145"/>
      <c r="B17" s="149" t="s">
        <v>356</v>
      </c>
      <c r="C17" s="125"/>
      <c r="D17" s="126"/>
      <c r="E17" s="99"/>
      <c r="F17" s="39">
        <f t="shared" si="0"/>
        <v>0</v>
      </c>
      <c r="G17" s="39">
        <f t="shared" si="1"/>
        <v>0</v>
      </c>
    </row>
    <row r="18" spans="1:8" s="146" customFormat="1" ht="15.75" x14ac:dyDescent="0.25">
      <c r="A18" s="145">
        <f>A16+1</f>
        <v>13</v>
      </c>
      <c r="B18" s="148" t="s">
        <v>357</v>
      </c>
      <c r="C18" s="132" t="s">
        <v>12</v>
      </c>
      <c r="D18" s="150">
        <v>16</v>
      </c>
      <c r="E18" s="139"/>
      <c r="F18" s="90">
        <f t="shared" si="0"/>
        <v>0</v>
      </c>
      <c r="G18" s="90">
        <f t="shared" si="1"/>
        <v>0</v>
      </c>
    </row>
    <row r="19" spans="1:8" s="146" customFormat="1" ht="15.75" x14ac:dyDescent="0.25">
      <c r="A19" s="145">
        <f t="shared" ref="A19:A24" si="3">A18+1</f>
        <v>14</v>
      </c>
      <c r="B19" s="123" t="s">
        <v>358</v>
      </c>
      <c r="C19" s="27" t="s">
        <v>12</v>
      </c>
      <c r="D19" s="124">
        <v>4</v>
      </c>
      <c r="E19" s="99">
        <v>1604</v>
      </c>
      <c r="F19" s="39">
        <f t="shared" si="0"/>
        <v>6416</v>
      </c>
      <c r="G19" s="39">
        <f t="shared" si="1"/>
        <v>7699.2</v>
      </c>
      <c r="H19" s="147" t="s">
        <v>358</v>
      </c>
    </row>
    <row r="20" spans="1:8" s="146" customFormat="1" ht="15.75" x14ac:dyDescent="0.25">
      <c r="A20" s="145">
        <f t="shared" si="3"/>
        <v>15</v>
      </c>
      <c r="B20" s="148" t="s">
        <v>359</v>
      </c>
      <c r="C20" s="132" t="s">
        <v>12</v>
      </c>
      <c r="D20" s="150">
        <v>16</v>
      </c>
      <c r="E20" s="139"/>
      <c r="F20" s="90">
        <f t="shared" si="0"/>
        <v>0</v>
      </c>
      <c r="G20" s="90">
        <f t="shared" si="1"/>
        <v>0</v>
      </c>
    </row>
    <row r="21" spans="1:8" s="146" customFormat="1" ht="15.75" x14ac:dyDescent="0.25">
      <c r="A21" s="145">
        <f t="shared" si="3"/>
        <v>16</v>
      </c>
      <c r="B21" s="148" t="s">
        <v>360</v>
      </c>
      <c r="C21" s="132" t="s">
        <v>12</v>
      </c>
      <c r="D21" s="150">
        <v>16</v>
      </c>
      <c r="E21" s="139"/>
      <c r="F21" s="90">
        <f t="shared" si="0"/>
        <v>0</v>
      </c>
      <c r="G21" s="90">
        <f t="shared" si="1"/>
        <v>0</v>
      </c>
    </row>
    <row r="22" spans="1:8" s="146" customFormat="1" ht="15.75" x14ac:dyDescent="0.25">
      <c r="A22" s="145">
        <f t="shared" si="3"/>
        <v>17</v>
      </c>
      <c r="B22" s="148" t="s">
        <v>361</v>
      </c>
      <c r="C22" s="132" t="s">
        <v>12</v>
      </c>
      <c r="D22" s="150">
        <v>4</v>
      </c>
      <c r="E22" s="139"/>
      <c r="F22" s="90">
        <f t="shared" si="0"/>
        <v>0</v>
      </c>
      <c r="G22" s="90">
        <f t="shared" si="1"/>
        <v>0</v>
      </c>
    </row>
    <row r="23" spans="1:8" s="146" customFormat="1" ht="15.75" x14ac:dyDescent="0.25">
      <c r="A23" s="145">
        <f t="shared" si="3"/>
        <v>18</v>
      </c>
      <c r="B23" s="148" t="s">
        <v>362</v>
      </c>
      <c r="C23" s="132" t="s">
        <v>12</v>
      </c>
      <c r="D23" s="150">
        <v>4</v>
      </c>
      <c r="E23" s="139"/>
      <c r="F23" s="90">
        <f t="shared" si="0"/>
        <v>0</v>
      </c>
      <c r="G23" s="90">
        <f t="shared" si="1"/>
        <v>0</v>
      </c>
    </row>
    <row r="24" spans="1:8" s="146" customFormat="1" ht="15.75" x14ac:dyDescent="0.25">
      <c r="A24" s="145">
        <f t="shared" si="3"/>
        <v>19</v>
      </c>
      <c r="B24" s="148" t="s">
        <v>363</v>
      </c>
      <c r="C24" s="141" t="s">
        <v>18</v>
      </c>
      <c r="D24" s="152">
        <v>0.5</v>
      </c>
      <c r="E24" s="139"/>
      <c r="F24" s="90">
        <f t="shared" si="0"/>
        <v>0</v>
      </c>
      <c r="G24" s="90">
        <f t="shared" si="1"/>
        <v>0</v>
      </c>
    </row>
    <row r="25" spans="1:8" x14ac:dyDescent="0.25">
      <c r="A25" s="65"/>
      <c r="B25" s="238" t="s">
        <v>86</v>
      </c>
      <c r="C25" s="239"/>
      <c r="D25" s="239"/>
      <c r="E25" s="240"/>
      <c r="F25" s="64">
        <f>SUM(F5:F24)</f>
        <v>352144</v>
      </c>
      <c r="G25" s="64">
        <f>SUM(G5:G24)</f>
        <v>422572.79999999999</v>
      </c>
    </row>
  </sheetData>
  <mergeCells count="7">
    <mergeCell ref="B25:E2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H53"/>
  <sheetViews>
    <sheetView view="pageBreakPreview" zoomScale="80" zoomScaleNormal="100" zoomScaleSheetLayoutView="80" workbookViewId="0">
      <selection activeCell="B46" sqref="B46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15.85546875" style="173" customWidth="1"/>
  </cols>
  <sheetData>
    <row r="1" spans="1:7" x14ac:dyDescent="0.25">
      <c r="A1" s="222" t="s">
        <v>13</v>
      </c>
      <c r="B1" s="230" t="s">
        <v>9</v>
      </c>
      <c r="C1" s="230" t="s">
        <v>15</v>
      </c>
      <c r="D1" s="230" t="s">
        <v>10</v>
      </c>
      <c r="E1" s="230" t="s">
        <v>524</v>
      </c>
      <c r="F1" s="230"/>
      <c r="G1" s="230"/>
    </row>
    <row r="2" spans="1:7" ht="42.75" x14ac:dyDescent="0.25">
      <c r="A2" s="222"/>
      <c r="B2" s="230"/>
      <c r="C2" s="230"/>
      <c r="D2" s="230"/>
      <c r="E2" s="122" t="s">
        <v>45</v>
      </c>
      <c r="F2" s="122" t="s">
        <v>43</v>
      </c>
      <c r="G2" s="38" t="s">
        <v>28</v>
      </c>
    </row>
    <row r="3" spans="1:7" ht="17.2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7.25" customHeight="1" x14ac:dyDescent="0.25">
      <c r="A4" s="60"/>
      <c r="B4" s="220" t="s">
        <v>365</v>
      </c>
      <c r="C4" s="231"/>
      <c r="D4" s="221"/>
      <c r="E4" s="62"/>
      <c r="F4" s="63"/>
      <c r="G4" s="51"/>
    </row>
    <row r="5" spans="1:7" ht="17.25" customHeight="1" x14ac:dyDescent="0.25">
      <c r="A5" s="60"/>
      <c r="B5" s="220" t="s">
        <v>366</v>
      </c>
      <c r="C5" s="231"/>
      <c r="D5" s="221"/>
      <c r="E5" s="62"/>
      <c r="F5" s="63"/>
      <c r="G5" s="51"/>
    </row>
    <row r="6" spans="1:7" ht="18" customHeight="1" x14ac:dyDescent="0.25">
      <c r="A6" s="58"/>
      <c r="B6" s="25" t="s">
        <v>51</v>
      </c>
      <c r="C6" s="66"/>
      <c r="D6" s="66"/>
      <c r="E6" s="68"/>
      <c r="F6" s="26"/>
      <c r="G6" s="73"/>
    </row>
    <row r="7" spans="1:7" ht="35.25" customHeight="1" x14ac:dyDescent="0.25">
      <c r="A7" s="134">
        <v>1</v>
      </c>
      <c r="B7" s="17" t="s">
        <v>512</v>
      </c>
      <c r="C7" s="20" t="s">
        <v>2</v>
      </c>
      <c r="D7" s="180">
        <v>162.6</v>
      </c>
      <c r="E7" s="75">
        <v>630</v>
      </c>
      <c r="F7" s="39">
        <f t="shared" ref="F7:F26" si="0">ROUND(E7*D7,2)</f>
        <v>102438</v>
      </c>
      <c r="G7" s="39">
        <f t="shared" ref="G7:G26" si="1">ROUND(F7*1.2,2)</f>
        <v>122925.6</v>
      </c>
    </row>
    <row r="8" spans="1:7" ht="18" customHeight="1" x14ac:dyDescent="0.25">
      <c r="A8" s="134">
        <f>A7+1</f>
        <v>2</v>
      </c>
      <c r="B8" s="17" t="s">
        <v>46</v>
      </c>
      <c r="C8" s="20" t="s">
        <v>2</v>
      </c>
      <c r="D8" s="180">
        <v>2.6</v>
      </c>
      <c r="E8" s="271">
        <v>1688.15</v>
      </c>
      <c r="F8" s="39">
        <f t="shared" si="0"/>
        <v>4389.1899999999996</v>
      </c>
      <c r="G8" s="39">
        <f t="shared" si="1"/>
        <v>5267.03</v>
      </c>
    </row>
    <row r="9" spans="1:7" ht="18" customHeight="1" x14ac:dyDescent="0.25">
      <c r="A9" s="134">
        <f t="shared" ref="A9:A12" si="2">A8+1</f>
        <v>3</v>
      </c>
      <c r="B9" s="17" t="s">
        <v>47</v>
      </c>
      <c r="C9" s="16" t="s">
        <v>2</v>
      </c>
      <c r="D9" s="180">
        <v>109.4</v>
      </c>
      <c r="E9" s="271">
        <v>118.75</v>
      </c>
      <c r="F9" s="39">
        <f t="shared" ref="F9" si="3">ROUND(E9*D9,2)</f>
        <v>12991.25</v>
      </c>
      <c r="G9" s="39">
        <f t="shared" ref="G9" si="4">ROUND(F9*1.2,2)</f>
        <v>15589.5</v>
      </c>
    </row>
    <row r="10" spans="1:7" ht="18" customHeight="1" x14ac:dyDescent="0.25">
      <c r="A10" s="134">
        <f t="shared" si="2"/>
        <v>4</v>
      </c>
      <c r="B10" s="17" t="s">
        <v>48</v>
      </c>
      <c r="C10" s="16" t="s">
        <v>2</v>
      </c>
      <c r="D10" s="180">
        <v>109.4</v>
      </c>
      <c r="E10" s="271">
        <v>188.1</v>
      </c>
      <c r="F10" s="39">
        <f t="shared" ref="F10" si="5">ROUND(E10*D10,2)</f>
        <v>20578.14</v>
      </c>
      <c r="G10" s="39">
        <f t="shared" ref="G10" si="6">ROUND(F10*1.2,2)</f>
        <v>24693.77</v>
      </c>
    </row>
    <row r="11" spans="1:7" ht="18" customHeight="1" x14ac:dyDescent="0.25">
      <c r="A11" s="134">
        <f t="shared" si="2"/>
        <v>5</v>
      </c>
      <c r="B11" s="17" t="s">
        <v>58</v>
      </c>
      <c r="C11" s="16" t="s">
        <v>2</v>
      </c>
      <c r="D11" s="180">
        <v>27.4</v>
      </c>
      <c r="E11" s="271">
        <v>854.05</v>
      </c>
      <c r="F11" s="39">
        <f t="shared" ref="F11:F12" si="7">ROUND(E11*D11,2)</f>
        <v>23400.97</v>
      </c>
      <c r="G11" s="39">
        <f t="shared" ref="G11:G12" si="8">ROUND(F11*1.2,2)</f>
        <v>28081.16</v>
      </c>
    </row>
    <row r="12" spans="1:7" ht="18" customHeight="1" x14ac:dyDescent="0.25">
      <c r="A12" s="134">
        <f t="shared" si="2"/>
        <v>6</v>
      </c>
      <c r="B12" s="259" t="s">
        <v>54</v>
      </c>
      <c r="C12" s="260" t="s">
        <v>2</v>
      </c>
      <c r="D12" s="261">
        <v>28.4</v>
      </c>
      <c r="E12" s="263">
        <v>494</v>
      </c>
      <c r="F12" s="264">
        <f t="shared" si="7"/>
        <v>14029.6</v>
      </c>
      <c r="G12" s="264">
        <f t="shared" si="8"/>
        <v>16835.52</v>
      </c>
    </row>
    <row r="13" spans="1:7" ht="29.25" customHeight="1" x14ac:dyDescent="0.25">
      <c r="A13" s="58"/>
      <c r="B13" s="25" t="s">
        <v>368</v>
      </c>
      <c r="C13" s="27"/>
      <c r="D13" s="59"/>
      <c r="E13" s="74"/>
      <c r="F13" s="40"/>
      <c r="G13" s="40"/>
    </row>
    <row r="14" spans="1:7" ht="29.25" customHeight="1" x14ac:dyDescent="0.25">
      <c r="A14" s="134">
        <v>7</v>
      </c>
      <c r="B14" s="103" t="s">
        <v>420</v>
      </c>
      <c r="C14" s="27" t="s">
        <v>3</v>
      </c>
      <c r="D14" s="179">
        <f>32*2.5</f>
        <v>80</v>
      </c>
      <c r="E14" s="75">
        <v>2455</v>
      </c>
      <c r="F14" s="39">
        <f t="shared" ref="F14" si="9">ROUND(E14*D14,2)</f>
        <v>196400</v>
      </c>
      <c r="G14" s="39">
        <f t="shared" ref="G14" si="10">ROUND(F14*1.2,2)</f>
        <v>235680</v>
      </c>
    </row>
    <row r="15" spans="1:7" ht="36" customHeight="1" x14ac:dyDescent="0.25">
      <c r="A15" s="134">
        <f>A14+1</f>
        <v>8</v>
      </c>
      <c r="B15" s="103" t="s">
        <v>397</v>
      </c>
      <c r="C15" s="27" t="s">
        <v>2</v>
      </c>
      <c r="D15" s="180">
        <v>8.6</v>
      </c>
      <c r="E15" s="75">
        <v>6799</v>
      </c>
      <c r="F15" s="40">
        <f t="shared" si="0"/>
        <v>58471.4</v>
      </c>
      <c r="G15" s="40">
        <f t="shared" si="1"/>
        <v>70165.679999999993</v>
      </c>
    </row>
    <row r="16" spans="1:7" ht="27.75" customHeight="1" x14ac:dyDescent="0.25">
      <c r="A16" s="134">
        <f t="shared" ref="A16:A26" si="11">A15+1</f>
        <v>9</v>
      </c>
      <c r="B16" s="103" t="s">
        <v>398</v>
      </c>
      <c r="C16" s="27" t="s">
        <v>2</v>
      </c>
      <c r="D16" s="179">
        <v>7</v>
      </c>
      <c r="E16" s="75">
        <v>10711</v>
      </c>
      <c r="F16" s="40">
        <f t="shared" si="0"/>
        <v>74977</v>
      </c>
      <c r="G16" s="40">
        <f t="shared" si="1"/>
        <v>89972.4</v>
      </c>
    </row>
    <row r="17" spans="1:7" ht="18" customHeight="1" x14ac:dyDescent="0.25">
      <c r="A17" s="134">
        <f t="shared" si="11"/>
        <v>10</v>
      </c>
      <c r="B17" s="103" t="s">
        <v>399</v>
      </c>
      <c r="C17" s="27" t="s">
        <v>12</v>
      </c>
      <c r="D17" s="179">
        <v>16</v>
      </c>
      <c r="E17" s="75">
        <v>910</v>
      </c>
      <c r="F17" s="40">
        <f t="shared" si="0"/>
        <v>14560</v>
      </c>
      <c r="G17" s="40">
        <f t="shared" si="1"/>
        <v>17472</v>
      </c>
    </row>
    <row r="18" spans="1:7" ht="36" customHeight="1" x14ac:dyDescent="0.25">
      <c r="A18" s="134">
        <f t="shared" si="11"/>
        <v>11</v>
      </c>
      <c r="B18" s="103" t="s">
        <v>400</v>
      </c>
      <c r="C18" s="27" t="s">
        <v>17</v>
      </c>
      <c r="D18" s="188">
        <v>0.06</v>
      </c>
      <c r="E18" s="74">
        <v>200000</v>
      </c>
      <c r="F18" s="40">
        <f t="shared" si="0"/>
        <v>12000</v>
      </c>
      <c r="G18" s="40">
        <f t="shared" si="1"/>
        <v>14400</v>
      </c>
    </row>
    <row r="19" spans="1:7" ht="33.75" customHeight="1" x14ac:dyDescent="0.25">
      <c r="A19" s="134">
        <f t="shared" si="11"/>
        <v>12</v>
      </c>
      <c r="B19" s="103" t="s">
        <v>401</v>
      </c>
      <c r="C19" s="27" t="s">
        <v>2</v>
      </c>
      <c r="D19" s="180">
        <v>12.6</v>
      </c>
      <c r="E19" s="74">
        <v>1240</v>
      </c>
      <c r="F19" s="40">
        <f t="shared" si="0"/>
        <v>15624</v>
      </c>
      <c r="G19" s="40">
        <f t="shared" si="1"/>
        <v>18748.8</v>
      </c>
    </row>
    <row r="20" spans="1:7" ht="33.75" customHeight="1" x14ac:dyDescent="0.25">
      <c r="A20" s="134">
        <f t="shared" si="11"/>
        <v>13</v>
      </c>
      <c r="B20" s="103" t="s">
        <v>402</v>
      </c>
      <c r="C20" s="27" t="s">
        <v>42</v>
      </c>
      <c r="D20" s="180">
        <v>3.6</v>
      </c>
      <c r="E20" s="74">
        <v>634</v>
      </c>
      <c r="F20" s="40">
        <f t="shared" si="0"/>
        <v>2282.4</v>
      </c>
      <c r="G20" s="40">
        <f t="shared" si="1"/>
        <v>2738.88</v>
      </c>
    </row>
    <row r="21" spans="1:7" ht="18" customHeight="1" x14ac:dyDescent="0.25">
      <c r="A21" s="134">
        <f t="shared" si="11"/>
        <v>14</v>
      </c>
      <c r="B21" s="103" t="s">
        <v>403</v>
      </c>
      <c r="C21" s="27" t="s">
        <v>42</v>
      </c>
      <c r="D21" s="179">
        <v>56</v>
      </c>
      <c r="E21" s="74">
        <v>2820</v>
      </c>
      <c r="F21" s="40">
        <f t="shared" si="0"/>
        <v>157920</v>
      </c>
      <c r="G21" s="40">
        <f t="shared" si="1"/>
        <v>189504</v>
      </c>
    </row>
    <row r="22" spans="1:7" ht="33" customHeight="1" x14ac:dyDescent="0.25">
      <c r="A22" s="134">
        <f t="shared" si="11"/>
        <v>15</v>
      </c>
      <c r="B22" s="103" t="s">
        <v>404</v>
      </c>
      <c r="C22" s="27" t="s">
        <v>42</v>
      </c>
      <c r="D22" s="179">
        <v>56</v>
      </c>
      <c r="E22" s="74">
        <v>1280</v>
      </c>
      <c r="F22" s="40">
        <f t="shared" si="0"/>
        <v>71680</v>
      </c>
      <c r="G22" s="40">
        <f t="shared" si="1"/>
        <v>86016</v>
      </c>
    </row>
    <row r="23" spans="1:7" ht="32.25" customHeight="1" x14ac:dyDescent="0.25">
      <c r="A23" s="134">
        <f t="shared" si="11"/>
        <v>16</v>
      </c>
      <c r="B23" s="103" t="s">
        <v>405</v>
      </c>
      <c r="C23" s="27" t="s">
        <v>42</v>
      </c>
      <c r="D23" s="180">
        <v>134.19999999999999</v>
      </c>
      <c r="E23" s="74">
        <v>1007.7</v>
      </c>
      <c r="F23" s="40">
        <f t="shared" si="0"/>
        <v>135233.34</v>
      </c>
      <c r="G23" s="40">
        <f t="shared" si="1"/>
        <v>162280.01</v>
      </c>
    </row>
    <row r="24" spans="1:7" ht="33.75" customHeight="1" x14ac:dyDescent="0.25">
      <c r="A24" s="134">
        <f t="shared" si="11"/>
        <v>17</v>
      </c>
      <c r="B24" s="103" t="s">
        <v>215</v>
      </c>
      <c r="C24" s="27" t="s">
        <v>42</v>
      </c>
      <c r="D24" s="188">
        <v>134.19999999999999</v>
      </c>
      <c r="E24" s="74">
        <v>452</v>
      </c>
      <c r="F24" s="40">
        <f t="shared" si="0"/>
        <v>60658.400000000001</v>
      </c>
      <c r="G24" s="40">
        <f t="shared" si="1"/>
        <v>72790.080000000002</v>
      </c>
    </row>
    <row r="25" spans="1:7" ht="36.75" customHeight="1" x14ac:dyDescent="0.25">
      <c r="A25" s="134">
        <f t="shared" si="11"/>
        <v>18</v>
      </c>
      <c r="B25" s="103" t="s">
        <v>216</v>
      </c>
      <c r="C25" s="27" t="s">
        <v>42</v>
      </c>
      <c r="D25" s="188">
        <v>134.19999999999999</v>
      </c>
      <c r="E25" s="271">
        <v>299.76</v>
      </c>
      <c r="F25" s="40">
        <f t="shared" si="0"/>
        <v>40227.79</v>
      </c>
      <c r="G25" s="40">
        <f t="shared" si="1"/>
        <v>48273.35</v>
      </c>
    </row>
    <row r="26" spans="1:7" ht="37.5" customHeight="1" x14ac:dyDescent="0.25">
      <c r="A26" s="134">
        <f t="shared" si="11"/>
        <v>19</v>
      </c>
      <c r="B26" s="103" t="s">
        <v>406</v>
      </c>
      <c r="C26" s="27" t="s">
        <v>2</v>
      </c>
      <c r="D26" s="180">
        <v>1.3</v>
      </c>
      <c r="E26" s="74">
        <v>10711</v>
      </c>
      <c r="F26" s="40">
        <f t="shared" si="0"/>
        <v>13924.3</v>
      </c>
      <c r="G26" s="40">
        <f t="shared" si="1"/>
        <v>16709.16</v>
      </c>
    </row>
    <row r="27" spans="1:7" ht="22.5" customHeight="1" x14ac:dyDescent="0.25">
      <c r="A27" s="58"/>
      <c r="B27" s="100" t="s">
        <v>222</v>
      </c>
      <c r="C27" s="27"/>
      <c r="D27" s="102"/>
      <c r="E27" s="74"/>
      <c r="F27" s="40"/>
      <c r="G27" s="40"/>
    </row>
    <row r="28" spans="1:7" ht="18" customHeight="1" x14ac:dyDescent="0.25">
      <c r="A28" s="134">
        <f>A26+1</f>
        <v>20</v>
      </c>
      <c r="B28" s="103" t="s">
        <v>407</v>
      </c>
      <c r="C28" s="27" t="s">
        <v>12</v>
      </c>
      <c r="D28" s="179">
        <v>4</v>
      </c>
      <c r="E28" s="74">
        <v>4218</v>
      </c>
      <c r="F28" s="40">
        <f t="shared" ref="F28:F31" si="12">ROUND(E28*D28,2)</f>
        <v>16872</v>
      </c>
      <c r="G28" s="40">
        <f t="shared" ref="G28:G31" si="13">ROUND(F28*1.2,2)</f>
        <v>20246.400000000001</v>
      </c>
    </row>
    <row r="29" spans="1:7" ht="18" customHeight="1" x14ac:dyDescent="0.25">
      <c r="A29" s="134">
        <f>A28+1</f>
        <v>21</v>
      </c>
      <c r="B29" s="103" t="s">
        <v>408</v>
      </c>
      <c r="C29" s="27" t="s">
        <v>12</v>
      </c>
      <c r="D29" s="179">
        <v>2</v>
      </c>
      <c r="E29" s="74">
        <v>82000</v>
      </c>
      <c r="F29" s="40">
        <f t="shared" si="12"/>
        <v>164000</v>
      </c>
      <c r="G29" s="40">
        <f t="shared" si="13"/>
        <v>196800</v>
      </c>
    </row>
    <row r="30" spans="1:7" ht="27.75" customHeight="1" x14ac:dyDescent="0.25">
      <c r="A30" s="134">
        <f t="shared" ref="A30:A31" si="14">A29+1</f>
        <v>22</v>
      </c>
      <c r="B30" s="103" t="s">
        <v>409</v>
      </c>
      <c r="C30" s="27" t="s">
        <v>17</v>
      </c>
      <c r="D30" s="204">
        <v>0.40799999999999997</v>
      </c>
      <c r="E30" s="74">
        <v>200000</v>
      </c>
      <c r="F30" s="40">
        <f t="shared" si="12"/>
        <v>81600</v>
      </c>
      <c r="G30" s="40">
        <f t="shared" si="13"/>
        <v>97920</v>
      </c>
    </row>
    <row r="31" spans="1:7" ht="18" customHeight="1" x14ac:dyDescent="0.25">
      <c r="A31" s="134">
        <f t="shared" si="14"/>
        <v>23</v>
      </c>
      <c r="B31" s="103" t="s">
        <v>410</v>
      </c>
      <c r="C31" s="27" t="s">
        <v>17</v>
      </c>
      <c r="D31" s="204">
        <v>2E-3</v>
      </c>
      <c r="E31" s="74">
        <v>223000</v>
      </c>
      <c r="F31" s="40">
        <f t="shared" si="12"/>
        <v>446</v>
      </c>
      <c r="G31" s="40">
        <f t="shared" si="13"/>
        <v>535.20000000000005</v>
      </c>
    </row>
    <row r="32" spans="1:7" ht="18" customHeight="1" x14ac:dyDescent="0.25">
      <c r="A32" s="60"/>
      <c r="B32" s="220" t="s">
        <v>367</v>
      </c>
      <c r="C32" s="231"/>
      <c r="D32" s="221"/>
      <c r="E32" s="62"/>
      <c r="F32" s="63"/>
      <c r="G32" s="51"/>
    </row>
    <row r="33" spans="1:8" ht="18" customHeight="1" x14ac:dyDescent="0.25">
      <c r="A33" s="58"/>
      <c r="B33" s="25" t="s">
        <v>51</v>
      </c>
      <c r="C33" s="66"/>
      <c r="D33" s="66"/>
      <c r="E33" s="68"/>
      <c r="F33" s="26"/>
      <c r="G33" s="73"/>
    </row>
    <row r="34" spans="1:8" ht="28.5" customHeight="1" x14ac:dyDescent="0.25">
      <c r="A34" s="134">
        <f>A31+1</f>
        <v>24</v>
      </c>
      <c r="B34" s="17" t="s">
        <v>512</v>
      </c>
      <c r="C34" s="16" t="s">
        <v>2</v>
      </c>
      <c r="D34" s="180">
        <v>147</v>
      </c>
      <c r="E34" s="75">
        <v>630</v>
      </c>
      <c r="F34" s="39">
        <f t="shared" ref="F34:F35" si="15">ROUND(E34*D34,2)</f>
        <v>92610</v>
      </c>
      <c r="G34" s="39">
        <f t="shared" ref="G34:G35" si="16">ROUND(F34*1.2,2)</f>
        <v>111132</v>
      </c>
    </row>
    <row r="35" spans="1:8" ht="18" customHeight="1" x14ac:dyDescent="0.25">
      <c r="A35" s="134">
        <f>A34+1</f>
        <v>25</v>
      </c>
      <c r="B35" s="17" t="s">
        <v>46</v>
      </c>
      <c r="C35" s="16" t="s">
        <v>2</v>
      </c>
      <c r="D35" s="180">
        <v>3</v>
      </c>
      <c r="E35" s="271">
        <v>1688.15</v>
      </c>
      <c r="F35" s="39">
        <f t="shared" si="15"/>
        <v>5064.45</v>
      </c>
      <c r="G35" s="39">
        <f t="shared" si="16"/>
        <v>6077.34</v>
      </c>
    </row>
    <row r="36" spans="1:8" ht="18" customHeight="1" x14ac:dyDescent="0.25">
      <c r="A36" s="134">
        <f t="shared" ref="A36:A40" si="17">A35+1</f>
        <v>26</v>
      </c>
      <c r="B36" s="103" t="s">
        <v>411</v>
      </c>
      <c r="C36" s="27" t="s">
        <v>2</v>
      </c>
      <c r="D36" s="180">
        <v>14</v>
      </c>
      <c r="E36" s="74">
        <v>21600</v>
      </c>
      <c r="F36" s="40">
        <f t="shared" ref="F36:F40" si="18">ROUND(E36*D36,2)</f>
        <v>302400</v>
      </c>
      <c r="G36" s="40">
        <f t="shared" ref="G36:G40" si="19">ROUND(F36*1.2,2)</f>
        <v>362880</v>
      </c>
    </row>
    <row r="37" spans="1:8" ht="18" customHeight="1" x14ac:dyDescent="0.25">
      <c r="A37" s="134">
        <f t="shared" si="17"/>
        <v>27</v>
      </c>
      <c r="B37" s="103" t="s">
        <v>47</v>
      </c>
      <c r="C37" s="27" t="s">
        <v>2</v>
      </c>
      <c r="D37" s="180">
        <v>48</v>
      </c>
      <c r="E37" s="271">
        <v>118.75</v>
      </c>
      <c r="F37" s="40">
        <f t="shared" si="18"/>
        <v>5700</v>
      </c>
      <c r="G37" s="40">
        <f t="shared" si="19"/>
        <v>6840</v>
      </c>
    </row>
    <row r="38" spans="1:8" ht="18" customHeight="1" x14ac:dyDescent="0.25">
      <c r="A38" s="134">
        <f t="shared" si="17"/>
        <v>28</v>
      </c>
      <c r="B38" s="103" t="s">
        <v>48</v>
      </c>
      <c r="C38" s="27" t="s">
        <v>2</v>
      </c>
      <c r="D38" s="180">
        <v>48</v>
      </c>
      <c r="E38" s="271">
        <v>188.1</v>
      </c>
      <c r="F38" s="40">
        <f t="shared" si="18"/>
        <v>9028.7999999999993</v>
      </c>
      <c r="G38" s="40">
        <f t="shared" si="19"/>
        <v>10834.56</v>
      </c>
    </row>
    <row r="39" spans="1:8" ht="18" customHeight="1" x14ac:dyDescent="0.25">
      <c r="A39" s="134">
        <f t="shared" si="17"/>
        <v>29</v>
      </c>
      <c r="B39" s="103" t="s">
        <v>58</v>
      </c>
      <c r="C39" s="27" t="s">
        <v>2</v>
      </c>
      <c r="D39" s="180">
        <v>16</v>
      </c>
      <c r="E39" s="271">
        <v>854.05</v>
      </c>
      <c r="F39" s="40">
        <f t="shared" si="18"/>
        <v>13664.8</v>
      </c>
      <c r="G39" s="40">
        <f t="shared" si="19"/>
        <v>16397.759999999998</v>
      </c>
    </row>
    <row r="40" spans="1:8" ht="18" customHeight="1" x14ac:dyDescent="0.25">
      <c r="A40" s="258">
        <f t="shared" si="17"/>
        <v>30</v>
      </c>
      <c r="B40" s="259" t="s">
        <v>54</v>
      </c>
      <c r="C40" s="260" t="s">
        <v>2</v>
      </c>
      <c r="D40" s="261">
        <v>100</v>
      </c>
      <c r="E40" s="263">
        <v>494</v>
      </c>
      <c r="F40" s="264">
        <f t="shared" si="18"/>
        <v>49400</v>
      </c>
      <c r="G40" s="264">
        <f t="shared" si="19"/>
        <v>59280</v>
      </c>
      <c r="H40" s="173" t="s">
        <v>535</v>
      </c>
    </row>
    <row r="41" spans="1:8" ht="18" customHeight="1" x14ac:dyDescent="0.25">
      <c r="A41" s="58"/>
      <c r="B41" s="25" t="s">
        <v>412</v>
      </c>
      <c r="C41" s="27"/>
      <c r="D41" s="102"/>
      <c r="E41" s="74"/>
      <c r="F41" s="40"/>
      <c r="G41" s="40"/>
    </row>
    <row r="42" spans="1:8" ht="35.25" customHeight="1" x14ac:dyDescent="0.25">
      <c r="A42" s="134">
        <v>31</v>
      </c>
      <c r="B42" s="103" t="s">
        <v>413</v>
      </c>
      <c r="C42" s="27" t="s">
        <v>2</v>
      </c>
      <c r="D42" s="180">
        <v>7.6</v>
      </c>
      <c r="E42" s="74">
        <v>3974</v>
      </c>
      <c r="F42" s="40">
        <f t="shared" ref="F42" si="20">ROUND(E42*D42,2)</f>
        <v>30202.400000000001</v>
      </c>
      <c r="G42" s="40">
        <f t="shared" ref="G42" si="21">ROUND(F42*1.2,2)</f>
        <v>36242.879999999997</v>
      </c>
    </row>
    <row r="43" spans="1:8" ht="32.25" customHeight="1" x14ac:dyDescent="0.25">
      <c r="A43" s="134">
        <f>A42+1</f>
        <v>32</v>
      </c>
      <c r="B43" s="103" t="s">
        <v>414</v>
      </c>
      <c r="C43" s="27" t="s">
        <v>2</v>
      </c>
      <c r="D43" s="180">
        <v>8.4</v>
      </c>
      <c r="E43" s="74">
        <v>5979</v>
      </c>
      <c r="F43" s="40">
        <f t="shared" ref="F43:F50" si="22">ROUND(E43*D43,2)</f>
        <v>50223.6</v>
      </c>
      <c r="G43" s="40">
        <f t="shared" ref="G43:G50" si="23">ROUND(F43*1.2,2)</f>
        <v>60268.32</v>
      </c>
    </row>
    <row r="44" spans="1:8" ht="18" customHeight="1" x14ac:dyDescent="0.25">
      <c r="A44" s="134">
        <f t="shared" ref="A44:A46" si="24">A43+1</f>
        <v>33</v>
      </c>
      <c r="B44" s="103" t="s">
        <v>415</v>
      </c>
      <c r="C44" s="27" t="s">
        <v>2</v>
      </c>
      <c r="D44" s="179">
        <v>14</v>
      </c>
      <c r="E44" s="74">
        <v>16400</v>
      </c>
      <c r="F44" s="40">
        <f t="shared" si="22"/>
        <v>229600</v>
      </c>
      <c r="G44" s="40">
        <f t="shared" si="23"/>
        <v>275520</v>
      </c>
    </row>
    <row r="45" spans="1:8" ht="32.25" customHeight="1" x14ac:dyDescent="0.25">
      <c r="A45" s="134">
        <f t="shared" si="24"/>
        <v>34</v>
      </c>
      <c r="B45" s="103" t="s">
        <v>416</v>
      </c>
      <c r="C45" s="27" t="s">
        <v>2</v>
      </c>
      <c r="D45" s="179">
        <v>14</v>
      </c>
      <c r="E45" s="74">
        <v>10711</v>
      </c>
      <c r="F45" s="40">
        <f t="shared" si="22"/>
        <v>149954</v>
      </c>
      <c r="G45" s="40">
        <f t="shared" si="23"/>
        <v>179944.8</v>
      </c>
    </row>
    <row r="46" spans="1:8" ht="33.75" customHeight="1" x14ac:dyDescent="0.25">
      <c r="A46" s="134">
        <f t="shared" si="24"/>
        <v>35</v>
      </c>
      <c r="B46" s="103" t="s">
        <v>417</v>
      </c>
      <c r="C46" s="27" t="s">
        <v>2</v>
      </c>
      <c r="D46" s="179">
        <v>14</v>
      </c>
      <c r="E46" s="74">
        <v>16400</v>
      </c>
      <c r="F46" s="40">
        <f t="shared" si="22"/>
        <v>229600</v>
      </c>
      <c r="G46" s="40">
        <f t="shared" si="23"/>
        <v>275520</v>
      </c>
    </row>
    <row r="47" spans="1:8" ht="18" customHeight="1" x14ac:dyDescent="0.25">
      <c r="A47" s="58"/>
      <c r="B47" s="25" t="s">
        <v>418</v>
      </c>
      <c r="C47" s="27"/>
      <c r="D47" s="102"/>
      <c r="E47" s="74"/>
      <c r="F47" s="40">
        <f t="shared" si="22"/>
        <v>0</v>
      </c>
      <c r="G47" s="40">
        <f t="shared" si="23"/>
        <v>0</v>
      </c>
    </row>
    <row r="48" spans="1:8" ht="28.5" customHeight="1" x14ac:dyDescent="0.25">
      <c r="A48" s="134">
        <f>A46+1</f>
        <v>36</v>
      </c>
      <c r="B48" s="103" t="s">
        <v>419</v>
      </c>
      <c r="C48" s="27" t="s">
        <v>42</v>
      </c>
      <c r="D48" s="180">
        <v>120</v>
      </c>
      <c r="E48" s="74">
        <v>1007.7</v>
      </c>
      <c r="F48" s="40">
        <f t="shared" si="22"/>
        <v>120924</v>
      </c>
      <c r="G48" s="40">
        <f t="shared" si="23"/>
        <v>145108.79999999999</v>
      </c>
    </row>
    <row r="49" spans="1:8" ht="28.5" customHeight="1" x14ac:dyDescent="0.25">
      <c r="A49" s="134">
        <f>A48+1</f>
        <v>37</v>
      </c>
      <c r="B49" s="113" t="s">
        <v>421</v>
      </c>
      <c r="C49" s="27" t="s">
        <v>42</v>
      </c>
      <c r="D49" s="180">
        <v>120</v>
      </c>
      <c r="E49" s="75">
        <v>452</v>
      </c>
      <c r="F49" s="40">
        <f t="shared" ref="F49" si="25">ROUND(E49*D49,2)</f>
        <v>54240</v>
      </c>
      <c r="G49" s="40">
        <f t="shared" ref="G49" si="26">ROUND(F49*1.2,2)</f>
        <v>65088</v>
      </c>
    </row>
    <row r="50" spans="1:8" ht="31.5" customHeight="1" x14ac:dyDescent="0.25">
      <c r="A50" s="134">
        <f>A49+1</f>
        <v>38</v>
      </c>
      <c r="B50" s="113" t="s">
        <v>422</v>
      </c>
      <c r="C50" s="27" t="s">
        <v>42</v>
      </c>
      <c r="D50" s="180">
        <v>120</v>
      </c>
      <c r="E50" s="271">
        <v>299.76</v>
      </c>
      <c r="F50" s="40">
        <f t="shared" si="22"/>
        <v>35971.199999999997</v>
      </c>
      <c r="G50" s="40">
        <f t="shared" si="23"/>
        <v>43165.440000000002</v>
      </c>
    </row>
    <row r="51" spans="1:8" x14ac:dyDescent="0.25">
      <c r="A51" s="71"/>
      <c r="B51" s="232" t="s">
        <v>86</v>
      </c>
      <c r="C51" s="233"/>
      <c r="D51" s="233"/>
      <c r="E51" s="234"/>
      <c r="F51" s="64">
        <f>SUM(F7:F50)</f>
        <v>2673287.0300000003</v>
      </c>
      <c r="G51" s="64">
        <f>SUM(G7:G50)</f>
        <v>3207944.4399999995</v>
      </c>
    </row>
    <row r="52" spans="1:8" x14ac:dyDescent="0.25">
      <c r="A52" s="217" t="s">
        <v>87</v>
      </c>
      <c r="B52" s="218"/>
      <c r="C52" s="218"/>
      <c r="D52" s="218"/>
      <c r="E52" s="219"/>
      <c r="F52" s="98">
        <f>ROUND(F51*0.03,2)</f>
        <v>80198.61</v>
      </c>
      <c r="G52" s="98">
        <f>ROUND(G51*0.03,2)</f>
        <v>96238.33</v>
      </c>
      <c r="H52" s="202"/>
    </row>
    <row r="53" spans="1:8" x14ac:dyDescent="0.25">
      <c r="A53" s="217" t="s">
        <v>88</v>
      </c>
      <c r="B53" s="218"/>
      <c r="C53" s="218"/>
      <c r="D53" s="218"/>
      <c r="E53" s="219"/>
      <c r="F53" s="98">
        <f>F51+F52</f>
        <v>2753485.64</v>
      </c>
      <c r="G53" s="98">
        <f>G51+G52</f>
        <v>3304182.7699999996</v>
      </c>
      <c r="H53" s="202"/>
    </row>
  </sheetData>
  <mergeCells count="11">
    <mergeCell ref="B51:E51"/>
    <mergeCell ref="A52:E52"/>
    <mergeCell ref="A53:E53"/>
    <mergeCell ref="B4:D4"/>
    <mergeCell ref="B32:D32"/>
    <mergeCell ref="B5:D5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79998168889431442"/>
  </sheetPr>
  <dimension ref="A1:H48"/>
  <sheetViews>
    <sheetView view="pageBreakPreview" zoomScale="80" zoomScaleNormal="100" zoomScaleSheetLayoutView="80" workbookViewId="0">
      <selection activeCell="H47" sqref="H47:H48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  <col min="8" max="8" width="10.7109375" style="173" bestFit="1" customWidth="1"/>
  </cols>
  <sheetData>
    <row r="1" spans="1:8" ht="19.5" customHeight="1" x14ac:dyDescent="0.25">
      <c r="A1" s="212" t="s">
        <v>13</v>
      </c>
      <c r="B1" s="242" t="s">
        <v>9</v>
      </c>
      <c r="C1" s="212" t="s">
        <v>83</v>
      </c>
      <c r="D1" s="212" t="s">
        <v>10</v>
      </c>
      <c r="E1" s="235" t="s">
        <v>524</v>
      </c>
      <c r="F1" s="235"/>
      <c r="G1" s="235"/>
    </row>
    <row r="2" spans="1:8" s="7" customFormat="1" ht="28.5" x14ac:dyDescent="0.25">
      <c r="A2" s="212"/>
      <c r="B2" s="242"/>
      <c r="C2" s="212"/>
      <c r="D2" s="212"/>
      <c r="E2" s="121" t="s">
        <v>82</v>
      </c>
      <c r="F2" s="119" t="s">
        <v>5</v>
      </c>
      <c r="G2" s="119" t="s">
        <v>6</v>
      </c>
      <c r="H2" s="175"/>
    </row>
    <row r="3" spans="1:8" ht="13.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24" customHeight="1" x14ac:dyDescent="0.25">
      <c r="A4" s="60"/>
      <c r="B4" s="220" t="s">
        <v>365</v>
      </c>
      <c r="C4" s="231"/>
      <c r="D4" s="221"/>
      <c r="E4" s="62"/>
      <c r="F4" s="63"/>
      <c r="G4" s="51"/>
    </row>
    <row r="5" spans="1:8" ht="21.75" customHeight="1" x14ac:dyDescent="0.25">
      <c r="A5" s="60"/>
      <c r="B5" s="220" t="s">
        <v>366</v>
      </c>
      <c r="C5" s="231"/>
      <c r="D5" s="221"/>
      <c r="E5" s="62"/>
      <c r="F5" s="63"/>
      <c r="G5" s="51"/>
    </row>
    <row r="6" spans="1:8" ht="28.5" x14ac:dyDescent="0.25">
      <c r="A6" s="27"/>
      <c r="B6" s="133" t="s">
        <v>368</v>
      </c>
      <c r="C6" s="125"/>
      <c r="D6" s="128"/>
      <c r="E6" s="35"/>
      <c r="F6" s="39"/>
      <c r="G6" s="39"/>
    </row>
    <row r="7" spans="1:8" x14ac:dyDescent="0.25">
      <c r="A7" s="27">
        <f>A6+1</f>
        <v>1</v>
      </c>
      <c r="B7" s="103" t="s">
        <v>369</v>
      </c>
      <c r="C7" s="125" t="s">
        <v>2</v>
      </c>
      <c r="D7" s="189">
        <v>8.3000000000000007</v>
      </c>
      <c r="E7" s="104">
        <v>6300</v>
      </c>
      <c r="F7" s="40">
        <f t="shared" ref="F7:F34" si="0">ROUND(E7*D7,2)</f>
        <v>52290</v>
      </c>
      <c r="G7" s="40">
        <f t="shared" ref="G7:G35" si="1">ROUND(F7*1.2,2)</f>
        <v>62748</v>
      </c>
    </row>
    <row r="8" spans="1:8" ht="20.25" customHeight="1" x14ac:dyDescent="0.25">
      <c r="A8" s="27">
        <f>A7+1</f>
        <v>2</v>
      </c>
      <c r="B8" s="103" t="s">
        <v>370</v>
      </c>
      <c r="C8" s="125" t="s">
        <v>2</v>
      </c>
      <c r="D8" s="189">
        <v>12.6</v>
      </c>
      <c r="E8" s="104">
        <v>2950</v>
      </c>
      <c r="F8" s="40">
        <f t="shared" si="0"/>
        <v>37170</v>
      </c>
      <c r="G8" s="40">
        <f t="shared" si="1"/>
        <v>44604</v>
      </c>
    </row>
    <row r="9" spans="1:8" x14ac:dyDescent="0.25">
      <c r="A9" s="27">
        <f t="shared" ref="A9" si="2">A8+1</f>
        <v>3</v>
      </c>
      <c r="B9" s="103" t="s">
        <v>371</v>
      </c>
      <c r="C9" s="125" t="s">
        <v>12</v>
      </c>
      <c r="D9" s="170">
        <v>2600</v>
      </c>
      <c r="E9" s="104">
        <v>24</v>
      </c>
      <c r="F9" s="40">
        <f t="shared" si="0"/>
        <v>62400</v>
      </c>
      <c r="G9" s="40">
        <f t="shared" si="1"/>
        <v>74880</v>
      </c>
    </row>
    <row r="10" spans="1:8" x14ac:dyDescent="0.25">
      <c r="A10" s="27">
        <f>A9+1</f>
        <v>4</v>
      </c>
      <c r="B10" s="103" t="s">
        <v>372</v>
      </c>
      <c r="C10" s="125" t="s">
        <v>12</v>
      </c>
      <c r="D10" s="170">
        <v>35</v>
      </c>
      <c r="E10" s="104">
        <v>3660</v>
      </c>
      <c r="F10" s="40">
        <f t="shared" si="0"/>
        <v>128100</v>
      </c>
      <c r="G10" s="40">
        <f t="shared" si="1"/>
        <v>153720</v>
      </c>
    </row>
    <row r="11" spans="1:8" x14ac:dyDescent="0.25">
      <c r="A11" s="27">
        <f>A10+1</f>
        <v>5</v>
      </c>
      <c r="B11" s="103" t="s">
        <v>373</v>
      </c>
      <c r="C11" s="125" t="s">
        <v>12</v>
      </c>
      <c r="D11" s="170">
        <v>32</v>
      </c>
      <c r="E11" s="104">
        <v>11500</v>
      </c>
      <c r="F11" s="40">
        <f t="shared" si="0"/>
        <v>368000</v>
      </c>
      <c r="G11" s="40">
        <f t="shared" si="1"/>
        <v>441600</v>
      </c>
    </row>
    <row r="12" spans="1:8" x14ac:dyDescent="0.25">
      <c r="A12" s="27">
        <f t="shared" ref="A12:A14" si="3">A11+1</f>
        <v>6</v>
      </c>
      <c r="B12" s="103" t="s">
        <v>374</v>
      </c>
      <c r="C12" s="125" t="s">
        <v>18</v>
      </c>
      <c r="D12" s="171">
        <f>16*3.77</f>
        <v>60.32</v>
      </c>
      <c r="E12" s="104">
        <f>4930/12.9</f>
        <v>382.17054263565888</v>
      </c>
      <c r="F12" s="40">
        <f t="shared" si="0"/>
        <v>23052.53</v>
      </c>
      <c r="G12" s="40">
        <f t="shared" si="1"/>
        <v>27663.040000000001</v>
      </c>
    </row>
    <row r="13" spans="1:8" ht="15.75" x14ac:dyDescent="0.25">
      <c r="A13" s="27">
        <f t="shared" si="3"/>
        <v>7</v>
      </c>
      <c r="B13" s="103" t="s">
        <v>375</v>
      </c>
      <c r="C13" s="125" t="s">
        <v>18</v>
      </c>
      <c r="D13" s="171">
        <v>0.28000000000000003</v>
      </c>
      <c r="E13" s="74">
        <v>1650</v>
      </c>
      <c r="F13" s="40">
        <f t="shared" si="0"/>
        <v>462</v>
      </c>
      <c r="G13" s="40">
        <f t="shared" si="1"/>
        <v>554.4</v>
      </c>
    </row>
    <row r="14" spans="1:8" ht="15.75" x14ac:dyDescent="0.25">
      <c r="A14" s="27">
        <f t="shared" si="3"/>
        <v>8</v>
      </c>
      <c r="B14" s="103" t="s">
        <v>376</v>
      </c>
      <c r="C14" s="125" t="s">
        <v>18</v>
      </c>
      <c r="D14" s="171">
        <v>0.56000000000000005</v>
      </c>
      <c r="E14" s="160">
        <v>1100</v>
      </c>
      <c r="F14" s="40">
        <f t="shared" si="0"/>
        <v>616</v>
      </c>
      <c r="G14" s="40">
        <f t="shared" si="1"/>
        <v>739.2</v>
      </c>
    </row>
    <row r="15" spans="1:8" x14ac:dyDescent="0.25">
      <c r="A15" s="27">
        <f>A14+1</f>
        <v>9</v>
      </c>
      <c r="B15" s="103" t="s">
        <v>377</v>
      </c>
      <c r="C15" s="125" t="s">
        <v>2</v>
      </c>
      <c r="D15" s="171">
        <v>3.15</v>
      </c>
      <c r="E15" s="104">
        <v>5200</v>
      </c>
      <c r="F15" s="40">
        <f t="shared" si="0"/>
        <v>16380</v>
      </c>
      <c r="G15" s="40">
        <f t="shared" si="1"/>
        <v>19656</v>
      </c>
    </row>
    <row r="16" spans="1:8" x14ac:dyDescent="0.25">
      <c r="A16" s="27">
        <f>A15+1</f>
        <v>10</v>
      </c>
      <c r="B16" s="103" t="s">
        <v>378</v>
      </c>
      <c r="C16" s="125" t="s">
        <v>18</v>
      </c>
      <c r="D16" s="189">
        <v>1.8</v>
      </c>
      <c r="E16" s="104">
        <v>182</v>
      </c>
      <c r="F16" s="40">
        <f t="shared" si="0"/>
        <v>327.60000000000002</v>
      </c>
      <c r="G16" s="40">
        <f t="shared" si="1"/>
        <v>393.12</v>
      </c>
    </row>
    <row r="17" spans="1:8" ht="15.75" x14ac:dyDescent="0.25">
      <c r="A17" s="27">
        <f t="shared" ref="A17:A28" si="4">A16+1</f>
        <v>11</v>
      </c>
      <c r="B17" s="103" t="s">
        <v>25</v>
      </c>
      <c r="C17" s="125" t="s">
        <v>18</v>
      </c>
      <c r="D17" s="189">
        <v>65.8</v>
      </c>
      <c r="E17" s="74">
        <v>187.05</v>
      </c>
      <c r="F17" s="40">
        <f t="shared" ref="F17:F18" si="5">ROUND(E17*D17,2)</f>
        <v>12307.89</v>
      </c>
      <c r="G17" s="40">
        <f t="shared" ref="G17:G18" si="6">ROUND(F17*1.2,2)</f>
        <v>14769.47</v>
      </c>
    </row>
    <row r="18" spans="1:8" ht="15.75" x14ac:dyDescent="0.25">
      <c r="A18" s="27">
        <f t="shared" si="4"/>
        <v>12</v>
      </c>
      <c r="B18" s="103" t="s">
        <v>219</v>
      </c>
      <c r="C18" s="125" t="s">
        <v>18</v>
      </c>
      <c r="D18" s="189">
        <v>40.200000000000003</v>
      </c>
      <c r="E18" s="74">
        <v>229.18</v>
      </c>
      <c r="F18" s="40">
        <f t="shared" si="5"/>
        <v>9213.0400000000009</v>
      </c>
      <c r="G18" s="40">
        <f t="shared" si="6"/>
        <v>11055.65</v>
      </c>
    </row>
    <row r="19" spans="1:8" x14ac:dyDescent="0.25">
      <c r="A19" s="27"/>
      <c r="B19" s="133" t="s">
        <v>222</v>
      </c>
      <c r="C19" s="125"/>
      <c r="D19" s="128"/>
      <c r="E19" s="35"/>
      <c r="F19" s="39"/>
      <c r="G19" s="39"/>
    </row>
    <row r="20" spans="1:8" x14ac:dyDescent="0.25">
      <c r="A20" s="27">
        <f>A18+1</f>
        <v>13</v>
      </c>
      <c r="B20" s="103" t="s">
        <v>379</v>
      </c>
      <c r="C20" s="125" t="s">
        <v>12</v>
      </c>
      <c r="D20" s="170">
        <v>2</v>
      </c>
      <c r="E20" s="104">
        <v>93658</v>
      </c>
      <c r="F20" s="40">
        <f t="shared" ref="F20:F23" si="7">ROUND(E20*D20,2)</f>
        <v>187316</v>
      </c>
      <c r="G20" s="40">
        <f t="shared" ref="G20:G23" si="8">ROUND(F20*1.2,2)</f>
        <v>224779.2</v>
      </c>
    </row>
    <row r="21" spans="1:8" x14ac:dyDescent="0.25">
      <c r="A21" s="27">
        <f t="shared" si="4"/>
        <v>14</v>
      </c>
      <c r="B21" s="17" t="s">
        <v>380</v>
      </c>
      <c r="C21" s="125" t="s">
        <v>18</v>
      </c>
      <c r="D21" s="170">
        <v>2</v>
      </c>
      <c r="E21" s="35">
        <f>ROUND(62900/1.2/1000,2)</f>
        <v>52.42</v>
      </c>
      <c r="F21" s="39">
        <f t="shared" si="7"/>
        <v>104.84</v>
      </c>
      <c r="G21" s="39">
        <f t="shared" si="8"/>
        <v>125.81</v>
      </c>
    </row>
    <row r="22" spans="1:8" ht="15.75" x14ac:dyDescent="0.25">
      <c r="A22" s="27">
        <f t="shared" si="4"/>
        <v>15</v>
      </c>
      <c r="B22" s="103" t="s">
        <v>375</v>
      </c>
      <c r="C22" s="125" t="s">
        <v>18</v>
      </c>
      <c r="D22" s="189">
        <v>1.9</v>
      </c>
      <c r="E22" s="74">
        <v>1650</v>
      </c>
      <c r="F22" s="40">
        <f t="shared" si="7"/>
        <v>3135</v>
      </c>
      <c r="G22" s="40">
        <f t="shared" si="8"/>
        <v>3762</v>
      </c>
    </row>
    <row r="23" spans="1:8" ht="15.75" x14ac:dyDescent="0.25">
      <c r="A23" s="27">
        <f t="shared" si="4"/>
        <v>16</v>
      </c>
      <c r="B23" s="103" t="s">
        <v>376</v>
      </c>
      <c r="C23" s="125" t="s">
        <v>18</v>
      </c>
      <c r="D23" s="189">
        <v>3.8</v>
      </c>
      <c r="E23" s="160">
        <v>1100</v>
      </c>
      <c r="F23" s="40">
        <f t="shared" si="7"/>
        <v>4180</v>
      </c>
      <c r="G23" s="40">
        <f t="shared" si="8"/>
        <v>5016</v>
      </c>
    </row>
    <row r="24" spans="1:8" x14ac:dyDescent="0.25">
      <c r="A24" s="27"/>
      <c r="B24" s="22" t="s">
        <v>381</v>
      </c>
      <c r="C24" s="125"/>
      <c r="D24" s="69"/>
      <c r="E24" s="35"/>
      <c r="F24" s="39"/>
      <c r="G24" s="39"/>
    </row>
    <row r="25" spans="1:8" x14ac:dyDescent="0.25">
      <c r="A25" s="27">
        <f>A23+1</f>
        <v>17</v>
      </c>
      <c r="B25" s="103" t="s">
        <v>382</v>
      </c>
      <c r="C25" s="125" t="s">
        <v>12</v>
      </c>
      <c r="D25" s="189">
        <v>4</v>
      </c>
      <c r="E25" s="104">
        <v>14900</v>
      </c>
      <c r="F25" s="40">
        <f t="shared" ref="F25:F28" si="9">ROUND(E25*D25,2)</f>
        <v>59600</v>
      </c>
      <c r="G25" s="40">
        <f t="shared" ref="G25:G28" si="10">ROUND(F25*1.2,2)</f>
        <v>71520</v>
      </c>
    </row>
    <row r="26" spans="1:8" x14ac:dyDescent="0.25">
      <c r="A26" s="27">
        <f t="shared" si="4"/>
        <v>18</v>
      </c>
      <c r="B26" s="17" t="s">
        <v>383</v>
      </c>
      <c r="C26" s="125" t="s">
        <v>18</v>
      </c>
      <c r="D26" s="189">
        <f>18.8*4</f>
        <v>75.2</v>
      </c>
      <c r="E26" s="35">
        <f>ROUND(80990/1.2/1000,2)</f>
        <v>67.489999999999995</v>
      </c>
      <c r="F26" s="39">
        <f t="shared" si="9"/>
        <v>5075.25</v>
      </c>
      <c r="G26" s="39">
        <f t="shared" si="10"/>
        <v>6090.3</v>
      </c>
    </row>
    <row r="27" spans="1:8" x14ac:dyDescent="0.25">
      <c r="A27" s="27">
        <f t="shared" si="4"/>
        <v>19</v>
      </c>
      <c r="B27" s="17" t="s">
        <v>384</v>
      </c>
      <c r="C27" s="125" t="s">
        <v>18</v>
      </c>
      <c r="D27" s="171">
        <f>2*1.13*4+1*1.22*4</f>
        <v>13.919999999999998</v>
      </c>
      <c r="E27" s="35">
        <f>ROUND(71990/1.2/1000,2)</f>
        <v>59.99</v>
      </c>
      <c r="F27" s="39">
        <f t="shared" si="9"/>
        <v>835.06</v>
      </c>
      <c r="G27" s="39">
        <f t="shared" si="10"/>
        <v>1002.07</v>
      </c>
    </row>
    <row r="28" spans="1:8" x14ac:dyDescent="0.25">
      <c r="A28" s="27">
        <f t="shared" si="4"/>
        <v>20</v>
      </c>
      <c r="B28" s="17" t="s">
        <v>385</v>
      </c>
      <c r="C28" s="125" t="s">
        <v>18</v>
      </c>
      <c r="D28" s="171">
        <f>1*1.53*4</f>
        <v>6.12</v>
      </c>
      <c r="E28" s="35">
        <f>ROUND(70990/1.2/1000,2)</f>
        <v>59.16</v>
      </c>
      <c r="F28" s="39">
        <f t="shared" si="9"/>
        <v>362.06</v>
      </c>
      <c r="G28" s="39">
        <f t="shared" si="10"/>
        <v>434.47</v>
      </c>
    </row>
    <row r="29" spans="1:8" ht="27.75" customHeight="1" x14ac:dyDescent="0.25">
      <c r="A29" s="60"/>
      <c r="B29" s="220" t="s">
        <v>367</v>
      </c>
      <c r="C29" s="231"/>
      <c r="D29" s="221"/>
      <c r="E29" s="62"/>
      <c r="F29" s="63"/>
      <c r="G29" s="51"/>
    </row>
    <row r="30" spans="1:8" x14ac:dyDescent="0.25">
      <c r="A30" s="27"/>
      <c r="B30" s="133" t="s">
        <v>386</v>
      </c>
      <c r="C30" s="125"/>
      <c r="D30" s="128"/>
      <c r="E30" s="35"/>
      <c r="F30" s="39"/>
      <c r="G30" s="39"/>
    </row>
    <row r="31" spans="1:8" ht="15.75" x14ac:dyDescent="0.25">
      <c r="A31" s="27">
        <f>A28+1</f>
        <v>21</v>
      </c>
      <c r="B31" s="103" t="s">
        <v>387</v>
      </c>
      <c r="C31" s="125" t="s">
        <v>2</v>
      </c>
      <c r="D31" s="189">
        <f>3.5*4</f>
        <v>14</v>
      </c>
      <c r="E31" s="74">
        <v>6400</v>
      </c>
      <c r="F31" s="40">
        <f t="shared" si="0"/>
        <v>89600</v>
      </c>
      <c r="G31" s="40">
        <f t="shared" si="1"/>
        <v>107520</v>
      </c>
    </row>
    <row r="32" spans="1:8" x14ac:dyDescent="0.25">
      <c r="A32" s="27">
        <f>A31+1</f>
        <v>22</v>
      </c>
      <c r="B32" s="17" t="s">
        <v>388</v>
      </c>
      <c r="C32" s="125" t="s">
        <v>18</v>
      </c>
      <c r="D32" s="171">
        <f>8*18.06*4</f>
        <v>577.91999999999996</v>
      </c>
      <c r="E32" s="35">
        <f>ROUND(61790/1.2/1000,2)</f>
        <v>51.49</v>
      </c>
      <c r="F32" s="39">
        <f t="shared" si="0"/>
        <v>29757.1</v>
      </c>
      <c r="G32" s="39">
        <f t="shared" si="1"/>
        <v>35708.519999999997</v>
      </c>
      <c r="H32" s="173">
        <f>144.5*4</f>
        <v>578</v>
      </c>
    </row>
    <row r="33" spans="1:8" x14ac:dyDescent="0.25">
      <c r="A33" s="27">
        <f>A32+1</f>
        <v>23</v>
      </c>
      <c r="B33" s="103" t="s">
        <v>389</v>
      </c>
      <c r="C33" s="125" t="s">
        <v>18</v>
      </c>
      <c r="D33" s="171">
        <f>1*9.37*4+32*0.04*4</f>
        <v>42.599999999999994</v>
      </c>
      <c r="E33" s="104">
        <v>64900</v>
      </c>
      <c r="F33" s="40">
        <f t="shared" si="0"/>
        <v>2764740</v>
      </c>
      <c r="G33" s="40">
        <f t="shared" si="1"/>
        <v>3317688</v>
      </c>
      <c r="H33" s="173">
        <f>10.7*4</f>
        <v>42.8</v>
      </c>
    </row>
    <row r="34" spans="1:8" x14ac:dyDescent="0.25">
      <c r="A34" s="27">
        <f t="shared" ref="A34" si="11">A33+1</f>
        <v>24</v>
      </c>
      <c r="B34" s="103" t="s">
        <v>390</v>
      </c>
      <c r="C34" s="125" t="s">
        <v>18</v>
      </c>
      <c r="D34" s="189">
        <f>8*3.91*4</f>
        <v>125.12</v>
      </c>
      <c r="E34" s="104">
        <f>70990/1000</f>
        <v>70.989999999999995</v>
      </c>
      <c r="F34" s="40">
        <f t="shared" si="0"/>
        <v>8882.27</v>
      </c>
      <c r="G34" s="40">
        <f t="shared" si="1"/>
        <v>10658.72</v>
      </c>
      <c r="H34" s="173">
        <f>31.3*4</f>
        <v>125.2</v>
      </c>
    </row>
    <row r="35" spans="1:8" s="10" customFormat="1" x14ac:dyDescent="0.25">
      <c r="A35" s="27">
        <f>A34+1</f>
        <v>25</v>
      </c>
      <c r="B35" s="103" t="s">
        <v>520</v>
      </c>
      <c r="C35" s="106" t="s">
        <v>18</v>
      </c>
      <c r="D35" s="179">
        <v>5900</v>
      </c>
      <c r="E35" s="104">
        <v>100</v>
      </c>
      <c r="F35" s="40">
        <f>ROUND(E35*D35,2)</f>
        <v>590000</v>
      </c>
      <c r="G35" s="40">
        <f t="shared" si="1"/>
        <v>708000</v>
      </c>
      <c r="H35" s="177"/>
    </row>
    <row r="36" spans="1:8" x14ac:dyDescent="0.25">
      <c r="A36" s="27"/>
      <c r="B36" s="133" t="s">
        <v>391</v>
      </c>
      <c r="C36" s="125"/>
      <c r="D36" s="128"/>
      <c r="E36" s="35"/>
      <c r="F36" s="39"/>
      <c r="G36" s="39"/>
    </row>
    <row r="37" spans="1:8" ht="15.75" x14ac:dyDescent="0.25">
      <c r="A37" s="27">
        <f>A35+1</f>
        <v>26</v>
      </c>
      <c r="B37" s="103" t="s">
        <v>392</v>
      </c>
      <c r="C37" s="125" t="s">
        <v>2</v>
      </c>
      <c r="D37" s="189">
        <v>3.5</v>
      </c>
      <c r="E37" s="74">
        <v>6400</v>
      </c>
      <c r="F37" s="40">
        <f t="shared" ref="F37:F40" si="12">ROUND(E37*D37,2)</f>
        <v>22400</v>
      </c>
      <c r="G37" s="40">
        <f t="shared" ref="G37:G40" si="13">ROUND(F37*1.2,2)</f>
        <v>26880</v>
      </c>
    </row>
    <row r="38" spans="1:8" x14ac:dyDescent="0.25">
      <c r="A38" s="27">
        <f t="shared" ref="A38:A40" si="14">A37+1</f>
        <v>27</v>
      </c>
      <c r="B38" s="103" t="s">
        <v>393</v>
      </c>
      <c r="C38" s="125" t="s">
        <v>18</v>
      </c>
      <c r="D38" s="171">
        <f>20*3.15+36*1.73+74*0.972</f>
        <v>197.208</v>
      </c>
      <c r="E38" s="104">
        <f>ROUND(61490/1.2/1000,2)</f>
        <v>51.24</v>
      </c>
      <c r="F38" s="40">
        <f t="shared" si="12"/>
        <v>10104.94</v>
      </c>
      <c r="G38" s="40">
        <f t="shared" si="13"/>
        <v>12125.93</v>
      </c>
    </row>
    <row r="39" spans="1:8" x14ac:dyDescent="0.25">
      <c r="A39" s="27">
        <f t="shared" si="14"/>
        <v>28</v>
      </c>
      <c r="B39" s="103" t="s">
        <v>388</v>
      </c>
      <c r="C39" s="125" t="s">
        <v>18</v>
      </c>
      <c r="D39" s="171">
        <f>16*2.224+8*1.578</f>
        <v>48.208000000000006</v>
      </c>
      <c r="E39" s="104">
        <f>ROUND(61790/1.2/1000,2)</f>
        <v>51.49</v>
      </c>
      <c r="F39" s="40">
        <f t="shared" si="12"/>
        <v>2482.23</v>
      </c>
      <c r="G39" s="40">
        <f t="shared" si="13"/>
        <v>2978.68</v>
      </c>
    </row>
    <row r="40" spans="1:8" x14ac:dyDescent="0.25">
      <c r="A40" s="27">
        <f t="shared" si="14"/>
        <v>29</v>
      </c>
      <c r="B40" s="103" t="s">
        <v>394</v>
      </c>
      <c r="C40" s="125" t="s">
        <v>18</v>
      </c>
      <c r="D40" s="171">
        <f>8*0.488+8*0.359+6*0.222</f>
        <v>8.1080000000000005</v>
      </c>
      <c r="E40" s="104">
        <f>ROUND(64900/1.2/1000,2)</f>
        <v>54.08</v>
      </c>
      <c r="F40" s="40">
        <f t="shared" si="12"/>
        <v>438.48</v>
      </c>
      <c r="G40" s="40">
        <f t="shared" si="13"/>
        <v>526.17999999999995</v>
      </c>
    </row>
    <row r="41" spans="1:8" x14ac:dyDescent="0.25">
      <c r="A41" s="27"/>
      <c r="B41" s="161" t="s">
        <v>395</v>
      </c>
      <c r="C41" s="125"/>
      <c r="D41" s="128"/>
      <c r="E41" s="104"/>
      <c r="F41" s="40"/>
      <c r="G41" s="40"/>
    </row>
    <row r="42" spans="1:8" ht="15.75" x14ac:dyDescent="0.25">
      <c r="A42" s="27">
        <f>A40+1</f>
        <v>30</v>
      </c>
      <c r="B42" s="103" t="s">
        <v>392</v>
      </c>
      <c r="C42" s="125" t="s">
        <v>2</v>
      </c>
      <c r="D42" s="205">
        <v>27.3</v>
      </c>
      <c r="E42" s="74">
        <v>6400</v>
      </c>
      <c r="F42" s="40">
        <f t="shared" ref="F42:F44" si="15">ROUND(E42*D42,2)</f>
        <v>174720</v>
      </c>
      <c r="G42" s="40">
        <f t="shared" ref="G42:G44" si="16">ROUND(F42*1.2,2)</f>
        <v>209664</v>
      </c>
      <c r="H42" s="173">
        <v>27.5</v>
      </c>
    </row>
    <row r="43" spans="1:8" x14ac:dyDescent="0.25">
      <c r="A43" s="27">
        <f t="shared" ref="A43:A44" si="17">A42+1</f>
        <v>31</v>
      </c>
      <c r="B43" s="17" t="s">
        <v>396</v>
      </c>
      <c r="C43" s="125" t="s">
        <v>18</v>
      </c>
      <c r="D43" s="189">
        <v>954</v>
      </c>
      <c r="E43" s="35">
        <f>ROUND(59490/1.2/1000,2)</f>
        <v>49.58</v>
      </c>
      <c r="F43" s="39">
        <f t="shared" si="15"/>
        <v>47299.32</v>
      </c>
      <c r="G43" s="39">
        <f t="shared" si="16"/>
        <v>56759.18</v>
      </c>
    </row>
    <row r="44" spans="1:8" x14ac:dyDescent="0.25">
      <c r="A44" s="27">
        <f t="shared" si="17"/>
        <v>32</v>
      </c>
      <c r="B44" s="17" t="s">
        <v>393</v>
      </c>
      <c r="C44" s="125" t="s">
        <v>18</v>
      </c>
      <c r="D44" s="205">
        <v>2249</v>
      </c>
      <c r="E44" s="35">
        <f>ROUND(61490/1.2/1000,2)</f>
        <v>51.24</v>
      </c>
      <c r="F44" s="39">
        <f t="shared" si="15"/>
        <v>115238.76</v>
      </c>
      <c r="G44" s="39">
        <f t="shared" si="16"/>
        <v>138286.51</v>
      </c>
      <c r="H44" s="173">
        <v>2275.9</v>
      </c>
    </row>
    <row r="45" spans="1:8" x14ac:dyDescent="0.25">
      <c r="A45" s="65"/>
      <c r="B45" s="238" t="s">
        <v>86</v>
      </c>
      <c r="C45" s="239"/>
      <c r="D45" s="239"/>
      <c r="E45" s="240"/>
      <c r="F45" s="64">
        <f>SUM(F6:F44)</f>
        <v>4826590.370000002</v>
      </c>
      <c r="G45" s="64">
        <f>SUM(G6:G44)</f>
        <v>5791908.4499999983</v>
      </c>
    </row>
    <row r="47" spans="1:8" x14ac:dyDescent="0.25">
      <c r="H47" s="206"/>
    </row>
    <row r="48" spans="1:8" x14ac:dyDescent="0.25">
      <c r="H48" s="207"/>
    </row>
  </sheetData>
  <mergeCells count="9">
    <mergeCell ref="B45:E45"/>
    <mergeCell ref="B4:D4"/>
    <mergeCell ref="B29:D29"/>
    <mergeCell ref="A1:A2"/>
    <mergeCell ref="B1:B2"/>
    <mergeCell ref="C1:C2"/>
    <mergeCell ref="D1:D2"/>
    <mergeCell ref="E1:G1"/>
    <mergeCell ref="B5:D5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79998168889431442"/>
  </sheetPr>
  <dimension ref="A1:H63"/>
  <sheetViews>
    <sheetView view="pageBreakPreview" zoomScale="115" zoomScaleNormal="100" zoomScaleSheetLayoutView="115" workbookViewId="0">
      <selection activeCell="B52" sqref="B52"/>
    </sheetView>
  </sheetViews>
  <sheetFormatPr defaultColWidth="8.85546875" defaultRowHeight="15" x14ac:dyDescent="0.25"/>
  <cols>
    <col min="2" max="2" width="61.7109375" customWidth="1"/>
    <col min="5" max="5" width="15.140625" customWidth="1"/>
    <col min="6" max="6" width="16" customWidth="1"/>
    <col min="7" max="7" width="17" style="6" customWidth="1"/>
    <col min="8" max="8" width="76.28515625" style="202" customWidth="1"/>
  </cols>
  <sheetData>
    <row r="1" spans="1:8" ht="14.45" customHeight="1" x14ac:dyDescent="0.25">
      <c r="A1" s="226" t="s">
        <v>13</v>
      </c>
      <c r="B1" s="254" t="s">
        <v>9</v>
      </c>
      <c r="C1" s="230" t="s">
        <v>15</v>
      </c>
      <c r="D1" s="230" t="s">
        <v>10</v>
      </c>
      <c r="E1" s="249" t="s">
        <v>524</v>
      </c>
      <c r="F1" s="250"/>
      <c r="G1" s="250"/>
    </row>
    <row r="2" spans="1:8" ht="14.45" customHeight="1" x14ac:dyDescent="0.25">
      <c r="A2" s="253"/>
      <c r="B2" s="255"/>
      <c r="C2" s="230"/>
      <c r="D2" s="230"/>
      <c r="E2" s="251"/>
      <c r="F2" s="252"/>
      <c r="G2" s="252"/>
    </row>
    <row r="3" spans="1:8" ht="56.1" customHeight="1" x14ac:dyDescent="0.25">
      <c r="A3" s="227"/>
      <c r="B3" s="256"/>
      <c r="C3" s="230"/>
      <c r="D3" s="230"/>
      <c r="E3" s="116" t="s">
        <v>45</v>
      </c>
      <c r="F3" s="116" t="s">
        <v>43</v>
      </c>
      <c r="G3" s="38" t="s">
        <v>28</v>
      </c>
    </row>
    <row r="4" spans="1:8" x14ac:dyDescent="0.25">
      <c r="A4" s="55">
        <v>1</v>
      </c>
      <c r="B4" s="56">
        <v>2</v>
      </c>
      <c r="C4" s="56">
        <v>3</v>
      </c>
      <c r="D4" s="56">
        <v>4</v>
      </c>
      <c r="E4" s="56">
        <v>5</v>
      </c>
      <c r="F4" s="56">
        <v>6</v>
      </c>
      <c r="G4" s="56">
        <v>7</v>
      </c>
      <c r="H4" s="173"/>
    </row>
    <row r="5" spans="1:8" ht="20.25" customHeight="1" x14ac:dyDescent="0.25">
      <c r="A5" s="76"/>
      <c r="B5" s="220" t="s">
        <v>423</v>
      </c>
      <c r="C5" s="231"/>
      <c r="D5" s="231"/>
      <c r="E5" s="77"/>
      <c r="F5" s="78"/>
      <c r="G5" s="80"/>
    </row>
    <row r="6" spans="1:8" ht="20.25" customHeight="1" x14ac:dyDescent="0.25">
      <c r="A6" s="115"/>
      <c r="B6" s="12" t="s">
        <v>475</v>
      </c>
      <c r="C6" s="13"/>
      <c r="D6" s="13"/>
      <c r="E6" s="14"/>
      <c r="F6" s="15"/>
      <c r="G6" s="52"/>
    </row>
    <row r="7" spans="1:8" ht="34.5" customHeight="1" x14ac:dyDescent="0.25">
      <c r="A7" s="16">
        <v>1</v>
      </c>
      <c r="B7" s="17" t="s">
        <v>512</v>
      </c>
      <c r="C7" s="45" t="s">
        <v>2</v>
      </c>
      <c r="D7" s="170">
        <v>702.1</v>
      </c>
      <c r="E7" s="74">
        <v>630</v>
      </c>
      <c r="F7" s="39">
        <f>ROUND(E7*D7,2)</f>
        <v>442323</v>
      </c>
      <c r="G7" s="39">
        <f>ROUND(F7*1.2,2)</f>
        <v>530787.6</v>
      </c>
    </row>
    <row r="8" spans="1:8" ht="20.25" customHeight="1" x14ac:dyDescent="0.25">
      <c r="A8" s="16">
        <f>A7+1</f>
        <v>2</v>
      </c>
      <c r="B8" s="17" t="s">
        <v>52</v>
      </c>
      <c r="C8" s="16" t="s">
        <v>2</v>
      </c>
      <c r="D8" s="179">
        <v>12.3</v>
      </c>
      <c r="E8" s="271">
        <v>1688.15</v>
      </c>
      <c r="F8" s="39">
        <f t="shared" ref="F8:F12" si="0">ROUND(E8*D8,2)</f>
        <v>20764.25</v>
      </c>
      <c r="G8" s="39">
        <f t="shared" ref="G8:G12" si="1">ROUND(F8*1.2,2)</f>
        <v>24917.1</v>
      </c>
    </row>
    <row r="9" spans="1:8" ht="20.25" customHeight="1" x14ac:dyDescent="0.25">
      <c r="A9" s="16">
        <f t="shared" ref="A9:A12" si="2">A8+1</f>
        <v>3</v>
      </c>
      <c r="B9" s="17" t="s">
        <v>47</v>
      </c>
      <c r="C9" s="16" t="s">
        <v>2</v>
      </c>
      <c r="D9" s="179">
        <v>482.3</v>
      </c>
      <c r="E9" s="271">
        <v>118.75</v>
      </c>
      <c r="F9" s="39">
        <f t="shared" si="0"/>
        <v>57273.13</v>
      </c>
      <c r="G9" s="39">
        <f t="shared" si="1"/>
        <v>68727.759999999995</v>
      </c>
    </row>
    <row r="10" spans="1:8" ht="20.25" customHeight="1" x14ac:dyDescent="0.25">
      <c r="A10" s="16">
        <f t="shared" si="2"/>
        <v>4</v>
      </c>
      <c r="B10" s="17" t="s">
        <v>80</v>
      </c>
      <c r="C10" s="16" t="s">
        <v>2</v>
      </c>
      <c r="D10" s="179">
        <v>123</v>
      </c>
      <c r="E10" s="271">
        <v>854.05</v>
      </c>
      <c r="F10" s="39">
        <f t="shared" si="0"/>
        <v>105048.15</v>
      </c>
      <c r="G10" s="39">
        <f t="shared" si="1"/>
        <v>126057.78</v>
      </c>
    </row>
    <row r="11" spans="1:8" ht="20.25" customHeight="1" x14ac:dyDescent="0.25">
      <c r="A11" s="16">
        <f t="shared" si="2"/>
        <v>5</v>
      </c>
      <c r="B11" s="17" t="s">
        <v>48</v>
      </c>
      <c r="C11" s="16" t="s">
        <v>2</v>
      </c>
      <c r="D11" s="179">
        <v>482</v>
      </c>
      <c r="E11" s="271">
        <v>188.1</v>
      </c>
      <c r="F11" s="39">
        <f t="shared" si="0"/>
        <v>90664.2</v>
      </c>
      <c r="G11" s="39">
        <f t="shared" si="1"/>
        <v>108797.04</v>
      </c>
    </row>
    <row r="12" spans="1:8" ht="20.25" customHeight="1" x14ac:dyDescent="0.25">
      <c r="A12" s="260">
        <f t="shared" si="2"/>
        <v>6</v>
      </c>
      <c r="B12" s="259" t="s">
        <v>54</v>
      </c>
      <c r="C12" s="260" t="s">
        <v>2</v>
      </c>
      <c r="D12" s="261">
        <v>109.1</v>
      </c>
      <c r="E12" s="263">
        <v>494</v>
      </c>
      <c r="F12" s="264">
        <f t="shared" si="0"/>
        <v>53895.4</v>
      </c>
      <c r="G12" s="264">
        <f t="shared" si="1"/>
        <v>64674.48</v>
      </c>
    </row>
    <row r="13" spans="1:8" ht="20.25" customHeight="1" x14ac:dyDescent="0.25">
      <c r="A13" s="16"/>
      <c r="B13" s="12" t="s">
        <v>476</v>
      </c>
      <c r="C13" s="20"/>
      <c r="D13" s="19"/>
      <c r="E13" s="74"/>
      <c r="F13" s="39"/>
      <c r="G13" s="39"/>
    </row>
    <row r="14" spans="1:8" ht="20.25" customHeight="1" x14ac:dyDescent="0.25">
      <c r="A14" s="27">
        <v>7</v>
      </c>
      <c r="B14" s="103" t="s">
        <v>477</v>
      </c>
      <c r="C14" s="106" t="s">
        <v>2</v>
      </c>
      <c r="D14" s="180">
        <v>22.8</v>
      </c>
      <c r="E14" s="74">
        <v>12200</v>
      </c>
      <c r="F14" s="40">
        <f t="shared" ref="F14:F17" si="3">ROUND(E14*D14,2)</f>
        <v>278160</v>
      </c>
      <c r="G14" s="40">
        <f t="shared" ref="G14:G17" si="4">ROUND(F14*1.2,2)</f>
        <v>333792</v>
      </c>
    </row>
    <row r="15" spans="1:8" ht="20.25" customHeight="1" x14ac:dyDescent="0.25">
      <c r="A15" s="27">
        <f>A14+1</f>
        <v>8</v>
      </c>
      <c r="B15" s="103" t="s">
        <v>478</v>
      </c>
      <c r="C15" s="106" t="s">
        <v>2</v>
      </c>
      <c r="D15" s="180">
        <v>2.6</v>
      </c>
      <c r="E15" s="74">
        <v>5979</v>
      </c>
      <c r="F15" s="40">
        <f t="shared" si="3"/>
        <v>15545.4</v>
      </c>
      <c r="G15" s="40">
        <f t="shared" si="4"/>
        <v>18654.48</v>
      </c>
    </row>
    <row r="16" spans="1:8" ht="30" customHeight="1" x14ac:dyDescent="0.25">
      <c r="A16" s="16">
        <f t="shared" ref="A16:A19" si="5">A15+1</f>
        <v>9</v>
      </c>
      <c r="B16" s="113" t="s">
        <v>215</v>
      </c>
      <c r="C16" s="110" t="s">
        <v>42</v>
      </c>
      <c r="D16" s="188">
        <v>39.6</v>
      </c>
      <c r="E16" s="74">
        <v>452</v>
      </c>
      <c r="F16" s="112">
        <f t="shared" si="3"/>
        <v>17899.2</v>
      </c>
      <c r="G16" s="112">
        <f t="shared" si="4"/>
        <v>21479.040000000001</v>
      </c>
    </row>
    <row r="17" spans="1:8" ht="31.5" customHeight="1" x14ac:dyDescent="0.25">
      <c r="A17" s="16">
        <f t="shared" si="5"/>
        <v>10</v>
      </c>
      <c r="B17" s="103" t="s">
        <v>216</v>
      </c>
      <c r="C17" s="27" t="s">
        <v>42</v>
      </c>
      <c r="D17" s="188">
        <v>39.6</v>
      </c>
      <c r="E17" s="74">
        <v>615</v>
      </c>
      <c r="F17" s="40">
        <f t="shared" si="3"/>
        <v>24354</v>
      </c>
      <c r="G17" s="40">
        <f t="shared" si="4"/>
        <v>29224.799999999999</v>
      </c>
    </row>
    <row r="18" spans="1:8" s="10" customFormat="1" ht="20.25" customHeight="1" x14ac:dyDescent="0.25">
      <c r="A18" s="27">
        <f t="shared" si="5"/>
        <v>11</v>
      </c>
      <c r="B18" s="103" t="s">
        <v>479</v>
      </c>
      <c r="C18" s="106" t="s">
        <v>42</v>
      </c>
      <c r="D18" s="180">
        <v>26.5</v>
      </c>
      <c r="E18" s="74">
        <v>305.95999999999998</v>
      </c>
      <c r="F18" s="40">
        <f t="shared" ref="F18:F19" si="6">ROUND(E18*D18,2)</f>
        <v>8107.94</v>
      </c>
      <c r="G18" s="40">
        <f t="shared" ref="G18:G19" si="7">ROUND(F18*1.2,2)</f>
        <v>9729.5300000000007</v>
      </c>
      <c r="H18" s="203"/>
    </row>
    <row r="19" spans="1:8" s="10" customFormat="1" ht="20.25" customHeight="1" x14ac:dyDescent="0.25">
      <c r="A19" s="27">
        <f t="shared" si="5"/>
        <v>12</v>
      </c>
      <c r="B19" s="103" t="s">
        <v>480</v>
      </c>
      <c r="C19" s="106" t="s">
        <v>1</v>
      </c>
      <c r="D19" s="179">
        <v>2</v>
      </c>
      <c r="E19" s="74">
        <v>306.74</v>
      </c>
      <c r="F19" s="40">
        <f t="shared" si="6"/>
        <v>613.48</v>
      </c>
      <c r="G19" s="40">
        <f t="shared" si="7"/>
        <v>736.18</v>
      </c>
      <c r="H19" s="203"/>
    </row>
    <row r="20" spans="1:8" s="10" customFormat="1" ht="20.25" customHeight="1" x14ac:dyDescent="0.25">
      <c r="A20" s="27"/>
      <c r="B20" s="25" t="s">
        <v>444</v>
      </c>
      <c r="C20" s="106"/>
      <c r="D20" s="59"/>
      <c r="E20" s="74"/>
      <c r="F20" s="40"/>
      <c r="G20" s="40"/>
      <c r="H20" s="203"/>
    </row>
    <row r="21" spans="1:8" s="10" customFormat="1" ht="20.25" customHeight="1" x14ac:dyDescent="0.25">
      <c r="A21" s="27">
        <f>A19+1</f>
        <v>13</v>
      </c>
      <c r="B21" s="103" t="s">
        <v>481</v>
      </c>
      <c r="C21" s="106" t="s">
        <v>2</v>
      </c>
      <c r="D21" s="180">
        <v>63.5</v>
      </c>
      <c r="E21" s="74">
        <v>8763.7999999999993</v>
      </c>
      <c r="F21" s="40">
        <f t="shared" ref="F21:F22" si="8">ROUND(E21*D21,2)</f>
        <v>556501.30000000005</v>
      </c>
      <c r="G21" s="40">
        <f t="shared" ref="G21:G22" si="9">ROUND(F21*1.2,2)</f>
        <v>667801.56000000006</v>
      </c>
      <c r="H21" s="203"/>
    </row>
    <row r="22" spans="1:8" s="10" customFormat="1" ht="20.25" customHeight="1" x14ac:dyDescent="0.25">
      <c r="A22" s="27">
        <f>A21+1</f>
        <v>14</v>
      </c>
      <c r="B22" s="103" t="s">
        <v>482</v>
      </c>
      <c r="C22" s="106" t="s">
        <v>2</v>
      </c>
      <c r="D22" s="180">
        <v>16.7</v>
      </c>
      <c r="E22" s="74">
        <v>8763.7999999999993</v>
      </c>
      <c r="F22" s="40">
        <f t="shared" si="8"/>
        <v>146355.46</v>
      </c>
      <c r="G22" s="40">
        <f t="shared" si="9"/>
        <v>175626.55</v>
      </c>
      <c r="H22" s="203"/>
    </row>
    <row r="23" spans="1:8" s="10" customFormat="1" ht="20.25" customHeight="1" x14ac:dyDescent="0.25">
      <c r="A23" s="27">
        <f t="shared" ref="A23:A32" si="10">A22+1</f>
        <v>15</v>
      </c>
      <c r="B23" s="103" t="s">
        <v>483</v>
      </c>
      <c r="C23" s="106" t="s">
        <v>1</v>
      </c>
      <c r="D23" s="179">
        <v>30</v>
      </c>
      <c r="E23" s="74">
        <v>4600.87</v>
      </c>
      <c r="F23" s="40">
        <f t="shared" ref="F23:F32" si="11">ROUND(E23*D23,2)</f>
        <v>138026.1</v>
      </c>
      <c r="G23" s="40">
        <f t="shared" ref="G23:G32" si="12">ROUND(F23*1.2,2)</f>
        <v>165631.32</v>
      </c>
      <c r="H23" s="203"/>
    </row>
    <row r="24" spans="1:8" s="10" customFormat="1" ht="20.25" customHeight="1" x14ac:dyDescent="0.25">
      <c r="A24" s="27">
        <f t="shared" si="10"/>
        <v>16</v>
      </c>
      <c r="B24" s="103" t="s">
        <v>503</v>
      </c>
      <c r="C24" s="106" t="s">
        <v>12</v>
      </c>
      <c r="D24" s="179">
        <v>30</v>
      </c>
      <c r="E24" s="74">
        <v>3871.48</v>
      </c>
      <c r="F24" s="40">
        <f t="shared" si="11"/>
        <v>116144.4</v>
      </c>
      <c r="G24" s="40">
        <f t="shared" si="12"/>
        <v>139373.28</v>
      </c>
      <c r="H24" s="203"/>
    </row>
    <row r="25" spans="1:8" s="10" customFormat="1" ht="20.25" customHeight="1" x14ac:dyDescent="0.25">
      <c r="A25" s="27">
        <f t="shared" si="10"/>
        <v>17</v>
      </c>
      <c r="B25" s="103" t="s">
        <v>504</v>
      </c>
      <c r="C25" s="106" t="s">
        <v>12</v>
      </c>
      <c r="D25" s="179">
        <v>60</v>
      </c>
      <c r="E25" s="74">
        <v>330</v>
      </c>
      <c r="F25" s="40">
        <f t="shared" si="11"/>
        <v>19800</v>
      </c>
      <c r="G25" s="40">
        <f t="shared" si="12"/>
        <v>23760</v>
      </c>
      <c r="H25" s="203"/>
    </row>
    <row r="26" spans="1:8" s="10" customFormat="1" ht="20.25" customHeight="1" x14ac:dyDescent="0.25">
      <c r="A26" s="27">
        <f t="shared" si="10"/>
        <v>18</v>
      </c>
      <c r="B26" s="103" t="s">
        <v>505</v>
      </c>
      <c r="C26" s="106" t="s">
        <v>12</v>
      </c>
      <c r="D26" s="179">
        <v>30</v>
      </c>
      <c r="E26" s="74">
        <v>500</v>
      </c>
      <c r="F26" s="40">
        <f t="shared" si="11"/>
        <v>15000</v>
      </c>
      <c r="G26" s="40">
        <f t="shared" si="12"/>
        <v>18000</v>
      </c>
      <c r="H26" s="203"/>
    </row>
    <row r="27" spans="1:8" s="10" customFormat="1" ht="20.25" customHeight="1" x14ac:dyDescent="0.25">
      <c r="A27" s="27">
        <f t="shared" si="10"/>
        <v>19</v>
      </c>
      <c r="B27" s="103" t="s">
        <v>506</v>
      </c>
      <c r="C27" s="106" t="s">
        <v>12</v>
      </c>
      <c r="D27" s="179">
        <v>2</v>
      </c>
      <c r="E27" s="74">
        <v>15760</v>
      </c>
      <c r="F27" s="40">
        <f t="shared" si="11"/>
        <v>31520</v>
      </c>
      <c r="G27" s="40">
        <f t="shared" si="12"/>
        <v>37824</v>
      </c>
      <c r="H27" s="203"/>
    </row>
    <row r="28" spans="1:8" s="10" customFormat="1" ht="20.25" customHeight="1" x14ac:dyDescent="0.25">
      <c r="A28" s="27">
        <f t="shared" si="10"/>
        <v>20</v>
      </c>
      <c r="B28" s="103" t="s">
        <v>507</v>
      </c>
      <c r="C28" s="106" t="s">
        <v>12</v>
      </c>
      <c r="D28" s="179">
        <v>2</v>
      </c>
      <c r="E28" s="74">
        <v>8222.27</v>
      </c>
      <c r="F28" s="40">
        <f t="shared" si="11"/>
        <v>16444.54</v>
      </c>
      <c r="G28" s="40">
        <f t="shared" si="12"/>
        <v>19733.45</v>
      </c>
      <c r="H28" s="203"/>
    </row>
    <row r="29" spans="1:8" s="10" customFormat="1" ht="20.25" customHeight="1" x14ac:dyDescent="0.25">
      <c r="A29" s="27">
        <f t="shared" si="10"/>
        <v>21</v>
      </c>
      <c r="B29" s="103" t="s">
        <v>479</v>
      </c>
      <c r="C29" s="106" t="s">
        <v>42</v>
      </c>
      <c r="D29" s="179">
        <v>173</v>
      </c>
      <c r="E29" s="74">
        <v>305.95999999999998</v>
      </c>
      <c r="F29" s="40">
        <f t="shared" si="11"/>
        <v>52931.08</v>
      </c>
      <c r="G29" s="40">
        <f t="shared" si="12"/>
        <v>63517.3</v>
      </c>
      <c r="H29" s="203"/>
    </row>
    <row r="30" spans="1:8" s="10" customFormat="1" ht="31.5" customHeight="1" x14ac:dyDescent="0.25">
      <c r="A30" s="27">
        <f t="shared" si="10"/>
        <v>22</v>
      </c>
      <c r="B30" s="103" t="s">
        <v>484</v>
      </c>
      <c r="C30" s="106" t="s">
        <v>2</v>
      </c>
      <c r="D30" s="180">
        <v>0.3</v>
      </c>
      <c r="E30" s="74">
        <f>2688*3</f>
        <v>8064</v>
      </c>
      <c r="F30" s="40">
        <f t="shared" si="11"/>
        <v>2419.1999999999998</v>
      </c>
      <c r="G30" s="40">
        <f t="shared" si="12"/>
        <v>2903.04</v>
      </c>
      <c r="H30" s="203"/>
    </row>
    <row r="31" spans="1:8" s="10" customFormat="1" ht="20.25" customHeight="1" x14ac:dyDescent="0.25">
      <c r="A31" s="27">
        <f t="shared" si="10"/>
        <v>23</v>
      </c>
      <c r="B31" s="103" t="s">
        <v>485</v>
      </c>
      <c r="C31" s="106" t="s">
        <v>3</v>
      </c>
      <c r="D31" s="180">
        <v>38.200000000000003</v>
      </c>
      <c r="E31" s="74">
        <v>1792</v>
      </c>
      <c r="F31" s="40">
        <f t="shared" si="11"/>
        <v>68454.399999999994</v>
      </c>
      <c r="G31" s="40">
        <f t="shared" si="12"/>
        <v>82145.279999999999</v>
      </c>
      <c r="H31" s="203"/>
    </row>
    <row r="32" spans="1:8" ht="48" customHeight="1" x14ac:dyDescent="0.25">
      <c r="A32" s="27">
        <f t="shared" si="10"/>
        <v>24</v>
      </c>
      <c r="B32" s="103" t="s">
        <v>486</v>
      </c>
      <c r="C32" s="27" t="s">
        <v>2</v>
      </c>
      <c r="D32" s="180">
        <v>17.3</v>
      </c>
      <c r="E32" s="74">
        <v>1754</v>
      </c>
      <c r="F32" s="40">
        <f t="shared" si="11"/>
        <v>30344.2</v>
      </c>
      <c r="G32" s="40">
        <f t="shared" si="12"/>
        <v>36413.040000000001</v>
      </c>
    </row>
    <row r="33" spans="1:8" ht="22.5" customHeight="1" x14ac:dyDescent="0.25">
      <c r="A33" s="16"/>
      <c r="B33" s="12" t="s">
        <v>222</v>
      </c>
      <c r="C33" s="20"/>
      <c r="D33" s="19"/>
      <c r="E33" s="75"/>
      <c r="F33" s="39"/>
      <c r="G33" s="39"/>
    </row>
    <row r="34" spans="1:8" ht="20.25" customHeight="1" x14ac:dyDescent="0.25">
      <c r="A34" s="27">
        <f>A32+1</f>
        <v>25</v>
      </c>
      <c r="B34" s="103" t="s">
        <v>488</v>
      </c>
      <c r="C34" s="106" t="s">
        <v>17</v>
      </c>
      <c r="D34" s="196">
        <v>0.42</v>
      </c>
      <c r="E34" s="74">
        <v>150291</v>
      </c>
      <c r="F34" s="40">
        <f t="shared" ref="F34:F38" si="13">ROUND(E34*D34,2)</f>
        <v>63122.22</v>
      </c>
      <c r="G34" s="40">
        <f t="shared" ref="G34:G38" si="14">ROUND(F34*1.2,2)</f>
        <v>75746.66</v>
      </c>
      <c r="H34" s="202" t="s">
        <v>539</v>
      </c>
    </row>
    <row r="35" spans="1:8" ht="20.25" customHeight="1" x14ac:dyDescent="0.25">
      <c r="A35" s="27">
        <f>A34+1</f>
        <v>26</v>
      </c>
      <c r="B35" s="103" t="s">
        <v>501</v>
      </c>
      <c r="C35" s="106" t="s">
        <v>17</v>
      </c>
      <c r="D35" s="188">
        <v>0.23</v>
      </c>
      <c r="E35" s="74">
        <v>73989</v>
      </c>
      <c r="F35" s="40">
        <f t="shared" si="13"/>
        <v>17017.47</v>
      </c>
      <c r="G35" s="40">
        <f t="shared" si="14"/>
        <v>20420.96</v>
      </c>
    </row>
    <row r="36" spans="1:8" ht="20.25" customHeight="1" x14ac:dyDescent="0.25">
      <c r="A36" s="27">
        <f t="shared" ref="A36:A39" si="15">A35+1</f>
        <v>27</v>
      </c>
      <c r="B36" s="103" t="s">
        <v>487</v>
      </c>
      <c r="C36" s="106" t="s">
        <v>17</v>
      </c>
      <c r="D36" s="204">
        <v>6.0999999999999999E-2</v>
      </c>
      <c r="E36" s="74">
        <v>150291</v>
      </c>
      <c r="F36" s="40">
        <f t="shared" si="13"/>
        <v>9167.75</v>
      </c>
      <c r="G36" s="40">
        <f t="shared" si="14"/>
        <v>11001.3</v>
      </c>
    </row>
    <row r="37" spans="1:8" ht="35.25" customHeight="1" x14ac:dyDescent="0.25">
      <c r="A37" s="27">
        <f t="shared" si="15"/>
        <v>28</v>
      </c>
      <c r="B37" s="17" t="s">
        <v>502</v>
      </c>
      <c r="C37" s="16" t="s">
        <v>42</v>
      </c>
      <c r="D37" s="179">
        <v>18</v>
      </c>
      <c r="E37" s="75">
        <v>182</v>
      </c>
      <c r="F37" s="39">
        <f t="shared" si="13"/>
        <v>3276</v>
      </c>
      <c r="G37" s="39">
        <f t="shared" si="14"/>
        <v>3931.2</v>
      </c>
    </row>
    <row r="38" spans="1:8" ht="35.25" customHeight="1" x14ac:dyDescent="0.25">
      <c r="A38" s="27">
        <f t="shared" si="15"/>
        <v>29</v>
      </c>
      <c r="B38" s="17" t="s">
        <v>59</v>
      </c>
      <c r="C38" s="16" t="s">
        <v>42</v>
      </c>
      <c r="D38" s="179">
        <v>18</v>
      </c>
      <c r="E38" s="75">
        <v>182</v>
      </c>
      <c r="F38" s="39">
        <f t="shared" si="13"/>
        <v>3276</v>
      </c>
      <c r="G38" s="39">
        <f t="shared" si="14"/>
        <v>3931.2</v>
      </c>
    </row>
    <row r="39" spans="1:8" ht="30" customHeight="1" x14ac:dyDescent="0.25">
      <c r="A39" s="27">
        <f t="shared" si="15"/>
        <v>30</v>
      </c>
      <c r="B39" s="103" t="s">
        <v>489</v>
      </c>
      <c r="C39" s="27" t="s">
        <v>42</v>
      </c>
      <c r="D39" s="179">
        <v>18</v>
      </c>
      <c r="E39" s="74">
        <v>152</v>
      </c>
      <c r="F39" s="40">
        <f t="shared" ref="F39" si="16">ROUND(E39*D39,2)</f>
        <v>2736</v>
      </c>
      <c r="G39" s="40">
        <f t="shared" ref="G39" si="17">ROUND(F39*1.2,2)</f>
        <v>3283.2</v>
      </c>
    </row>
    <row r="40" spans="1:8" ht="27.75" customHeight="1" x14ac:dyDescent="0.25">
      <c r="A40" s="16"/>
      <c r="B40" s="12" t="s">
        <v>490</v>
      </c>
      <c r="C40" s="20"/>
      <c r="D40" s="19"/>
      <c r="E40" s="75"/>
      <c r="F40" s="39"/>
      <c r="G40" s="39"/>
    </row>
    <row r="41" spans="1:8" ht="31.5" customHeight="1" x14ac:dyDescent="0.25">
      <c r="A41" s="27">
        <f>A39+1</f>
        <v>31</v>
      </c>
      <c r="B41" s="17" t="s">
        <v>512</v>
      </c>
      <c r="C41" s="45" t="s">
        <v>2</v>
      </c>
      <c r="D41" s="189">
        <v>81.2</v>
      </c>
      <c r="E41" s="74">
        <v>630</v>
      </c>
      <c r="F41" s="39">
        <f>ROUND(E41*D41,2)</f>
        <v>51156</v>
      </c>
      <c r="G41" s="39">
        <f>ROUND(F41*1.2,2)</f>
        <v>61387.199999999997</v>
      </c>
    </row>
    <row r="42" spans="1:8" ht="20.25" customHeight="1" x14ac:dyDescent="0.25">
      <c r="A42" s="27">
        <f>A41+1</f>
        <v>32</v>
      </c>
      <c r="B42" s="17" t="s">
        <v>52</v>
      </c>
      <c r="C42" s="16" t="s">
        <v>2</v>
      </c>
      <c r="D42" s="180">
        <v>1.4</v>
      </c>
      <c r="E42" s="271">
        <v>1688.15</v>
      </c>
      <c r="F42" s="39">
        <f t="shared" ref="F42:F46" si="18">ROUND(E42*D42,2)</f>
        <v>2363.41</v>
      </c>
      <c r="G42" s="39">
        <f t="shared" ref="G42:G46" si="19">ROUND(F42*1.2,2)</f>
        <v>2836.09</v>
      </c>
    </row>
    <row r="43" spans="1:8" ht="20.25" customHeight="1" x14ac:dyDescent="0.25">
      <c r="A43" s="27">
        <f t="shared" ref="A43:A46" si="20">A42+1</f>
        <v>33</v>
      </c>
      <c r="B43" s="17" t="s">
        <v>47</v>
      </c>
      <c r="C43" s="16" t="s">
        <v>2</v>
      </c>
      <c r="D43" s="180">
        <v>64.400000000000006</v>
      </c>
      <c r="E43" s="271">
        <v>118.75</v>
      </c>
      <c r="F43" s="39">
        <f t="shared" si="18"/>
        <v>7647.5</v>
      </c>
      <c r="G43" s="39">
        <f t="shared" si="19"/>
        <v>9177</v>
      </c>
    </row>
    <row r="44" spans="1:8" ht="20.25" customHeight="1" x14ac:dyDescent="0.25">
      <c r="A44" s="27">
        <f t="shared" si="20"/>
        <v>34</v>
      </c>
      <c r="B44" s="17" t="s">
        <v>80</v>
      </c>
      <c r="C44" s="16" t="s">
        <v>2</v>
      </c>
      <c r="D44" s="180">
        <v>16.100000000000001</v>
      </c>
      <c r="E44" s="271">
        <v>854.05</v>
      </c>
      <c r="F44" s="39">
        <f t="shared" si="18"/>
        <v>13750.21</v>
      </c>
      <c r="G44" s="39">
        <f t="shared" si="19"/>
        <v>16500.25</v>
      </c>
    </row>
    <row r="45" spans="1:8" ht="20.25" customHeight="1" x14ac:dyDescent="0.25">
      <c r="A45" s="27">
        <f t="shared" si="20"/>
        <v>35</v>
      </c>
      <c r="B45" s="17" t="s">
        <v>48</v>
      </c>
      <c r="C45" s="16" t="s">
        <v>2</v>
      </c>
      <c r="D45" s="180">
        <v>64.400000000000006</v>
      </c>
      <c r="E45" s="271">
        <v>188.1</v>
      </c>
      <c r="F45" s="39">
        <f t="shared" si="18"/>
        <v>12113.64</v>
      </c>
      <c r="G45" s="39">
        <f t="shared" si="19"/>
        <v>14536.37</v>
      </c>
    </row>
    <row r="46" spans="1:8" ht="20.25" customHeight="1" x14ac:dyDescent="0.25">
      <c r="A46" s="260">
        <f t="shared" si="20"/>
        <v>36</v>
      </c>
      <c r="B46" s="259" t="s">
        <v>54</v>
      </c>
      <c r="C46" s="260" t="s">
        <v>2</v>
      </c>
      <c r="D46" s="261">
        <v>2.1</v>
      </c>
      <c r="E46" s="263">
        <v>494</v>
      </c>
      <c r="F46" s="264">
        <f t="shared" si="18"/>
        <v>1037.4000000000001</v>
      </c>
      <c r="G46" s="264">
        <f t="shared" si="19"/>
        <v>1244.8800000000001</v>
      </c>
    </row>
    <row r="47" spans="1:8" ht="20.25" customHeight="1" x14ac:dyDescent="0.25">
      <c r="A47" s="16"/>
      <c r="B47" s="12" t="s">
        <v>457</v>
      </c>
      <c r="C47" s="20"/>
      <c r="D47" s="19"/>
      <c r="E47" s="75"/>
      <c r="F47" s="39"/>
      <c r="G47" s="39"/>
    </row>
    <row r="48" spans="1:8" ht="31.5" customHeight="1" x14ac:dyDescent="0.25">
      <c r="A48" s="27">
        <v>37</v>
      </c>
      <c r="B48" s="17" t="s">
        <v>491</v>
      </c>
      <c r="C48" s="16" t="s">
        <v>2</v>
      </c>
      <c r="D48" s="180">
        <v>1.8</v>
      </c>
      <c r="E48" s="75">
        <v>10423</v>
      </c>
      <c r="F48" s="39">
        <f t="shared" ref="F48" si="21">ROUND(E48*D48,2)</f>
        <v>18761.400000000001</v>
      </c>
      <c r="G48" s="39">
        <f t="shared" ref="G48" si="22">ROUND(F48*1.2,2)</f>
        <v>22513.68</v>
      </c>
    </row>
    <row r="49" spans="1:8" ht="37.5" customHeight="1" x14ac:dyDescent="0.25">
      <c r="A49" s="27">
        <f>A48+1</f>
        <v>38</v>
      </c>
      <c r="B49" s="103" t="s">
        <v>492</v>
      </c>
      <c r="C49" s="27" t="s">
        <v>17</v>
      </c>
      <c r="D49" s="204">
        <v>1.6E-2</v>
      </c>
      <c r="E49" s="74">
        <v>400000</v>
      </c>
      <c r="F49" s="40">
        <f t="shared" ref="F49" si="23">ROUND(E49*D49,2)</f>
        <v>6400</v>
      </c>
      <c r="G49" s="40">
        <f t="shared" ref="G49" si="24">ROUND(F49*1.2,2)</f>
        <v>7680</v>
      </c>
    </row>
    <row r="50" spans="1:8" ht="30.75" customHeight="1" x14ac:dyDescent="0.25">
      <c r="A50" s="27">
        <f t="shared" ref="A50:A51" si="25">A49+1</f>
        <v>39</v>
      </c>
      <c r="B50" s="103" t="s">
        <v>493</v>
      </c>
      <c r="C50" s="27" t="s">
        <v>2</v>
      </c>
      <c r="D50" s="180">
        <v>0.4</v>
      </c>
      <c r="E50" s="74">
        <v>5979</v>
      </c>
      <c r="F50" s="40">
        <f t="shared" ref="F50:F51" si="26">ROUND(E50*D50,2)</f>
        <v>2391.6</v>
      </c>
      <c r="G50" s="40">
        <f t="shared" ref="G50:G51" si="27">ROUND(F50*1.2,2)</f>
        <v>2869.92</v>
      </c>
    </row>
    <row r="51" spans="1:8" ht="32.25" customHeight="1" x14ac:dyDescent="0.25">
      <c r="A51" s="27">
        <f t="shared" si="25"/>
        <v>40</v>
      </c>
      <c r="B51" s="103" t="s">
        <v>494</v>
      </c>
      <c r="C51" s="27" t="s">
        <v>2</v>
      </c>
      <c r="D51" s="188">
        <v>7.0000000000000007E-2</v>
      </c>
      <c r="E51" s="74">
        <v>5979</v>
      </c>
      <c r="F51" s="40">
        <f t="shared" si="26"/>
        <v>418.53</v>
      </c>
      <c r="G51" s="40">
        <f t="shared" si="27"/>
        <v>502.24</v>
      </c>
    </row>
    <row r="52" spans="1:8" ht="51" customHeight="1" x14ac:dyDescent="0.25">
      <c r="A52" s="27">
        <f t="shared" ref="A52" si="28">A51+1</f>
        <v>41</v>
      </c>
      <c r="B52" s="103" t="s">
        <v>495</v>
      </c>
      <c r="C52" s="27" t="s">
        <v>42</v>
      </c>
      <c r="D52" s="180">
        <v>7.1</v>
      </c>
      <c r="E52" s="74">
        <v>615</v>
      </c>
      <c r="F52" s="40">
        <f t="shared" ref="F52" si="29">ROUND(E52*D52,2)</f>
        <v>4366.5</v>
      </c>
      <c r="G52" s="40">
        <f t="shared" ref="G52" si="30">ROUND(F52*1.2,2)</f>
        <v>5239.8</v>
      </c>
    </row>
    <row r="53" spans="1:8" ht="22.5" customHeight="1" x14ac:dyDescent="0.25">
      <c r="A53" s="76"/>
      <c r="B53" s="220" t="s">
        <v>463</v>
      </c>
      <c r="C53" s="231"/>
      <c r="D53" s="231"/>
      <c r="E53" s="77"/>
      <c r="F53" s="81"/>
      <c r="G53" s="53"/>
      <c r="H53" s="202" t="s">
        <v>538</v>
      </c>
    </row>
    <row r="54" spans="1:8" ht="28.5" x14ac:dyDescent="0.25">
      <c r="A54" s="16"/>
      <c r="B54" s="12" t="s">
        <v>497</v>
      </c>
      <c r="C54" s="20"/>
      <c r="D54" s="21"/>
      <c r="E54" s="28"/>
      <c r="F54" s="28"/>
      <c r="G54" s="52"/>
    </row>
    <row r="55" spans="1:8" s="10" customFormat="1" ht="15.75" x14ac:dyDescent="0.25">
      <c r="A55" s="27">
        <f>A52+1</f>
        <v>42</v>
      </c>
      <c r="B55" s="103" t="s">
        <v>496</v>
      </c>
      <c r="C55" s="27" t="s">
        <v>12</v>
      </c>
      <c r="D55" s="179">
        <v>15</v>
      </c>
      <c r="E55" s="74">
        <v>18000</v>
      </c>
      <c r="F55" s="40">
        <f t="shared" ref="F55:F60" si="31">ROUND(E55*D55,2)</f>
        <v>270000</v>
      </c>
      <c r="G55" s="40">
        <f t="shared" ref="G55:G60" si="32">ROUND(F55*1.2,2)</f>
        <v>324000</v>
      </c>
      <c r="H55" s="203"/>
    </row>
    <row r="56" spans="1:8" s="10" customFormat="1" ht="45" x14ac:dyDescent="0.25">
      <c r="A56" s="27">
        <f t="shared" ref="A56:A60" si="33">A55+1</f>
        <v>43</v>
      </c>
      <c r="B56" s="103" t="s">
        <v>518</v>
      </c>
      <c r="C56" s="27" t="s">
        <v>12</v>
      </c>
      <c r="D56" s="179">
        <v>2</v>
      </c>
      <c r="E56" s="74">
        <v>1500</v>
      </c>
      <c r="F56" s="40">
        <f t="shared" si="31"/>
        <v>3000</v>
      </c>
      <c r="G56" s="40">
        <f t="shared" si="32"/>
        <v>3600</v>
      </c>
      <c r="H56" s="203"/>
    </row>
    <row r="57" spans="1:8" s="10" customFormat="1" ht="45" x14ac:dyDescent="0.25">
      <c r="A57" s="27">
        <f t="shared" si="33"/>
        <v>44</v>
      </c>
      <c r="B57" s="103" t="s">
        <v>519</v>
      </c>
      <c r="C57" s="27" t="s">
        <v>12</v>
      </c>
      <c r="D57" s="179">
        <v>2</v>
      </c>
      <c r="E57" s="74">
        <v>1500</v>
      </c>
      <c r="F57" s="40">
        <f t="shared" si="31"/>
        <v>3000</v>
      </c>
      <c r="G57" s="40">
        <f t="shared" si="32"/>
        <v>3600</v>
      </c>
      <c r="H57" s="203"/>
    </row>
    <row r="58" spans="1:8" s="10" customFormat="1" ht="19.5" customHeight="1" x14ac:dyDescent="0.25">
      <c r="A58" s="27"/>
      <c r="B58" s="25" t="s">
        <v>500</v>
      </c>
      <c r="C58" s="27"/>
      <c r="D58" s="101"/>
      <c r="E58" s="74"/>
      <c r="F58" s="40"/>
      <c r="G58" s="40"/>
      <c r="H58" s="203"/>
    </row>
    <row r="59" spans="1:8" s="10" customFormat="1" ht="30" x14ac:dyDescent="0.25">
      <c r="A59" s="27">
        <f>A57+1</f>
        <v>45</v>
      </c>
      <c r="B59" s="103" t="s">
        <v>498</v>
      </c>
      <c r="C59" s="27" t="s">
        <v>3</v>
      </c>
      <c r="D59" s="179">
        <v>33</v>
      </c>
      <c r="E59" s="74">
        <v>756</v>
      </c>
      <c r="F59" s="40">
        <f t="shared" si="31"/>
        <v>24948</v>
      </c>
      <c r="G59" s="40">
        <f t="shared" si="32"/>
        <v>29937.599999999999</v>
      </c>
      <c r="H59" s="203"/>
    </row>
    <row r="60" spans="1:8" s="10" customFormat="1" ht="15.75" x14ac:dyDescent="0.25">
      <c r="A60" s="27">
        <f t="shared" si="33"/>
        <v>46</v>
      </c>
      <c r="B60" s="103" t="s">
        <v>499</v>
      </c>
      <c r="C60" s="106" t="s">
        <v>3</v>
      </c>
      <c r="D60" s="179">
        <v>1</v>
      </c>
      <c r="E60" s="74">
        <v>1756</v>
      </c>
      <c r="F60" s="40">
        <f t="shared" si="31"/>
        <v>1756</v>
      </c>
      <c r="G60" s="40">
        <f t="shared" si="32"/>
        <v>2107.1999999999998</v>
      </c>
      <c r="H60" s="203"/>
    </row>
    <row r="61" spans="1:8" x14ac:dyDescent="0.25">
      <c r="A61" s="217" t="s">
        <v>86</v>
      </c>
      <c r="B61" s="218"/>
      <c r="C61" s="218"/>
      <c r="D61" s="218"/>
      <c r="E61" s="219"/>
      <c r="F61" s="64">
        <f>SUM(F7:F60)</f>
        <v>2830294.4600000009</v>
      </c>
      <c r="G61" s="64">
        <f>SUM(G7:G60)</f>
        <v>3396353.3600000003</v>
      </c>
    </row>
    <row r="62" spans="1:8" x14ac:dyDescent="0.25">
      <c r="A62" s="217" t="s">
        <v>87</v>
      </c>
      <c r="B62" s="218"/>
      <c r="C62" s="218"/>
      <c r="D62" s="218"/>
      <c r="E62" s="219"/>
      <c r="F62" s="98">
        <f>ROUND(F61*0.03,2)</f>
        <v>84908.83</v>
      </c>
      <c r="G62" s="98">
        <f>ROUND(G61*0.03,2)</f>
        <v>101890.6</v>
      </c>
    </row>
    <row r="63" spans="1:8" x14ac:dyDescent="0.25">
      <c r="A63" s="217" t="s">
        <v>88</v>
      </c>
      <c r="B63" s="218"/>
      <c r="C63" s="218"/>
      <c r="D63" s="218"/>
      <c r="E63" s="219"/>
      <c r="F63" s="98">
        <f>F61+F62</f>
        <v>2915203.290000001</v>
      </c>
      <c r="G63" s="98">
        <f>G61+G62</f>
        <v>3498243.9600000004</v>
      </c>
    </row>
  </sheetData>
  <mergeCells count="10">
    <mergeCell ref="E1:G2"/>
    <mergeCell ref="A63:E63"/>
    <mergeCell ref="B53:D53"/>
    <mergeCell ref="A61:E61"/>
    <mergeCell ref="A62:E62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79998168889431442"/>
  </sheetPr>
  <dimension ref="A1:H82"/>
  <sheetViews>
    <sheetView view="pageBreakPreview" topLeftCell="A37" zoomScale="85" zoomScaleNormal="100" zoomScaleSheetLayoutView="85" workbookViewId="0">
      <selection activeCell="H85" sqref="H85"/>
    </sheetView>
  </sheetViews>
  <sheetFormatPr defaultColWidth="8.85546875" defaultRowHeight="15" x14ac:dyDescent="0.25"/>
  <cols>
    <col min="1" max="1" width="6.140625" customWidth="1"/>
    <col min="2" max="2" width="61.42578125" style="2" customWidth="1"/>
    <col min="3" max="3" width="7.42578125" customWidth="1"/>
    <col min="4" max="4" width="10.140625" customWidth="1"/>
    <col min="5" max="5" width="15.85546875" bestFit="1" customWidth="1"/>
    <col min="6" max="6" width="16.28515625" customWidth="1"/>
    <col min="7" max="7" width="16.7109375" style="6" customWidth="1"/>
    <col min="8" max="8" width="30" style="96" customWidth="1"/>
  </cols>
  <sheetData>
    <row r="1" spans="1:8" ht="14.45" customHeight="1" x14ac:dyDescent="0.25">
      <c r="A1" s="226" t="s">
        <v>13</v>
      </c>
      <c r="B1" s="254" t="s">
        <v>9</v>
      </c>
      <c r="C1" s="230" t="s">
        <v>15</v>
      </c>
      <c r="D1" s="230" t="s">
        <v>10</v>
      </c>
      <c r="E1" s="249" t="s">
        <v>524</v>
      </c>
      <c r="F1" s="250"/>
      <c r="G1" s="250"/>
    </row>
    <row r="2" spans="1:8" ht="14.45" customHeight="1" x14ac:dyDescent="0.25">
      <c r="A2" s="253"/>
      <c r="B2" s="255"/>
      <c r="C2" s="230"/>
      <c r="D2" s="230"/>
      <c r="E2" s="249"/>
      <c r="F2" s="250"/>
      <c r="G2" s="250"/>
    </row>
    <row r="3" spans="1:8" ht="42.75" x14ac:dyDescent="0.25">
      <c r="A3" s="227"/>
      <c r="B3" s="256"/>
      <c r="C3" s="230"/>
      <c r="D3" s="230"/>
      <c r="E3" s="116" t="s">
        <v>16</v>
      </c>
      <c r="F3" s="116" t="s">
        <v>29</v>
      </c>
      <c r="G3" s="117" t="s">
        <v>28</v>
      </c>
    </row>
    <row r="4" spans="1:8" x14ac:dyDescent="0.25">
      <c r="A4" s="55">
        <v>1</v>
      </c>
      <c r="B4" s="56">
        <v>2</v>
      </c>
      <c r="C4" s="56">
        <v>3</v>
      </c>
      <c r="D4" s="56">
        <v>4</v>
      </c>
      <c r="E4" s="56">
        <v>5</v>
      </c>
      <c r="F4" s="56">
        <v>6</v>
      </c>
      <c r="G4" s="56">
        <v>7</v>
      </c>
    </row>
    <row r="5" spans="1:8" ht="20.25" customHeight="1" x14ac:dyDescent="0.25">
      <c r="A5" s="76"/>
      <c r="B5" s="220" t="s">
        <v>423</v>
      </c>
      <c r="C5" s="231"/>
      <c r="D5" s="231"/>
      <c r="E5" s="77"/>
      <c r="F5" s="78"/>
      <c r="G5" s="79"/>
    </row>
    <row r="6" spans="1:8" x14ac:dyDescent="0.25">
      <c r="A6" s="115"/>
      <c r="B6" s="133" t="s">
        <v>424</v>
      </c>
      <c r="C6" s="198"/>
      <c r="D6" s="197"/>
      <c r="E6" s="14"/>
      <c r="F6" s="15"/>
      <c r="G6" s="8"/>
      <c r="H6" s="96" t="s">
        <v>536</v>
      </c>
    </row>
    <row r="7" spans="1:8" x14ac:dyDescent="0.25">
      <c r="A7" s="16">
        <v>1</v>
      </c>
      <c r="B7" s="17" t="s">
        <v>425</v>
      </c>
      <c r="C7" s="125" t="s">
        <v>18</v>
      </c>
      <c r="D7" s="189">
        <f>4*27.5</f>
        <v>110</v>
      </c>
      <c r="E7" s="163">
        <f>ROUND(64990/1.2/1000,2)</f>
        <v>54.16</v>
      </c>
      <c r="F7" s="39">
        <f t="shared" ref="F7:F14" si="0">ROUND(E7*D7,2)</f>
        <v>5957.6</v>
      </c>
      <c r="G7" s="39">
        <f t="shared" ref="G7:G14" si="1">ROUND(F7*1.2,2)</f>
        <v>7149.12</v>
      </c>
    </row>
    <row r="8" spans="1:8" x14ac:dyDescent="0.25">
      <c r="A8" s="16">
        <f>A7+1</f>
        <v>2</v>
      </c>
      <c r="B8" s="17" t="s">
        <v>426</v>
      </c>
      <c r="C8" s="125" t="s">
        <v>18</v>
      </c>
      <c r="D8" s="171">
        <f>4*4.16</f>
        <v>16.64</v>
      </c>
      <c r="E8" s="163">
        <f>ROUND(116990/1.2/1000,2)</f>
        <v>97.49</v>
      </c>
      <c r="F8" s="39">
        <f t="shared" si="0"/>
        <v>1622.23</v>
      </c>
      <c r="G8" s="39">
        <f t="shared" si="1"/>
        <v>1946.68</v>
      </c>
    </row>
    <row r="9" spans="1:8" x14ac:dyDescent="0.25">
      <c r="A9" s="16">
        <f>A8+1</f>
        <v>3</v>
      </c>
      <c r="B9" s="17" t="s">
        <v>427</v>
      </c>
      <c r="C9" s="125" t="s">
        <v>18</v>
      </c>
      <c r="D9" s="189">
        <f>14*1.1+14*2.1+7*2.3+12*3.2</f>
        <v>99.300000000000011</v>
      </c>
      <c r="E9" s="163">
        <f>ROUND(68990/1.2/1000,2)</f>
        <v>57.49</v>
      </c>
      <c r="F9" s="39">
        <f t="shared" si="0"/>
        <v>5708.76</v>
      </c>
      <c r="G9" s="39">
        <f t="shared" si="1"/>
        <v>6850.51</v>
      </c>
    </row>
    <row r="10" spans="1:8" x14ac:dyDescent="0.25">
      <c r="A10" s="16"/>
      <c r="B10" s="133" t="s">
        <v>428</v>
      </c>
      <c r="C10" s="125"/>
      <c r="D10" s="69"/>
      <c r="E10" s="163"/>
      <c r="F10" s="39"/>
      <c r="G10" s="39"/>
    </row>
    <row r="11" spans="1:8" x14ac:dyDescent="0.25">
      <c r="A11" s="16">
        <f>A9+1</f>
        <v>4</v>
      </c>
      <c r="B11" s="17" t="s">
        <v>429</v>
      </c>
      <c r="C11" s="125" t="s">
        <v>18</v>
      </c>
      <c r="D11" s="189">
        <f>136*2</f>
        <v>272</v>
      </c>
      <c r="E11" s="163">
        <f>ROUND(116450/1.2/1000,2)</f>
        <v>97.04</v>
      </c>
      <c r="F11" s="39">
        <f t="shared" si="0"/>
        <v>26394.880000000001</v>
      </c>
      <c r="G11" s="39">
        <f t="shared" si="1"/>
        <v>31673.86</v>
      </c>
    </row>
    <row r="12" spans="1:8" x14ac:dyDescent="0.25">
      <c r="A12" s="16">
        <f t="shared" ref="A12:A14" si="2">A11+1</f>
        <v>5</v>
      </c>
      <c r="B12" s="17" t="s">
        <v>430</v>
      </c>
      <c r="C12" s="125" t="s">
        <v>18</v>
      </c>
      <c r="D12" s="189">
        <f>18*3.1</f>
        <v>55.800000000000004</v>
      </c>
      <c r="E12" s="163">
        <f>ROUND(71490/1.2/1000,2)</f>
        <v>59.58</v>
      </c>
      <c r="F12" s="39">
        <f t="shared" si="0"/>
        <v>3324.56</v>
      </c>
      <c r="G12" s="39">
        <f t="shared" si="1"/>
        <v>3989.47</v>
      </c>
    </row>
    <row r="13" spans="1:8" x14ac:dyDescent="0.25">
      <c r="A13" s="16">
        <f t="shared" si="2"/>
        <v>6</v>
      </c>
      <c r="B13" s="17" t="s">
        <v>431</v>
      </c>
      <c r="C13" s="125" t="s">
        <v>18</v>
      </c>
      <c r="D13" s="189">
        <f>5.3*2</f>
        <v>10.6</v>
      </c>
      <c r="E13" s="163">
        <f>ROUND(81990/1.2/1000,2)</f>
        <v>68.33</v>
      </c>
      <c r="F13" s="39">
        <f t="shared" si="0"/>
        <v>724.3</v>
      </c>
      <c r="G13" s="39">
        <f t="shared" si="1"/>
        <v>869.16</v>
      </c>
    </row>
    <row r="14" spans="1:8" x14ac:dyDescent="0.25">
      <c r="A14" s="16">
        <f t="shared" si="2"/>
        <v>7</v>
      </c>
      <c r="B14" s="17" t="s">
        <v>432</v>
      </c>
      <c r="C14" s="125" t="s">
        <v>18</v>
      </c>
      <c r="D14" s="189">
        <f>11.3*2</f>
        <v>22.6</v>
      </c>
      <c r="E14" s="163">
        <f>ROUND(71490/1.2/1000,2)</f>
        <v>59.58</v>
      </c>
      <c r="F14" s="39">
        <f t="shared" si="0"/>
        <v>1346.51</v>
      </c>
      <c r="G14" s="39">
        <f t="shared" si="1"/>
        <v>1615.81</v>
      </c>
    </row>
    <row r="15" spans="1:8" x14ac:dyDescent="0.25">
      <c r="A15" s="16">
        <f>A14+1</f>
        <v>8</v>
      </c>
      <c r="B15" s="17" t="s">
        <v>433</v>
      </c>
      <c r="C15" s="125" t="s">
        <v>18</v>
      </c>
      <c r="D15" s="189">
        <f>56.5*1</f>
        <v>56.5</v>
      </c>
      <c r="E15" s="163">
        <f>ROUND(80990/1.2/1000,2)</f>
        <v>67.489999999999995</v>
      </c>
      <c r="F15" s="39">
        <f t="shared" ref="F15:F20" si="3">ROUND(E15*D15,2)</f>
        <v>3813.19</v>
      </c>
      <c r="G15" s="39">
        <f t="shared" ref="G15:G20" si="4">ROUND(F15*1.2,2)</f>
        <v>4575.83</v>
      </c>
    </row>
    <row r="16" spans="1:8" x14ac:dyDescent="0.25">
      <c r="A16" s="16"/>
      <c r="B16" s="133" t="s">
        <v>222</v>
      </c>
      <c r="C16" s="125"/>
      <c r="D16" s="69"/>
      <c r="E16" s="164"/>
      <c r="F16" s="39"/>
      <c r="G16" s="39"/>
    </row>
    <row r="17" spans="1:7" x14ac:dyDescent="0.25">
      <c r="A17" s="16">
        <f>A15+1</f>
        <v>9</v>
      </c>
      <c r="B17" s="17" t="s">
        <v>434</v>
      </c>
      <c r="C17" s="125" t="s">
        <v>12</v>
      </c>
      <c r="D17" s="189">
        <f>3.1*4</f>
        <v>12.4</v>
      </c>
      <c r="E17" s="163">
        <f>ROUND(81890/1.2/1000,2)</f>
        <v>68.239999999999995</v>
      </c>
      <c r="F17" s="39">
        <f t="shared" si="3"/>
        <v>846.18</v>
      </c>
      <c r="G17" s="39">
        <f t="shared" si="4"/>
        <v>1015.42</v>
      </c>
    </row>
    <row r="18" spans="1:7" x14ac:dyDescent="0.25">
      <c r="A18" s="16">
        <f t="shared" ref="A18:A20" si="5">A17+1</f>
        <v>10</v>
      </c>
      <c r="B18" s="17" t="s">
        <v>435</v>
      </c>
      <c r="C18" s="125" t="s">
        <v>12</v>
      </c>
      <c r="D18" s="189">
        <f>1.3*4</f>
        <v>5.2</v>
      </c>
      <c r="E18" s="163">
        <f>ROUND(79890/1.2/1000,2)</f>
        <v>66.58</v>
      </c>
      <c r="F18" s="39">
        <f t="shared" si="3"/>
        <v>346.22</v>
      </c>
      <c r="G18" s="39">
        <f t="shared" si="4"/>
        <v>415.46</v>
      </c>
    </row>
    <row r="19" spans="1:7" x14ac:dyDescent="0.25">
      <c r="A19" s="16">
        <f t="shared" si="5"/>
        <v>11</v>
      </c>
      <c r="B19" s="103" t="s">
        <v>375</v>
      </c>
      <c r="C19" s="125" t="s">
        <v>18</v>
      </c>
      <c r="D19" s="189">
        <v>3.3</v>
      </c>
      <c r="E19" s="156">
        <v>1650</v>
      </c>
      <c r="F19" s="40">
        <f t="shared" si="3"/>
        <v>5445</v>
      </c>
      <c r="G19" s="40">
        <f t="shared" si="4"/>
        <v>6534</v>
      </c>
    </row>
    <row r="20" spans="1:7" x14ac:dyDescent="0.25">
      <c r="A20" s="16">
        <f t="shared" si="5"/>
        <v>12</v>
      </c>
      <c r="B20" s="103" t="s">
        <v>376</v>
      </c>
      <c r="C20" s="125" t="s">
        <v>18</v>
      </c>
      <c r="D20" s="189">
        <v>6.6</v>
      </c>
      <c r="E20" s="162">
        <v>1100</v>
      </c>
      <c r="F20" s="40">
        <f t="shared" si="3"/>
        <v>7260</v>
      </c>
      <c r="G20" s="40">
        <f t="shared" si="4"/>
        <v>8712</v>
      </c>
    </row>
    <row r="21" spans="1:7" x14ac:dyDescent="0.25">
      <c r="A21" s="16">
        <f>A20+1</f>
        <v>13</v>
      </c>
      <c r="B21" s="103" t="s">
        <v>19</v>
      </c>
      <c r="C21" s="125" t="s">
        <v>18</v>
      </c>
      <c r="D21" s="189">
        <v>3.3</v>
      </c>
      <c r="E21" s="156">
        <v>315</v>
      </c>
      <c r="F21" s="40">
        <f t="shared" ref="F21:F30" si="6">ROUND(E21*D21,2)</f>
        <v>1039.5</v>
      </c>
      <c r="G21" s="40">
        <f t="shared" ref="G21:G30" si="7">ROUND(F21*1.2,2)</f>
        <v>1247.4000000000001</v>
      </c>
    </row>
    <row r="22" spans="1:7" x14ac:dyDescent="0.25">
      <c r="A22" s="16"/>
      <c r="B22" s="133" t="s">
        <v>436</v>
      </c>
      <c r="C22" s="125"/>
      <c r="D22" s="138"/>
      <c r="E22" s="164"/>
      <c r="F22" s="39">
        <f t="shared" si="6"/>
        <v>0</v>
      </c>
      <c r="G22" s="39">
        <f t="shared" si="7"/>
        <v>0</v>
      </c>
    </row>
    <row r="23" spans="1:7" x14ac:dyDescent="0.25">
      <c r="A23" s="16"/>
      <c r="B23" s="133" t="s">
        <v>437</v>
      </c>
      <c r="C23" s="125"/>
      <c r="D23" s="138"/>
      <c r="E23" s="164"/>
      <c r="F23" s="39">
        <f t="shared" si="6"/>
        <v>0</v>
      </c>
      <c r="G23" s="39">
        <f t="shared" si="7"/>
        <v>0</v>
      </c>
    </row>
    <row r="24" spans="1:7" x14ac:dyDescent="0.25">
      <c r="A24" s="16">
        <f>A21+1</f>
        <v>14</v>
      </c>
      <c r="B24" s="103" t="s">
        <v>220</v>
      </c>
      <c r="C24" s="125" t="s">
        <v>2</v>
      </c>
      <c r="D24" s="189">
        <v>22.8</v>
      </c>
      <c r="E24" s="156">
        <v>6400</v>
      </c>
      <c r="F24" s="40">
        <f t="shared" si="6"/>
        <v>145920</v>
      </c>
      <c r="G24" s="40">
        <f t="shared" si="7"/>
        <v>175104</v>
      </c>
    </row>
    <row r="25" spans="1:7" x14ac:dyDescent="0.25">
      <c r="A25" s="16">
        <f t="shared" ref="A25:A29" si="8">A24+1</f>
        <v>15</v>
      </c>
      <c r="B25" s="103" t="s">
        <v>187</v>
      </c>
      <c r="C25" s="125" t="s">
        <v>2</v>
      </c>
      <c r="D25" s="189">
        <v>2.6</v>
      </c>
      <c r="E25" s="156">
        <v>5450</v>
      </c>
      <c r="F25" s="40">
        <f t="shared" si="6"/>
        <v>14170</v>
      </c>
      <c r="G25" s="40">
        <f t="shared" si="7"/>
        <v>17004</v>
      </c>
    </row>
    <row r="26" spans="1:7" x14ac:dyDescent="0.25">
      <c r="A26" s="16">
        <f t="shared" si="8"/>
        <v>16</v>
      </c>
      <c r="B26" s="103" t="s">
        <v>218</v>
      </c>
      <c r="C26" s="125" t="s">
        <v>18</v>
      </c>
      <c r="D26" s="199">
        <f>76*2.9*2+16*15.1*2+76*4.3*2</f>
        <v>1577.6</v>
      </c>
      <c r="E26" s="162">
        <f>ROUND(61590/1.2/1000,2)</f>
        <v>51.33</v>
      </c>
      <c r="F26" s="40">
        <f t="shared" si="6"/>
        <v>80978.210000000006</v>
      </c>
      <c r="G26" s="40">
        <f t="shared" si="7"/>
        <v>97173.85</v>
      </c>
    </row>
    <row r="27" spans="1:7" x14ac:dyDescent="0.25">
      <c r="A27" s="16">
        <f t="shared" si="8"/>
        <v>17</v>
      </c>
      <c r="B27" s="103" t="s">
        <v>438</v>
      </c>
      <c r="C27" s="125" t="s">
        <v>18</v>
      </c>
      <c r="D27" s="199">
        <f>17*1*2+28*6.7*2+38*1.1*2+50*0.3*2</f>
        <v>522.79999999999995</v>
      </c>
      <c r="E27" s="162">
        <f>ROUND(61990/1.2/1000,2)</f>
        <v>51.66</v>
      </c>
      <c r="F27" s="40">
        <f t="shared" si="6"/>
        <v>27007.85</v>
      </c>
      <c r="G27" s="40">
        <f t="shared" si="7"/>
        <v>32409.42</v>
      </c>
    </row>
    <row r="28" spans="1:7" x14ac:dyDescent="0.25">
      <c r="A28" s="16">
        <f t="shared" si="8"/>
        <v>18</v>
      </c>
      <c r="B28" s="103" t="s">
        <v>439</v>
      </c>
      <c r="C28" s="125" t="s">
        <v>18</v>
      </c>
      <c r="D28" s="199">
        <f>72*0.5*2+86*0.2*2</f>
        <v>106.4</v>
      </c>
      <c r="E28" s="162">
        <f>ROUND(64900/1.2/1000,2)</f>
        <v>54.08</v>
      </c>
      <c r="F28" s="40">
        <f t="shared" si="6"/>
        <v>5754.11</v>
      </c>
      <c r="G28" s="40">
        <f t="shared" si="7"/>
        <v>6904.93</v>
      </c>
    </row>
    <row r="29" spans="1:7" x14ac:dyDescent="0.25">
      <c r="A29" s="16">
        <f t="shared" si="8"/>
        <v>19</v>
      </c>
      <c r="B29" s="103" t="s">
        <v>440</v>
      </c>
      <c r="C29" s="125" t="s">
        <v>18</v>
      </c>
      <c r="D29" s="189">
        <f>222.3*2</f>
        <v>444.6</v>
      </c>
      <c r="E29" s="156"/>
      <c r="F29" s="40">
        <f t="shared" si="6"/>
        <v>0</v>
      </c>
      <c r="G29" s="40">
        <f t="shared" si="7"/>
        <v>0</v>
      </c>
    </row>
    <row r="30" spans="1:7" x14ac:dyDescent="0.25">
      <c r="A30" s="16">
        <f>A29+1</f>
        <v>20</v>
      </c>
      <c r="B30" s="103" t="s">
        <v>441</v>
      </c>
      <c r="C30" s="125" t="s">
        <v>42</v>
      </c>
      <c r="D30" s="189">
        <v>30.5</v>
      </c>
      <c r="E30" s="162">
        <v>365</v>
      </c>
      <c r="F30" s="40">
        <f t="shared" si="6"/>
        <v>11132.5</v>
      </c>
      <c r="G30" s="40">
        <f t="shared" si="7"/>
        <v>13359</v>
      </c>
    </row>
    <row r="31" spans="1:7" x14ac:dyDescent="0.25">
      <c r="A31" s="16">
        <f>A30+1</f>
        <v>21</v>
      </c>
      <c r="B31" s="103" t="s">
        <v>25</v>
      </c>
      <c r="C31" s="125" t="s">
        <v>18</v>
      </c>
      <c r="D31" s="170">
        <v>56</v>
      </c>
      <c r="E31" s="156">
        <v>187.05</v>
      </c>
      <c r="F31" s="40">
        <f t="shared" ref="F31:F37" si="9">ROUND(E31*D31,2)</f>
        <v>10474.799999999999</v>
      </c>
      <c r="G31" s="40">
        <f t="shared" ref="G31:G37" si="10">ROUND(F31*1.2,2)</f>
        <v>12569.76</v>
      </c>
    </row>
    <row r="32" spans="1:7" x14ac:dyDescent="0.25">
      <c r="A32" s="16">
        <f>A31+1</f>
        <v>22</v>
      </c>
      <c r="B32" s="103" t="s">
        <v>219</v>
      </c>
      <c r="C32" s="125" t="s">
        <v>18</v>
      </c>
      <c r="D32" s="170">
        <v>10</v>
      </c>
      <c r="E32" s="156">
        <v>229.18</v>
      </c>
      <c r="F32" s="40">
        <f t="shared" si="9"/>
        <v>2291.8000000000002</v>
      </c>
      <c r="G32" s="40">
        <f t="shared" si="10"/>
        <v>2750.16</v>
      </c>
    </row>
    <row r="33" spans="1:8" ht="15.75" x14ac:dyDescent="0.25">
      <c r="A33" s="16"/>
      <c r="B33" s="22" t="s">
        <v>442</v>
      </c>
      <c r="C33" s="125"/>
      <c r="D33" s="69"/>
      <c r="E33" s="75"/>
      <c r="F33" s="39">
        <f t="shared" si="9"/>
        <v>0</v>
      </c>
      <c r="G33" s="39">
        <f t="shared" si="10"/>
        <v>0</v>
      </c>
    </row>
    <row r="34" spans="1:8" x14ac:dyDescent="0.25">
      <c r="A34" s="16">
        <f>A32+1</f>
        <v>23</v>
      </c>
      <c r="B34" s="17" t="s">
        <v>443</v>
      </c>
      <c r="C34" s="125" t="s">
        <v>18</v>
      </c>
      <c r="D34" s="189">
        <f>7*1*4</f>
        <v>28</v>
      </c>
      <c r="E34" s="163">
        <f>ROUND(71490/1.2/1000,2)</f>
        <v>59.58</v>
      </c>
      <c r="F34" s="39">
        <f t="shared" si="9"/>
        <v>1668.24</v>
      </c>
      <c r="G34" s="39">
        <f t="shared" si="10"/>
        <v>2001.89</v>
      </c>
    </row>
    <row r="35" spans="1:8" x14ac:dyDescent="0.25">
      <c r="A35" s="16">
        <f t="shared" ref="A35:A39" si="11">A34+1</f>
        <v>24</v>
      </c>
      <c r="B35" s="17" t="s">
        <v>438</v>
      </c>
      <c r="C35" s="125" t="s">
        <v>18</v>
      </c>
      <c r="D35" s="189">
        <f>0.2*6*4</f>
        <v>4.8000000000000007</v>
      </c>
      <c r="E35" s="163">
        <f>ROUND(61990/1.2/1000,2)</f>
        <v>51.66</v>
      </c>
      <c r="F35" s="39">
        <f t="shared" si="9"/>
        <v>247.97</v>
      </c>
      <c r="G35" s="39">
        <f t="shared" si="10"/>
        <v>297.56</v>
      </c>
    </row>
    <row r="36" spans="1:8" x14ac:dyDescent="0.25">
      <c r="A36" s="16"/>
      <c r="B36" s="133" t="s">
        <v>444</v>
      </c>
      <c r="C36" s="125"/>
      <c r="D36" s="138"/>
      <c r="E36" s="164"/>
      <c r="F36" s="39">
        <f t="shared" si="9"/>
        <v>0</v>
      </c>
      <c r="G36" s="39">
        <f t="shared" si="10"/>
        <v>0</v>
      </c>
    </row>
    <row r="37" spans="1:8" x14ac:dyDescent="0.25">
      <c r="A37" s="16">
        <f>A35+1</f>
        <v>25</v>
      </c>
      <c r="B37" s="103" t="s">
        <v>220</v>
      </c>
      <c r="C37" s="125" t="s">
        <v>2</v>
      </c>
      <c r="D37" s="189">
        <v>63.5</v>
      </c>
      <c r="E37" s="162">
        <v>6400</v>
      </c>
      <c r="F37" s="40">
        <f t="shared" si="9"/>
        <v>406400</v>
      </c>
      <c r="G37" s="40">
        <f t="shared" si="10"/>
        <v>487680</v>
      </c>
    </row>
    <row r="38" spans="1:8" x14ac:dyDescent="0.25">
      <c r="A38" s="16">
        <f t="shared" si="11"/>
        <v>26</v>
      </c>
      <c r="B38" s="103" t="s">
        <v>187</v>
      </c>
      <c r="C38" s="125" t="s">
        <v>2</v>
      </c>
      <c r="D38" s="189">
        <v>16.7</v>
      </c>
      <c r="E38" s="156">
        <v>5450</v>
      </c>
      <c r="F38" s="40">
        <f t="shared" ref="F38:F46" si="12">ROUND(E38*D38,2)</f>
        <v>91015</v>
      </c>
      <c r="G38" s="40">
        <f t="shared" ref="G38:G46" si="13">ROUND(F38*1.2,2)</f>
        <v>109218</v>
      </c>
    </row>
    <row r="39" spans="1:8" x14ac:dyDescent="0.25">
      <c r="A39" s="16">
        <f t="shared" si="11"/>
        <v>27</v>
      </c>
      <c r="B39" s="17" t="s">
        <v>438</v>
      </c>
      <c r="C39" s="125" t="s">
        <v>18</v>
      </c>
      <c r="D39" s="199">
        <f>152*10.2+220*6.7+296*0.9</f>
        <v>3290.7999999999997</v>
      </c>
      <c r="E39" s="163">
        <f>ROUND(61990/1.2/1000,2)</f>
        <v>51.66</v>
      </c>
      <c r="F39" s="39">
        <f t="shared" si="12"/>
        <v>170002.73</v>
      </c>
      <c r="G39" s="39">
        <f t="shared" si="13"/>
        <v>204003.28</v>
      </c>
    </row>
    <row r="40" spans="1:8" x14ac:dyDescent="0.25">
      <c r="A40" s="16">
        <f t="shared" ref="A40:A46" si="14">A39+1</f>
        <v>28</v>
      </c>
      <c r="B40" s="17" t="s">
        <v>439</v>
      </c>
      <c r="C40" s="125" t="s">
        <v>18</v>
      </c>
      <c r="D40" s="199">
        <f>1044*0.4</f>
        <v>417.6</v>
      </c>
      <c r="E40" s="163">
        <f>ROUND(64900/1.2/1000,2)</f>
        <v>54.08</v>
      </c>
      <c r="F40" s="39">
        <f t="shared" si="12"/>
        <v>22583.81</v>
      </c>
      <c r="G40" s="39">
        <f t="shared" si="13"/>
        <v>27100.57</v>
      </c>
    </row>
    <row r="41" spans="1:8" s="10" customFormat="1" x14ac:dyDescent="0.25">
      <c r="A41" s="27">
        <f t="shared" si="14"/>
        <v>29</v>
      </c>
      <c r="B41" s="103" t="s">
        <v>445</v>
      </c>
      <c r="C41" s="125" t="s">
        <v>12</v>
      </c>
      <c r="D41" s="170">
        <v>30</v>
      </c>
      <c r="E41" s="156">
        <v>1265</v>
      </c>
      <c r="F41" s="40">
        <f t="shared" si="12"/>
        <v>37950</v>
      </c>
      <c r="G41" s="40">
        <f t="shared" si="13"/>
        <v>45540</v>
      </c>
      <c r="H41" s="194"/>
    </row>
    <row r="42" spans="1:8" s="10" customFormat="1" x14ac:dyDescent="0.25">
      <c r="A42" s="27">
        <f t="shared" si="14"/>
        <v>30</v>
      </c>
      <c r="B42" s="103" t="s">
        <v>521</v>
      </c>
      <c r="C42" s="125" t="s">
        <v>12</v>
      </c>
      <c r="D42" s="170">
        <v>60</v>
      </c>
      <c r="E42" s="156">
        <v>255.65</v>
      </c>
      <c r="F42" s="40">
        <f t="shared" si="12"/>
        <v>15339</v>
      </c>
      <c r="G42" s="40">
        <f t="shared" si="13"/>
        <v>18406.8</v>
      </c>
      <c r="H42" s="194"/>
    </row>
    <row r="43" spans="1:8" s="10" customFormat="1" x14ac:dyDescent="0.25">
      <c r="A43" s="27">
        <f t="shared" si="14"/>
        <v>31</v>
      </c>
      <c r="B43" s="103" t="s">
        <v>446</v>
      </c>
      <c r="C43" s="125" t="s">
        <v>18</v>
      </c>
      <c r="D43" s="189">
        <f>60*0.1</f>
        <v>6</v>
      </c>
      <c r="E43" s="156">
        <v>197</v>
      </c>
      <c r="F43" s="40">
        <f t="shared" si="12"/>
        <v>1182</v>
      </c>
      <c r="G43" s="40">
        <f t="shared" si="13"/>
        <v>1418.4</v>
      </c>
      <c r="H43" s="194"/>
    </row>
    <row r="44" spans="1:8" s="10" customFormat="1" x14ac:dyDescent="0.25">
      <c r="A44" s="27">
        <f t="shared" si="14"/>
        <v>32</v>
      </c>
      <c r="B44" s="103" t="s">
        <v>447</v>
      </c>
      <c r="C44" s="125" t="s">
        <v>18</v>
      </c>
      <c r="D44" s="189">
        <f>60*0.1</f>
        <v>6</v>
      </c>
      <c r="E44" s="156">
        <v>147</v>
      </c>
      <c r="F44" s="40">
        <f t="shared" si="12"/>
        <v>882</v>
      </c>
      <c r="G44" s="40">
        <f t="shared" si="13"/>
        <v>1058.4000000000001</v>
      </c>
      <c r="H44" s="194"/>
    </row>
    <row r="45" spans="1:8" s="10" customFormat="1" x14ac:dyDescent="0.25">
      <c r="A45" s="27">
        <f t="shared" si="14"/>
        <v>33</v>
      </c>
      <c r="B45" s="103" t="s">
        <v>448</v>
      </c>
      <c r="C45" s="125" t="s">
        <v>18</v>
      </c>
      <c r="D45" s="189">
        <f>60*0.4</f>
        <v>24</v>
      </c>
      <c r="E45" s="156">
        <v>127</v>
      </c>
      <c r="F45" s="40">
        <f t="shared" si="12"/>
        <v>3048</v>
      </c>
      <c r="G45" s="40">
        <f t="shared" si="13"/>
        <v>3657.6</v>
      </c>
      <c r="H45" s="194"/>
    </row>
    <row r="46" spans="1:8" x14ac:dyDescent="0.25">
      <c r="A46" s="16">
        <f t="shared" si="14"/>
        <v>34</v>
      </c>
      <c r="B46" s="103" t="s">
        <v>449</v>
      </c>
      <c r="C46" s="125" t="s">
        <v>12</v>
      </c>
      <c r="D46" s="170">
        <v>30</v>
      </c>
      <c r="E46" s="162">
        <v>75</v>
      </c>
      <c r="F46" s="40">
        <f t="shared" si="12"/>
        <v>2250</v>
      </c>
      <c r="G46" s="40">
        <f t="shared" si="13"/>
        <v>2700</v>
      </c>
    </row>
    <row r="47" spans="1:8" s="10" customFormat="1" x14ac:dyDescent="0.25">
      <c r="A47" s="27">
        <f>A46+1</f>
        <v>35</v>
      </c>
      <c r="B47" s="103" t="s">
        <v>450</v>
      </c>
      <c r="C47" s="125" t="s">
        <v>18</v>
      </c>
      <c r="D47" s="171">
        <f>30*8*0.22</f>
        <v>52.8</v>
      </c>
      <c r="E47" s="156">
        <v>91</v>
      </c>
      <c r="F47" s="40">
        <f t="shared" ref="F47:F55" si="15">ROUND(E47*D47,2)</f>
        <v>4804.8</v>
      </c>
      <c r="G47" s="40">
        <f t="shared" ref="G47:G55" si="16">ROUND(F47*1.2,2)</f>
        <v>5765.76</v>
      </c>
      <c r="H47" s="194"/>
    </row>
    <row r="48" spans="1:8" s="10" customFormat="1" x14ac:dyDescent="0.25">
      <c r="A48" s="27">
        <f>A47+1</f>
        <v>36</v>
      </c>
      <c r="B48" s="103" t="s">
        <v>451</v>
      </c>
      <c r="C48" s="125" t="s">
        <v>12</v>
      </c>
      <c r="D48" s="170">
        <v>2</v>
      </c>
      <c r="E48" s="156">
        <f>59786/1.2</f>
        <v>49821.666666666672</v>
      </c>
      <c r="F48" s="40">
        <f t="shared" si="15"/>
        <v>99643.33</v>
      </c>
      <c r="G48" s="40">
        <f t="shared" si="16"/>
        <v>119572</v>
      </c>
      <c r="H48" s="194"/>
    </row>
    <row r="49" spans="1:8" s="10" customFormat="1" x14ac:dyDescent="0.25">
      <c r="A49" s="27">
        <f t="shared" ref="A49:A55" si="17">A48+1</f>
        <v>37</v>
      </c>
      <c r="B49" s="103" t="s">
        <v>452</v>
      </c>
      <c r="C49" s="125" t="s">
        <v>12</v>
      </c>
      <c r="D49" s="170">
        <v>2</v>
      </c>
      <c r="E49" s="156">
        <f>5310/1.2</f>
        <v>4425</v>
      </c>
      <c r="F49" s="40">
        <f t="shared" si="15"/>
        <v>8850</v>
      </c>
      <c r="G49" s="40">
        <f t="shared" si="16"/>
        <v>10620</v>
      </c>
      <c r="H49" s="194"/>
    </row>
    <row r="50" spans="1:8" s="10" customFormat="1" x14ac:dyDescent="0.25">
      <c r="A50" s="27">
        <f t="shared" si="17"/>
        <v>38</v>
      </c>
      <c r="B50" s="103" t="s">
        <v>453</v>
      </c>
      <c r="C50" s="125" t="s">
        <v>12</v>
      </c>
      <c r="D50" s="170">
        <f>12</f>
        <v>12</v>
      </c>
      <c r="E50" s="156">
        <f>182/1.2</f>
        <v>151.66666666666669</v>
      </c>
      <c r="F50" s="40">
        <f t="shared" si="15"/>
        <v>1820</v>
      </c>
      <c r="G50" s="40">
        <f t="shared" si="16"/>
        <v>2184</v>
      </c>
      <c r="H50" s="194"/>
    </row>
    <row r="51" spans="1:8" s="10" customFormat="1" x14ac:dyDescent="0.25">
      <c r="A51" s="27">
        <f t="shared" si="17"/>
        <v>39</v>
      </c>
      <c r="B51" s="103" t="s">
        <v>454</v>
      </c>
      <c r="C51" s="125" t="s">
        <v>2</v>
      </c>
      <c r="D51" s="189">
        <v>0.3</v>
      </c>
      <c r="E51" s="156">
        <v>4899</v>
      </c>
      <c r="F51" s="40">
        <f t="shared" si="15"/>
        <v>1469.7</v>
      </c>
      <c r="G51" s="40">
        <f t="shared" si="16"/>
        <v>1763.64</v>
      </c>
      <c r="H51" s="194"/>
    </row>
    <row r="52" spans="1:8" s="10" customFormat="1" ht="15" customHeight="1" x14ac:dyDescent="0.25">
      <c r="A52" s="27">
        <f t="shared" si="17"/>
        <v>40</v>
      </c>
      <c r="B52" s="103" t="s">
        <v>455</v>
      </c>
      <c r="C52" s="125" t="s">
        <v>522</v>
      </c>
      <c r="D52" s="201" t="s">
        <v>523</v>
      </c>
      <c r="E52" s="156">
        <f>600</f>
        <v>600</v>
      </c>
      <c r="F52" s="40">
        <f>ROUND(E52*25,2)</f>
        <v>15000</v>
      </c>
      <c r="G52" s="40">
        <f t="shared" si="16"/>
        <v>18000</v>
      </c>
      <c r="H52" s="194"/>
    </row>
    <row r="53" spans="1:8" x14ac:dyDescent="0.25">
      <c r="A53" s="16"/>
      <c r="B53" s="22" t="s">
        <v>456</v>
      </c>
      <c r="C53" s="125"/>
      <c r="D53" s="69"/>
      <c r="E53" s="164"/>
      <c r="F53" s="39">
        <f t="shared" si="15"/>
        <v>0</v>
      </c>
      <c r="G53" s="39">
        <f t="shared" si="16"/>
        <v>0</v>
      </c>
    </row>
    <row r="54" spans="1:8" x14ac:dyDescent="0.25">
      <c r="A54" s="16">
        <f>A52+1</f>
        <v>41</v>
      </c>
      <c r="B54" s="17" t="s">
        <v>443</v>
      </c>
      <c r="C54" s="125" t="s">
        <v>18</v>
      </c>
      <c r="D54" s="189">
        <f>7*1*30</f>
        <v>210</v>
      </c>
      <c r="E54" s="163">
        <f>ROUND(71490/1.2/1000,2)</f>
        <v>59.58</v>
      </c>
      <c r="F54" s="39">
        <f t="shared" si="15"/>
        <v>12511.8</v>
      </c>
      <c r="G54" s="39">
        <f t="shared" si="16"/>
        <v>15014.16</v>
      </c>
    </row>
    <row r="55" spans="1:8" x14ac:dyDescent="0.25">
      <c r="A55" s="16">
        <f t="shared" si="17"/>
        <v>42</v>
      </c>
      <c r="B55" s="17" t="s">
        <v>438</v>
      </c>
      <c r="C55" s="125" t="s">
        <v>18</v>
      </c>
      <c r="D55" s="189">
        <f>0.2*6*30</f>
        <v>36.000000000000007</v>
      </c>
      <c r="E55" s="163">
        <f>ROUND(61990/1.2/1000,2)</f>
        <v>51.66</v>
      </c>
      <c r="F55" s="39">
        <f t="shared" si="15"/>
        <v>1859.76</v>
      </c>
      <c r="G55" s="39">
        <f t="shared" si="16"/>
        <v>2231.71</v>
      </c>
    </row>
    <row r="56" spans="1:8" x14ac:dyDescent="0.25">
      <c r="A56" s="16"/>
      <c r="B56" s="133" t="s">
        <v>457</v>
      </c>
      <c r="C56" s="125"/>
      <c r="D56" s="128"/>
      <c r="E56" s="164"/>
      <c r="F56" s="39">
        <f t="shared" ref="F56:F67" si="18">ROUND(E56*D56,2)</f>
        <v>0</v>
      </c>
      <c r="G56" s="39">
        <f t="shared" ref="G56:G67" si="19">ROUND(F56*1.2,2)</f>
        <v>0</v>
      </c>
    </row>
    <row r="57" spans="1:8" x14ac:dyDescent="0.25">
      <c r="A57" s="16">
        <f>A55+1</f>
        <v>43</v>
      </c>
      <c r="B57" s="103" t="s">
        <v>217</v>
      </c>
      <c r="C57" s="125" t="s">
        <v>2</v>
      </c>
      <c r="D57" s="171">
        <v>7.0000000000000007E-2</v>
      </c>
      <c r="E57" s="156">
        <v>6700</v>
      </c>
      <c r="F57" s="40">
        <f t="shared" si="18"/>
        <v>469</v>
      </c>
      <c r="G57" s="40">
        <f t="shared" si="19"/>
        <v>562.79999999999995</v>
      </c>
    </row>
    <row r="58" spans="1:8" x14ac:dyDescent="0.25">
      <c r="A58" s="16">
        <f t="shared" ref="A58:A67" si="20">A57+1</f>
        <v>44</v>
      </c>
      <c r="B58" s="103" t="s">
        <v>220</v>
      </c>
      <c r="C58" s="125" t="s">
        <v>2</v>
      </c>
      <c r="D58" s="189">
        <v>1.8</v>
      </c>
      <c r="E58" s="156">
        <v>6400</v>
      </c>
      <c r="F58" s="40">
        <f t="shared" si="18"/>
        <v>11520</v>
      </c>
      <c r="G58" s="40">
        <f t="shared" si="19"/>
        <v>13824</v>
      </c>
    </row>
    <row r="59" spans="1:8" x14ac:dyDescent="0.25">
      <c r="A59" s="16">
        <f t="shared" si="20"/>
        <v>45</v>
      </c>
      <c r="B59" s="103" t="s">
        <v>187</v>
      </c>
      <c r="C59" s="125" t="s">
        <v>2</v>
      </c>
      <c r="D59" s="189">
        <v>0.4</v>
      </c>
      <c r="E59" s="156">
        <v>5450</v>
      </c>
      <c r="F59" s="40">
        <f t="shared" si="18"/>
        <v>2180</v>
      </c>
      <c r="G59" s="40">
        <f t="shared" si="19"/>
        <v>2616</v>
      </c>
    </row>
    <row r="60" spans="1:8" x14ac:dyDescent="0.25">
      <c r="A60" s="16">
        <f t="shared" si="20"/>
        <v>46</v>
      </c>
      <c r="B60" s="103" t="s">
        <v>458</v>
      </c>
      <c r="C60" s="125" t="s">
        <v>18</v>
      </c>
      <c r="D60" s="171">
        <f>3*0.22*8</f>
        <v>5.28</v>
      </c>
      <c r="E60" s="156">
        <v>91</v>
      </c>
      <c r="F60" s="40">
        <f t="shared" si="18"/>
        <v>480.48</v>
      </c>
      <c r="G60" s="40">
        <f t="shared" si="19"/>
        <v>576.58000000000004</v>
      </c>
    </row>
    <row r="61" spans="1:8" x14ac:dyDescent="0.25">
      <c r="A61" s="16">
        <f t="shared" si="20"/>
        <v>47</v>
      </c>
      <c r="B61" s="103" t="s">
        <v>393</v>
      </c>
      <c r="C61" s="125" t="s">
        <v>18</v>
      </c>
      <c r="D61" s="200">
        <f>48*1.56+8*2.47</f>
        <v>94.64</v>
      </c>
      <c r="E61" s="162">
        <f>ROUND(61390/1.2/1000,2)</f>
        <v>51.16</v>
      </c>
      <c r="F61" s="40">
        <f t="shared" si="18"/>
        <v>4841.78</v>
      </c>
      <c r="G61" s="40">
        <f t="shared" si="19"/>
        <v>5810.14</v>
      </c>
      <c r="H61" s="173">
        <f>0.075*1000</f>
        <v>75</v>
      </c>
    </row>
    <row r="62" spans="1:8" x14ac:dyDescent="0.25">
      <c r="A62" s="16">
        <f t="shared" si="20"/>
        <v>48</v>
      </c>
      <c r="B62" s="103" t="s">
        <v>439</v>
      </c>
      <c r="C62" s="125" t="s">
        <v>18</v>
      </c>
      <c r="D62" s="200">
        <f>4*0.39</f>
        <v>1.56</v>
      </c>
      <c r="E62" s="162">
        <f>ROUND(64900/1.2/1000,2)</f>
        <v>54.08</v>
      </c>
      <c r="F62" s="40">
        <f t="shared" si="18"/>
        <v>84.36</v>
      </c>
      <c r="G62" s="40">
        <f t="shared" si="19"/>
        <v>101.23</v>
      </c>
      <c r="H62" s="173">
        <f>0.007*1000</f>
        <v>7</v>
      </c>
    </row>
    <row r="63" spans="1:8" x14ac:dyDescent="0.25">
      <c r="A63" s="16">
        <f t="shared" si="20"/>
        <v>49</v>
      </c>
      <c r="B63" s="103" t="s">
        <v>394</v>
      </c>
      <c r="C63" s="125" t="s">
        <v>18</v>
      </c>
      <c r="D63" s="200">
        <f>7*0.49+7*0.36+48*0.15</f>
        <v>13.149999999999999</v>
      </c>
      <c r="E63" s="162">
        <f>ROUND(64900/1.2/1000,2)</f>
        <v>54.08</v>
      </c>
      <c r="F63" s="40">
        <f t="shared" si="18"/>
        <v>711.15</v>
      </c>
      <c r="G63" s="40">
        <f t="shared" si="19"/>
        <v>853.38</v>
      </c>
      <c r="H63" s="173">
        <f>0.01*1000</f>
        <v>10</v>
      </c>
    </row>
    <row r="64" spans="1:8" s="10" customFormat="1" x14ac:dyDescent="0.25">
      <c r="A64" s="27">
        <f t="shared" si="20"/>
        <v>50</v>
      </c>
      <c r="B64" s="103" t="s">
        <v>459</v>
      </c>
      <c r="C64" s="125" t="s">
        <v>18</v>
      </c>
      <c r="D64" s="171">
        <f>4*3.94</f>
        <v>15.76</v>
      </c>
      <c r="E64" s="156">
        <v>253.81</v>
      </c>
      <c r="F64" s="40">
        <f t="shared" si="18"/>
        <v>4000.05</v>
      </c>
      <c r="G64" s="40">
        <f t="shared" si="19"/>
        <v>4800.0600000000004</v>
      </c>
      <c r="H64" s="194"/>
    </row>
    <row r="65" spans="1:8" x14ac:dyDescent="0.25">
      <c r="A65" s="16">
        <f t="shared" si="20"/>
        <v>51</v>
      </c>
      <c r="B65" s="103" t="s">
        <v>460</v>
      </c>
      <c r="C65" s="125" t="s">
        <v>18</v>
      </c>
      <c r="D65" s="189">
        <f>8*0.5</f>
        <v>4</v>
      </c>
      <c r="E65" s="156">
        <v>9.11</v>
      </c>
      <c r="F65" s="40">
        <f t="shared" si="18"/>
        <v>36.44</v>
      </c>
      <c r="G65" s="40">
        <f t="shared" si="19"/>
        <v>43.73</v>
      </c>
    </row>
    <row r="66" spans="1:8" x14ac:dyDescent="0.25">
      <c r="A66" s="16">
        <f t="shared" si="20"/>
        <v>52</v>
      </c>
      <c r="B66" s="103" t="s">
        <v>461</v>
      </c>
      <c r="C66" s="125" t="s">
        <v>12</v>
      </c>
      <c r="D66" s="171">
        <f>12*0.12</f>
        <v>1.44</v>
      </c>
      <c r="E66" s="156">
        <v>26.89</v>
      </c>
      <c r="F66" s="40">
        <f t="shared" si="18"/>
        <v>38.72</v>
      </c>
      <c r="G66" s="40">
        <f t="shared" si="19"/>
        <v>46.46</v>
      </c>
    </row>
    <row r="67" spans="1:8" x14ac:dyDescent="0.25">
      <c r="A67" s="16">
        <f t="shared" si="20"/>
        <v>53</v>
      </c>
      <c r="B67" s="103" t="s">
        <v>25</v>
      </c>
      <c r="C67" s="125" t="s">
        <v>18</v>
      </c>
      <c r="D67" s="170">
        <v>10</v>
      </c>
      <c r="E67" s="162">
        <v>187.05</v>
      </c>
      <c r="F67" s="40">
        <f t="shared" si="18"/>
        <v>1870.5</v>
      </c>
      <c r="G67" s="40">
        <f t="shared" si="19"/>
        <v>2244.6</v>
      </c>
    </row>
    <row r="68" spans="1:8" x14ac:dyDescent="0.25">
      <c r="A68" s="16">
        <f>A67+1</f>
        <v>54</v>
      </c>
      <c r="B68" s="103" t="s">
        <v>219</v>
      </c>
      <c r="C68" s="125" t="s">
        <v>18</v>
      </c>
      <c r="D68" s="170">
        <v>2</v>
      </c>
      <c r="E68" s="156">
        <v>229.18</v>
      </c>
      <c r="F68" s="40">
        <f t="shared" ref="F68:F69" si="21">ROUND(E68*D68,2)</f>
        <v>458.36</v>
      </c>
      <c r="G68" s="40">
        <f t="shared" ref="G68:G69" si="22">ROUND(F68*1.2,2)</f>
        <v>550.03</v>
      </c>
    </row>
    <row r="69" spans="1:8" x14ac:dyDescent="0.25">
      <c r="A69" s="16">
        <f>A68+1</f>
        <v>55</v>
      </c>
      <c r="B69" s="17" t="s">
        <v>462</v>
      </c>
      <c r="C69" s="125" t="s">
        <v>2</v>
      </c>
      <c r="D69" s="189">
        <v>17.3</v>
      </c>
      <c r="E69" s="164">
        <v>4200</v>
      </c>
      <c r="F69" s="39">
        <f t="shared" si="21"/>
        <v>72660</v>
      </c>
      <c r="G69" s="39">
        <f t="shared" si="22"/>
        <v>87192</v>
      </c>
    </row>
    <row r="70" spans="1:8" x14ac:dyDescent="0.25">
      <c r="A70" s="76"/>
      <c r="B70" s="220" t="s">
        <v>463</v>
      </c>
      <c r="C70" s="231"/>
      <c r="D70" s="231"/>
      <c r="E70" s="77"/>
      <c r="F70" s="78"/>
      <c r="G70" s="79"/>
      <c r="H70" s="96" t="s">
        <v>537</v>
      </c>
    </row>
    <row r="71" spans="1:8" ht="15.75" x14ac:dyDescent="0.25">
      <c r="A71" s="16">
        <f>A69+1</f>
        <v>56</v>
      </c>
      <c r="B71" s="153" t="s">
        <v>464</v>
      </c>
      <c r="C71" s="27" t="s">
        <v>12</v>
      </c>
      <c r="D71" s="190">
        <v>15</v>
      </c>
      <c r="E71" s="156">
        <v>1041</v>
      </c>
      <c r="F71" s="40">
        <f t="shared" ref="F71:F80" si="23">ROUND(E71*D71,2)</f>
        <v>15615</v>
      </c>
      <c r="G71" s="40">
        <f t="shared" ref="G71:G80" si="24">ROUND(F71*1.2,2)</f>
        <v>18738</v>
      </c>
    </row>
    <row r="72" spans="1:8" ht="15.75" x14ac:dyDescent="0.25">
      <c r="A72" s="16">
        <f t="shared" ref="A72:A81" si="25">A71+1</f>
        <v>57</v>
      </c>
      <c r="B72" s="153" t="s">
        <v>465</v>
      </c>
      <c r="C72" s="27" t="s">
        <v>12</v>
      </c>
      <c r="D72" s="190">
        <v>2</v>
      </c>
      <c r="E72" s="156">
        <f>240/2</f>
        <v>120</v>
      </c>
      <c r="F72" s="40">
        <f t="shared" si="23"/>
        <v>240</v>
      </c>
      <c r="G72" s="40">
        <f t="shared" si="24"/>
        <v>288</v>
      </c>
    </row>
    <row r="73" spans="1:8" ht="15.75" x14ac:dyDescent="0.25">
      <c r="A73" s="16">
        <f t="shared" si="25"/>
        <v>58</v>
      </c>
      <c r="B73" s="153" t="s">
        <v>466</v>
      </c>
      <c r="C73" s="27" t="s">
        <v>12</v>
      </c>
      <c r="D73" s="190">
        <v>2</v>
      </c>
      <c r="E73" s="156">
        <f>310/2</f>
        <v>155</v>
      </c>
      <c r="F73" s="40">
        <f t="shared" si="23"/>
        <v>310</v>
      </c>
      <c r="G73" s="40">
        <f t="shared" si="24"/>
        <v>372</v>
      </c>
    </row>
    <row r="74" spans="1:8" ht="15.75" x14ac:dyDescent="0.25">
      <c r="A74" s="16">
        <f t="shared" si="25"/>
        <v>59</v>
      </c>
      <c r="B74" s="153" t="s">
        <v>467</v>
      </c>
      <c r="C74" s="27" t="s">
        <v>18</v>
      </c>
      <c r="D74" s="191">
        <f>15*0.02</f>
        <v>0.3</v>
      </c>
      <c r="E74" s="156">
        <f>201000/1000</f>
        <v>201</v>
      </c>
      <c r="F74" s="40">
        <f t="shared" si="23"/>
        <v>60.3</v>
      </c>
      <c r="G74" s="40">
        <f t="shared" si="24"/>
        <v>72.36</v>
      </c>
    </row>
    <row r="75" spans="1:8" ht="15.75" x14ac:dyDescent="0.25">
      <c r="A75" s="16">
        <f t="shared" si="25"/>
        <v>60</v>
      </c>
      <c r="B75" s="153" t="s">
        <v>468</v>
      </c>
      <c r="C75" s="27" t="s">
        <v>18</v>
      </c>
      <c r="D75" s="191">
        <f>15*0.03</f>
        <v>0.44999999999999996</v>
      </c>
      <c r="E75" s="156">
        <f>184000/1000</f>
        <v>184</v>
      </c>
      <c r="F75" s="40">
        <f t="shared" si="23"/>
        <v>82.8</v>
      </c>
      <c r="G75" s="40">
        <f t="shared" si="24"/>
        <v>99.36</v>
      </c>
    </row>
    <row r="76" spans="1:8" ht="21.75" customHeight="1" x14ac:dyDescent="0.25">
      <c r="A76" s="16">
        <f t="shared" si="25"/>
        <v>61</v>
      </c>
      <c r="B76" s="153" t="s">
        <v>469</v>
      </c>
      <c r="C76" s="27" t="s">
        <v>18</v>
      </c>
      <c r="D76" s="191">
        <f>15*0.004</f>
        <v>0.06</v>
      </c>
      <c r="E76" s="156">
        <f>210000/1000</f>
        <v>210</v>
      </c>
      <c r="F76" s="40">
        <f t="shared" si="23"/>
        <v>12.6</v>
      </c>
      <c r="G76" s="40">
        <f t="shared" si="24"/>
        <v>15.12</v>
      </c>
    </row>
    <row r="77" spans="1:8" ht="15.75" x14ac:dyDescent="0.25">
      <c r="A77" s="16">
        <f t="shared" si="25"/>
        <v>62</v>
      </c>
      <c r="B77" s="153" t="s">
        <v>470</v>
      </c>
      <c r="C77" s="27" t="s">
        <v>18</v>
      </c>
      <c r="D77" s="191">
        <f>15*0.011</f>
        <v>0.16499999999999998</v>
      </c>
      <c r="E77" s="156">
        <f>210000/1000</f>
        <v>210</v>
      </c>
      <c r="F77" s="40">
        <f t="shared" si="23"/>
        <v>34.65</v>
      </c>
      <c r="G77" s="40">
        <f t="shared" si="24"/>
        <v>41.58</v>
      </c>
    </row>
    <row r="78" spans="1:8" ht="15.75" x14ac:dyDescent="0.25">
      <c r="A78" s="16">
        <f t="shared" si="25"/>
        <v>63</v>
      </c>
      <c r="B78" s="153" t="s">
        <v>471</v>
      </c>
      <c r="C78" s="27" t="s">
        <v>18</v>
      </c>
      <c r="D78" s="191">
        <f>15*0.002</f>
        <v>0.03</v>
      </c>
      <c r="E78" s="156">
        <v>21</v>
      </c>
      <c r="F78" s="40">
        <f t="shared" si="23"/>
        <v>0.63</v>
      </c>
      <c r="G78" s="40">
        <f t="shared" si="24"/>
        <v>0.76</v>
      </c>
    </row>
    <row r="79" spans="1:8" ht="15.75" x14ac:dyDescent="0.25">
      <c r="A79" s="16">
        <f t="shared" si="25"/>
        <v>64</v>
      </c>
      <c r="B79" s="153" t="s">
        <v>472</v>
      </c>
      <c r="C79" s="27" t="s">
        <v>18</v>
      </c>
      <c r="D79" s="191">
        <f>15*0.006</f>
        <v>0.09</v>
      </c>
      <c r="E79" s="156">
        <v>22</v>
      </c>
      <c r="F79" s="40">
        <f t="shared" si="23"/>
        <v>1.98</v>
      </c>
      <c r="G79" s="40">
        <f t="shared" si="24"/>
        <v>2.38</v>
      </c>
    </row>
    <row r="80" spans="1:8" ht="15.75" x14ac:dyDescent="0.25">
      <c r="A80" s="16">
        <f t="shared" si="25"/>
        <v>65</v>
      </c>
      <c r="B80" s="153" t="s">
        <v>473</v>
      </c>
      <c r="C80" s="27" t="s">
        <v>18</v>
      </c>
      <c r="D80" s="191">
        <f>33*1.58</f>
        <v>52.14</v>
      </c>
      <c r="E80" s="162">
        <f>62790/1000</f>
        <v>62.79</v>
      </c>
      <c r="F80" s="40">
        <f t="shared" si="23"/>
        <v>3273.87</v>
      </c>
      <c r="G80" s="40">
        <f t="shared" si="24"/>
        <v>3928.64</v>
      </c>
    </row>
    <row r="81" spans="1:7" ht="15.75" x14ac:dyDescent="0.25">
      <c r="A81" s="16">
        <f t="shared" si="25"/>
        <v>66</v>
      </c>
      <c r="B81" s="123" t="s">
        <v>474</v>
      </c>
      <c r="C81" s="27" t="s">
        <v>18</v>
      </c>
      <c r="D81" s="191">
        <f>1*5.38</f>
        <v>5.38</v>
      </c>
      <c r="E81" s="163">
        <f>ROUND(116990/1.2/1000,2)</f>
        <v>97.49</v>
      </c>
      <c r="F81" s="39">
        <f t="shared" ref="F81" si="26">ROUND(E81*D81,2)</f>
        <v>524.5</v>
      </c>
      <c r="G81" s="39">
        <f t="shared" ref="G81" si="27">ROUND(F81*1.2,2)</f>
        <v>629.4</v>
      </c>
    </row>
    <row r="82" spans="1:7" ht="22.5" customHeight="1" x14ac:dyDescent="0.25">
      <c r="A82" s="257" t="s">
        <v>27</v>
      </c>
      <c r="B82" s="257"/>
      <c r="C82" s="257"/>
      <c r="D82" s="257"/>
      <c r="E82" s="257"/>
      <c r="F82" s="23">
        <f>SUM(F6:F81)</f>
        <v>1379593.5100000002</v>
      </c>
      <c r="G82" s="23">
        <f>SUM(G6:G81)</f>
        <v>1655512.2199999997</v>
      </c>
    </row>
  </sheetData>
  <mergeCells count="8">
    <mergeCell ref="A82:E82"/>
    <mergeCell ref="E1:G2"/>
    <mergeCell ref="B70:D70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H26"/>
  <sheetViews>
    <sheetView zoomScale="130" zoomScaleNormal="130" zoomScaleSheetLayoutView="100" workbookViewId="0">
      <pane ySplit="2" topLeftCell="A15" activePane="bottomLeft" state="frozen"/>
      <selection pane="bottomLeft" activeCell="H20" sqref="H20"/>
    </sheetView>
  </sheetViews>
  <sheetFormatPr defaultRowHeight="15" x14ac:dyDescent="0.25"/>
  <cols>
    <col min="1" max="1" width="7.140625" customWidth="1"/>
    <col min="2" max="2" width="61.28515625" customWidth="1"/>
    <col min="3" max="3" width="10.7109375" customWidth="1"/>
    <col min="4" max="4" width="11" customWidth="1"/>
    <col min="5" max="5" width="12.85546875" customWidth="1"/>
    <col min="6" max="6" width="16.5703125" style="24" customWidth="1"/>
    <col min="7" max="7" width="15.140625" style="4" customWidth="1"/>
    <col min="8" max="8" width="25.28515625" customWidth="1"/>
  </cols>
  <sheetData>
    <row r="1" spans="1:8" s="1" customFormat="1" ht="21.75" customHeight="1" x14ac:dyDescent="0.25">
      <c r="A1" s="222" t="s">
        <v>8</v>
      </c>
      <c r="B1" s="222" t="s">
        <v>14</v>
      </c>
      <c r="C1" s="222" t="s">
        <v>30</v>
      </c>
      <c r="D1" s="222" t="s">
        <v>10</v>
      </c>
      <c r="E1" s="212" t="s">
        <v>524</v>
      </c>
      <c r="F1" s="212"/>
      <c r="G1" s="212"/>
      <c r="H1" s="265" t="s">
        <v>544</v>
      </c>
    </row>
    <row r="2" spans="1:8" ht="36" customHeight="1" x14ac:dyDescent="0.25">
      <c r="A2" s="222"/>
      <c r="B2" s="222"/>
      <c r="C2" s="222"/>
      <c r="D2" s="222"/>
      <c r="E2" s="54" t="s">
        <v>31</v>
      </c>
      <c r="F2" s="11" t="s">
        <v>44</v>
      </c>
      <c r="G2" s="54" t="s">
        <v>28</v>
      </c>
      <c r="H2" s="265"/>
    </row>
    <row r="3" spans="1:8" ht="12.7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12.75" customHeight="1" x14ac:dyDescent="0.25">
      <c r="A4" s="220" t="s">
        <v>281</v>
      </c>
      <c r="B4" s="221"/>
      <c r="C4" s="48"/>
      <c r="D4" s="48"/>
      <c r="E4" s="49"/>
      <c r="F4" s="48"/>
      <c r="G4" s="48"/>
    </row>
    <row r="5" spans="1:8" ht="14.45" customHeight="1" x14ac:dyDescent="0.25">
      <c r="A5" s="220" t="s">
        <v>11</v>
      </c>
      <c r="B5" s="221"/>
      <c r="C5" s="48"/>
      <c r="D5" s="48"/>
      <c r="E5" s="49"/>
      <c r="F5" s="48"/>
      <c r="G5" s="48"/>
    </row>
    <row r="6" spans="1:8" x14ac:dyDescent="0.25">
      <c r="A6" s="43">
        <v>1</v>
      </c>
      <c r="B6" s="33" t="s">
        <v>40</v>
      </c>
      <c r="C6" s="43" t="s">
        <v>2</v>
      </c>
      <c r="D6" s="166">
        <v>704.98</v>
      </c>
      <c r="E6" s="46">
        <v>980</v>
      </c>
      <c r="F6" s="39">
        <f>ROUND(E6*D6,2)</f>
        <v>690880.4</v>
      </c>
      <c r="G6" s="39">
        <f>ROUND(F6*1.2,2)</f>
        <v>829056.48</v>
      </c>
      <c r="H6" s="272" t="s">
        <v>545</v>
      </c>
    </row>
    <row r="7" spans="1:8" x14ac:dyDescent="0.25">
      <c r="A7" s="43">
        <f>A6+1</f>
        <v>2</v>
      </c>
      <c r="B7" s="33" t="s">
        <v>39</v>
      </c>
      <c r="C7" s="43" t="s">
        <v>2</v>
      </c>
      <c r="D7" s="166">
        <v>146.52000000000001</v>
      </c>
      <c r="E7" s="269">
        <v>1179.9000000000001</v>
      </c>
      <c r="F7" s="39">
        <f t="shared" ref="F7:F10" si="0">ROUND(E7*D7,2)</f>
        <v>172878.95</v>
      </c>
      <c r="G7" s="39">
        <f t="shared" ref="G7:G10" si="1">ROUND(F7*1.2,2)</f>
        <v>207454.74</v>
      </c>
    </row>
    <row r="8" spans="1:8" x14ac:dyDescent="0.25">
      <c r="A8" s="43">
        <f>A7+1</f>
        <v>3</v>
      </c>
      <c r="B8" s="33" t="s">
        <v>41</v>
      </c>
      <c r="C8" s="43" t="s">
        <v>42</v>
      </c>
      <c r="D8" s="166">
        <v>226</v>
      </c>
      <c r="E8" s="269">
        <v>277.88</v>
      </c>
      <c r="F8" s="39">
        <f t="shared" si="0"/>
        <v>62800.88</v>
      </c>
      <c r="G8" s="39">
        <f t="shared" si="1"/>
        <v>75361.06</v>
      </c>
    </row>
    <row r="9" spans="1:8" x14ac:dyDescent="0.25">
      <c r="A9" s="43">
        <f t="shared" ref="A9:A11" si="2">A8+1</f>
        <v>4</v>
      </c>
      <c r="B9" s="33" t="s">
        <v>270</v>
      </c>
      <c r="C9" s="43" t="s">
        <v>42</v>
      </c>
      <c r="D9" s="166">
        <v>73.2</v>
      </c>
      <c r="E9" s="269">
        <v>277.88</v>
      </c>
      <c r="F9" s="39">
        <f t="shared" ref="F9" si="3">ROUND(E9*D9,2)</f>
        <v>20340.82</v>
      </c>
      <c r="G9" s="39">
        <f t="shared" ref="G9" si="4">ROUND(F9*1.2,2)</f>
        <v>24408.98</v>
      </c>
    </row>
    <row r="10" spans="1:8" x14ac:dyDescent="0.25">
      <c r="A10" s="43">
        <f t="shared" si="2"/>
        <v>5</v>
      </c>
      <c r="B10" s="33" t="s">
        <v>271</v>
      </c>
      <c r="C10" s="43" t="s">
        <v>42</v>
      </c>
      <c r="D10" s="166">
        <v>861.3</v>
      </c>
      <c r="E10" s="269">
        <v>277.88</v>
      </c>
      <c r="F10" s="39">
        <f t="shared" si="0"/>
        <v>239338.04</v>
      </c>
      <c r="G10" s="39">
        <f t="shared" si="1"/>
        <v>287205.65000000002</v>
      </c>
    </row>
    <row r="11" spans="1:8" x14ac:dyDescent="0.25">
      <c r="A11" s="43">
        <f t="shared" si="2"/>
        <v>6</v>
      </c>
      <c r="B11" s="129" t="s">
        <v>272</v>
      </c>
      <c r="C11" s="43" t="s">
        <v>42</v>
      </c>
      <c r="D11" s="166">
        <v>475.92</v>
      </c>
      <c r="E11" s="269">
        <v>277.88</v>
      </c>
      <c r="F11" s="39">
        <f t="shared" ref="F11" si="5">ROUND(E11*D11,2)</f>
        <v>132248.65</v>
      </c>
      <c r="G11" s="39">
        <f t="shared" ref="G11" si="6">ROUND(F11*1.2,2)</f>
        <v>158698.38</v>
      </c>
    </row>
    <row r="12" spans="1:8" x14ac:dyDescent="0.25">
      <c r="A12" s="210"/>
      <c r="B12" s="129" t="s">
        <v>541</v>
      </c>
      <c r="C12" s="43" t="s">
        <v>2</v>
      </c>
      <c r="D12" s="166">
        <f>D6*1.7</f>
        <v>1198.4659999999999</v>
      </c>
      <c r="E12" s="46"/>
      <c r="F12" s="39"/>
      <c r="G12" s="39"/>
    </row>
    <row r="13" spans="1:8" x14ac:dyDescent="0.25">
      <c r="A13" s="220" t="s">
        <v>84</v>
      </c>
      <c r="B13" s="221"/>
      <c r="C13" s="48"/>
      <c r="D13" s="48"/>
      <c r="E13" s="49"/>
      <c r="F13" s="48"/>
      <c r="G13" s="48"/>
    </row>
    <row r="14" spans="1:8" x14ac:dyDescent="0.25">
      <c r="A14" s="43">
        <f>A11+1</f>
        <v>7</v>
      </c>
      <c r="B14" s="44" t="s">
        <v>37</v>
      </c>
      <c r="C14" s="43" t="s">
        <v>1</v>
      </c>
      <c r="D14" s="167">
        <v>2</v>
      </c>
      <c r="E14" s="269">
        <v>104093.4</v>
      </c>
      <c r="F14" s="39">
        <f t="shared" ref="F14:F16" si="7">ROUND(E14*D14,2)</f>
        <v>208186.8</v>
      </c>
      <c r="G14" s="39">
        <f t="shared" ref="G14:G16" si="8">ROUND(F14*1.2,2)</f>
        <v>249824.16</v>
      </c>
    </row>
    <row r="15" spans="1:8" x14ac:dyDescent="0.25">
      <c r="A15" s="43">
        <f>A14+1</f>
        <v>8</v>
      </c>
      <c r="B15" s="44" t="s">
        <v>36</v>
      </c>
      <c r="C15" s="43" t="s">
        <v>3</v>
      </c>
      <c r="D15" s="167">
        <v>110</v>
      </c>
      <c r="E15" s="269">
        <v>1880.81</v>
      </c>
      <c r="F15" s="39">
        <f t="shared" si="7"/>
        <v>206889.1</v>
      </c>
      <c r="G15" s="39">
        <f t="shared" si="8"/>
        <v>248266.92</v>
      </c>
    </row>
    <row r="16" spans="1:8" ht="18.75" customHeight="1" x14ac:dyDescent="0.25">
      <c r="A16" s="43">
        <f>A15+1</f>
        <v>9</v>
      </c>
      <c r="B16" s="44" t="s">
        <v>38</v>
      </c>
      <c r="C16" s="43" t="s">
        <v>1</v>
      </c>
      <c r="D16" s="167">
        <v>1</v>
      </c>
      <c r="E16" s="269">
        <v>82507.5</v>
      </c>
      <c r="F16" s="39">
        <f t="shared" si="7"/>
        <v>82507.5</v>
      </c>
      <c r="G16" s="39">
        <f t="shared" si="8"/>
        <v>99009</v>
      </c>
    </row>
    <row r="17" spans="1:8" ht="14.45" customHeight="1" x14ac:dyDescent="0.25">
      <c r="A17" s="220" t="s">
        <v>32</v>
      </c>
      <c r="B17" s="221"/>
      <c r="C17" s="48"/>
      <c r="D17" s="48"/>
      <c r="E17" s="48"/>
      <c r="F17" s="48"/>
      <c r="G17" s="48"/>
      <c r="H17" s="96"/>
    </row>
    <row r="18" spans="1:8" x14ac:dyDescent="0.25">
      <c r="A18" s="43">
        <f>A16+1</f>
        <v>10</v>
      </c>
      <c r="B18" s="44" t="s">
        <v>273</v>
      </c>
      <c r="C18" s="43" t="s">
        <v>2</v>
      </c>
      <c r="D18" s="166">
        <v>549.4</v>
      </c>
      <c r="E18" s="269">
        <v>1421.01</v>
      </c>
      <c r="F18" s="39">
        <f t="shared" ref="F18:F23" si="9">ROUND(E18*D18,2)</f>
        <v>780702.89</v>
      </c>
      <c r="G18" s="39">
        <f t="shared" ref="G18:G23" si="10">ROUND(F18*1.2,2)</f>
        <v>936843.47</v>
      </c>
    </row>
    <row r="19" spans="1:8" ht="45" x14ac:dyDescent="0.25">
      <c r="A19" s="43">
        <f>A18+1</f>
        <v>11</v>
      </c>
      <c r="B19" s="109" t="s">
        <v>33</v>
      </c>
      <c r="C19" s="16" t="s">
        <v>3</v>
      </c>
      <c r="D19" s="168">
        <v>284</v>
      </c>
      <c r="E19" s="269">
        <v>2230.6</v>
      </c>
      <c r="F19" s="39">
        <f t="shared" si="9"/>
        <v>633490.4</v>
      </c>
      <c r="G19" s="39">
        <f t="shared" si="10"/>
        <v>760188.48</v>
      </c>
      <c r="H19" s="120"/>
    </row>
    <row r="20" spans="1:8" ht="43.5" customHeight="1" x14ac:dyDescent="0.25">
      <c r="A20" s="45">
        <f t="shared" ref="A20:A23" si="11">A19+1</f>
        <v>12</v>
      </c>
      <c r="B20" s="154" t="s">
        <v>214</v>
      </c>
      <c r="C20" s="27" t="s">
        <v>12</v>
      </c>
      <c r="D20" s="208">
        <v>70</v>
      </c>
      <c r="E20" s="269">
        <v>277.08</v>
      </c>
      <c r="F20" s="40">
        <f t="shared" ref="F20" si="12">ROUND(E20*D20,2)</f>
        <v>19395.599999999999</v>
      </c>
      <c r="G20" s="40">
        <f t="shared" ref="G20" si="13">ROUND(F20*1.2,2)</f>
        <v>23274.720000000001</v>
      </c>
      <c r="H20" s="266" t="s">
        <v>525</v>
      </c>
    </row>
    <row r="21" spans="1:8" ht="30" x14ac:dyDescent="0.25">
      <c r="A21" s="45">
        <f t="shared" si="11"/>
        <v>13</v>
      </c>
      <c r="B21" s="154" t="s">
        <v>34</v>
      </c>
      <c r="C21" s="45" t="s">
        <v>3</v>
      </c>
      <c r="D21" s="166">
        <f>9*17</f>
        <v>153</v>
      </c>
      <c r="E21" s="269">
        <v>1507.65</v>
      </c>
      <c r="F21" s="40">
        <f t="shared" si="9"/>
        <v>230670.45</v>
      </c>
      <c r="G21" s="40">
        <f t="shared" si="10"/>
        <v>276804.53999999998</v>
      </c>
      <c r="H21" s="96"/>
    </row>
    <row r="22" spans="1:8" ht="30" x14ac:dyDescent="0.25">
      <c r="A22" s="45">
        <f t="shared" si="11"/>
        <v>14</v>
      </c>
      <c r="B22" s="155" t="s">
        <v>274</v>
      </c>
      <c r="C22" s="45" t="s">
        <v>4</v>
      </c>
      <c r="D22" s="167">
        <v>1</v>
      </c>
      <c r="E22" s="270">
        <v>165056.79999999999</v>
      </c>
      <c r="F22" s="40">
        <f t="shared" si="9"/>
        <v>165056.79999999999</v>
      </c>
      <c r="G22" s="40">
        <f t="shared" si="10"/>
        <v>198068.16</v>
      </c>
      <c r="H22" s="105"/>
    </row>
    <row r="23" spans="1:8" x14ac:dyDescent="0.25">
      <c r="A23" s="43">
        <f t="shared" si="11"/>
        <v>15</v>
      </c>
      <c r="B23" s="44" t="s">
        <v>35</v>
      </c>
      <c r="C23" s="43" t="s">
        <v>3</v>
      </c>
      <c r="D23" s="169">
        <v>8.5</v>
      </c>
      <c r="E23" s="269">
        <v>3990</v>
      </c>
      <c r="F23" s="39">
        <f t="shared" si="9"/>
        <v>33915</v>
      </c>
      <c r="G23" s="39">
        <f t="shared" si="10"/>
        <v>40698</v>
      </c>
    </row>
    <row r="24" spans="1:8" x14ac:dyDescent="0.25">
      <c r="A24" s="37"/>
      <c r="B24" s="214" t="s">
        <v>86</v>
      </c>
      <c r="C24" s="215"/>
      <c r="D24" s="215"/>
      <c r="E24" s="216"/>
      <c r="F24" s="47">
        <f>SUM(F6:F23)</f>
        <v>3679302.2800000003</v>
      </c>
      <c r="G24" s="47">
        <f>SUM(G6:G23)</f>
        <v>4415162.74</v>
      </c>
    </row>
    <row r="25" spans="1:8" x14ac:dyDescent="0.25">
      <c r="A25" s="217" t="s">
        <v>87</v>
      </c>
      <c r="B25" s="218"/>
      <c r="C25" s="218"/>
      <c r="D25" s="218"/>
      <c r="E25" s="219"/>
      <c r="F25" s="98">
        <f>ROUND(F24*0.03,2)</f>
        <v>110379.07</v>
      </c>
      <c r="G25" s="98">
        <f>ROUND(G24*0.03,2)</f>
        <v>132454.88</v>
      </c>
      <c r="H25" s="6"/>
    </row>
    <row r="26" spans="1:8" x14ac:dyDescent="0.25">
      <c r="A26" s="217" t="s">
        <v>88</v>
      </c>
      <c r="B26" s="218"/>
      <c r="C26" s="218"/>
      <c r="D26" s="218"/>
      <c r="E26" s="219"/>
      <c r="F26" s="98">
        <f>F24+F25</f>
        <v>3789681.35</v>
      </c>
      <c r="G26" s="98">
        <f>G24+G25</f>
        <v>4547617.62</v>
      </c>
      <c r="H26" s="6"/>
    </row>
  </sheetData>
  <mergeCells count="13">
    <mergeCell ref="H1:H2"/>
    <mergeCell ref="A4:B4"/>
    <mergeCell ref="E1:G1"/>
    <mergeCell ref="A1:A2"/>
    <mergeCell ref="B1:B2"/>
    <mergeCell ref="C1:C2"/>
    <mergeCell ref="D1:D2"/>
    <mergeCell ref="B24:E24"/>
    <mergeCell ref="A25:E25"/>
    <mergeCell ref="A26:E26"/>
    <mergeCell ref="A17:B17"/>
    <mergeCell ref="A5:B5"/>
    <mergeCell ref="A13:B13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H57"/>
  <sheetViews>
    <sheetView view="pageBreakPreview" zoomScale="85" zoomScaleNormal="85" zoomScaleSheetLayoutView="85" workbookViewId="0">
      <pane ySplit="2" topLeftCell="A24" activePane="bottomLeft" state="frozen"/>
      <selection pane="bottomLeft" activeCell="B54" sqref="B54:E54"/>
    </sheetView>
  </sheetViews>
  <sheetFormatPr defaultRowHeight="15" x14ac:dyDescent="0.25"/>
  <cols>
    <col min="1" max="1" width="4.28515625" customWidth="1"/>
    <col min="2" max="2" width="60.85546875" style="2" bestFit="1" customWidth="1"/>
    <col min="4" max="4" width="11.42578125" bestFit="1" customWidth="1"/>
    <col min="5" max="5" width="12.85546875" style="6" customWidth="1"/>
    <col min="6" max="6" width="16.28515625" customWidth="1"/>
    <col min="7" max="7" width="17" customWidth="1"/>
    <col min="8" max="8" width="66.28515625" style="173" customWidth="1"/>
  </cols>
  <sheetData>
    <row r="1" spans="1:8" ht="28.9" customHeight="1" x14ac:dyDescent="0.25">
      <c r="A1" s="224" t="s">
        <v>13</v>
      </c>
      <c r="B1" s="226" t="s">
        <v>9</v>
      </c>
      <c r="C1" s="228" t="s">
        <v>83</v>
      </c>
      <c r="D1" s="228" t="s">
        <v>10</v>
      </c>
      <c r="E1" s="223" t="s">
        <v>524</v>
      </c>
      <c r="F1" s="223"/>
      <c r="G1" s="223"/>
    </row>
    <row r="2" spans="1:8" s="7" customFormat="1" ht="57.6" customHeight="1" x14ac:dyDescent="0.25">
      <c r="A2" s="225"/>
      <c r="B2" s="227"/>
      <c r="C2" s="229"/>
      <c r="D2" s="229"/>
      <c r="E2" s="30" t="s">
        <v>82</v>
      </c>
      <c r="F2" s="31" t="s">
        <v>5</v>
      </c>
      <c r="G2" s="31" t="s">
        <v>7</v>
      </c>
      <c r="H2" s="175"/>
    </row>
    <row r="3" spans="1:8" ht="12.7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19.5" customHeight="1" x14ac:dyDescent="0.25">
      <c r="A4" s="220" t="s">
        <v>281</v>
      </c>
      <c r="B4" s="221"/>
      <c r="C4" s="48"/>
      <c r="D4" s="48"/>
      <c r="E4" s="49"/>
      <c r="F4" s="48"/>
      <c r="G4" s="48"/>
    </row>
    <row r="5" spans="1:8" ht="30" x14ac:dyDescent="0.25">
      <c r="A5" s="42">
        <v>1</v>
      </c>
      <c r="B5" s="17" t="s">
        <v>226</v>
      </c>
      <c r="C5" s="27" t="s">
        <v>12</v>
      </c>
      <c r="D5" s="170">
        <f>46-6-4</f>
        <v>36</v>
      </c>
      <c r="E5" s="35"/>
      <c r="F5" s="39">
        <f>ROUND(E5*D5,2)</f>
        <v>0</v>
      </c>
      <c r="G5" s="39">
        <f>ROUND(F5*1.2,2)</f>
        <v>0</v>
      </c>
    </row>
    <row r="6" spans="1:8" x14ac:dyDescent="0.25">
      <c r="A6" s="42">
        <f>A5+1</f>
        <v>2</v>
      </c>
      <c r="B6" s="17" t="s">
        <v>227</v>
      </c>
      <c r="C6" s="27" t="s">
        <v>12</v>
      </c>
      <c r="D6" s="170">
        <v>4</v>
      </c>
      <c r="E6" s="35"/>
      <c r="F6" s="39">
        <f t="shared" ref="F6:F43" si="0">ROUND(E6*D6,2)</f>
        <v>0</v>
      </c>
      <c r="G6" s="39">
        <f t="shared" ref="G6:G43" si="1">ROUND(F6*1.2,2)</f>
        <v>0</v>
      </c>
    </row>
    <row r="7" spans="1:8" x14ac:dyDescent="0.25">
      <c r="A7" s="42">
        <f>A6+1</f>
        <v>3</v>
      </c>
      <c r="B7" s="17" t="s">
        <v>228</v>
      </c>
      <c r="C7" s="27" t="s">
        <v>12</v>
      </c>
      <c r="D7" s="170">
        <v>6</v>
      </c>
      <c r="E7" s="35"/>
      <c r="F7" s="39">
        <f t="shared" si="0"/>
        <v>0</v>
      </c>
      <c r="G7" s="39">
        <f t="shared" si="1"/>
        <v>0</v>
      </c>
    </row>
    <row r="8" spans="1:8" x14ac:dyDescent="0.25">
      <c r="A8" s="42">
        <f t="shared" ref="A8:A49" si="2">A7+1</f>
        <v>4</v>
      </c>
      <c r="B8" s="17" t="s">
        <v>229</v>
      </c>
      <c r="C8" s="27" t="s">
        <v>12</v>
      </c>
      <c r="D8" s="170">
        <f>92-16</f>
        <v>76</v>
      </c>
      <c r="E8" s="94"/>
      <c r="F8" s="95">
        <f t="shared" si="0"/>
        <v>0</v>
      </c>
      <c r="G8" s="95">
        <f t="shared" si="1"/>
        <v>0</v>
      </c>
    </row>
    <row r="9" spans="1:8" x14ac:dyDescent="0.25">
      <c r="A9" s="42">
        <f>A8+1</f>
        <v>5</v>
      </c>
      <c r="B9" s="17" t="s">
        <v>230</v>
      </c>
      <c r="C9" s="27" t="s">
        <v>12</v>
      </c>
      <c r="D9" s="170">
        <v>16</v>
      </c>
      <c r="E9" s="104"/>
      <c r="F9" s="39">
        <f t="shared" si="0"/>
        <v>0</v>
      </c>
      <c r="G9" s="39">
        <f t="shared" si="1"/>
        <v>0</v>
      </c>
      <c r="H9" s="165"/>
    </row>
    <row r="10" spans="1:8" x14ac:dyDescent="0.25">
      <c r="A10" s="42">
        <f t="shared" si="2"/>
        <v>6</v>
      </c>
      <c r="B10" s="17" t="s">
        <v>231</v>
      </c>
      <c r="C10" s="27" t="s">
        <v>18</v>
      </c>
      <c r="D10" s="171">
        <f>276*1.32</f>
        <v>364.32</v>
      </c>
      <c r="E10" s="104"/>
      <c r="F10" s="39">
        <f t="shared" si="0"/>
        <v>0</v>
      </c>
      <c r="G10" s="39">
        <f t="shared" si="1"/>
        <v>0</v>
      </c>
      <c r="H10" s="165"/>
    </row>
    <row r="11" spans="1:8" x14ac:dyDescent="0.25">
      <c r="A11" s="42">
        <f t="shared" si="2"/>
        <v>7</v>
      </c>
      <c r="B11" s="17" t="s">
        <v>232</v>
      </c>
      <c r="C11" s="27" t="s">
        <v>18</v>
      </c>
      <c r="D11" s="171">
        <f>276*0.82</f>
        <v>226.32</v>
      </c>
      <c r="E11" s="35"/>
      <c r="F11" s="39">
        <f t="shared" si="0"/>
        <v>0</v>
      </c>
      <c r="G11" s="39">
        <f t="shared" si="1"/>
        <v>0</v>
      </c>
    </row>
    <row r="12" spans="1:8" x14ac:dyDescent="0.25">
      <c r="A12" s="42">
        <f t="shared" si="2"/>
        <v>8</v>
      </c>
      <c r="B12" s="17" t="s">
        <v>233</v>
      </c>
      <c r="C12" s="27" t="s">
        <v>18</v>
      </c>
      <c r="D12" s="171">
        <f>276*0.09</f>
        <v>24.84</v>
      </c>
      <c r="E12" s="35"/>
      <c r="F12" s="39">
        <f t="shared" si="0"/>
        <v>0</v>
      </c>
      <c r="G12" s="39">
        <f t="shared" si="1"/>
        <v>0</v>
      </c>
    </row>
    <row r="13" spans="1:8" x14ac:dyDescent="0.25">
      <c r="A13" s="42">
        <f t="shared" si="2"/>
        <v>9</v>
      </c>
      <c r="B13" s="17" t="s">
        <v>234</v>
      </c>
      <c r="C13" s="27" t="s">
        <v>12</v>
      </c>
      <c r="D13" s="170">
        <v>527</v>
      </c>
      <c r="E13" s="104"/>
      <c r="F13" s="39">
        <f t="shared" si="0"/>
        <v>0</v>
      </c>
      <c r="G13" s="39">
        <f t="shared" si="1"/>
        <v>0</v>
      </c>
      <c r="H13" s="174"/>
    </row>
    <row r="14" spans="1:8" x14ac:dyDescent="0.25">
      <c r="A14" s="42"/>
      <c r="B14" s="22" t="s">
        <v>235</v>
      </c>
      <c r="C14" s="125"/>
      <c r="D14" s="128"/>
      <c r="E14" s="35"/>
      <c r="F14" s="39">
        <f t="shared" si="0"/>
        <v>0</v>
      </c>
      <c r="G14" s="39">
        <f t="shared" si="1"/>
        <v>0</v>
      </c>
      <c r="H14" s="165"/>
    </row>
    <row r="15" spans="1:8" x14ac:dyDescent="0.25">
      <c r="A15" s="42">
        <f>A13+1</f>
        <v>10</v>
      </c>
      <c r="B15" s="17" t="s">
        <v>236</v>
      </c>
      <c r="C15" s="27" t="s">
        <v>12</v>
      </c>
      <c r="D15" s="170">
        <v>2112</v>
      </c>
      <c r="E15" s="35"/>
      <c r="F15" s="39">
        <f t="shared" si="0"/>
        <v>0</v>
      </c>
      <c r="G15" s="39">
        <f t="shared" si="1"/>
        <v>0</v>
      </c>
      <c r="H15" s="165"/>
    </row>
    <row r="16" spans="1:8" x14ac:dyDescent="0.25">
      <c r="A16" s="42">
        <f t="shared" si="2"/>
        <v>11</v>
      </c>
      <c r="B16" s="17" t="s">
        <v>237</v>
      </c>
      <c r="C16" s="27" t="s">
        <v>12</v>
      </c>
      <c r="D16" s="170">
        <v>2112</v>
      </c>
      <c r="E16" s="35"/>
      <c r="F16" s="39">
        <f t="shared" si="0"/>
        <v>0</v>
      </c>
      <c r="G16" s="39">
        <f t="shared" si="1"/>
        <v>0</v>
      </c>
    </row>
    <row r="17" spans="1:7" x14ac:dyDescent="0.25">
      <c r="A17" s="42">
        <f t="shared" si="2"/>
        <v>12</v>
      </c>
      <c r="B17" s="17" t="s">
        <v>238</v>
      </c>
      <c r="C17" s="27" t="s">
        <v>12</v>
      </c>
      <c r="D17" s="170">
        <v>2112</v>
      </c>
      <c r="E17" s="35"/>
      <c r="F17" s="39">
        <f t="shared" ref="F17:F22" si="3">ROUND(E17*D17,2)</f>
        <v>0</v>
      </c>
      <c r="G17" s="39">
        <f t="shared" ref="G17:G22" si="4">ROUND(F17*1.2,2)</f>
        <v>0</v>
      </c>
    </row>
    <row r="18" spans="1:7" x14ac:dyDescent="0.25">
      <c r="A18" s="42">
        <f t="shared" si="2"/>
        <v>13</v>
      </c>
      <c r="B18" s="17" t="s">
        <v>239</v>
      </c>
      <c r="C18" s="27" t="s">
        <v>12</v>
      </c>
      <c r="D18" s="170">
        <v>2112</v>
      </c>
      <c r="E18" s="35"/>
      <c r="F18" s="39">
        <f t="shared" si="3"/>
        <v>0</v>
      </c>
      <c r="G18" s="39">
        <f t="shared" si="4"/>
        <v>0</v>
      </c>
    </row>
    <row r="19" spans="1:7" x14ac:dyDescent="0.25">
      <c r="A19" s="42">
        <f t="shared" si="2"/>
        <v>14</v>
      </c>
      <c r="B19" s="17" t="s">
        <v>240</v>
      </c>
      <c r="C19" s="27" t="s">
        <v>12</v>
      </c>
      <c r="D19" s="170">
        <v>4224</v>
      </c>
      <c r="E19" s="35"/>
      <c r="F19" s="39">
        <f t="shared" si="3"/>
        <v>0</v>
      </c>
      <c r="G19" s="39">
        <f t="shared" si="4"/>
        <v>0</v>
      </c>
    </row>
    <row r="20" spans="1:7" x14ac:dyDescent="0.25">
      <c r="A20" s="42">
        <f t="shared" si="2"/>
        <v>15</v>
      </c>
      <c r="B20" s="17" t="s">
        <v>241</v>
      </c>
      <c r="C20" s="27" t="s">
        <v>12</v>
      </c>
      <c r="D20" s="170">
        <v>1056</v>
      </c>
      <c r="E20" s="35"/>
      <c r="F20" s="39">
        <f t="shared" si="3"/>
        <v>0</v>
      </c>
      <c r="G20" s="39">
        <f t="shared" si="4"/>
        <v>0</v>
      </c>
    </row>
    <row r="21" spans="1:7" x14ac:dyDescent="0.25">
      <c r="A21" s="42">
        <f t="shared" si="2"/>
        <v>16</v>
      </c>
      <c r="B21" s="17" t="s">
        <v>242</v>
      </c>
      <c r="C21" s="27" t="s">
        <v>12</v>
      </c>
      <c r="D21" s="170">
        <v>1056</v>
      </c>
      <c r="E21" s="35"/>
      <c r="F21" s="39">
        <f t="shared" si="3"/>
        <v>0</v>
      </c>
      <c r="G21" s="39">
        <f t="shared" si="4"/>
        <v>0</v>
      </c>
    </row>
    <row r="22" spans="1:7" x14ac:dyDescent="0.25">
      <c r="A22" s="42">
        <f t="shared" si="2"/>
        <v>17</v>
      </c>
      <c r="B22" s="17" t="s">
        <v>243</v>
      </c>
      <c r="C22" s="27" t="s">
        <v>12</v>
      </c>
      <c r="D22" s="170">
        <v>1056</v>
      </c>
      <c r="E22" s="35"/>
      <c r="F22" s="39">
        <f t="shared" si="3"/>
        <v>0</v>
      </c>
      <c r="G22" s="39">
        <f t="shared" si="4"/>
        <v>0</v>
      </c>
    </row>
    <row r="23" spans="1:7" x14ac:dyDescent="0.25">
      <c r="A23" s="42"/>
      <c r="B23" s="22" t="s">
        <v>244</v>
      </c>
      <c r="C23" s="125"/>
      <c r="D23" s="128"/>
      <c r="E23" s="35"/>
      <c r="F23" s="39"/>
      <c r="G23" s="39"/>
    </row>
    <row r="24" spans="1:7" x14ac:dyDescent="0.25">
      <c r="A24" s="42">
        <f>A22+1</f>
        <v>18</v>
      </c>
      <c r="B24" s="17" t="s">
        <v>245</v>
      </c>
      <c r="C24" s="125" t="s">
        <v>246</v>
      </c>
      <c r="D24" s="170">
        <v>13</v>
      </c>
      <c r="E24" s="35"/>
      <c r="F24" s="39">
        <f t="shared" ref="F24:F37" si="5">ROUND(E24*D24,2)</f>
        <v>0</v>
      </c>
      <c r="G24" s="39">
        <f t="shared" ref="G24:G37" si="6">ROUND(F24*1.2,2)</f>
        <v>0</v>
      </c>
    </row>
    <row r="25" spans="1:7" x14ac:dyDescent="0.25">
      <c r="A25" s="42">
        <f t="shared" si="2"/>
        <v>19</v>
      </c>
      <c r="B25" s="17" t="s">
        <v>247</v>
      </c>
      <c r="C25" s="125" t="s">
        <v>246</v>
      </c>
      <c r="D25" s="170">
        <v>2</v>
      </c>
      <c r="E25" s="35"/>
      <c r="F25" s="39">
        <f t="shared" si="5"/>
        <v>0</v>
      </c>
      <c r="G25" s="39">
        <f t="shared" si="6"/>
        <v>0</v>
      </c>
    </row>
    <row r="26" spans="1:7" x14ac:dyDescent="0.25">
      <c r="A26" s="42">
        <f t="shared" si="2"/>
        <v>20</v>
      </c>
      <c r="B26" s="17" t="s">
        <v>248</v>
      </c>
      <c r="C26" s="125" t="s">
        <v>246</v>
      </c>
      <c r="D26" s="170">
        <v>2</v>
      </c>
      <c r="E26" s="35"/>
      <c r="F26" s="39">
        <f t="shared" si="5"/>
        <v>0</v>
      </c>
      <c r="G26" s="39">
        <f t="shared" si="6"/>
        <v>0</v>
      </c>
    </row>
    <row r="27" spans="1:7" x14ac:dyDescent="0.25">
      <c r="A27" s="42">
        <f t="shared" si="2"/>
        <v>21</v>
      </c>
      <c r="B27" s="17" t="s">
        <v>249</v>
      </c>
      <c r="C27" s="27" t="s">
        <v>12</v>
      </c>
      <c r="D27" s="170">
        <v>15</v>
      </c>
      <c r="E27" s="35"/>
      <c r="F27" s="39">
        <f t="shared" si="5"/>
        <v>0</v>
      </c>
      <c r="G27" s="39">
        <f t="shared" si="6"/>
        <v>0</v>
      </c>
    </row>
    <row r="28" spans="1:7" x14ac:dyDescent="0.25">
      <c r="A28" s="42">
        <f t="shared" si="2"/>
        <v>22</v>
      </c>
      <c r="B28" s="17" t="s">
        <v>250</v>
      </c>
      <c r="C28" s="27" t="s">
        <v>12</v>
      </c>
      <c r="D28" s="170">
        <v>15</v>
      </c>
      <c r="E28" s="35"/>
      <c r="F28" s="39">
        <f t="shared" si="5"/>
        <v>0</v>
      </c>
      <c r="G28" s="39">
        <f t="shared" si="6"/>
        <v>0</v>
      </c>
    </row>
    <row r="29" spans="1:7" x14ac:dyDescent="0.25">
      <c r="A29" s="42">
        <f t="shared" si="2"/>
        <v>23</v>
      </c>
      <c r="B29" s="17" t="s">
        <v>251</v>
      </c>
      <c r="C29" s="27" t="s">
        <v>12</v>
      </c>
      <c r="D29" s="170">
        <v>30</v>
      </c>
      <c r="E29" s="35"/>
      <c r="F29" s="39">
        <f t="shared" si="5"/>
        <v>0</v>
      </c>
      <c r="G29" s="39">
        <f t="shared" si="6"/>
        <v>0</v>
      </c>
    </row>
    <row r="30" spans="1:7" x14ac:dyDescent="0.25">
      <c r="A30" s="42">
        <f t="shared" si="2"/>
        <v>24</v>
      </c>
      <c r="B30" s="17" t="s">
        <v>252</v>
      </c>
      <c r="C30" s="27" t="s">
        <v>12</v>
      </c>
      <c r="D30" s="170">
        <v>30</v>
      </c>
      <c r="E30" s="35"/>
      <c r="F30" s="39">
        <f t="shared" si="5"/>
        <v>0</v>
      </c>
      <c r="G30" s="39">
        <f t="shared" si="6"/>
        <v>0</v>
      </c>
    </row>
    <row r="31" spans="1:7" x14ac:dyDescent="0.25">
      <c r="A31" s="42">
        <f t="shared" si="2"/>
        <v>25</v>
      </c>
      <c r="B31" s="17" t="s">
        <v>253</v>
      </c>
      <c r="C31" s="27" t="s">
        <v>12</v>
      </c>
      <c r="D31" s="170">
        <v>30</v>
      </c>
      <c r="E31" s="35"/>
      <c r="F31" s="39">
        <f t="shared" si="5"/>
        <v>0</v>
      </c>
      <c r="G31" s="39">
        <f t="shared" si="6"/>
        <v>0</v>
      </c>
    </row>
    <row r="32" spans="1:7" x14ac:dyDescent="0.25">
      <c r="A32" s="42">
        <f t="shared" si="2"/>
        <v>26</v>
      </c>
      <c r="B32" s="17" t="s">
        <v>212</v>
      </c>
      <c r="C32" s="27" t="s">
        <v>12</v>
      </c>
      <c r="D32" s="170">
        <v>136</v>
      </c>
      <c r="E32" s="35"/>
      <c r="F32" s="39">
        <f t="shared" si="5"/>
        <v>0</v>
      </c>
      <c r="G32" s="39">
        <f t="shared" si="6"/>
        <v>0</v>
      </c>
    </row>
    <row r="33" spans="1:8" x14ac:dyDescent="0.25">
      <c r="A33" s="42">
        <f t="shared" si="2"/>
        <v>27</v>
      </c>
      <c r="B33" s="17" t="s">
        <v>254</v>
      </c>
      <c r="C33" s="27" t="s">
        <v>12</v>
      </c>
      <c r="D33" s="170">
        <v>136</v>
      </c>
      <c r="E33" s="35"/>
      <c r="F33" s="39">
        <f t="shared" si="5"/>
        <v>0</v>
      </c>
      <c r="G33" s="39">
        <f t="shared" si="6"/>
        <v>0</v>
      </c>
    </row>
    <row r="34" spans="1:8" x14ac:dyDescent="0.25">
      <c r="A34" s="42">
        <f t="shared" si="2"/>
        <v>28</v>
      </c>
      <c r="B34" s="17" t="s">
        <v>252</v>
      </c>
      <c r="C34" s="27" t="s">
        <v>12</v>
      </c>
      <c r="D34" s="170">
        <v>136</v>
      </c>
      <c r="E34" s="35"/>
      <c r="F34" s="39">
        <f t="shared" si="5"/>
        <v>0</v>
      </c>
      <c r="G34" s="39">
        <f t="shared" si="6"/>
        <v>0</v>
      </c>
    </row>
    <row r="35" spans="1:8" x14ac:dyDescent="0.25">
      <c r="A35" s="42">
        <f t="shared" si="2"/>
        <v>29</v>
      </c>
      <c r="B35" s="17" t="s">
        <v>253</v>
      </c>
      <c r="C35" s="27" t="s">
        <v>12</v>
      </c>
      <c r="D35" s="170">
        <v>136</v>
      </c>
      <c r="E35" s="35"/>
      <c r="F35" s="39">
        <f t="shared" si="5"/>
        <v>0</v>
      </c>
      <c r="G35" s="39">
        <f t="shared" si="6"/>
        <v>0</v>
      </c>
    </row>
    <row r="36" spans="1:8" x14ac:dyDescent="0.25">
      <c r="A36" s="42">
        <f t="shared" si="2"/>
        <v>30</v>
      </c>
      <c r="B36" s="17" t="s">
        <v>255</v>
      </c>
      <c r="C36" s="27" t="s">
        <v>12</v>
      </c>
      <c r="D36" s="170">
        <v>272</v>
      </c>
      <c r="E36" s="35"/>
      <c r="F36" s="39">
        <f t="shared" si="5"/>
        <v>0</v>
      </c>
      <c r="G36" s="39">
        <f t="shared" si="6"/>
        <v>0</v>
      </c>
    </row>
    <row r="37" spans="1:8" x14ac:dyDescent="0.25">
      <c r="A37" s="42">
        <f t="shared" si="2"/>
        <v>31</v>
      </c>
      <c r="B37" s="17" t="s">
        <v>256</v>
      </c>
      <c r="C37" s="27" t="s">
        <v>12</v>
      </c>
      <c r="D37" s="170">
        <v>272</v>
      </c>
      <c r="E37" s="35"/>
      <c r="F37" s="39">
        <f t="shared" si="5"/>
        <v>0</v>
      </c>
      <c r="G37" s="39">
        <f t="shared" si="6"/>
        <v>0</v>
      </c>
    </row>
    <row r="38" spans="1:8" s="10" customFormat="1" x14ac:dyDescent="0.25">
      <c r="A38" s="42">
        <f t="shared" si="2"/>
        <v>32</v>
      </c>
      <c r="B38" s="17" t="s">
        <v>213</v>
      </c>
      <c r="C38" s="27" t="s">
        <v>12</v>
      </c>
      <c r="D38" s="170">
        <v>404</v>
      </c>
      <c r="E38" s="104"/>
      <c r="F38" s="39">
        <f t="shared" si="0"/>
        <v>0</v>
      </c>
      <c r="G38" s="39">
        <f t="shared" si="1"/>
        <v>0</v>
      </c>
      <c r="H38" s="176"/>
    </row>
    <row r="39" spans="1:8" s="10" customFormat="1" ht="30" x14ac:dyDescent="0.25">
      <c r="A39" s="42"/>
      <c r="B39" s="22" t="s">
        <v>257</v>
      </c>
      <c r="C39" s="125"/>
      <c r="D39" s="128"/>
      <c r="E39" s="104"/>
      <c r="F39" s="39">
        <f t="shared" si="0"/>
        <v>0</v>
      </c>
      <c r="G39" s="40">
        <f t="shared" si="1"/>
        <v>0</v>
      </c>
      <c r="H39" s="176"/>
    </row>
    <row r="40" spans="1:8" s="10" customFormat="1" x14ac:dyDescent="0.25">
      <c r="A40" s="42">
        <f>A38+1</f>
        <v>33</v>
      </c>
      <c r="B40" s="17" t="s">
        <v>258</v>
      </c>
      <c r="C40" s="27" t="s">
        <v>12</v>
      </c>
      <c r="D40" s="170">
        <v>17</v>
      </c>
      <c r="E40" s="104"/>
      <c r="F40" s="39">
        <f t="shared" si="0"/>
        <v>0</v>
      </c>
      <c r="G40" s="39">
        <f t="shared" si="1"/>
        <v>0</v>
      </c>
      <c r="H40" s="176"/>
    </row>
    <row r="41" spans="1:8" s="10" customFormat="1" x14ac:dyDescent="0.25">
      <c r="A41" s="42">
        <f t="shared" si="2"/>
        <v>34</v>
      </c>
      <c r="B41" s="17" t="s">
        <v>259</v>
      </c>
      <c r="C41" s="27" t="s">
        <v>12</v>
      </c>
      <c r="D41" s="170">
        <v>10</v>
      </c>
      <c r="E41" s="104"/>
      <c r="F41" s="39">
        <f t="shared" si="0"/>
        <v>0</v>
      </c>
      <c r="G41" s="39">
        <f t="shared" si="1"/>
        <v>0</v>
      </c>
      <c r="H41" s="177"/>
    </row>
    <row r="42" spans="1:8" x14ac:dyDescent="0.25">
      <c r="A42" s="42">
        <f t="shared" si="2"/>
        <v>35</v>
      </c>
      <c r="B42" s="17" t="s">
        <v>260</v>
      </c>
      <c r="C42" s="27" t="s">
        <v>12</v>
      </c>
      <c r="D42" s="170">
        <v>8</v>
      </c>
      <c r="E42" s="35"/>
      <c r="F42" s="39">
        <f t="shared" si="0"/>
        <v>0</v>
      </c>
      <c r="G42" s="39">
        <f t="shared" si="1"/>
        <v>0</v>
      </c>
    </row>
    <row r="43" spans="1:8" x14ac:dyDescent="0.25">
      <c r="A43" s="42">
        <f t="shared" si="2"/>
        <v>36</v>
      </c>
      <c r="B43" s="17" t="s">
        <v>261</v>
      </c>
      <c r="C43" s="27" t="s">
        <v>12</v>
      </c>
      <c r="D43" s="170">
        <v>4</v>
      </c>
      <c r="E43" s="35"/>
      <c r="F43" s="39">
        <f t="shared" si="0"/>
        <v>0</v>
      </c>
      <c r="G43" s="39">
        <f t="shared" si="1"/>
        <v>0</v>
      </c>
    </row>
    <row r="44" spans="1:8" x14ac:dyDescent="0.25">
      <c r="A44" s="42">
        <f t="shared" si="2"/>
        <v>37</v>
      </c>
      <c r="B44" s="17" t="s">
        <v>262</v>
      </c>
      <c r="C44" s="27" t="s">
        <v>12</v>
      </c>
      <c r="D44" s="170">
        <v>6</v>
      </c>
      <c r="E44" s="35"/>
      <c r="F44" s="39">
        <f t="shared" ref="F44:F49" si="7">ROUND(E44*D44,2)</f>
        <v>0</v>
      </c>
      <c r="G44" s="39">
        <f t="shared" ref="G44:G49" si="8">ROUND(F44*1.2,2)</f>
        <v>0</v>
      </c>
    </row>
    <row r="45" spans="1:8" x14ac:dyDescent="0.25">
      <c r="A45" s="42">
        <f t="shared" si="2"/>
        <v>38</v>
      </c>
      <c r="B45" s="17" t="s">
        <v>263</v>
      </c>
      <c r="C45" s="27" t="s">
        <v>12</v>
      </c>
      <c r="D45" s="170">
        <v>5</v>
      </c>
      <c r="E45" s="35"/>
      <c r="F45" s="39">
        <f t="shared" si="7"/>
        <v>0</v>
      </c>
      <c r="G45" s="39">
        <f t="shared" si="8"/>
        <v>0</v>
      </c>
    </row>
    <row r="46" spans="1:8" x14ac:dyDescent="0.25">
      <c r="A46" s="42">
        <f t="shared" si="2"/>
        <v>39</v>
      </c>
      <c r="B46" s="17" t="s">
        <v>264</v>
      </c>
      <c r="C46" s="27" t="s">
        <v>12</v>
      </c>
      <c r="D46" s="170">
        <v>6</v>
      </c>
      <c r="E46" s="35"/>
      <c r="F46" s="39">
        <f t="shared" si="7"/>
        <v>0</v>
      </c>
      <c r="G46" s="39">
        <f t="shared" si="8"/>
        <v>0</v>
      </c>
    </row>
    <row r="47" spans="1:8" x14ac:dyDescent="0.25">
      <c r="A47" s="42">
        <f t="shared" si="2"/>
        <v>40</v>
      </c>
      <c r="B47" s="17" t="s">
        <v>265</v>
      </c>
      <c r="C47" s="27" t="s">
        <v>12</v>
      </c>
      <c r="D47" s="170">
        <v>4</v>
      </c>
      <c r="E47" s="35"/>
      <c r="F47" s="39">
        <f t="shared" si="7"/>
        <v>0</v>
      </c>
      <c r="G47" s="39">
        <f t="shared" si="8"/>
        <v>0</v>
      </c>
    </row>
    <row r="48" spans="1:8" x14ac:dyDescent="0.25">
      <c r="A48" s="42">
        <f t="shared" si="2"/>
        <v>41</v>
      </c>
      <c r="B48" s="17" t="s">
        <v>266</v>
      </c>
      <c r="C48" s="27" t="s">
        <v>12</v>
      </c>
      <c r="D48" s="170">
        <v>4</v>
      </c>
      <c r="E48" s="35"/>
      <c r="F48" s="39">
        <f t="shared" si="7"/>
        <v>0</v>
      </c>
      <c r="G48" s="39">
        <f t="shared" si="8"/>
        <v>0</v>
      </c>
    </row>
    <row r="49" spans="1:8" x14ac:dyDescent="0.25">
      <c r="A49" s="42">
        <f t="shared" si="2"/>
        <v>42</v>
      </c>
      <c r="B49" s="17" t="s">
        <v>267</v>
      </c>
      <c r="C49" s="27" t="s">
        <v>12</v>
      </c>
      <c r="D49" s="170">
        <v>4</v>
      </c>
      <c r="E49" s="35"/>
      <c r="F49" s="39">
        <f t="shared" si="7"/>
        <v>0</v>
      </c>
      <c r="G49" s="39">
        <f t="shared" si="8"/>
        <v>0</v>
      </c>
    </row>
    <row r="50" spans="1:8" ht="21" customHeight="1" x14ac:dyDescent="0.25">
      <c r="A50" s="131"/>
      <c r="B50" s="100" t="s">
        <v>268</v>
      </c>
      <c r="C50" s="27"/>
      <c r="D50" s="69"/>
      <c r="E50" s="104"/>
      <c r="F50" s="40"/>
      <c r="G50" s="40"/>
    </row>
    <row r="51" spans="1:8" x14ac:dyDescent="0.25">
      <c r="A51" s="42">
        <f>A49+1</f>
        <v>43</v>
      </c>
      <c r="B51" s="17" t="s">
        <v>221</v>
      </c>
      <c r="C51" s="125" t="s">
        <v>2</v>
      </c>
      <c r="D51" s="171">
        <v>146.52000000000001</v>
      </c>
      <c r="E51" s="35">
        <v>1000</v>
      </c>
      <c r="F51" s="39">
        <f t="shared" ref="F51" si="9">ROUND(E51*D51,2)</f>
        <v>146520</v>
      </c>
      <c r="G51" s="39">
        <f t="shared" ref="G51" si="10">ROUND(F51*1.2,2)</f>
        <v>175824</v>
      </c>
    </row>
    <row r="52" spans="1:8" ht="20.25" customHeight="1" x14ac:dyDescent="0.25">
      <c r="A52" s="131"/>
      <c r="B52" s="100" t="s">
        <v>269</v>
      </c>
      <c r="C52" s="125"/>
      <c r="D52" s="127"/>
      <c r="E52" s="104"/>
      <c r="F52" s="40"/>
      <c r="G52" s="40"/>
    </row>
    <row r="53" spans="1:8" x14ac:dyDescent="0.25">
      <c r="A53" s="42">
        <f>A51+1</f>
        <v>44</v>
      </c>
      <c r="B53" s="17" t="s">
        <v>85</v>
      </c>
      <c r="C53" s="125" t="s">
        <v>2</v>
      </c>
      <c r="D53" s="171">
        <v>549.42999999999995</v>
      </c>
      <c r="E53" s="35">
        <v>5100</v>
      </c>
      <c r="F53" s="39">
        <f t="shared" ref="F53" si="11">ROUND(E53*D53,2)</f>
        <v>2802093</v>
      </c>
      <c r="G53" s="39">
        <f t="shared" ref="G53" si="12">ROUND(F53*1.2,2)</f>
        <v>3362511.6</v>
      </c>
    </row>
    <row r="54" spans="1:8" s="1" customFormat="1" x14ac:dyDescent="0.25">
      <c r="A54" s="32"/>
      <c r="B54" s="214" t="s">
        <v>86</v>
      </c>
      <c r="C54" s="215"/>
      <c r="D54" s="215"/>
      <c r="E54" s="216"/>
      <c r="F54" s="47">
        <f>SUM(F5:F53)</f>
        <v>2948613</v>
      </c>
      <c r="G54" s="47">
        <f>SUM(G5:G53)</f>
        <v>3538335.6</v>
      </c>
      <c r="H54" s="178"/>
    </row>
    <row r="57" spans="1:8" x14ac:dyDescent="0.25">
      <c r="B57" s="9"/>
      <c r="G57" s="3"/>
    </row>
  </sheetData>
  <mergeCells count="7">
    <mergeCell ref="B54:E54"/>
    <mergeCell ref="E1:G1"/>
    <mergeCell ref="A1:A2"/>
    <mergeCell ref="B1:B2"/>
    <mergeCell ref="C1:C2"/>
    <mergeCell ref="D1:D2"/>
    <mergeCell ref="A4:B4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H177"/>
  <sheetViews>
    <sheetView topLeftCell="A166" zoomScaleNormal="100" zoomScaleSheetLayoutView="100" workbookViewId="0">
      <selection activeCell="H100" sqref="H100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23.140625" style="182" customWidth="1"/>
  </cols>
  <sheetData>
    <row r="1" spans="1:8" x14ac:dyDescent="0.25">
      <c r="A1" s="222" t="s">
        <v>13</v>
      </c>
      <c r="B1" s="230" t="s">
        <v>9</v>
      </c>
      <c r="C1" s="230" t="s">
        <v>15</v>
      </c>
      <c r="D1" s="230" t="s">
        <v>10</v>
      </c>
      <c r="E1" s="230" t="s">
        <v>524</v>
      </c>
      <c r="F1" s="230"/>
      <c r="G1" s="230"/>
    </row>
    <row r="2" spans="1:8" ht="42.75" x14ac:dyDescent="0.25">
      <c r="A2" s="222"/>
      <c r="B2" s="230"/>
      <c r="C2" s="230"/>
      <c r="D2" s="230"/>
      <c r="E2" s="29" t="s">
        <v>45</v>
      </c>
      <c r="F2" s="29" t="s">
        <v>43</v>
      </c>
      <c r="G2" s="38" t="s">
        <v>28</v>
      </c>
    </row>
    <row r="3" spans="1:8" ht="17.2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17.25" customHeight="1" x14ac:dyDescent="0.25">
      <c r="A4" s="60"/>
      <c r="B4" s="220" t="s">
        <v>282</v>
      </c>
      <c r="C4" s="231"/>
      <c r="D4" s="221"/>
      <c r="E4" s="62"/>
      <c r="F4" s="63"/>
      <c r="G4" s="51"/>
    </row>
    <row r="5" spans="1:8" x14ac:dyDescent="0.25">
      <c r="A5" s="60"/>
      <c r="B5" s="220" t="s">
        <v>283</v>
      </c>
      <c r="C5" s="231"/>
      <c r="D5" s="221"/>
      <c r="E5" s="62"/>
      <c r="F5" s="63"/>
      <c r="G5" s="51"/>
    </row>
    <row r="6" spans="1:8" ht="18" customHeight="1" x14ac:dyDescent="0.25">
      <c r="A6" s="58"/>
      <c r="B6" s="25" t="s">
        <v>51</v>
      </c>
      <c r="C6" s="66"/>
      <c r="D6" s="66"/>
      <c r="E6" s="68"/>
      <c r="F6" s="26"/>
      <c r="G6" s="73"/>
    </row>
    <row r="7" spans="1:8" ht="35.25" customHeight="1" x14ac:dyDescent="0.25">
      <c r="A7" s="134">
        <v>1</v>
      </c>
      <c r="B7" s="17" t="s">
        <v>512</v>
      </c>
      <c r="C7" s="45" t="s">
        <v>2</v>
      </c>
      <c r="D7" s="170">
        <v>322</v>
      </c>
      <c r="E7" s="75">
        <v>630</v>
      </c>
      <c r="F7" s="39">
        <f>ROUND(E7*D7,2)</f>
        <v>202860</v>
      </c>
      <c r="G7" s="39">
        <f>ROUND(F7*1.2,2)</f>
        <v>243432</v>
      </c>
    </row>
    <row r="8" spans="1:8" ht="18" customHeight="1" x14ac:dyDescent="0.25">
      <c r="A8" s="134">
        <f>A7+1</f>
        <v>2</v>
      </c>
      <c r="B8" s="17" t="s">
        <v>52</v>
      </c>
      <c r="C8" s="16" t="s">
        <v>2</v>
      </c>
      <c r="D8" s="179">
        <v>10</v>
      </c>
      <c r="E8" s="271">
        <v>1688.15</v>
      </c>
      <c r="F8" s="39">
        <f t="shared" ref="F8:F14" si="0">ROUND(E8*D8,2)</f>
        <v>16881.5</v>
      </c>
      <c r="G8" s="39">
        <f t="shared" ref="G8:G14" si="1">ROUND(F8*1.2,2)</f>
        <v>20257.8</v>
      </c>
    </row>
    <row r="9" spans="1:8" ht="18" customHeight="1" x14ac:dyDescent="0.25">
      <c r="A9" s="134">
        <f t="shared" ref="A9:A14" si="2">A8+1</f>
        <v>3</v>
      </c>
      <c r="B9" s="17" t="s">
        <v>55</v>
      </c>
      <c r="C9" s="16" t="s">
        <v>2</v>
      </c>
      <c r="D9" s="180">
        <v>2.2999999999999998</v>
      </c>
      <c r="E9" s="271">
        <v>1310.05</v>
      </c>
      <c r="F9" s="39">
        <f t="shared" si="0"/>
        <v>3013.12</v>
      </c>
      <c r="G9" s="39">
        <f t="shared" si="1"/>
        <v>3615.74</v>
      </c>
    </row>
    <row r="10" spans="1:8" ht="18" customHeight="1" x14ac:dyDescent="0.25">
      <c r="A10" s="134">
        <f t="shared" si="2"/>
        <v>4</v>
      </c>
      <c r="B10" s="17" t="s">
        <v>56</v>
      </c>
      <c r="C10" s="16" t="s">
        <v>2</v>
      </c>
      <c r="D10" s="179">
        <v>12</v>
      </c>
      <c r="E10" s="271">
        <v>1310.05</v>
      </c>
      <c r="F10" s="39">
        <f t="shared" si="0"/>
        <v>15720.6</v>
      </c>
      <c r="G10" s="39">
        <f t="shared" si="1"/>
        <v>18864.72</v>
      </c>
    </row>
    <row r="11" spans="1:8" ht="18" customHeight="1" x14ac:dyDescent="0.25">
      <c r="A11" s="134">
        <f t="shared" si="2"/>
        <v>5</v>
      </c>
      <c r="B11" s="17" t="s">
        <v>53</v>
      </c>
      <c r="C11" s="16" t="s">
        <v>2</v>
      </c>
      <c r="D11" s="179">
        <v>294</v>
      </c>
      <c r="E11" s="271">
        <v>118.75</v>
      </c>
      <c r="F11" s="39">
        <f t="shared" si="0"/>
        <v>34912.5</v>
      </c>
      <c r="G11" s="39">
        <f t="shared" si="1"/>
        <v>41895</v>
      </c>
    </row>
    <row r="12" spans="1:8" ht="18" customHeight="1" x14ac:dyDescent="0.25">
      <c r="A12" s="134">
        <f t="shared" si="2"/>
        <v>6</v>
      </c>
      <c r="B12" s="17" t="s">
        <v>72</v>
      </c>
      <c r="C12" s="16" t="s">
        <v>2</v>
      </c>
      <c r="D12" s="179">
        <v>15</v>
      </c>
      <c r="E12" s="271">
        <v>854.05</v>
      </c>
      <c r="F12" s="39">
        <f t="shared" si="0"/>
        <v>12810.75</v>
      </c>
      <c r="G12" s="39">
        <f t="shared" si="1"/>
        <v>15372.9</v>
      </c>
    </row>
    <row r="13" spans="1:8" ht="18" customHeight="1" x14ac:dyDescent="0.25">
      <c r="A13" s="134">
        <f t="shared" si="2"/>
        <v>7</v>
      </c>
      <c r="B13" s="17" t="s">
        <v>48</v>
      </c>
      <c r="C13" s="16" t="s">
        <v>2</v>
      </c>
      <c r="D13" s="181">
        <v>294</v>
      </c>
      <c r="E13" s="271">
        <v>188.1</v>
      </c>
      <c r="F13" s="39">
        <f t="shared" si="0"/>
        <v>55301.4</v>
      </c>
      <c r="G13" s="39">
        <f t="shared" si="1"/>
        <v>66361.679999999993</v>
      </c>
    </row>
    <row r="14" spans="1:8" ht="18" customHeight="1" x14ac:dyDescent="0.25">
      <c r="A14" s="258">
        <f t="shared" si="2"/>
        <v>8</v>
      </c>
      <c r="B14" s="259" t="s">
        <v>54</v>
      </c>
      <c r="C14" s="260" t="s">
        <v>2</v>
      </c>
      <c r="D14" s="261">
        <v>23</v>
      </c>
      <c r="E14" s="263">
        <v>494</v>
      </c>
      <c r="F14" s="264">
        <f t="shared" si="0"/>
        <v>11362</v>
      </c>
      <c r="G14" s="264">
        <f t="shared" si="1"/>
        <v>13634.4</v>
      </c>
      <c r="H14" s="182" t="s">
        <v>540</v>
      </c>
    </row>
    <row r="15" spans="1:8" ht="18" customHeight="1" x14ac:dyDescent="0.25">
      <c r="A15" s="58"/>
      <c r="B15" s="12" t="s">
        <v>57</v>
      </c>
      <c r="C15" s="66"/>
      <c r="D15" s="66"/>
      <c r="E15" s="68"/>
      <c r="F15" s="26"/>
      <c r="G15" s="73"/>
    </row>
    <row r="16" spans="1:8" ht="30.75" customHeight="1" x14ac:dyDescent="0.25">
      <c r="A16" s="134">
        <v>9</v>
      </c>
      <c r="B16" s="113" t="s">
        <v>299</v>
      </c>
      <c r="C16" s="110" t="s">
        <v>3</v>
      </c>
      <c r="D16" s="180">
        <v>31</v>
      </c>
      <c r="E16" s="75">
        <v>1493</v>
      </c>
      <c r="F16" s="112">
        <f t="shared" ref="F16" si="3">ROUND(E16*D16,2)</f>
        <v>46283</v>
      </c>
      <c r="G16" s="112">
        <f t="shared" ref="G16" si="4">ROUND(F16*1.2,2)</f>
        <v>55539.6</v>
      </c>
      <c r="H16" s="174"/>
    </row>
    <row r="17" spans="1:8" ht="42.75" customHeight="1" x14ac:dyDescent="0.25">
      <c r="A17" s="134">
        <f>A16+1</f>
        <v>10</v>
      </c>
      <c r="B17" s="113" t="s">
        <v>298</v>
      </c>
      <c r="C17" s="110" t="s">
        <v>3</v>
      </c>
      <c r="D17" s="180">
        <v>14.3</v>
      </c>
      <c r="E17" s="271">
        <v>4603.7</v>
      </c>
      <c r="F17" s="112">
        <f t="shared" ref="F17:F18" si="5">ROUND(E17*D17,2)</f>
        <v>65832.91</v>
      </c>
      <c r="G17" s="112">
        <f t="shared" ref="G17:G18" si="6">ROUND(F17*1.2,2)</f>
        <v>78999.490000000005</v>
      </c>
    </row>
    <row r="18" spans="1:8" ht="15.75" x14ac:dyDescent="0.25">
      <c r="A18" s="134">
        <f t="shared" ref="A18:A19" si="7">A17+1</f>
        <v>11</v>
      </c>
      <c r="B18" s="17" t="s">
        <v>73</v>
      </c>
      <c r="C18" s="16" t="s">
        <v>74</v>
      </c>
      <c r="D18" s="181">
        <v>1</v>
      </c>
      <c r="E18" s="74">
        <v>3397</v>
      </c>
      <c r="F18" s="39">
        <f t="shared" si="5"/>
        <v>3397</v>
      </c>
      <c r="G18" s="39">
        <f t="shared" si="6"/>
        <v>4076.4</v>
      </c>
      <c r="H18" s="182" t="s">
        <v>526</v>
      </c>
    </row>
    <row r="19" spans="1:8" ht="28.5" customHeight="1" x14ac:dyDescent="0.25">
      <c r="A19" s="134">
        <f t="shared" si="7"/>
        <v>12</v>
      </c>
      <c r="B19" s="17" t="s">
        <v>137</v>
      </c>
      <c r="C19" s="16" t="s">
        <v>12</v>
      </c>
      <c r="D19" s="179">
        <v>2</v>
      </c>
      <c r="E19" s="75">
        <v>10242.23</v>
      </c>
      <c r="F19" s="112">
        <f t="shared" ref="F19:F29" si="8">ROUND(E19*D19,2)</f>
        <v>20484.46</v>
      </c>
      <c r="G19" s="112">
        <f t="shared" ref="G19:G29" si="9">ROUND(F19*1.2,2)</f>
        <v>24581.35</v>
      </c>
      <c r="H19" s="184"/>
    </row>
    <row r="20" spans="1:8" ht="29.25" customHeight="1" x14ac:dyDescent="0.25">
      <c r="A20" s="134">
        <f t="shared" ref="A20:A29" si="10">A19+1</f>
        <v>13</v>
      </c>
      <c r="B20" s="17" t="s">
        <v>138</v>
      </c>
      <c r="C20" s="16" t="s">
        <v>12</v>
      </c>
      <c r="D20" s="179">
        <v>2</v>
      </c>
      <c r="E20" s="75">
        <v>6691.94</v>
      </c>
      <c r="F20" s="112">
        <f t="shared" si="8"/>
        <v>13383.88</v>
      </c>
      <c r="G20" s="112">
        <f t="shared" si="9"/>
        <v>16060.66</v>
      </c>
      <c r="H20" s="172"/>
    </row>
    <row r="21" spans="1:8" ht="28.5" customHeight="1" x14ac:dyDescent="0.25">
      <c r="A21" s="134">
        <f t="shared" si="10"/>
        <v>14</v>
      </c>
      <c r="B21" s="17" t="s">
        <v>158</v>
      </c>
      <c r="C21" s="16" t="s">
        <v>12</v>
      </c>
      <c r="D21" s="181">
        <v>36</v>
      </c>
      <c r="E21" s="75">
        <v>3500</v>
      </c>
      <c r="F21" s="112">
        <f t="shared" si="8"/>
        <v>126000</v>
      </c>
      <c r="G21" s="112">
        <f t="shared" si="9"/>
        <v>151200</v>
      </c>
      <c r="H21" s="172" t="s">
        <v>526</v>
      </c>
    </row>
    <row r="22" spans="1:8" ht="28.5" customHeight="1" x14ac:dyDescent="0.25">
      <c r="A22" s="134">
        <f t="shared" si="10"/>
        <v>15</v>
      </c>
      <c r="B22" s="17" t="s">
        <v>139</v>
      </c>
      <c r="C22" s="16" t="s">
        <v>12</v>
      </c>
      <c r="D22" s="179">
        <v>36</v>
      </c>
      <c r="E22" s="75">
        <v>210.41</v>
      </c>
      <c r="F22" s="112">
        <f t="shared" si="8"/>
        <v>7574.76</v>
      </c>
      <c r="G22" s="112">
        <f t="shared" si="9"/>
        <v>9089.7099999999991</v>
      </c>
      <c r="H22" s="172"/>
    </row>
    <row r="23" spans="1:8" ht="45.75" customHeight="1" x14ac:dyDescent="0.25">
      <c r="A23" s="134">
        <f t="shared" si="10"/>
        <v>16</v>
      </c>
      <c r="B23" s="17" t="s">
        <v>140</v>
      </c>
      <c r="C23" s="16" t="s">
        <v>12</v>
      </c>
      <c r="D23" s="181">
        <v>2</v>
      </c>
      <c r="E23" s="75">
        <v>1207.4100000000001</v>
      </c>
      <c r="F23" s="112">
        <f t="shared" si="8"/>
        <v>2414.8200000000002</v>
      </c>
      <c r="G23" s="112">
        <f t="shared" si="9"/>
        <v>2897.78</v>
      </c>
      <c r="H23" s="172" t="s">
        <v>526</v>
      </c>
    </row>
    <row r="24" spans="1:8" ht="46.5" customHeight="1" x14ac:dyDescent="0.25">
      <c r="A24" s="134">
        <f t="shared" si="10"/>
        <v>17</v>
      </c>
      <c r="B24" s="17" t="s">
        <v>141</v>
      </c>
      <c r="C24" s="16" t="s">
        <v>12</v>
      </c>
      <c r="D24" s="179">
        <v>2</v>
      </c>
      <c r="E24" s="75">
        <v>7231.84</v>
      </c>
      <c r="F24" s="112">
        <f t="shared" si="8"/>
        <v>14463.68</v>
      </c>
      <c r="G24" s="112">
        <f t="shared" si="9"/>
        <v>17356.419999999998</v>
      </c>
      <c r="H24" s="172"/>
    </row>
    <row r="25" spans="1:8" ht="47.25" customHeight="1" x14ac:dyDescent="0.25">
      <c r="A25" s="134">
        <f t="shared" si="10"/>
        <v>18</v>
      </c>
      <c r="B25" s="17" t="s">
        <v>142</v>
      </c>
      <c r="C25" s="16" t="s">
        <v>12</v>
      </c>
      <c r="D25" s="179">
        <v>1</v>
      </c>
      <c r="E25" s="75">
        <v>12816.51</v>
      </c>
      <c r="F25" s="112">
        <f t="shared" si="8"/>
        <v>12816.51</v>
      </c>
      <c r="G25" s="112">
        <f t="shared" si="9"/>
        <v>15379.81</v>
      </c>
      <c r="H25" s="172" t="s">
        <v>527</v>
      </c>
    </row>
    <row r="26" spans="1:8" ht="28.5" customHeight="1" x14ac:dyDescent="0.25">
      <c r="A26" s="134">
        <f t="shared" si="10"/>
        <v>19</v>
      </c>
      <c r="B26" s="17" t="s">
        <v>143</v>
      </c>
      <c r="C26" s="16" t="s">
        <v>12</v>
      </c>
      <c r="D26" s="179">
        <v>1</v>
      </c>
      <c r="E26" s="75">
        <v>3933.74</v>
      </c>
      <c r="F26" s="112">
        <f t="shared" si="8"/>
        <v>3933.74</v>
      </c>
      <c r="G26" s="112">
        <f t="shared" si="9"/>
        <v>4720.49</v>
      </c>
      <c r="H26" s="172"/>
    </row>
    <row r="27" spans="1:8" ht="28.5" customHeight="1" x14ac:dyDescent="0.25">
      <c r="A27" s="134">
        <f t="shared" si="10"/>
        <v>20</v>
      </c>
      <c r="B27" s="17" t="s">
        <v>144</v>
      </c>
      <c r="C27" s="16" t="s">
        <v>12</v>
      </c>
      <c r="D27" s="179">
        <v>1</v>
      </c>
      <c r="E27" s="75">
        <v>10242.219999999999</v>
      </c>
      <c r="F27" s="112">
        <f t="shared" si="8"/>
        <v>10242.219999999999</v>
      </c>
      <c r="G27" s="112">
        <f t="shared" si="9"/>
        <v>12290.66</v>
      </c>
      <c r="H27" s="172"/>
    </row>
    <row r="28" spans="1:8" ht="28.5" customHeight="1" x14ac:dyDescent="0.25">
      <c r="A28" s="134">
        <f t="shared" si="10"/>
        <v>21</v>
      </c>
      <c r="B28" s="17" t="s">
        <v>300</v>
      </c>
      <c r="C28" s="16" t="s">
        <v>12</v>
      </c>
      <c r="D28" s="180">
        <v>2.2999999999999998</v>
      </c>
      <c r="E28" s="74">
        <v>9227.06</v>
      </c>
      <c r="F28" s="112">
        <f t="shared" si="8"/>
        <v>21222.240000000002</v>
      </c>
      <c r="G28" s="112">
        <f t="shared" si="9"/>
        <v>25466.69</v>
      </c>
      <c r="H28" s="182" t="s">
        <v>526</v>
      </c>
    </row>
    <row r="29" spans="1:8" ht="28.5" customHeight="1" x14ac:dyDescent="0.25">
      <c r="A29" s="134">
        <f t="shared" si="10"/>
        <v>22</v>
      </c>
      <c r="B29" s="103" t="s">
        <v>145</v>
      </c>
      <c r="C29" s="27" t="s">
        <v>186</v>
      </c>
      <c r="D29" s="181">
        <v>1</v>
      </c>
      <c r="E29" s="74">
        <v>35713.949999999997</v>
      </c>
      <c r="F29" s="40">
        <f t="shared" si="8"/>
        <v>35713.949999999997</v>
      </c>
      <c r="G29" s="40">
        <f t="shared" si="9"/>
        <v>42856.74</v>
      </c>
      <c r="H29" s="182" t="s">
        <v>526</v>
      </c>
    </row>
    <row r="30" spans="1:8" ht="18" customHeight="1" x14ac:dyDescent="0.25">
      <c r="A30" s="58"/>
      <c r="B30" s="12" t="s">
        <v>146</v>
      </c>
      <c r="C30" s="16"/>
      <c r="D30" s="19"/>
      <c r="E30" s="74"/>
      <c r="F30" s="39"/>
      <c r="G30" s="39"/>
    </row>
    <row r="31" spans="1:8" ht="18" customHeight="1" x14ac:dyDescent="0.25">
      <c r="A31" s="134">
        <f>A29+1</f>
        <v>23</v>
      </c>
      <c r="B31" s="17" t="s">
        <v>184</v>
      </c>
      <c r="C31" s="16" t="s">
        <v>2</v>
      </c>
      <c r="D31" s="180">
        <v>0.7</v>
      </c>
      <c r="E31" s="271">
        <v>1350.9</v>
      </c>
      <c r="F31" s="39">
        <f t="shared" ref="F31:F38" si="11">ROUND(E31*D31,2)</f>
        <v>945.63</v>
      </c>
      <c r="G31" s="39">
        <f t="shared" ref="G31:G32" si="12">ROUND(F31*1.2,2)</f>
        <v>1134.76</v>
      </c>
    </row>
    <row r="32" spans="1:8" ht="33.75" customHeight="1" x14ac:dyDescent="0.25">
      <c r="A32" s="134">
        <f>A31+1</f>
        <v>24</v>
      </c>
      <c r="B32" s="17" t="s">
        <v>147</v>
      </c>
      <c r="C32" s="16" t="s">
        <v>2</v>
      </c>
      <c r="D32" s="187">
        <v>1.7350000000000001</v>
      </c>
      <c r="E32" s="271">
        <v>17265.68</v>
      </c>
      <c r="F32" s="39">
        <f t="shared" si="11"/>
        <v>29955.95</v>
      </c>
      <c r="G32" s="39">
        <f t="shared" si="12"/>
        <v>35947.14</v>
      </c>
      <c r="H32" s="182" t="s">
        <v>528</v>
      </c>
    </row>
    <row r="33" spans="1:8" ht="18" customHeight="1" x14ac:dyDescent="0.25">
      <c r="A33" s="58"/>
      <c r="B33" s="12" t="s">
        <v>148</v>
      </c>
      <c r="C33" s="16"/>
      <c r="D33" s="19"/>
      <c r="E33" s="74"/>
      <c r="F33" s="39"/>
      <c r="G33" s="39"/>
    </row>
    <row r="34" spans="1:8" ht="33" customHeight="1" x14ac:dyDescent="0.25">
      <c r="A34" s="134">
        <f>A32+1</f>
        <v>25</v>
      </c>
      <c r="B34" s="17" t="s">
        <v>149</v>
      </c>
      <c r="C34" s="16" t="s">
        <v>12</v>
      </c>
      <c r="D34" s="185">
        <v>1</v>
      </c>
      <c r="E34" s="271">
        <v>13813</v>
      </c>
      <c r="F34" s="39">
        <f t="shared" si="11"/>
        <v>13813</v>
      </c>
      <c r="G34" s="39">
        <f t="shared" ref="G34:G36" si="13">ROUND(F34*1.2,2)</f>
        <v>16575.599999999999</v>
      </c>
      <c r="H34" s="182" t="s">
        <v>529</v>
      </c>
    </row>
    <row r="35" spans="1:8" ht="18" customHeight="1" x14ac:dyDescent="0.25">
      <c r="A35" s="134">
        <f>A34+1</f>
        <v>26</v>
      </c>
      <c r="B35" s="17" t="s">
        <v>185</v>
      </c>
      <c r="C35" s="16" t="s">
        <v>17</v>
      </c>
      <c r="D35" s="180">
        <v>4.4000000000000004</v>
      </c>
      <c r="E35" s="74">
        <v>0</v>
      </c>
      <c r="F35" s="39">
        <f t="shared" si="11"/>
        <v>0</v>
      </c>
      <c r="G35" s="39">
        <f t="shared" si="13"/>
        <v>0</v>
      </c>
    </row>
    <row r="36" spans="1:8" ht="31.5" customHeight="1" x14ac:dyDescent="0.25">
      <c r="A36" s="134">
        <f>A35+1</f>
        <v>27</v>
      </c>
      <c r="B36" s="17" t="s">
        <v>150</v>
      </c>
      <c r="C36" s="16" t="s">
        <v>17</v>
      </c>
      <c r="D36" s="180">
        <v>4.4000000000000004</v>
      </c>
      <c r="E36" s="74">
        <v>0</v>
      </c>
      <c r="F36" s="39">
        <f t="shared" si="11"/>
        <v>0</v>
      </c>
      <c r="G36" s="39">
        <f t="shared" si="13"/>
        <v>0</v>
      </c>
    </row>
    <row r="37" spans="1:8" ht="18" customHeight="1" x14ac:dyDescent="0.25">
      <c r="A37" s="58"/>
      <c r="B37" s="12" t="s">
        <v>151</v>
      </c>
      <c r="C37" s="16"/>
      <c r="D37" s="18"/>
      <c r="E37" s="74"/>
      <c r="F37" s="39"/>
      <c r="G37" s="39"/>
    </row>
    <row r="38" spans="1:8" ht="28.5" customHeight="1" x14ac:dyDescent="0.25">
      <c r="A38" s="134">
        <f>A36+1</f>
        <v>28</v>
      </c>
      <c r="B38" s="17" t="s">
        <v>152</v>
      </c>
      <c r="C38" s="16" t="s">
        <v>3</v>
      </c>
      <c r="D38" s="179">
        <v>31</v>
      </c>
      <c r="E38" s="74">
        <v>769.25</v>
      </c>
      <c r="F38" s="39">
        <f t="shared" si="11"/>
        <v>23846.75</v>
      </c>
      <c r="G38" s="39">
        <f t="shared" ref="G38" si="14">ROUND(F38*1.2,2)</f>
        <v>28616.1</v>
      </c>
      <c r="H38" s="184"/>
    </row>
    <row r="39" spans="1:8" ht="18" customHeight="1" x14ac:dyDescent="0.25">
      <c r="A39" s="60"/>
      <c r="B39" s="220" t="s">
        <v>96</v>
      </c>
      <c r="C39" s="231"/>
      <c r="D39" s="221"/>
      <c r="E39" s="62"/>
      <c r="F39" s="63"/>
      <c r="G39" s="51"/>
    </row>
    <row r="40" spans="1:8" ht="19.5" customHeight="1" x14ac:dyDescent="0.25">
      <c r="A40" s="27"/>
      <c r="B40" s="25" t="s">
        <v>51</v>
      </c>
      <c r="C40" s="27"/>
      <c r="D40" s="59"/>
      <c r="E40" s="107"/>
      <c r="F40" s="67"/>
      <c r="G40" s="108"/>
    </row>
    <row r="41" spans="1:8" ht="27.75" customHeight="1" x14ac:dyDescent="0.25">
      <c r="A41" s="134">
        <v>29</v>
      </c>
      <c r="B41" s="17" t="s">
        <v>512</v>
      </c>
      <c r="C41" s="45" t="s">
        <v>2</v>
      </c>
      <c r="D41" s="170">
        <v>759</v>
      </c>
      <c r="E41" s="74">
        <v>630</v>
      </c>
      <c r="F41" s="39">
        <f>ROUND(E41*D41,2)</f>
        <v>478170</v>
      </c>
      <c r="G41" s="39">
        <f>ROUND(F41*1.2,2)</f>
        <v>573804</v>
      </c>
    </row>
    <row r="42" spans="1:8" ht="18" customHeight="1" x14ac:dyDescent="0.25">
      <c r="A42" s="134">
        <f>A41+1</f>
        <v>30</v>
      </c>
      <c r="B42" s="17" t="s">
        <v>52</v>
      </c>
      <c r="C42" s="16" t="s">
        <v>2</v>
      </c>
      <c r="D42" s="179">
        <v>23</v>
      </c>
      <c r="E42" s="271">
        <v>1688.15</v>
      </c>
      <c r="F42" s="39">
        <f t="shared" ref="F42:F48" si="15">ROUND(E42*D42,2)</f>
        <v>38827.449999999997</v>
      </c>
      <c r="G42" s="39">
        <f t="shared" ref="G42:G48" si="16">ROUND(F42*1.2,2)</f>
        <v>46592.94</v>
      </c>
    </row>
    <row r="43" spans="1:8" ht="18" customHeight="1" x14ac:dyDescent="0.25">
      <c r="A43" s="134">
        <f t="shared" ref="A43:A48" si="17">A42+1</f>
        <v>31</v>
      </c>
      <c r="B43" s="17" t="s">
        <v>55</v>
      </c>
      <c r="C43" s="16" t="s">
        <v>2</v>
      </c>
      <c r="D43" s="179">
        <v>8</v>
      </c>
      <c r="E43" s="271">
        <v>1310.05</v>
      </c>
      <c r="F43" s="39">
        <f t="shared" si="15"/>
        <v>10480.4</v>
      </c>
      <c r="G43" s="39">
        <f t="shared" si="16"/>
        <v>12576.48</v>
      </c>
    </row>
    <row r="44" spans="1:8" ht="18" customHeight="1" x14ac:dyDescent="0.25">
      <c r="A44" s="134">
        <f t="shared" si="17"/>
        <v>32</v>
      </c>
      <c r="B44" s="17" t="s">
        <v>56</v>
      </c>
      <c r="C44" s="16" t="s">
        <v>2</v>
      </c>
      <c r="D44" s="179">
        <v>39</v>
      </c>
      <c r="E44" s="271">
        <v>1310.05</v>
      </c>
      <c r="F44" s="39">
        <f t="shared" si="15"/>
        <v>51091.95</v>
      </c>
      <c r="G44" s="39">
        <f t="shared" si="16"/>
        <v>61310.34</v>
      </c>
    </row>
    <row r="45" spans="1:8" ht="18" customHeight="1" x14ac:dyDescent="0.25">
      <c r="A45" s="134">
        <f t="shared" si="17"/>
        <v>33</v>
      </c>
      <c r="B45" s="17" t="s">
        <v>53</v>
      </c>
      <c r="C45" s="16" t="s">
        <v>2</v>
      </c>
      <c r="D45" s="179">
        <v>694</v>
      </c>
      <c r="E45" s="271">
        <v>118.75</v>
      </c>
      <c r="F45" s="39">
        <f t="shared" si="15"/>
        <v>82412.5</v>
      </c>
      <c r="G45" s="39">
        <f t="shared" si="16"/>
        <v>98895</v>
      </c>
    </row>
    <row r="46" spans="1:8" ht="18" customHeight="1" x14ac:dyDescent="0.25">
      <c r="A46" s="134">
        <f t="shared" si="17"/>
        <v>34</v>
      </c>
      <c r="B46" s="17" t="s">
        <v>72</v>
      </c>
      <c r="C46" s="16" t="s">
        <v>2</v>
      </c>
      <c r="D46" s="179">
        <v>37</v>
      </c>
      <c r="E46" s="271">
        <v>854.05</v>
      </c>
      <c r="F46" s="39">
        <f t="shared" si="15"/>
        <v>31599.85</v>
      </c>
      <c r="G46" s="39">
        <f t="shared" si="16"/>
        <v>37919.82</v>
      </c>
    </row>
    <row r="47" spans="1:8" ht="18" customHeight="1" x14ac:dyDescent="0.25">
      <c r="A47" s="134">
        <f t="shared" si="17"/>
        <v>35</v>
      </c>
      <c r="B47" s="17" t="s">
        <v>48</v>
      </c>
      <c r="C47" s="16" t="s">
        <v>2</v>
      </c>
      <c r="D47" s="179">
        <v>694</v>
      </c>
      <c r="E47" s="271">
        <v>188.1</v>
      </c>
      <c r="F47" s="39">
        <f t="shared" si="15"/>
        <v>130541.4</v>
      </c>
      <c r="G47" s="39">
        <f t="shared" si="16"/>
        <v>156649.68</v>
      </c>
    </row>
    <row r="48" spans="1:8" ht="18" customHeight="1" x14ac:dyDescent="0.25">
      <c r="A48" s="258">
        <f t="shared" si="17"/>
        <v>36</v>
      </c>
      <c r="B48" s="259" t="s">
        <v>54</v>
      </c>
      <c r="C48" s="260" t="s">
        <v>2</v>
      </c>
      <c r="D48" s="261">
        <v>51</v>
      </c>
      <c r="E48" s="263">
        <v>494</v>
      </c>
      <c r="F48" s="264">
        <f t="shared" si="15"/>
        <v>25194</v>
      </c>
      <c r="G48" s="264">
        <f t="shared" si="16"/>
        <v>30232.799999999999</v>
      </c>
    </row>
    <row r="49" spans="1:8" ht="18" customHeight="1" x14ac:dyDescent="0.25">
      <c r="A49" s="58"/>
      <c r="B49" s="12" t="s">
        <v>57</v>
      </c>
      <c r="C49" s="16"/>
      <c r="D49" s="18"/>
      <c r="E49" s="74"/>
      <c r="F49" s="39"/>
      <c r="G49" s="39"/>
    </row>
    <row r="50" spans="1:8" ht="29.25" customHeight="1" x14ac:dyDescent="0.25">
      <c r="A50" s="134">
        <v>39</v>
      </c>
      <c r="B50" s="17" t="s">
        <v>154</v>
      </c>
      <c r="C50" s="16" t="s">
        <v>3</v>
      </c>
      <c r="D50" s="179">
        <v>97</v>
      </c>
      <c r="E50" s="75">
        <v>1245.03</v>
      </c>
      <c r="F50" s="39">
        <f t="shared" ref="F50:F63" si="18">ROUND(E50*D50,2)</f>
        <v>120767.91</v>
      </c>
      <c r="G50" s="39">
        <f t="shared" ref="G50:G61" si="19">ROUND(F50*1.2,2)</f>
        <v>144921.49</v>
      </c>
      <c r="H50" s="184"/>
    </row>
    <row r="51" spans="1:8" ht="51" customHeight="1" x14ac:dyDescent="0.25">
      <c r="A51" s="134">
        <f>A50+1</f>
        <v>40</v>
      </c>
      <c r="B51" s="17" t="s">
        <v>155</v>
      </c>
      <c r="C51" s="16" t="s">
        <v>3</v>
      </c>
      <c r="D51" s="179">
        <v>16</v>
      </c>
      <c r="E51" s="75">
        <v>2960.07</v>
      </c>
      <c r="F51" s="39">
        <f t="shared" si="18"/>
        <v>47361.120000000003</v>
      </c>
      <c r="G51" s="39">
        <f t="shared" si="19"/>
        <v>56833.34</v>
      </c>
      <c r="H51" s="172"/>
    </row>
    <row r="52" spans="1:8" ht="15.75" x14ac:dyDescent="0.25">
      <c r="A52" s="134">
        <f t="shared" ref="A52:A53" si="20">A51+1</f>
        <v>41</v>
      </c>
      <c r="B52" s="17" t="s">
        <v>73</v>
      </c>
      <c r="C52" s="16" t="s">
        <v>74</v>
      </c>
      <c r="D52" s="181">
        <v>1</v>
      </c>
      <c r="E52" s="75">
        <v>4064.86</v>
      </c>
      <c r="F52" s="39">
        <f t="shared" si="18"/>
        <v>4064.86</v>
      </c>
      <c r="G52" s="39">
        <f t="shared" si="19"/>
        <v>4877.83</v>
      </c>
      <c r="H52" s="172" t="s">
        <v>526</v>
      </c>
    </row>
    <row r="53" spans="1:8" ht="29.25" customHeight="1" x14ac:dyDescent="0.25">
      <c r="A53" s="134">
        <f t="shared" si="20"/>
        <v>42</v>
      </c>
      <c r="B53" s="17" t="s">
        <v>156</v>
      </c>
      <c r="C53" s="16" t="s">
        <v>12</v>
      </c>
      <c r="D53" s="179">
        <v>1</v>
      </c>
      <c r="E53" s="75">
        <v>8983.23</v>
      </c>
      <c r="F53" s="39">
        <f t="shared" si="18"/>
        <v>8983.23</v>
      </c>
      <c r="G53" s="39">
        <f t="shared" si="19"/>
        <v>10779.88</v>
      </c>
      <c r="H53" s="172"/>
    </row>
    <row r="54" spans="1:8" ht="29.25" customHeight="1" x14ac:dyDescent="0.25">
      <c r="A54" s="134">
        <f t="shared" ref="A54:A61" si="21">A53+1</f>
        <v>43</v>
      </c>
      <c r="B54" s="17" t="s">
        <v>157</v>
      </c>
      <c r="C54" s="16" t="s">
        <v>12</v>
      </c>
      <c r="D54" s="179">
        <v>1</v>
      </c>
      <c r="E54" s="75">
        <v>4477.97</v>
      </c>
      <c r="F54" s="39">
        <f t="shared" si="18"/>
        <v>4477.97</v>
      </c>
      <c r="G54" s="39">
        <f t="shared" si="19"/>
        <v>5373.56</v>
      </c>
      <c r="H54" s="172"/>
    </row>
    <row r="55" spans="1:8" ht="29.25" customHeight="1" x14ac:dyDescent="0.25">
      <c r="A55" s="134">
        <f t="shared" si="21"/>
        <v>44</v>
      </c>
      <c r="B55" s="17" t="s">
        <v>158</v>
      </c>
      <c r="C55" s="16" t="s">
        <v>12</v>
      </c>
      <c r="D55" s="181">
        <v>8</v>
      </c>
      <c r="E55" s="75">
        <v>592.5</v>
      </c>
      <c r="F55" s="39">
        <f t="shared" si="18"/>
        <v>4740</v>
      </c>
      <c r="G55" s="39">
        <f t="shared" si="19"/>
        <v>5688</v>
      </c>
      <c r="H55" s="172" t="s">
        <v>526</v>
      </c>
    </row>
    <row r="56" spans="1:8" ht="29.25" customHeight="1" x14ac:dyDescent="0.25">
      <c r="A56" s="134">
        <f t="shared" si="21"/>
        <v>45</v>
      </c>
      <c r="B56" s="17" t="s">
        <v>139</v>
      </c>
      <c r="C56" s="16" t="s">
        <v>12</v>
      </c>
      <c r="D56" s="179">
        <v>8</v>
      </c>
      <c r="E56" s="75">
        <v>210.41</v>
      </c>
      <c r="F56" s="39">
        <f t="shared" si="18"/>
        <v>1683.28</v>
      </c>
      <c r="G56" s="39">
        <f t="shared" si="19"/>
        <v>2019.94</v>
      </c>
      <c r="H56" s="172"/>
    </row>
    <row r="57" spans="1:8" ht="46.5" customHeight="1" x14ac:dyDescent="0.25">
      <c r="A57" s="134">
        <f t="shared" si="21"/>
        <v>46</v>
      </c>
      <c r="B57" s="17" t="s">
        <v>159</v>
      </c>
      <c r="C57" s="16" t="s">
        <v>12</v>
      </c>
      <c r="D57" s="181">
        <v>1</v>
      </c>
      <c r="E57" s="75">
        <v>2066.3000000000002</v>
      </c>
      <c r="F57" s="39">
        <f t="shared" si="18"/>
        <v>2066.3000000000002</v>
      </c>
      <c r="G57" s="39">
        <f t="shared" si="19"/>
        <v>2479.56</v>
      </c>
      <c r="H57" s="172" t="s">
        <v>526</v>
      </c>
    </row>
    <row r="58" spans="1:8" ht="42.75" customHeight="1" x14ac:dyDescent="0.25">
      <c r="A58" s="134">
        <f t="shared" si="21"/>
        <v>47</v>
      </c>
      <c r="B58" s="17" t="s">
        <v>160</v>
      </c>
      <c r="C58" s="16" t="s">
        <v>12</v>
      </c>
      <c r="D58" s="179">
        <v>1</v>
      </c>
      <c r="E58" s="75">
        <v>3397.31</v>
      </c>
      <c r="F58" s="39">
        <f t="shared" si="18"/>
        <v>3397.31</v>
      </c>
      <c r="G58" s="39">
        <f t="shared" si="19"/>
        <v>4076.77</v>
      </c>
      <c r="H58" s="172"/>
    </row>
    <row r="59" spans="1:8" ht="29.25" customHeight="1" x14ac:dyDescent="0.25">
      <c r="A59" s="134">
        <f t="shared" si="21"/>
        <v>48</v>
      </c>
      <c r="B59" s="17" t="s">
        <v>161</v>
      </c>
      <c r="C59" s="16" t="s">
        <v>12</v>
      </c>
      <c r="D59" s="179">
        <v>1</v>
      </c>
      <c r="E59" s="75">
        <v>6200</v>
      </c>
      <c r="F59" s="39">
        <f t="shared" si="18"/>
        <v>6200</v>
      </c>
      <c r="G59" s="39">
        <f t="shared" si="19"/>
        <v>7440</v>
      </c>
      <c r="H59" s="172"/>
    </row>
    <row r="60" spans="1:8" ht="29.25" customHeight="1" x14ac:dyDescent="0.25">
      <c r="A60" s="134">
        <f t="shared" si="21"/>
        <v>49</v>
      </c>
      <c r="B60" s="17" t="s">
        <v>300</v>
      </c>
      <c r="C60" s="16" t="s">
        <v>2</v>
      </c>
      <c r="D60" s="188">
        <v>1.64</v>
      </c>
      <c r="E60" s="271">
        <v>8327.42</v>
      </c>
      <c r="F60" s="39">
        <f t="shared" si="18"/>
        <v>13656.97</v>
      </c>
      <c r="G60" s="39">
        <f t="shared" si="19"/>
        <v>16388.36</v>
      </c>
    </row>
    <row r="61" spans="1:8" ht="29.25" customHeight="1" x14ac:dyDescent="0.25">
      <c r="A61" s="134">
        <f t="shared" si="21"/>
        <v>50</v>
      </c>
      <c r="B61" s="103" t="s">
        <v>145</v>
      </c>
      <c r="C61" s="27" t="s">
        <v>186</v>
      </c>
      <c r="D61" s="181">
        <v>1</v>
      </c>
      <c r="E61" s="74">
        <v>30624.26</v>
      </c>
      <c r="F61" s="40">
        <f t="shared" si="18"/>
        <v>30624.26</v>
      </c>
      <c r="G61" s="40">
        <f t="shared" si="19"/>
        <v>36749.11</v>
      </c>
      <c r="H61" s="182" t="s">
        <v>526</v>
      </c>
    </row>
    <row r="62" spans="1:8" ht="29.25" customHeight="1" x14ac:dyDescent="0.25">
      <c r="A62" s="58"/>
      <c r="B62" s="12" t="s">
        <v>151</v>
      </c>
      <c r="C62" s="16"/>
      <c r="D62" s="19"/>
      <c r="E62" s="74"/>
      <c r="F62" s="39"/>
      <c r="G62" s="39"/>
    </row>
    <row r="63" spans="1:8" ht="29.25" customHeight="1" x14ac:dyDescent="0.25">
      <c r="A63" s="134">
        <f>A61+1</f>
        <v>51</v>
      </c>
      <c r="B63" s="17" t="s">
        <v>162</v>
      </c>
      <c r="C63" s="16" t="s">
        <v>3</v>
      </c>
      <c r="D63" s="179">
        <v>97</v>
      </c>
      <c r="E63" s="75">
        <v>728.8</v>
      </c>
      <c r="F63" s="39">
        <f t="shared" si="18"/>
        <v>70693.600000000006</v>
      </c>
      <c r="G63" s="39">
        <f t="shared" ref="G63" si="22">ROUND(F63*1.2,2)</f>
        <v>84832.320000000007</v>
      </c>
      <c r="H63" s="184"/>
    </row>
    <row r="64" spans="1:8" ht="25.5" customHeight="1" x14ac:dyDescent="0.25">
      <c r="A64" s="60"/>
      <c r="B64" s="220" t="s">
        <v>97</v>
      </c>
      <c r="C64" s="231"/>
      <c r="D64" s="221"/>
      <c r="E64" s="62"/>
      <c r="F64" s="63"/>
      <c r="G64" s="51"/>
    </row>
    <row r="65" spans="1:8" ht="19.5" customHeight="1" x14ac:dyDescent="0.25">
      <c r="A65" s="27"/>
      <c r="B65" s="25" t="s">
        <v>51</v>
      </c>
      <c r="C65" s="27"/>
      <c r="D65" s="59"/>
      <c r="E65" s="107"/>
      <c r="F65" s="67"/>
      <c r="G65" s="108"/>
    </row>
    <row r="66" spans="1:8" ht="28.5" customHeight="1" x14ac:dyDescent="0.25">
      <c r="A66" s="134">
        <v>52</v>
      </c>
      <c r="B66" s="17" t="s">
        <v>512</v>
      </c>
      <c r="C66" s="45" t="s">
        <v>2</v>
      </c>
      <c r="D66" s="170">
        <v>1202</v>
      </c>
      <c r="E66" s="75">
        <v>630</v>
      </c>
      <c r="F66" s="39">
        <f>ROUND(E66*D66,2)</f>
        <v>757260</v>
      </c>
      <c r="G66" s="39">
        <f>ROUND(F66*1.2,2)</f>
        <v>908712</v>
      </c>
    </row>
    <row r="67" spans="1:8" ht="18" customHeight="1" x14ac:dyDescent="0.25">
      <c r="A67" s="134">
        <f>A66+1</f>
        <v>53</v>
      </c>
      <c r="B67" s="17" t="s">
        <v>52</v>
      </c>
      <c r="C67" s="16" t="s">
        <v>2</v>
      </c>
      <c r="D67" s="179">
        <v>36</v>
      </c>
      <c r="E67" s="271">
        <v>1688.15</v>
      </c>
      <c r="F67" s="39">
        <f t="shared" ref="F67:F73" si="23">ROUND(E67*D67,2)</f>
        <v>60773.4</v>
      </c>
      <c r="G67" s="39">
        <f t="shared" ref="G67:G73" si="24">ROUND(F67*1.2,2)</f>
        <v>72928.08</v>
      </c>
    </row>
    <row r="68" spans="1:8" ht="18" customHeight="1" x14ac:dyDescent="0.25">
      <c r="A68" s="134">
        <f t="shared" ref="A68:A73" si="25">A67+1</f>
        <v>54</v>
      </c>
      <c r="B68" s="17" t="s">
        <v>55</v>
      </c>
      <c r="C68" s="16" t="s">
        <v>2</v>
      </c>
      <c r="D68" s="179">
        <v>8</v>
      </c>
      <c r="E68" s="271">
        <v>1310.05</v>
      </c>
      <c r="F68" s="39">
        <f t="shared" si="23"/>
        <v>10480.4</v>
      </c>
      <c r="G68" s="39">
        <f t="shared" si="24"/>
        <v>12576.48</v>
      </c>
    </row>
    <row r="69" spans="1:8" ht="18" customHeight="1" x14ac:dyDescent="0.25">
      <c r="A69" s="134">
        <f t="shared" si="25"/>
        <v>55</v>
      </c>
      <c r="B69" s="17" t="s">
        <v>56</v>
      </c>
      <c r="C69" s="16" t="s">
        <v>2</v>
      </c>
      <c r="D69" s="179">
        <v>48</v>
      </c>
      <c r="E69" s="271">
        <v>1310.05</v>
      </c>
      <c r="F69" s="39">
        <f t="shared" si="23"/>
        <v>62882.400000000001</v>
      </c>
      <c r="G69" s="39">
        <f t="shared" si="24"/>
        <v>75458.880000000005</v>
      </c>
    </row>
    <row r="70" spans="1:8" ht="18" customHeight="1" x14ac:dyDescent="0.25">
      <c r="A70" s="134">
        <f t="shared" si="25"/>
        <v>56</v>
      </c>
      <c r="B70" s="17" t="s">
        <v>53</v>
      </c>
      <c r="C70" s="16" t="s">
        <v>2</v>
      </c>
      <c r="D70" s="179">
        <v>1116</v>
      </c>
      <c r="E70" s="271">
        <v>118.75</v>
      </c>
      <c r="F70" s="39">
        <f t="shared" si="23"/>
        <v>132525</v>
      </c>
      <c r="G70" s="39">
        <f t="shared" si="24"/>
        <v>159030</v>
      </c>
    </row>
    <row r="71" spans="1:8" ht="18" customHeight="1" x14ac:dyDescent="0.25">
      <c r="A71" s="134">
        <f t="shared" si="25"/>
        <v>57</v>
      </c>
      <c r="B71" s="17" t="s">
        <v>72</v>
      </c>
      <c r="C71" s="16" t="s">
        <v>2</v>
      </c>
      <c r="D71" s="179">
        <v>59</v>
      </c>
      <c r="E71" s="271">
        <v>854.05</v>
      </c>
      <c r="F71" s="39">
        <f t="shared" si="23"/>
        <v>50388.95</v>
      </c>
      <c r="G71" s="39">
        <f t="shared" si="24"/>
        <v>60466.74</v>
      </c>
    </row>
    <row r="72" spans="1:8" ht="18" customHeight="1" x14ac:dyDescent="0.25">
      <c r="A72" s="134">
        <f t="shared" si="25"/>
        <v>58</v>
      </c>
      <c r="B72" s="17" t="s">
        <v>542</v>
      </c>
      <c r="C72" s="16" t="s">
        <v>2</v>
      </c>
      <c r="D72" s="181">
        <f>D70/3</f>
        <v>372</v>
      </c>
      <c r="E72" s="271">
        <v>188.1</v>
      </c>
      <c r="F72" s="39">
        <f t="shared" si="23"/>
        <v>69973.2</v>
      </c>
      <c r="G72" s="39">
        <f t="shared" si="24"/>
        <v>83967.84</v>
      </c>
      <c r="H72" s="182" t="s">
        <v>526</v>
      </c>
    </row>
    <row r="73" spans="1:8" ht="18" customHeight="1" x14ac:dyDescent="0.25">
      <c r="A73" s="258">
        <f t="shared" si="25"/>
        <v>59</v>
      </c>
      <c r="B73" s="259" t="s">
        <v>54</v>
      </c>
      <c r="C73" s="260" t="s">
        <v>2</v>
      </c>
      <c r="D73" s="261">
        <v>63</v>
      </c>
      <c r="E73" s="263">
        <v>494</v>
      </c>
      <c r="F73" s="264">
        <f t="shared" si="23"/>
        <v>31122</v>
      </c>
      <c r="G73" s="264">
        <f t="shared" si="24"/>
        <v>37346.400000000001</v>
      </c>
    </row>
    <row r="74" spans="1:8" ht="18" customHeight="1" x14ac:dyDescent="0.25">
      <c r="A74" s="58"/>
      <c r="B74" s="12" t="s">
        <v>57</v>
      </c>
      <c r="C74" s="16"/>
      <c r="D74" s="18"/>
      <c r="E74" s="75"/>
      <c r="F74" s="39"/>
      <c r="G74" s="39"/>
    </row>
    <row r="75" spans="1:8" ht="27.75" customHeight="1" x14ac:dyDescent="0.25">
      <c r="A75" s="134">
        <v>60</v>
      </c>
      <c r="B75" s="17" t="s">
        <v>163</v>
      </c>
      <c r="C75" s="16" t="s">
        <v>3</v>
      </c>
      <c r="D75" s="179">
        <v>82</v>
      </c>
      <c r="E75" s="75">
        <v>1620</v>
      </c>
      <c r="F75" s="39">
        <f t="shared" ref="F75:F90" si="26">ROUND(E75*D75,2)</f>
        <v>132840</v>
      </c>
      <c r="G75" s="39">
        <f t="shared" ref="G75:G90" si="27">ROUND(F75*1.2,2)</f>
        <v>159408</v>
      </c>
    </row>
    <row r="76" spans="1:8" ht="47.25" customHeight="1" x14ac:dyDescent="0.25">
      <c r="A76" s="134">
        <f>A75+1</f>
        <v>61</v>
      </c>
      <c r="B76" s="17" t="s">
        <v>301</v>
      </c>
      <c r="C76" s="16" t="s">
        <v>3</v>
      </c>
      <c r="D76" s="185">
        <v>51</v>
      </c>
      <c r="E76" s="271">
        <v>4603.7</v>
      </c>
      <c r="F76" s="39">
        <f t="shared" si="26"/>
        <v>234788.7</v>
      </c>
      <c r="G76" s="39">
        <f t="shared" si="27"/>
        <v>281746.44</v>
      </c>
    </row>
    <row r="77" spans="1:8" ht="15.75" x14ac:dyDescent="0.25">
      <c r="A77" s="134">
        <f t="shared" ref="A77:A86" si="28">A76+1</f>
        <v>62</v>
      </c>
      <c r="B77" s="17" t="s">
        <v>73</v>
      </c>
      <c r="C77" s="16" t="s">
        <v>74</v>
      </c>
      <c r="D77" s="181">
        <v>1</v>
      </c>
      <c r="E77" s="75">
        <v>4064.86</v>
      </c>
      <c r="F77" s="39">
        <f t="shared" si="26"/>
        <v>4064.86</v>
      </c>
      <c r="G77" s="39">
        <f t="shared" si="27"/>
        <v>4877.83</v>
      </c>
      <c r="H77" s="182" t="s">
        <v>526</v>
      </c>
    </row>
    <row r="78" spans="1:8" ht="27.75" customHeight="1" x14ac:dyDescent="0.25">
      <c r="A78" s="134">
        <f t="shared" si="28"/>
        <v>63</v>
      </c>
      <c r="B78" s="17" t="s">
        <v>302</v>
      </c>
      <c r="C78" s="16" t="s">
        <v>12</v>
      </c>
      <c r="D78" s="179">
        <v>1</v>
      </c>
      <c r="E78" s="75">
        <v>1504.77</v>
      </c>
      <c r="F78" s="39">
        <f t="shared" si="26"/>
        <v>1504.77</v>
      </c>
      <c r="G78" s="39">
        <f t="shared" si="27"/>
        <v>1805.72</v>
      </c>
      <c r="H78" s="174"/>
    </row>
    <row r="79" spans="1:8" ht="32.25" customHeight="1" x14ac:dyDescent="0.25">
      <c r="A79" s="134">
        <f t="shared" si="28"/>
        <v>64</v>
      </c>
      <c r="B79" s="17" t="s">
        <v>164</v>
      </c>
      <c r="C79" s="16" t="s">
        <v>12</v>
      </c>
      <c r="D79" s="179">
        <v>2</v>
      </c>
      <c r="E79" s="75">
        <v>7253.94</v>
      </c>
      <c r="F79" s="39">
        <f t="shared" si="26"/>
        <v>14507.88</v>
      </c>
      <c r="G79" s="39">
        <f t="shared" si="27"/>
        <v>17409.46</v>
      </c>
    </row>
    <row r="80" spans="1:8" ht="30.75" customHeight="1" x14ac:dyDescent="0.25">
      <c r="A80" s="134">
        <f t="shared" si="28"/>
        <v>65</v>
      </c>
      <c r="B80" s="17" t="s">
        <v>165</v>
      </c>
      <c r="C80" s="16" t="s">
        <v>12</v>
      </c>
      <c r="D80" s="179">
        <v>2</v>
      </c>
      <c r="E80" s="75">
        <v>6691.94</v>
      </c>
      <c r="F80" s="39">
        <f t="shared" si="26"/>
        <v>13383.88</v>
      </c>
      <c r="G80" s="39">
        <f t="shared" si="27"/>
        <v>16060.66</v>
      </c>
    </row>
    <row r="81" spans="1:8" ht="27.75" customHeight="1" x14ac:dyDescent="0.25">
      <c r="A81" s="134">
        <f t="shared" si="28"/>
        <v>66</v>
      </c>
      <c r="B81" s="17" t="s">
        <v>158</v>
      </c>
      <c r="C81" s="16" t="s">
        <v>12</v>
      </c>
      <c r="D81" s="181">
        <v>24</v>
      </c>
      <c r="E81" s="75">
        <v>3500</v>
      </c>
      <c r="F81" s="39">
        <f t="shared" si="26"/>
        <v>84000</v>
      </c>
      <c r="G81" s="39">
        <f t="shared" si="27"/>
        <v>100800</v>
      </c>
      <c r="H81" s="184" t="s">
        <v>526</v>
      </c>
    </row>
    <row r="82" spans="1:8" ht="27.75" customHeight="1" x14ac:dyDescent="0.25">
      <c r="A82" s="134">
        <f t="shared" si="28"/>
        <v>67</v>
      </c>
      <c r="B82" s="17" t="s">
        <v>139</v>
      </c>
      <c r="C82" s="16" t="s">
        <v>12</v>
      </c>
      <c r="D82" s="179">
        <v>24</v>
      </c>
      <c r="E82" s="75">
        <v>210.41</v>
      </c>
      <c r="F82" s="39">
        <f t="shared" si="26"/>
        <v>5049.84</v>
      </c>
      <c r="G82" s="39">
        <f t="shared" si="27"/>
        <v>6059.81</v>
      </c>
      <c r="H82" s="172"/>
    </row>
    <row r="83" spans="1:8" ht="42.75" customHeight="1" x14ac:dyDescent="0.25">
      <c r="A83" s="134">
        <f t="shared" si="28"/>
        <v>68</v>
      </c>
      <c r="B83" s="17" t="s">
        <v>166</v>
      </c>
      <c r="C83" s="16" t="s">
        <v>12</v>
      </c>
      <c r="D83" s="181">
        <v>2</v>
      </c>
      <c r="E83" s="75">
        <v>2752.92</v>
      </c>
      <c r="F83" s="39">
        <f t="shared" si="26"/>
        <v>5505.84</v>
      </c>
      <c r="G83" s="39">
        <f t="shared" si="27"/>
        <v>6607.01</v>
      </c>
      <c r="H83" s="184" t="s">
        <v>526</v>
      </c>
    </row>
    <row r="84" spans="1:8" ht="43.5" customHeight="1" x14ac:dyDescent="0.25">
      <c r="A84" s="134">
        <f t="shared" si="28"/>
        <v>69</v>
      </c>
      <c r="B84" s="17" t="s">
        <v>167</v>
      </c>
      <c r="C84" s="16" t="s">
        <v>12</v>
      </c>
      <c r="D84" s="179">
        <v>2</v>
      </c>
      <c r="E84" s="75">
        <v>5175</v>
      </c>
      <c r="F84" s="39">
        <f t="shared" si="26"/>
        <v>10350</v>
      </c>
      <c r="G84" s="39">
        <f t="shared" si="27"/>
        <v>12420</v>
      </c>
    </row>
    <row r="85" spans="1:8" ht="27.75" customHeight="1" x14ac:dyDescent="0.25">
      <c r="A85" s="134">
        <f t="shared" si="28"/>
        <v>70</v>
      </c>
      <c r="B85" s="17" t="s">
        <v>300</v>
      </c>
      <c r="C85" s="16" t="s">
        <v>2</v>
      </c>
      <c r="D85" s="188">
        <v>7.25</v>
      </c>
      <c r="E85" s="271">
        <v>8327.42</v>
      </c>
      <c r="F85" s="39">
        <f t="shared" si="26"/>
        <v>60373.8</v>
      </c>
      <c r="G85" s="39">
        <f t="shared" si="27"/>
        <v>72448.56</v>
      </c>
    </row>
    <row r="86" spans="1:8" ht="27.75" customHeight="1" x14ac:dyDescent="0.25">
      <c r="A86" s="134">
        <f t="shared" si="28"/>
        <v>71</v>
      </c>
      <c r="B86" s="103" t="s">
        <v>145</v>
      </c>
      <c r="C86" s="27" t="s">
        <v>186</v>
      </c>
      <c r="D86" s="181">
        <v>1</v>
      </c>
      <c r="E86" s="74">
        <v>42094.04</v>
      </c>
      <c r="F86" s="40">
        <f t="shared" si="26"/>
        <v>42094.04</v>
      </c>
      <c r="G86" s="40">
        <f t="shared" si="27"/>
        <v>50512.85</v>
      </c>
      <c r="H86" s="184" t="s">
        <v>526</v>
      </c>
    </row>
    <row r="87" spans="1:8" ht="27.75" customHeight="1" x14ac:dyDescent="0.25">
      <c r="A87" s="58"/>
      <c r="B87" s="12" t="s">
        <v>151</v>
      </c>
      <c r="C87" s="16"/>
      <c r="D87" s="19"/>
      <c r="E87" s="74"/>
      <c r="F87" s="39"/>
      <c r="G87" s="39"/>
    </row>
    <row r="88" spans="1:8" ht="37.5" customHeight="1" x14ac:dyDescent="0.25">
      <c r="A88" s="134">
        <f>A86+1</f>
        <v>72</v>
      </c>
      <c r="B88" s="17" t="s">
        <v>168</v>
      </c>
      <c r="C88" s="16" t="s">
        <v>3</v>
      </c>
      <c r="D88" s="179">
        <v>85</v>
      </c>
      <c r="E88" s="75">
        <v>915.99</v>
      </c>
      <c r="F88" s="39">
        <f t="shared" si="26"/>
        <v>77859.149999999994</v>
      </c>
      <c r="G88" s="39">
        <f t="shared" si="27"/>
        <v>93430.98</v>
      </c>
      <c r="H88" s="174"/>
    </row>
    <row r="89" spans="1:8" ht="21" customHeight="1" x14ac:dyDescent="0.25">
      <c r="A89" s="134">
        <f>A88+1</f>
        <v>73</v>
      </c>
      <c r="B89" s="17" t="s">
        <v>153</v>
      </c>
      <c r="C89" s="16" t="s">
        <v>17</v>
      </c>
      <c r="D89" s="179"/>
      <c r="E89" s="75"/>
      <c r="F89" s="39">
        <f t="shared" si="26"/>
        <v>0</v>
      </c>
      <c r="G89" s="39">
        <f t="shared" si="27"/>
        <v>0</v>
      </c>
    </row>
    <row r="90" spans="1:8" ht="27.75" customHeight="1" x14ac:dyDescent="0.25">
      <c r="A90" s="134">
        <f t="shared" ref="A90" si="29">A89+1</f>
        <v>74</v>
      </c>
      <c r="B90" s="17" t="s">
        <v>169</v>
      </c>
      <c r="C90" s="16" t="s">
        <v>17</v>
      </c>
      <c r="D90" s="179"/>
      <c r="E90" s="74">
        <v>0</v>
      </c>
      <c r="F90" s="39">
        <f t="shared" si="26"/>
        <v>0</v>
      </c>
      <c r="G90" s="39">
        <f t="shared" si="27"/>
        <v>0</v>
      </c>
    </row>
    <row r="91" spans="1:8" ht="27.75" customHeight="1" x14ac:dyDescent="0.25">
      <c r="A91" s="60"/>
      <c r="B91" s="220" t="s">
        <v>98</v>
      </c>
      <c r="C91" s="231"/>
      <c r="D91" s="221"/>
      <c r="E91" s="62"/>
      <c r="F91" s="63"/>
      <c r="G91" s="51"/>
    </row>
    <row r="92" spans="1:8" ht="19.5" customHeight="1" x14ac:dyDescent="0.25">
      <c r="A92" s="27"/>
      <c r="B92" s="25" t="s">
        <v>51</v>
      </c>
      <c r="C92" s="27"/>
      <c r="D92" s="59"/>
      <c r="E92" s="107"/>
      <c r="F92" s="67"/>
      <c r="G92" s="108"/>
    </row>
    <row r="93" spans="1:8" ht="33" customHeight="1" x14ac:dyDescent="0.25">
      <c r="A93" s="134">
        <f>A90+1</f>
        <v>75</v>
      </c>
      <c r="B93" s="17" t="s">
        <v>512</v>
      </c>
      <c r="C93" s="45" t="s">
        <v>2</v>
      </c>
      <c r="D93" s="170">
        <v>845</v>
      </c>
      <c r="E93" s="75">
        <v>630</v>
      </c>
      <c r="F93" s="39">
        <f>ROUND(E93*D93,2)</f>
        <v>532350</v>
      </c>
      <c r="G93" s="39">
        <f>ROUND(F93*1.2,2)</f>
        <v>638820</v>
      </c>
    </row>
    <row r="94" spans="1:8" ht="18" customHeight="1" x14ac:dyDescent="0.25">
      <c r="A94" s="134">
        <f>A93+1</f>
        <v>76</v>
      </c>
      <c r="B94" s="17" t="s">
        <v>52</v>
      </c>
      <c r="C94" s="16" t="s">
        <v>2</v>
      </c>
      <c r="D94" s="179">
        <v>25</v>
      </c>
      <c r="E94" s="271">
        <v>1688.15</v>
      </c>
      <c r="F94" s="39">
        <f t="shared" ref="F94:F100" si="30">ROUND(E94*D94,2)</f>
        <v>42203.75</v>
      </c>
      <c r="G94" s="39">
        <f t="shared" ref="G94:G100" si="31">ROUND(F94*1.2,2)</f>
        <v>50644.5</v>
      </c>
    </row>
    <row r="95" spans="1:8" ht="18" customHeight="1" x14ac:dyDescent="0.25">
      <c r="A95" s="134">
        <f t="shared" ref="A95:A100" si="32">A94+1</f>
        <v>77</v>
      </c>
      <c r="B95" s="17" t="s">
        <v>55</v>
      </c>
      <c r="C95" s="16" t="s">
        <v>2</v>
      </c>
      <c r="D95" s="179">
        <v>5</v>
      </c>
      <c r="E95" s="271">
        <v>1310.05</v>
      </c>
      <c r="F95" s="39">
        <f t="shared" si="30"/>
        <v>6550.25</v>
      </c>
      <c r="G95" s="39">
        <f t="shared" si="31"/>
        <v>7860.3</v>
      </c>
    </row>
    <row r="96" spans="1:8" ht="18" customHeight="1" x14ac:dyDescent="0.25">
      <c r="A96" s="134">
        <f t="shared" si="32"/>
        <v>78</v>
      </c>
      <c r="B96" s="17" t="s">
        <v>56</v>
      </c>
      <c r="C96" s="16" t="s">
        <v>2</v>
      </c>
      <c r="D96" s="179">
        <v>37</v>
      </c>
      <c r="E96" s="271">
        <v>1310.05</v>
      </c>
      <c r="F96" s="39">
        <f t="shared" si="30"/>
        <v>48471.85</v>
      </c>
      <c r="G96" s="39">
        <f t="shared" si="31"/>
        <v>58166.22</v>
      </c>
    </row>
    <row r="97" spans="1:8" ht="18" customHeight="1" x14ac:dyDescent="0.25">
      <c r="A97" s="134">
        <f t="shared" si="32"/>
        <v>79</v>
      </c>
      <c r="B97" s="17" t="s">
        <v>53</v>
      </c>
      <c r="C97" s="16" t="s">
        <v>2</v>
      </c>
      <c r="D97" s="179">
        <v>761</v>
      </c>
      <c r="E97" s="271">
        <v>118.75</v>
      </c>
      <c r="F97" s="39">
        <f t="shared" si="30"/>
        <v>90368.75</v>
      </c>
      <c r="G97" s="39">
        <f t="shared" si="31"/>
        <v>108442.5</v>
      </c>
    </row>
    <row r="98" spans="1:8" ht="18" customHeight="1" x14ac:dyDescent="0.25">
      <c r="A98" s="134">
        <f t="shared" si="32"/>
        <v>80</v>
      </c>
      <c r="B98" s="17" t="s">
        <v>72</v>
      </c>
      <c r="C98" s="16" t="s">
        <v>2</v>
      </c>
      <c r="D98" s="179">
        <v>40</v>
      </c>
      <c r="E98" s="271">
        <v>854.05</v>
      </c>
      <c r="F98" s="39">
        <f t="shared" si="30"/>
        <v>34162</v>
      </c>
      <c r="G98" s="39">
        <f t="shared" si="31"/>
        <v>40994.400000000001</v>
      </c>
    </row>
    <row r="99" spans="1:8" ht="18" customHeight="1" x14ac:dyDescent="0.25">
      <c r="A99" s="134">
        <f t="shared" si="32"/>
        <v>81</v>
      </c>
      <c r="B99" s="17" t="s">
        <v>48</v>
      </c>
      <c r="C99" s="16" t="s">
        <v>2</v>
      </c>
      <c r="D99" s="181">
        <f>D97/3</f>
        <v>253.66666666666666</v>
      </c>
      <c r="E99" s="271">
        <v>188.1</v>
      </c>
      <c r="F99" s="39">
        <f t="shared" si="30"/>
        <v>47714.7</v>
      </c>
      <c r="G99" s="39">
        <f t="shared" si="31"/>
        <v>57257.64</v>
      </c>
      <c r="H99" s="182" t="s">
        <v>526</v>
      </c>
    </row>
    <row r="100" spans="1:8" ht="18" customHeight="1" x14ac:dyDescent="0.25">
      <c r="A100" s="258">
        <f t="shared" si="32"/>
        <v>82</v>
      </c>
      <c r="B100" s="259" t="s">
        <v>54</v>
      </c>
      <c r="C100" s="260" t="s">
        <v>2</v>
      </c>
      <c r="D100" s="261">
        <v>69</v>
      </c>
      <c r="E100" s="263">
        <v>494</v>
      </c>
      <c r="F100" s="264">
        <f t="shared" si="30"/>
        <v>34086</v>
      </c>
      <c r="G100" s="264">
        <f t="shared" si="31"/>
        <v>40903.199999999997</v>
      </c>
      <c r="H100" s="273"/>
    </row>
    <row r="101" spans="1:8" ht="18" customHeight="1" x14ac:dyDescent="0.25">
      <c r="A101" s="58"/>
      <c r="B101" s="12" t="s">
        <v>57</v>
      </c>
      <c r="C101" s="16"/>
      <c r="D101" s="19"/>
      <c r="E101" s="75"/>
      <c r="F101" s="39"/>
      <c r="G101" s="39"/>
    </row>
    <row r="102" spans="1:8" ht="27.75" customHeight="1" x14ac:dyDescent="0.25">
      <c r="A102" s="134">
        <v>83</v>
      </c>
      <c r="B102" s="17" t="s">
        <v>171</v>
      </c>
      <c r="C102" s="16" t="s">
        <v>3</v>
      </c>
      <c r="D102" s="179">
        <v>31</v>
      </c>
      <c r="E102" s="75">
        <v>5746.51</v>
      </c>
      <c r="F102" s="39">
        <f t="shared" ref="F102:F110" si="33">ROUND(E102*D102,2)</f>
        <v>178141.81</v>
      </c>
      <c r="G102" s="39">
        <f t="shared" ref="G102:G110" si="34">ROUND(F102*1.2,2)</f>
        <v>213770.17</v>
      </c>
      <c r="H102" s="184"/>
    </row>
    <row r="103" spans="1:8" ht="43.5" customHeight="1" x14ac:dyDescent="0.25">
      <c r="A103" s="134">
        <f>A102+1</f>
        <v>84</v>
      </c>
      <c r="B103" s="17" t="s">
        <v>172</v>
      </c>
      <c r="C103" s="16" t="s">
        <v>3</v>
      </c>
      <c r="D103" s="179">
        <v>16</v>
      </c>
      <c r="E103" s="75">
        <v>8366.0300000000007</v>
      </c>
      <c r="F103" s="39">
        <f t="shared" si="33"/>
        <v>133856.48000000001</v>
      </c>
      <c r="G103" s="39">
        <f t="shared" si="34"/>
        <v>160627.78</v>
      </c>
      <c r="H103" s="172"/>
    </row>
    <row r="104" spans="1:8" ht="15.75" x14ac:dyDescent="0.25">
      <c r="A104" s="134">
        <f t="shared" ref="A104:A108" si="35">A103+1</f>
        <v>85</v>
      </c>
      <c r="B104" s="17" t="s">
        <v>73</v>
      </c>
      <c r="C104" s="16" t="s">
        <v>74</v>
      </c>
      <c r="D104" s="181">
        <v>1</v>
      </c>
      <c r="E104" s="75">
        <v>6794</v>
      </c>
      <c r="F104" s="39">
        <f t="shared" si="33"/>
        <v>6794</v>
      </c>
      <c r="G104" s="39">
        <f t="shared" si="34"/>
        <v>8152.8</v>
      </c>
      <c r="H104" s="172" t="s">
        <v>526</v>
      </c>
    </row>
    <row r="105" spans="1:8" ht="45" customHeight="1" x14ac:dyDescent="0.25">
      <c r="A105" s="134">
        <f t="shared" si="35"/>
        <v>86</v>
      </c>
      <c r="B105" s="17" t="s">
        <v>173</v>
      </c>
      <c r="C105" s="16" t="s">
        <v>12</v>
      </c>
      <c r="D105" s="181">
        <v>2</v>
      </c>
      <c r="E105" s="75">
        <v>8222.4699999999993</v>
      </c>
      <c r="F105" s="39">
        <f t="shared" si="33"/>
        <v>16444.939999999999</v>
      </c>
      <c r="G105" s="39">
        <f t="shared" si="34"/>
        <v>19733.93</v>
      </c>
      <c r="H105" s="172" t="s">
        <v>526</v>
      </c>
    </row>
    <row r="106" spans="1:8" ht="42.75" customHeight="1" x14ac:dyDescent="0.25">
      <c r="A106" s="134">
        <f t="shared" si="35"/>
        <v>87</v>
      </c>
      <c r="B106" s="17" t="s">
        <v>174</v>
      </c>
      <c r="C106" s="16" t="s">
        <v>12</v>
      </c>
      <c r="D106" s="179">
        <v>2</v>
      </c>
      <c r="E106" s="75">
        <v>19742.93</v>
      </c>
      <c r="F106" s="39">
        <f t="shared" si="33"/>
        <v>39485.86</v>
      </c>
      <c r="G106" s="39">
        <f t="shared" si="34"/>
        <v>47383.03</v>
      </c>
      <c r="H106" s="172"/>
    </row>
    <row r="107" spans="1:8" ht="30.75" customHeight="1" x14ac:dyDescent="0.25">
      <c r="A107" s="134">
        <f t="shared" si="35"/>
        <v>88</v>
      </c>
      <c r="B107" s="17" t="s">
        <v>175</v>
      </c>
      <c r="C107" s="16" t="s">
        <v>2</v>
      </c>
      <c r="D107" s="188">
        <v>6.13</v>
      </c>
      <c r="E107" s="271">
        <v>8327.42</v>
      </c>
      <c r="F107" s="39">
        <f t="shared" si="33"/>
        <v>51047.08</v>
      </c>
      <c r="G107" s="39">
        <f t="shared" si="34"/>
        <v>61256.5</v>
      </c>
    </row>
    <row r="108" spans="1:8" ht="34.5" customHeight="1" x14ac:dyDescent="0.25">
      <c r="A108" s="134">
        <f t="shared" si="35"/>
        <v>89</v>
      </c>
      <c r="B108" s="103" t="s">
        <v>145</v>
      </c>
      <c r="C108" s="27" t="s">
        <v>186</v>
      </c>
      <c r="D108" s="181">
        <v>1</v>
      </c>
      <c r="E108" s="74">
        <v>124950.66</v>
      </c>
      <c r="F108" s="40">
        <f t="shared" si="33"/>
        <v>124950.66</v>
      </c>
      <c r="G108" s="40">
        <f t="shared" si="34"/>
        <v>149940.79</v>
      </c>
      <c r="H108" s="182" t="s">
        <v>526</v>
      </c>
    </row>
    <row r="109" spans="1:8" ht="18" customHeight="1" x14ac:dyDescent="0.25">
      <c r="A109" s="134"/>
      <c r="B109" s="12" t="s">
        <v>151</v>
      </c>
      <c r="C109" s="16"/>
      <c r="D109" s="19"/>
      <c r="E109" s="74"/>
      <c r="F109" s="39"/>
      <c r="G109" s="39"/>
    </row>
    <row r="110" spans="1:8" ht="18" customHeight="1" x14ac:dyDescent="0.25">
      <c r="A110" s="134">
        <f>A108+1</f>
        <v>90</v>
      </c>
      <c r="B110" s="17" t="s">
        <v>176</v>
      </c>
      <c r="C110" s="16" t="s">
        <v>3</v>
      </c>
      <c r="D110" s="179">
        <v>31</v>
      </c>
      <c r="E110" s="75">
        <v>2354.06</v>
      </c>
      <c r="F110" s="39">
        <f t="shared" si="33"/>
        <v>72975.86</v>
      </c>
      <c r="G110" s="39">
        <f t="shared" si="34"/>
        <v>87571.03</v>
      </c>
      <c r="H110" s="209"/>
    </row>
    <row r="111" spans="1:8" ht="33" customHeight="1" x14ac:dyDescent="0.25">
      <c r="A111" s="60"/>
      <c r="B111" s="220" t="s">
        <v>303</v>
      </c>
      <c r="C111" s="231"/>
      <c r="D111" s="221"/>
      <c r="E111" s="62"/>
      <c r="F111" s="63"/>
      <c r="G111" s="51"/>
    </row>
    <row r="112" spans="1:8" ht="19.5" customHeight="1" x14ac:dyDescent="0.25">
      <c r="A112" s="27"/>
      <c r="B112" s="25" t="s">
        <v>51</v>
      </c>
      <c r="C112" s="27"/>
      <c r="D112" s="59"/>
      <c r="E112" s="107"/>
      <c r="F112" s="67"/>
      <c r="G112" s="108"/>
    </row>
    <row r="113" spans="1:8" ht="30" customHeight="1" x14ac:dyDescent="0.25">
      <c r="A113" s="134">
        <v>91</v>
      </c>
      <c r="B113" s="17" t="s">
        <v>512</v>
      </c>
      <c r="C113" s="45" t="s">
        <v>2</v>
      </c>
      <c r="D113" s="170">
        <v>177</v>
      </c>
      <c r="E113" s="75">
        <v>630</v>
      </c>
      <c r="F113" s="39">
        <f>ROUND(E113*D113,2)</f>
        <v>111510</v>
      </c>
      <c r="G113" s="39">
        <f>ROUND(F113*1.2,2)</f>
        <v>133812</v>
      </c>
    </row>
    <row r="114" spans="1:8" ht="18" customHeight="1" x14ac:dyDescent="0.25">
      <c r="A114" s="134">
        <f>A113+1</f>
        <v>92</v>
      </c>
      <c r="B114" s="17" t="s">
        <v>52</v>
      </c>
      <c r="C114" s="16" t="s">
        <v>2</v>
      </c>
      <c r="D114" s="179">
        <v>5</v>
      </c>
      <c r="E114" s="271">
        <v>1688.15</v>
      </c>
      <c r="F114" s="39">
        <f t="shared" ref="F114:F121" si="36">ROUND(E114*D114,2)</f>
        <v>8440.75</v>
      </c>
      <c r="G114" s="39">
        <f t="shared" ref="G114:G121" si="37">ROUND(F114*1.2,2)</f>
        <v>10128.9</v>
      </c>
    </row>
    <row r="115" spans="1:8" ht="18" customHeight="1" x14ac:dyDescent="0.25">
      <c r="A115" s="134">
        <f t="shared" ref="A115:A121" si="38">A114+1</f>
        <v>93</v>
      </c>
      <c r="B115" s="17" t="s">
        <v>55</v>
      </c>
      <c r="C115" s="16" t="s">
        <v>2</v>
      </c>
      <c r="D115" s="179">
        <v>3</v>
      </c>
      <c r="E115" s="271">
        <v>1310.05</v>
      </c>
      <c r="F115" s="39">
        <f t="shared" si="36"/>
        <v>3930.15</v>
      </c>
      <c r="G115" s="39">
        <f t="shared" si="37"/>
        <v>4716.18</v>
      </c>
    </row>
    <row r="116" spans="1:8" ht="18" customHeight="1" x14ac:dyDescent="0.25">
      <c r="A116" s="134">
        <f t="shared" si="38"/>
        <v>94</v>
      </c>
      <c r="B116" s="17" t="s">
        <v>56</v>
      </c>
      <c r="C116" s="16" t="s">
        <v>2</v>
      </c>
      <c r="D116" s="179">
        <v>23</v>
      </c>
      <c r="E116" s="271">
        <v>1310.05</v>
      </c>
      <c r="F116" s="39">
        <f t="shared" si="36"/>
        <v>30131.15</v>
      </c>
      <c r="G116" s="39">
        <f t="shared" si="37"/>
        <v>36157.379999999997</v>
      </c>
    </row>
    <row r="117" spans="1:8" ht="18" customHeight="1" x14ac:dyDescent="0.25">
      <c r="A117" s="134">
        <f t="shared" si="38"/>
        <v>95</v>
      </c>
      <c r="B117" s="17" t="s">
        <v>53</v>
      </c>
      <c r="C117" s="16" t="s">
        <v>2</v>
      </c>
      <c r="D117" s="179">
        <v>138</v>
      </c>
      <c r="E117" s="271">
        <v>118.75</v>
      </c>
      <c r="F117" s="39">
        <f t="shared" si="36"/>
        <v>16387.5</v>
      </c>
      <c r="G117" s="39">
        <f t="shared" si="37"/>
        <v>19665</v>
      </c>
    </row>
    <row r="118" spans="1:8" ht="18" customHeight="1" x14ac:dyDescent="0.25">
      <c r="A118" s="134">
        <f t="shared" si="38"/>
        <v>96</v>
      </c>
      <c r="B118" s="17" t="s">
        <v>72</v>
      </c>
      <c r="C118" s="16" t="s">
        <v>2</v>
      </c>
      <c r="D118" s="179">
        <v>7</v>
      </c>
      <c r="E118" s="271">
        <v>854.05</v>
      </c>
      <c r="F118" s="39">
        <f t="shared" si="36"/>
        <v>5978.35</v>
      </c>
      <c r="G118" s="39">
        <f t="shared" si="37"/>
        <v>7174.02</v>
      </c>
    </row>
    <row r="119" spans="1:8" ht="18" customHeight="1" x14ac:dyDescent="0.25">
      <c r="A119" s="134">
        <f t="shared" si="38"/>
        <v>97</v>
      </c>
      <c r="B119" s="17" t="s">
        <v>48</v>
      </c>
      <c r="C119" s="16" t="s">
        <v>2</v>
      </c>
      <c r="D119" s="181">
        <f>D117/3</f>
        <v>46</v>
      </c>
      <c r="E119" s="271">
        <v>188.1</v>
      </c>
      <c r="F119" s="39">
        <f t="shared" si="36"/>
        <v>8652.6</v>
      </c>
      <c r="G119" s="39">
        <f t="shared" si="37"/>
        <v>10383.120000000001</v>
      </c>
      <c r="H119" s="182" t="s">
        <v>526</v>
      </c>
    </row>
    <row r="120" spans="1:8" ht="18" customHeight="1" x14ac:dyDescent="0.25">
      <c r="A120" s="258">
        <f t="shared" si="38"/>
        <v>98</v>
      </c>
      <c r="B120" s="259" t="s">
        <v>54</v>
      </c>
      <c r="C120" s="260" t="s">
        <v>17</v>
      </c>
      <c r="D120" s="261">
        <v>59.2</v>
      </c>
      <c r="E120" s="263">
        <v>325</v>
      </c>
      <c r="F120" s="264">
        <f t="shared" si="36"/>
        <v>19240</v>
      </c>
      <c r="G120" s="264">
        <f t="shared" si="37"/>
        <v>23088</v>
      </c>
    </row>
    <row r="121" spans="1:8" ht="18" customHeight="1" x14ac:dyDescent="0.25">
      <c r="A121" s="134">
        <f t="shared" si="38"/>
        <v>99</v>
      </c>
      <c r="B121" s="17" t="s">
        <v>50</v>
      </c>
      <c r="C121" s="16" t="s">
        <v>17</v>
      </c>
      <c r="D121" s="180">
        <v>59.2</v>
      </c>
      <c r="E121" s="75"/>
      <c r="F121" s="39">
        <f t="shared" si="36"/>
        <v>0</v>
      </c>
      <c r="G121" s="39">
        <f t="shared" si="37"/>
        <v>0</v>
      </c>
    </row>
    <row r="122" spans="1:8" ht="18" customHeight="1" x14ac:dyDescent="0.25">
      <c r="A122" s="58"/>
      <c r="B122" s="12" t="s">
        <v>57</v>
      </c>
      <c r="C122" s="66"/>
      <c r="D122" s="66"/>
      <c r="E122" s="157"/>
      <c r="F122" s="26"/>
      <c r="G122" s="73"/>
    </row>
    <row r="123" spans="1:8" ht="33" customHeight="1" x14ac:dyDescent="0.25">
      <c r="A123" s="134">
        <f>A121+1</f>
        <v>100</v>
      </c>
      <c r="B123" s="17" t="s">
        <v>178</v>
      </c>
      <c r="C123" s="16" t="s">
        <v>3</v>
      </c>
      <c r="D123" s="179">
        <v>31</v>
      </c>
      <c r="E123" s="75">
        <v>3780</v>
      </c>
      <c r="F123" s="39">
        <f t="shared" ref="F123:F132" si="39">ROUND(E123*D123,2)</f>
        <v>117180</v>
      </c>
      <c r="G123" s="39">
        <f t="shared" ref="G123:G132" si="40">ROUND(F123*1.2,2)</f>
        <v>140616</v>
      </c>
    </row>
    <row r="124" spans="1:8" ht="44.25" customHeight="1" x14ac:dyDescent="0.25">
      <c r="A124" s="134">
        <f>A123+1</f>
        <v>101</v>
      </c>
      <c r="B124" s="17" t="s">
        <v>179</v>
      </c>
      <c r="C124" s="16" t="s">
        <v>3</v>
      </c>
      <c r="D124" s="179">
        <v>16</v>
      </c>
      <c r="E124" s="74">
        <v>6784</v>
      </c>
      <c r="F124" s="39">
        <f t="shared" si="39"/>
        <v>108544</v>
      </c>
      <c r="G124" s="39">
        <f t="shared" si="40"/>
        <v>130252.8</v>
      </c>
    </row>
    <row r="125" spans="1:8" ht="44.25" customHeight="1" x14ac:dyDescent="0.25">
      <c r="A125" s="134">
        <f t="shared" ref="A125:A128" si="41">A124+1</f>
        <v>102</v>
      </c>
      <c r="B125" s="17" t="s">
        <v>180</v>
      </c>
      <c r="C125" s="16" t="s">
        <v>12</v>
      </c>
      <c r="D125" s="181">
        <v>2</v>
      </c>
      <c r="E125" s="74">
        <v>5203.95</v>
      </c>
      <c r="F125" s="39">
        <f t="shared" si="39"/>
        <v>10407.9</v>
      </c>
      <c r="G125" s="39">
        <f t="shared" si="40"/>
        <v>12489.48</v>
      </c>
      <c r="H125" s="182" t="s">
        <v>526</v>
      </c>
    </row>
    <row r="126" spans="1:8" ht="44.25" customHeight="1" x14ac:dyDescent="0.25">
      <c r="A126" s="134">
        <f t="shared" si="41"/>
        <v>103</v>
      </c>
      <c r="B126" s="17" t="s">
        <v>181</v>
      </c>
      <c r="C126" s="16" t="s">
        <v>12</v>
      </c>
      <c r="D126" s="179">
        <v>2</v>
      </c>
      <c r="E126" s="74">
        <v>12511.09</v>
      </c>
      <c r="F126" s="39">
        <f t="shared" si="39"/>
        <v>25022.18</v>
      </c>
      <c r="G126" s="39">
        <f t="shared" si="40"/>
        <v>30026.62</v>
      </c>
    </row>
    <row r="127" spans="1:8" ht="33.75" customHeight="1" x14ac:dyDescent="0.25">
      <c r="A127" s="134">
        <f t="shared" si="41"/>
        <v>104</v>
      </c>
      <c r="B127" s="17" t="s">
        <v>300</v>
      </c>
      <c r="C127" s="16" t="s">
        <v>2</v>
      </c>
      <c r="D127" s="188">
        <v>3.46</v>
      </c>
      <c r="E127" s="271">
        <v>8327.42</v>
      </c>
      <c r="F127" s="39">
        <f t="shared" si="39"/>
        <v>28812.87</v>
      </c>
      <c r="G127" s="39">
        <f t="shared" si="40"/>
        <v>34575.440000000002</v>
      </c>
    </row>
    <row r="128" spans="1:8" ht="28.5" customHeight="1" x14ac:dyDescent="0.25">
      <c r="A128" s="134">
        <f t="shared" si="41"/>
        <v>105</v>
      </c>
      <c r="B128" s="103" t="s">
        <v>145</v>
      </c>
      <c r="C128" s="27" t="s">
        <v>186</v>
      </c>
      <c r="D128" s="181">
        <v>1</v>
      </c>
      <c r="E128" s="74">
        <v>70121.429999999993</v>
      </c>
      <c r="F128" s="40">
        <f t="shared" si="39"/>
        <v>70121.429999999993</v>
      </c>
      <c r="G128" s="40">
        <f t="shared" si="40"/>
        <v>84145.72</v>
      </c>
      <c r="H128" s="182" t="s">
        <v>526</v>
      </c>
    </row>
    <row r="129" spans="1:8" ht="18" customHeight="1" x14ac:dyDescent="0.25">
      <c r="A129" s="58"/>
      <c r="B129" s="12" t="s">
        <v>151</v>
      </c>
      <c r="C129" s="16"/>
      <c r="D129" s="19"/>
      <c r="E129" s="74"/>
      <c r="F129" s="39"/>
      <c r="G129" s="39"/>
    </row>
    <row r="130" spans="1:8" ht="18" customHeight="1" x14ac:dyDescent="0.25">
      <c r="A130" s="134">
        <f>A128+1</f>
        <v>106</v>
      </c>
      <c r="B130" s="17" t="s">
        <v>182</v>
      </c>
      <c r="C130" s="16" t="s">
        <v>3</v>
      </c>
      <c r="D130" s="179">
        <v>31</v>
      </c>
      <c r="E130" s="74">
        <v>2054</v>
      </c>
      <c r="F130" s="39">
        <f t="shared" si="39"/>
        <v>63674</v>
      </c>
      <c r="G130" s="39">
        <f t="shared" si="40"/>
        <v>76408.800000000003</v>
      </c>
    </row>
    <row r="131" spans="1:8" ht="18.75" customHeight="1" x14ac:dyDescent="0.25">
      <c r="A131" s="134">
        <f>A130+1</f>
        <v>107</v>
      </c>
      <c r="B131" s="17" t="s">
        <v>177</v>
      </c>
      <c r="C131" s="16" t="s">
        <v>17</v>
      </c>
      <c r="D131" s="179"/>
      <c r="E131" s="74"/>
      <c r="F131" s="39">
        <f t="shared" si="39"/>
        <v>0</v>
      </c>
      <c r="G131" s="39">
        <f t="shared" si="40"/>
        <v>0</v>
      </c>
    </row>
    <row r="132" spans="1:8" ht="28.5" customHeight="1" x14ac:dyDescent="0.25">
      <c r="A132" s="134">
        <f t="shared" ref="A132" si="42">A131+1</f>
        <v>108</v>
      </c>
      <c r="B132" s="17" t="s">
        <v>170</v>
      </c>
      <c r="C132" s="16" t="s">
        <v>17</v>
      </c>
      <c r="D132" s="179"/>
      <c r="E132" s="74">
        <v>0</v>
      </c>
      <c r="F132" s="39">
        <f t="shared" si="39"/>
        <v>0</v>
      </c>
      <c r="G132" s="39">
        <f t="shared" si="40"/>
        <v>0</v>
      </c>
    </row>
    <row r="133" spans="1:8" ht="30" customHeight="1" x14ac:dyDescent="0.25">
      <c r="A133" s="60"/>
      <c r="B133" s="220" t="s">
        <v>99</v>
      </c>
      <c r="C133" s="231"/>
      <c r="D133" s="221"/>
      <c r="E133" s="62"/>
      <c r="F133" s="63"/>
      <c r="G133" s="51"/>
    </row>
    <row r="134" spans="1:8" ht="19.5" customHeight="1" x14ac:dyDescent="0.25">
      <c r="A134" s="27"/>
      <c r="B134" s="25" t="s">
        <v>51</v>
      </c>
      <c r="C134" s="27"/>
      <c r="D134" s="59"/>
      <c r="E134" s="107"/>
      <c r="F134" s="67"/>
      <c r="G134" s="108"/>
    </row>
    <row r="135" spans="1:8" ht="30.75" customHeight="1" x14ac:dyDescent="0.25">
      <c r="A135" s="134">
        <f>A132+1</f>
        <v>109</v>
      </c>
      <c r="B135" s="17" t="s">
        <v>512</v>
      </c>
      <c r="C135" s="45" t="s">
        <v>2</v>
      </c>
      <c r="D135" s="170">
        <v>595</v>
      </c>
      <c r="E135" s="74">
        <v>630</v>
      </c>
      <c r="F135" s="39">
        <f>ROUND(E135*D135,2)</f>
        <v>374850</v>
      </c>
      <c r="G135" s="39">
        <f>ROUND(F135*1.2,2)</f>
        <v>449820</v>
      </c>
    </row>
    <row r="136" spans="1:8" ht="18" customHeight="1" x14ac:dyDescent="0.25">
      <c r="A136" s="134">
        <f>A135+1</f>
        <v>110</v>
      </c>
      <c r="B136" s="17" t="s">
        <v>52</v>
      </c>
      <c r="C136" s="16" t="s">
        <v>2</v>
      </c>
      <c r="D136" s="179">
        <v>18</v>
      </c>
      <c r="E136" s="271">
        <v>1688.15</v>
      </c>
      <c r="F136" s="39">
        <f t="shared" ref="F136:F142" si="43">ROUND(E136*D136,2)</f>
        <v>30386.7</v>
      </c>
      <c r="G136" s="39">
        <f t="shared" ref="G136:G142" si="44">ROUND(F136*1.2,2)</f>
        <v>36464.04</v>
      </c>
    </row>
    <row r="137" spans="1:8" ht="18" customHeight="1" x14ac:dyDescent="0.25">
      <c r="A137" s="134">
        <f t="shared" ref="A137:A142" si="45">A136+1</f>
        <v>111</v>
      </c>
      <c r="B137" s="17" t="s">
        <v>55</v>
      </c>
      <c r="C137" s="16" t="s">
        <v>2</v>
      </c>
      <c r="D137" s="179">
        <v>2</v>
      </c>
      <c r="E137" s="271">
        <v>1310.05</v>
      </c>
      <c r="F137" s="39">
        <f t="shared" si="43"/>
        <v>2620.1</v>
      </c>
      <c r="G137" s="39">
        <f t="shared" si="44"/>
        <v>3144.12</v>
      </c>
    </row>
    <row r="138" spans="1:8" ht="18" customHeight="1" x14ac:dyDescent="0.25">
      <c r="A138" s="134">
        <f t="shared" si="45"/>
        <v>112</v>
      </c>
      <c r="B138" s="17" t="s">
        <v>56</v>
      </c>
      <c r="C138" s="16" t="s">
        <v>2</v>
      </c>
      <c r="D138" s="179">
        <v>13</v>
      </c>
      <c r="E138" s="271">
        <v>1310.05</v>
      </c>
      <c r="F138" s="39">
        <f t="shared" si="43"/>
        <v>17030.650000000001</v>
      </c>
      <c r="G138" s="39">
        <f t="shared" si="44"/>
        <v>20436.78</v>
      </c>
    </row>
    <row r="139" spans="1:8" ht="18" customHeight="1" x14ac:dyDescent="0.25">
      <c r="A139" s="134">
        <f t="shared" si="45"/>
        <v>113</v>
      </c>
      <c r="B139" s="17" t="s">
        <v>53</v>
      </c>
      <c r="C139" s="16" t="s">
        <v>2</v>
      </c>
      <c r="D139" s="180">
        <v>560.5</v>
      </c>
      <c r="E139" s="271">
        <v>118.75</v>
      </c>
      <c r="F139" s="39">
        <f t="shared" si="43"/>
        <v>66559.38</v>
      </c>
      <c r="G139" s="39">
        <f t="shared" si="44"/>
        <v>79871.259999999995</v>
      </c>
    </row>
    <row r="140" spans="1:8" ht="18" customHeight="1" x14ac:dyDescent="0.25">
      <c r="A140" s="134">
        <f t="shared" si="45"/>
        <v>114</v>
      </c>
      <c r="B140" s="17" t="s">
        <v>72</v>
      </c>
      <c r="C140" s="16" t="s">
        <v>2</v>
      </c>
      <c r="D140" s="180">
        <v>29.5</v>
      </c>
      <c r="E140" s="271">
        <v>854.05</v>
      </c>
      <c r="F140" s="39">
        <f t="shared" si="43"/>
        <v>25194.48</v>
      </c>
      <c r="G140" s="39">
        <f t="shared" si="44"/>
        <v>30233.38</v>
      </c>
    </row>
    <row r="141" spans="1:8" ht="18" customHeight="1" x14ac:dyDescent="0.25">
      <c r="A141" s="134">
        <f t="shared" si="45"/>
        <v>115</v>
      </c>
      <c r="B141" s="17" t="s">
        <v>48</v>
      </c>
      <c r="C141" s="16" t="s">
        <v>2</v>
      </c>
      <c r="D141" s="186">
        <f>D139/3</f>
        <v>186.83333333333334</v>
      </c>
      <c r="E141" s="271">
        <v>188.1</v>
      </c>
      <c r="F141" s="39">
        <f t="shared" si="43"/>
        <v>35143.35</v>
      </c>
      <c r="G141" s="39">
        <f t="shared" si="44"/>
        <v>42172.02</v>
      </c>
      <c r="H141" s="182" t="s">
        <v>526</v>
      </c>
    </row>
    <row r="142" spans="1:8" ht="18" customHeight="1" x14ac:dyDescent="0.25">
      <c r="A142" s="258">
        <f t="shared" si="45"/>
        <v>116</v>
      </c>
      <c r="B142" s="259" t="s">
        <v>54</v>
      </c>
      <c r="C142" s="260" t="s">
        <v>2</v>
      </c>
      <c r="D142" s="261">
        <v>37</v>
      </c>
      <c r="E142" s="263">
        <v>494</v>
      </c>
      <c r="F142" s="264">
        <f t="shared" si="43"/>
        <v>18278</v>
      </c>
      <c r="G142" s="264">
        <f t="shared" si="44"/>
        <v>21933.599999999999</v>
      </c>
    </row>
    <row r="143" spans="1:8" ht="18" customHeight="1" x14ac:dyDescent="0.25">
      <c r="A143" s="58"/>
      <c r="B143" s="12" t="s">
        <v>57</v>
      </c>
      <c r="C143" s="66"/>
      <c r="D143" s="66"/>
      <c r="E143" s="157"/>
      <c r="F143" s="26"/>
      <c r="G143" s="73"/>
    </row>
    <row r="144" spans="1:8" ht="29.25" customHeight="1" x14ac:dyDescent="0.25">
      <c r="A144" s="134">
        <v>117</v>
      </c>
      <c r="B144" s="17" t="s">
        <v>178</v>
      </c>
      <c r="C144" s="16" t="s">
        <v>3</v>
      </c>
      <c r="D144" s="179">
        <v>21</v>
      </c>
      <c r="E144" s="75">
        <v>3780</v>
      </c>
      <c r="F144" s="39">
        <f t="shared" ref="F144:F149" si="46">ROUND(E144*D144,2)</f>
        <v>79380</v>
      </c>
      <c r="G144" s="39">
        <f t="shared" ref="G144:G149" si="47">ROUND(F144*1.2,2)</f>
        <v>95256</v>
      </c>
    </row>
    <row r="145" spans="1:8" ht="43.5" customHeight="1" x14ac:dyDescent="0.25">
      <c r="A145" s="134">
        <f>A144+1</f>
        <v>118</v>
      </c>
      <c r="B145" s="17" t="s">
        <v>179</v>
      </c>
      <c r="C145" s="16" t="s">
        <v>3</v>
      </c>
      <c r="D145" s="179">
        <v>13</v>
      </c>
      <c r="E145" s="74">
        <v>6784</v>
      </c>
      <c r="F145" s="39">
        <f t="shared" si="46"/>
        <v>88192</v>
      </c>
      <c r="G145" s="39">
        <f t="shared" si="47"/>
        <v>105830.39999999999</v>
      </c>
    </row>
    <row r="146" spans="1:8" ht="45.75" customHeight="1" x14ac:dyDescent="0.25">
      <c r="A146" s="134">
        <f t="shared" ref="A146:A149" si="48">A145+1</f>
        <v>119</v>
      </c>
      <c r="B146" s="17" t="s">
        <v>180</v>
      </c>
      <c r="C146" s="16" t="s">
        <v>12</v>
      </c>
      <c r="D146" s="181">
        <v>2</v>
      </c>
      <c r="E146" s="74">
        <v>5203.95</v>
      </c>
      <c r="F146" s="39">
        <f t="shared" si="46"/>
        <v>10407.9</v>
      </c>
      <c r="G146" s="39">
        <f t="shared" si="47"/>
        <v>12489.48</v>
      </c>
      <c r="H146" s="182" t="s">
        <v>526</v>
      </c>
    </row>
    <row r="147" spans="1:8" ht="48" customHeight="1" x14ac:dyDescent="0.25">
      <c r="A147" s="134">
        <f t="shared" si="48"/>
        <v>120</v>
      </c>
      <c r="B147" s="17" t="s">
        <v>181</v>
      </c>
      <c r="C147" s="16" t="s">
        <v>12</v>
      </c>
      <c r="D147" s="179">
        <v>2</v>
      </c>
      <c r="E147" s="74">
        <v>12511.09</v>
      </c>
      <c r="F147" s="39">
        <f t="shared" si="46"/>
        <v>25022.18</v>
      </c>
      <c r="G147" s="39">
        <f t="shared" si="47"/>
        <v>30026.62</v>
      </c>
    </row>
    <row r="148" spans="1:8" ht="29.25" customHeight="1" x14ac:dyDescent="0.25">
      <c r="A148" s="134">
        <f t="shared" si="48"/>
        <v>121</v>
      </c>
      <c r="B148" s="17" t="s">
        <v>300</v>
      </c>
      <c r="C148" s="16" t="s">
        <v>2</v>
      </c>
      <c r="D148" s="188">
        <v>2.81</v>
      </c>
      <c r="E148" s="271">
        <v>8327.42</v>
      </c>
      <c r="F148" s="39">
        <f t="shared" si="46"/>
        <v>23400.05</v>
      </c>
      <c r="G148" s="39">
        <f t="shared" si="47"/>
        <v>28080.06</v>
      </c>
    </row>
    <row r="149" spans="1:8" ht="27.75" customHeight="1" x14ac:dyDescent="0.25">
      <c r="A149" s="134">
        <f t="shared" si="48"/>
        <v>122</v>
      </c>
      <c r="B149" s="103" t="s">
        <v>145</v>
      </c>
      <c r="C149" s="27" t="s">
        <v>186</v>
      </c>
      <c r="D149" s="181">
        <v>1</v>
      </c>
      <c r="E149" s="74">
        <v>70121.429999999993</v>
      </c>
      <c r="F149" s="40">
        <f t="shared" si="46"/>
        <v>70121.429999999993</v>
      </c>
      <c r="G149" s="40">
        <f t="shared" si="47"/>
        <v>84145.72</v>
      </c>
      <c r="H149" s="182" t="s">
        <v>526</v>
      </c>
    </row>
    <row r="150" spans="1:8" ht="18" customHeight="1" x14ac:dyDescent="0.25">
      <c r="A150" s="58"/>
      <c r="B150" s="12" t="s">
        <v>151</v>
      </c>
      <c r="C150" s="16"/>
      <c r="D150" s="19"/>
      <c r="E150" s="74"/>
      <c r="F150" s="39"/>
      <c r="G150" s="39"/>
    </row>
    <row r="151" spans="1:8" ht="18" customHeight="1" x14ac:dyDescent="0.25">
      <c r="A151" s="134">
        <f>A149+1</f>
        <v>123</v>
      </c>
      <c r="B151" s="17" t="s">
        <v>182</v>
      </c>
      <c r="C151" s="16" t="s">
        <v>3</v>
      </c>
      <c r="D151" s="179">
        <v>21</v>
      </c>
      <c r="E151" s="74">
        <v>2054</v>
      </c>
      <c r="F151" s="39">
        <f t="shared" ref="F151:F153" si="49">ROUND(E151*D151,2)</f>
        <v>43134</v>
      </c>
      <c r="G151" s="39">
        <f t="shared" ref="G151:G153" si="50">ROUND(F151*1.2,2)</f>
        <v>51760.800000000003</v>
      </c>
    </row>
    <row r="152" spans="1:8" ht="18" customHeight="1" x14ac:dyDescent="0.25">
      <c r="A152" s="134">
        <f>A151+1</f>
        <v>124</v>
      </c>
      <c r="B152" s="17" t="s">
        <v>177</v>
      </c>
      <c r="C152" s="16" t="s">
        <v>17</v>
      </c>
      <c r="D152" s="179">
        <v>8</v>
      </c>
      <c r="E152" s="74"/>
      <c r="F152" s="39">
        <f t="shared" si="49"/>
        <v>0</v>
      </c>
      <c r="G152" s="39">
        <f t="shared" si="50"/>
        <v>0</v>
      </c>
    </row>
    <row r="153" spans="1:8" ht="27.75" customHeight="1" x14ac:dyDescent="0.25">
      <c r="A153" s="134">
        <f t="shared" ref="A153" si="51">A152+1</f>
        <v>125</v>
      </c>
      <c r="B153" s="17" t="s">
        <v>170</v>
      </c>
      <c r="C153" s="16" t="s">
        <v>17</v>
      </c>
      <c r="D153" s="179">
        <v>8</v>
      </c>
      <c r="E153" s="74">
        <v>0</v>
      </c>
      <c r="F153" s="39">
        <f t="shared" si="49"/>
        <v>0</v>
      </c>
      <c r="G153" s="39">
        <f t="shared" si="50"/>
        <v>0</v>
      </c>
    </row>
    <row r="154" spans="1:8" ht="28.5" customHeight="1" x14ac:dyDescent="0.25">
      <c r="A154" s="60"/>
      <c r="B154" s="220" t="s">
        <v>100</v>
      </c>
      <c r="C154" s="231"/>
      <c r="D154" s="221"/>
      <c r="E154" s="62"/>
      <c r="F154" s="63"/>
      <c r="G154" s="51"/>
    </row>
    <row r="155" spans="1:8" ht="19.5" customHeight="1" x14ac:dyDescent="0.25">
      <c r="A155" s="27"/>
      <c r="B155" s="25" t="s">
        <v>51</v>
      </c>
      <c r="C155" s="27"/>
      <c r="D155" s="59"/>
      <c r="E155" s="107"/>
      <c r="F155" s="67"/>
      <c r="G155" s="108"/>
    </row>
    <row r="156" spans="1:8" ht="18" customHeight="1" x14ac:dyDescent="0.25">
      <c r="A156" s="134">
        <f>A153+1</f>
        <v>126</v>
      </c>
      <c r="B156" s="17" t="s">
        <v>71</v>
      </c>
      <c r="C156" s="45" t="s">
        <v>2</v>
      </c>
      <c r="D156" s="170">
        <v>1779</v>
      </c>
      <c r="E156" s="75">
        <v>630</v>
      </c>
      <c r="F156" s="39">
        <f>ROUND(E156*D156,2)</f>
        <v>1120770</v>
      </c>
      <c r="G156" s="39">
        <f>ROUND(F156*1.2,2)</f>
        <v>1344924</v>
      </c>
    </row>
    <row r="157" spans="1:8" ht="18" customHeight="1" x14ac:dyDescent="0.25">
      <c r="A157" s="134">
        <f>A156+1</f>
        <v>127</v>
      </c>
      <c r="B157" s="17" t="s">
        <v>52</v>
      </c>
      <c r="C157" s="16" t="s">
        <v>2</v>
      </c>
      <c r="D157" s="179">
        <v>53</v>
      </c>
      <c r="E157" s="271">
        <v>1688.15</v>
      </c>
      <c r="F157" s="39">
        <f t="shared" ref="F157:F163" si="52">ROUND(E157*D157,2)</f>
        <v>89471.95</v>
      </c>
      <c r="G157" s="39">
        <f t="shared" ref="G157:G163" si="53">ROUND(F157*1.2,2)</f>
        <v>107366.34</v>
      </c>
    </row>
    <row r="158" spans="1:8" ht="18" customHeight="1" x14ac:dyDescent="0.25">
      <c r="A158" s="134">
        <f t="shared" ref="A158:A163" si="54">A157+1</f>
        <v>128</v>
      </c>
      <c r="B158" s="17" t="s">
        <v>55</v>
      </c>
      <c r="C158" s="16" t="s">
        <v>2</v>
      </c>
      <c r="D158" s="179">
        <v>6</v>
      </c>
      <c r="E158" s="271">
        <v>1310.05</v>
      </c>
      <c r="F158" s="39">
        <f t="shared" si="52"/>
        <v>7860.3</v>
      </c>
      <c r="G158" s="39">
        <f t="shared" si="53"/>
        <v>9432.36</v>
      </c>
    </row>
    <row r="159" spans="1:8" ht="18" customHeight="1" x14ac:dyDescent="0.25">
      <c r="A159" s="134">
        <f t="shared" si="54"/>
        <v>129</v>
      </c>
      <c r="B159" s="17" t="s">
        <v>56</v>
      </c>
      <c r="C159" s="16" t="s">
        <v>2</v>
      </c>
      <c r="D159" s="179">
        <v>40</v>
      </c>
      <c r="E159" s="271">
        <v>1310.05</v>
      </c>
      <c r="F159" s="39">
        <f t="shared" si="52"/>
        <v>52402</v>
      </c>
      <c r="G159" s="39">
        <f t="shared" si="53"/>
        <v>62882.400000000001</v>
      </c>
    </row>
    <row r="160" spans="1:8" ht="18" customHeight="1" x14ac:dyDescent="0.25">
      <c r="A160" s="134">
        <f t="shared" si="54"/>
        <v>130</v>
      </c>
      <c r="B160" s="17" t="s">
        <v>53</v>
      </c>
      <c r="C160" s="16" t="s">
        <v>2</v>
      </c>
      <c r="D160" s="180">
        <v>1681.5</v>
      </c>
      <c r="E160" s="271">
        <v>118.75</v>
      </c>
      <c r="F160" s="39">
        <f t="shared" si="52"/>
        <v>199678.13</v>
      </c>
      <c r="G160" s="39">
        <f t="shared" si="53"/>
        <v>239613.76</v>
      </c>
    </row>
    <row r="161" spans="1:8" ht="18" customHeight="1" x14ac:dyDescent="0.25">
      <c r="A161" s="134">
        <f t="shared" si="54"/>
        <v>131</v>
      </c>
      <c r="B161" s="17" t="s">
        <v>72</v>
      </c>
      <c r="C161" s="16" t="s">
        <v>2</v>
      </c>
      <c r="D161" s="180">
        <v>88.5</v>
      </c>
      <c r="E161" s="271">
        <v>854.05</v>
      </c>
      <c r="F161" s="39">
        <f t="shared" si="52"/>
        <v>75583.429999999993</v>
      </c>
      <c r="G161" s="39">
        <f t="shared" si="53"/>
        <v>90700.12</v>
      </c>
    </row>
    <row r="162" spans="1:8" ht="18" customHeight="1" x14ac:dyDescent="0.25">
      <c r="A162" s="134">
        <f t="shared" si="54"/>
        <v>132</v>
      </c>
      <c r="B162" s="17" t="s">
        <v>48</v>
      </c>
      <c r="C162" s="16" t="s">
        <v>2</v>
      </c>
      <c r="D162" s="186">
        <f>D160/3</f>
        <v>560.5</v>
      </c>
      <c r="E162" s="271">
        <v>188.1</v>
      </c>
      <c r="F162" s="39">
        <f t="shared" si="52"/>
        <v>105430.05</v>
      </c>
      <c r="G162" s="39">
        <f t="shared" si="53"/>
        <v>126516.06</v>
      </c>
      <c r="H162" s="182" t="s">
        <v>526</v>
      </c>
    </row>
    <row r="163" spans="1:8" ht="18" customHeight="1" x14ac:dyDescent="0.25">
      <c r="A163" s="258">
        <f t="shared" si="54"/>
        <v>133</v>
      </c>
      <c r="B163" s="259" t="s">
        <v>54</v>
      </c>
      <c r="C163" s="260" t="s">
        <v>2</v>
      </c>
      <c r="D163" s="261">
        <v>23</v>
      </c>
      <c r="E163" s="263">
        <v>494</v>
      </c>
      <c r="F163" s="264">
        <f t="shared" si="52"/>
        <v>11362</v>
      </c>
      <c r="G163" s="264">
        <f t="shared" si="53"/>
        <v>13634.4</v>
      </c>
    </row>
    <row r="164" spans="1:8" ht="18" customHeight="1" x14ac:dyDescent="0.25">
      <c r="A164" s="58"/>
      <c r="B164" s="12" t="s">
        <v>57</v>
      </c>
      <c r="C164" s="66"/>
      <c r="D164" s="66"/>
      <c r="E164" s="157"/>
      <c r="F164" s="26"/>
      <c r="G164" s="73"/>
    </row>
    <row r="165" spans="1:8" ht="28.5" customHeight="1" x14ac:dyDescent="0.25">
      <c r="A165" s="134">
        <v>134</v>
      </c>
      <c r="B165" s="17" t="s">
        <v>178</v>
      </c>
      <c r="C165" s="16" t="s">
        <v>3</v>
      </c>
      <c r="D165" s="179">
        <v>49</v>
      </c>
      <c r="E165" s="75">
        <v>3780</v>
      </c>
      <c r="F165" s="39">
        <f t="shared" ref="F165:F170" si="55">ROUND(E165*D165,2)</f>
        <v>185220</v>
      </c>
      <c r="G165" s="39">
        <f t="shared" ref="G165:G170" si="56">ROUND(F165*1.2,2)</f>
        <v>222264</v>
      </c>
    </row>
    <row r="166" spans="1:8" ht="42.75" customHeight="1" x14ac:dyDescent="0.25">
      <c r="A166" s="134">
        <f>A165+1</f>
        <v>135</v>
      </c>
      <c r="B166" s="17" t="s">
        <v>179</v>
      </c>
      <c r="C166" s="16" t="s">
        <v>3</v>
      </c>
      <c r="D166" s="179">
        <v>16</v>
      </c>
      <c r="E166" s="74">
        <v>6784</v>
      </c>
      <c r="F166" s="39">
        <f t="shared" si="55"/>
        <v>108544</v>
      </c>
      <c r="G166" s="39">
        <f t="shared" si="56"/>
        <v>130252.8</v>
      </c>
    </row>
    <row r="167" spans="1:8" ht="44.25" customHeight="1" x14ac:dyDescent="0.25">
      <c r="A167" s="134">
        <f t="shared" ref="A167:A170" si="57">A166+1</f>
        <v>136</v>
      </c>
      <c r="B167" s="17" t="s">
        <v>180</v>
      </c>
      <c r="C167" s="16" t="s">
        <v>12</v>
      </c>
      <c r="D167" s="181">
        <v>2</v>
      </c>
      <c r="E167" s="74">
        <v>5203.95</v>
      </c>
      <c r="F167" s="39">
        <f t="shared" si="55"/>
        <v>10407.9</v>
      </c>
      <c r="G167" s="39">
        <f t="shared" si="56"/>
        <v>12489.48</v>
      </c>
      <c r="H167" s="182" t="s">
        <v>526</v>
      </c>
    </row>
    <row r="168" spans="1:8" ht="42" customHeight="1" x14ac:dyDescent="0.25">
      <c r="A168" s="134">
        <f t="shared" si="57"/>
        <v>137</v>
      </c>
      <c r="B168" s="17" t="s">
        <v>181</v>
      </c>
      <c r="C168" s="16" t="s">
        <v>12</v>
      </c>
      <c r="D168" s="179">
        <v>2</v>
      </c>
      <c r="E168" s="74">
        <v>12511.09</v>
      </c>
      <c r="F168" s="39">
        <f t="shared" si="55"/>
        <v>25022.18</v>
      </c>
      <c r="G168" s="39">
        <f t="shared" si="56"/>
        <v>30026.62</v>
      </c>
    </row>
    <row r="169" spans="1:8" ht="28.5" customHeight="1" x14ac:dyDescent="0.25">
      <c r="A169" s="134">
        <f t="shared" si="57"/>
        <v>138</v>
      </c>
      <c r="B169" s="17" t="s">
        <v>300</v>
      </c>
      <c r="C169" s="16" t="s">
        <v>2</v>
      </c>
      <c r="D169" s="188">
        <v>3.46</v>
      </c>
      <c r="E169" s="271">
        <v>8327.42</v>
      </c>
      <c r="F169" s="39">
        <f t="shared" si="55"/>
        <v>28812.87</v>
      </c>
      <c r="G169" s="39">
        <f t="shared" si="56"/>
        <v>34575.440000000002</v>
      </c>
    </row>
    <row r="170" spans="1:8" ht="25.5" customHeight="1" x14ac:dyDescent="0.25">
      <c r="A170" s="134">
        <f t="shared" si="57"/>
        <v>139</v>
      </c>
      <c r="B170" s="103" t="s">
        <v>145</v>
      </c>
      <c r="C170" s="27" t="s">
        <v>186</v>
      </c>
      <c r="D170" s="181">
        <v>1</v>
      </c>
      <c r="E170" s="74">
        <v>70121.429999999993</v>
      </c>
      <c r="F170" s="40">
        <f t="shared" si="55"/>
        <v>70121.429999999993</v>
      </c>
      <c r="G170" s="40">
        <f t="shared" si="56"/>
        <v>84145.72</v>
      </c>
      <c r="H170" s="182" t="s">
        <v>526</v>
      </c>
    </row>
    <row r="171" spans="1:8" ht="18" customHeight="1" x14ac:dyDescent="0.25">
      <c r="A171" s="58"/>
      <c r="B171" s="12" t="s">
        <v>151</v>
      </c>
      <c r="C171" s="16"/>
      <c r="D171" s="19"/>
      <c r="E171" s="74"/>
      <c r="F171" s="39"/>
      <c r="G171" s="39"/>
    </row>
    <row r="172" spans="1:8" ht="18" customHeight="1" x14ac:dyDescent="0.25">
      <c r="A172" s="134">
        <f>A170+1</f>
        <v>140</v>
      </c>
      <c r="B172" s="17" t="s">
        <v>182</v>
      </c>
      <c r="C172" s="16" t="s">
        <v>3</v>
      </c>
      <c r="D172" s="179">
        <v>49</v>
      </c>
      <c r="E172" s="74">
        <v>2054</v>
      </c>
      <c r="F172" s="39">
        <f t="shared" ref="F172:F174" si="58">ROUND(E172*D172,2)</f>
        <v>100646</v>
      </c>
      <c r="G172" s="39">
        <f t="shared" ref="G172:G174" si="59">ROUND(F172*1.2,2)</f>
        <v>120775.2</v>
      </c>
    </row>
    <row r="173" spans="1:8" ht="18" customHeight="1" x14ac:dyDescent="0.25">
      <c r="A173" s="134">
        <f>A172+1</f>
        <v>141</v>
      </c>
      <c r="B173" s="17" t="s">
        <v>177</v>
      </c>
      <c r="C173" s="16" t="s">
        <v>17</v>
      </c>
      <c r="D173" s="180"/>
      <c r="E173" s="74"/>
      <c r="F173" s="39">
        <f t="shared" si="58"/>
        <v>0</v>
      </c>
      <c r="G173" s="39">
        <f t="shared" si="59"/>
        <v>0</v>
      </c>
    </row>
    <row r="174" spans="1:8" ht="30" customHeight="1" x14ac:dyDescent="0.25">
      <c r="A174" s="134">
        <f t="shared" ref="A174" si="60">A173+1</f>
        <v>142</v>
      </c>
      <c r="B174" s="17" t="s">
        <v>170</v>
      </c>
      <c r="C174" s="16" t="s">
        <v>17</v>
      </c>
      <c r="D174" s="180"/>
      <c r="E174" s="74"/>
      <c r="F174" s="39">
        <f t="shared" si="58"/>
        <v>0</v>
      </c>
      <c r="G174" s="39">
        <f t="shared" si="59"/>
        <v>0</v>
      </c>
    </row>
    <row r="175" spans="1:8" x14ac:dyDescent="0.25">
      <c r="A175" s="71"/>
      <c r="B175" s="232" t="s">
        <v>86</v>
      </c>
      <c r="C175" s="233"/>
      <c r="D175" s="233"/>
      <c r="E175" s="234"/>
      <c r="F175" s="64">
        <f>SUM(F7:F174)</f>
        <v>9022638.1699999999</v>
      </c>
      <c r="G175" s="64">
        <f>SUM(G7:G174)</f>
        <v>10827165.829999998</v>
      </c>
    </row>
    <row r="176" spans="1:8" x14ac:dyDescent="0.25">
      <c r="A176" s="217" t="s">
        <v>87</v>
      </c>
      <c r="B176" s="218"/>
      <c r="C176" s="218"/>
      <c r="D176" s="218"/>
      <c r="E176" s="219"/>
      <c r="F176" s="98">
        <f>ROUND(F175*0.03,2)</f>
        <v>270679.15000000002</v>
      </c>
      <c r="G176" s="98">
        <f>ROUND(G175*0.03,2)</f>
        <v>324814.96999999997</v>
      </c>
      <c r="H176" s="183"/>
    </row>
    <row r="177" spans="1:8" x14ac:dyDescent="0.25">
      <c r="A177" s="217" t="s">
        <v>88</v>
      </c>
      <c r="B177" s="218"/>
      <c r="C177" s="218"/>
      <c r="D177" s="218"/>
      <c r="E177" s="219"/>
      <c r="F177" s="98">
        <f>F175+F176</f>
        <v>9293317.3200000003</v>
      </c>
      <c r="G177" s="98">
        <f>G175+G176</f>
        <v>11151980.799999999</v>
      </c>
      <c r="H177" s="183"/>
    </row>
  </sheetData>
  <mergeCells count="16">
    <mergeCell ref="B111:D111"/>
    <mergeCell ref="B39:D39"/>
    <mergeCell ref="B175:E175"/>
    <mergeCell ref="A176:E176"/>
    <mergeCell ref="A177:E177"/>
    <mergeCell ref="E1:G1"/>
    <mergeCell ref="D1:D2"/>
    <mergeCell ref="C1:C2"/>
    <mergeCell ref="B1:B2"/>
    <mergeCell ref="A1:A2"/>
    <mergeCell ref="B4:D4"/>
    <mergeCell ref="B5:D5"/>
    <mergeCell ref="B64:D64"/>
    <mergeCell ref="B133:D133"/>
    <mergeCell ref="B154:D154"/>
    <mergeCell ref="B91:D91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L90"/>
  <sheetViews>
    <sheetView view="pageBreakPreview" zoomScale="80" zoomScaleNormal="100" zoomScaleSheetLayoutView="80" workbookViewId="0">
      <selection activeCell="H54" sqref="H54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  <col min="8" max="8" width="48.42578125" customWidth="1"/>
    <col min="10" max="11" width="11" customWidth="1"/>
    <col min="12" max="12" width="11.28515625" bestFit="1" customWidth="1"/>
    <col min="13" max="13" width="13.28515625" customWidth="1"/>
  </cols>
  <sheetData>
    <row r="1" spans="1:11" ht="19.5" customHeight="1" x14ac:dyDescent="0.25">
      <c r="A1" s="212" t="s">
        <v>13</v>
      </c>
      <c r="B1" s="242" t="s">
        <v>9</v>
      </c>
      <c r="C1" s="212" t="s">
        <v>83</v>
      </c>
      <c r="D1" s="212" t="s">
        <v>10</v>
      </c>
      <c r="E1" s="235" t="s">
        <v>524</v>
      </c>
      <c r="F1" s="235"/>
      <c r="G1" s="235"/>
    </row>
    <row r="2" spans="1:11" s="7" customFormat="1" ht="28.5" x14ac:dyDescent="0.25">
      <c r="A2" s="212"/>
      <c r="B2" s="242"/>
      <c r="C2" s="212"/>
      <c r="D2" s="212"/>
      <c r="E2" s="30" t="s">
        <v>82</v>
      </c>
      <c r="F2" s="41" t="s">
        <v>5</v>
      </c>
      <c r="G2" s="41" t="s">
        <v>6</v>
      </c>
    </row>
    <row r="3" spans="1:11" ht="13.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11" ht="13.5" customHeight="1" x14ac:dyDescent="0.25">
      <c r="A4" s="60"/>
      <c r="B4" s="220" t="s">
        <v>282</v>
      </c>
      <c r="C4" s="231"/>
      <c r="D4" s="221"/>
      <c r="E4" s="62"/>
      <c r="F4" s="63"/>
      <c r="G4" s="51"/>
    </row>
    <row r="5" spans="1:11" ht="21.75" customHeight="1" x14ac:dyDescent="0.25">
      <c r="A5" s="60"/>
      <c r="B5" s="220" t="s">
        <v>283</v>
      </c>
      <c r="C5" s="231"/>
      <c r="D5" s="221"/>
      <c r="E5" s="62"/>
      <c r="F5" s="63"/>
      <c r="G5" s="51"/>
    </row>
    <row r="6" spans="1:11" x14ac:dyDescent="0.25">
      <c r="A6" s="27">
        <v>1</v>
      </c>
      <c r="B6" s="17" t="s">
        <v>101</v>
      </c>
      <c r="C6" s="45" t="s">
        <v>3</v>
      </c>
      <c r="D6" s="189">
        <v>31</v>
      </c>
      <c r="E6" s="35">
        <v>2379.44</v>
      </c>
      <c r="F6" s="39">
        <f>ROUND(E6*D6,2)</f>
        <v>73762.64</v>
      </c>
      <c r="G6" s="39">
        <f>ROUND(F6*1.2,2)</f>
        <v>88515.17</v>
      </c>
      <c r="H6" s="144"/>
    </row>
    <row r="7" spans="1:11" ht="45" x14ac:dyDescent="0.25">
      <c r="A7" s="27">
        <f>A6+1</f>
        <v>2</v>
      </c>
      <c r="B7" s="17" t="s">
        <v>275</v>
      </c>
      <c r="C7" s="45" t="s">
        <v>3</v>
      </c>
      <c r="D7" s="189">
        <v>14.3</v>
      </c>
      <c r="E7" s="35">
        <v>11116.67</v>
      </c>
      <c r="F7" s="39">
        <f t="shared" ref="F7:F33" si="0">ROUND(E7*D7,2)</f>
        <v>158968.38</v>
      </c>
      <c r="G7" s="39">
        <f t="shared" ref="G7:G33" si="1">ROUND(F7*1.2,2)</f>
        <v>190762.06</v>
      </c>
      <c r="J7" s="142"/>
      <c r="K7" s="142"/>
    </row>
    <row r="8" spans="1:11" x14ac:dyDescent="0.25">
      <c r="A8" s="27">
        <f>A7+1</f>
        <v>3</v>
      </c>
      <c r="B8" s="17" t="s">
        <v>276</v>
      </c>
      <c r="C8" s="27" t="s">
        <v>12</v>
      </c>
      <c r="D8" s="170">
        <v>2</v>
      </c>
      <c r="E8" s="35">
        <v>2158.33</v>
      </c>
      <c r="F8" s="39">
        <f t="shared" si="0"/>
        <v>4316.66</v>
      </c>
      <c r="G8" s="39">
        <f t="shared" si="1"/>
        <v>5179.99</v>
      </c>
      <c r="H8" s="142"/>
    </row>
    <row r="9" spans="1:11" ht="30" x14ac:dyDescent="0.25">
      <c r="A9" s="27">
        <f t="shared" ref="A9:A33" si="2">A8+1</f>
        <v>4</v>
      </c>
      <c r="B9" s="17" t="s">
        <v>103</v>
      </c>
      <c r="C9" s="27" t="s">
        <v>12</v>
      </c>
      <c r="D9" s="170">
        <v>2</v>
      </c>
      <c r="E9" s="35">
        <v>3000</v>
      </c>
      <c r="F9" s="39">
        <f t="shared" si="0"/>
        <v>6000</v>
      </c>
      <c r="G9" s="39">
        <f t="shared" si="1"/>
        <v>7200</v>
      </c>
      <c r="H9" s="142"/>
    </row>
    <row r="10" spans="1:11" x14ac:dyDescent="0.25">
      <c r="A10" s="27">
        <f t="shared" si="2"/>
        <v>5</v>
      </c>
      <c r="B10" s="103" t="s">
        <v>514</v>
      </c>
      <c r="C10" s="27" t="s">
        <v>18</v>
      </c>
      <c r="D10" s="171">
        <f>36*0.243</f>
        <v>8.7479999999999993</v>
      </c>
      <c r="E10" s="104">
        <f>194000/1000</f>
        <v>194</v>
      </c>
      <c r="F10" s="40">
        <f t="shared" si="0"/>
        <v>1697.11</v>
      </c>
      <c r="G10" s="40">
        <f t="shared" si="1"/>
        <v>2036.53</v>
      </c>
    </row>
    <row r="11" spans="1:11" x14ac:dyDescent="0.25">
      <c r="A11" s="27">
        <f t="shared" si="2"/>
        <v>6</v>
      </c>
      <c r="B11" s="103" t="s">
        <v>277</v>
      </c>
      <c r="C11" s="27" t="s">
        <v>12</v>
      </c>
      <c r="D11" s="170">
        <v>36</v>
      </c>
      <c r="E11" s="104">
        <v>14.5</v>
      </c>
      <c r="F11" s="40">
        <f t="shared" si="0"/>
        <v>522</v>
      </c>
      <c r="G11" s="40">
        <f t="shared" si="1"/>
        <v>626.4</v>
      </c>
    </row>
    <row r="12" spans="1:11" x14ac:dyDescent="0.25">
      <c r="A12" s="27">
        <f t="shared" si="2"/>
        <v>7</v>
      </c>
      <c r="B12" s="103" t="s">
        <v>278</v>
      </c>
      <c r="C12" s="27" t="s">
        <v>12</v>
      </c>
      <c r="D12" s="170">
        <v>72</v>
      </c>
      <c r="E12" s="104">
        <v>4.6500000000000004</v>
      </c>
      <c r="F12" s="40">
        <f t="shared" si="0"/>
        <v>334.8</v>
      </c>
      <c r="G12" s="40">
        <f t="shared" si="1"/>
        <v>401.76</v>
      </c>
    </row>
    <row r="13" spans="1:11" ht="30" x14ac:dyDescent="0.25">
      <c r="A13" s="27">
        <f t="shared" si="2"/>
        <v>8</v>
      </c>
      <c r="B13" s="103" t="s">
        <v>106</v>
      </c>
      <c r="C13" s="27" t="s">
        <v>12</v>
      </c>
      <c r="D13" s="170">
        <v>3</v>
      </c>
      <c r="E13" s="104">
        <v>65</v>
      </c>
      <c r="F13" s="40">
        <f t="shared" si="0"/>
        <v>195</v>
      </c>
      <c r="G13" s="40">
        <f t="shared" si="1"/>
        <v>234</v>
      </c>
    </row>
    <row r="14" spans="1:11" ht="30" x14ac:dyDescent="0.25">
      <c r="A14" s="27">
        <f t="shared" si="2"/>
        <v>9</v>
      </c>
      <c r="B14" s="17" t="s">
        <v>104</v>
      </c>
      <c r="C14" s="27" t="s">
        <v>12</v>
      </c>
      <c r="D14" s="170">
        <v>2</v>
      </c>
      <c r="E14" s="35">
        <v>3500</v>
      </c>
      <c r="F14" s="39">
        <f t="shared" si="0"/>
        <v>7000</v>
      </c>
      <c r="G14" s="39">
        <f t="shared" si="1"/>
        <v>8400</v>
      </c>
      <c r="H14" s="142"/>
    </row>
    <row r="15" spans="1:11" x14ac:dyDescent="0.25">
      <c r="A15" s="27">
        <f t="shared" si="2"/>
        <v>10</v>
      </c>
      <c r="B15" s="17" t="s">
        <v>105</v>
      </c>
      <c r="C15" s="27" t="s">
        <v>12</v>
      </c>
      <c r="D15" s="170">
        <v>1</v>
      </c>
      <c r="E15" s="35">
        <v>19800</v>
      </c>
      <c r="F15" s="39">
        <f t="shared" si="0"/>
        <v>19800</v>
      </c>
      <c r="G15" s="39">
        <f t="shared" si="1"/>
        <v>23760</v>
      </c>
    </row>
    <row r="16" spans="1:11" x14ac:dyDescent="0.25">
      <c r="A16" s="27">
        <f t="shared" si="2"/>
        <v>11</v>
      </c>
      <c r="B16" s="17" t="s">
        <v>107</v>
      </c>
      <c r="C16" s="27" t="s">
        <v>12</v>
      </c>
      <c r="D16" s="170">
        <v>1</v>
      </c>
      <c r="E16" s="35">
        <v>17500</v>
      </c>
      <c r="F16" s="39">
        <f t="shared" si="0"/>
        <v>17500</v>
      </c>
      <c r="G16" s="39">
        <f t="shared" si="1"/>
        <v>21000</v>
      </c>
    </row>
    <row r="17" spans="1:8" x14ac:dyDescent="0.25">
      <c r="A17" s="27">
        <f t="shared" si="2"/>
        <v>12</v>
      </c>
      <c r="B17" s="17" t="s">
        <v>279</v>
      </c>
      <c r="C17" s="27" t="s">
        <v>12</v>
      </c>
      <c r="D17" s="170">
        <v>1</v>
      </c>
      <c r="E17" s="35">
        <v>3593.75</v>
      </c>
      <c r="F17" s="39">
        <f t="shared" si="0"/>
        <v>3593.75</v>
      </c>
      <c r="G17" s="39">
        <f t="shared" si="1"/>
        <v>4312.5</v>
      </c>
      <c r="H17" s="142"/>
    </row>
    <row r="18" spans="1:8" x14ac:dyDescent="0.25">
      <c r="A18" s="27">
        <f t="shared" si="2"/>
        <v>13</v>
      </c>
      <c r="B18" s="17" t="s">
        <v>102</v>
      </c>
      <c r="C18" s="27" t="s">
        <v>12</v>
      </c>
      <c r="D18" s="170">
        <v>2</v>
      </c>
      <c r="E18" s="35">
        <v>1533.33</v>
      </c>
      <c r="F18" s="39">
        <f t="shared" si="0"/>
        <v>3066.66</v>
      </c>
      <c r="G18" s="39">
        <f t="shared" si="1"/>
        <v>3679.99</v>
      </c>
      <c r="H18" s="142"/>
    </row>
    <row r="19" spans="1:8" x14ac:dyDescent="0.25">
      <c r="A19" s="27">
        <f t="shared" si="2"/>
        <v>14</v>
      </c>
      <c r="B19" s="103" t="s">
        <v>108</v>
      </c>
      <c r="C19" s="125" t="s">
        <v>2</v>
      </c>
      <c r="D19" s="189">
        <v>2.2999999999999998</v>
      </c>
      <c r="E19" s="104">
        <v>5200</v>
      </c>
      <c r="F19" s="40">
        <f t="shared" si="0"/>
        <v>11960</v>
      </c>
      <c r="G19" s="40">
        <f t="shared" si="1"/>
        <v>14352</v>
      </c>
    </row>
    <row r="20" spans="1:8" x14ac:dyDescent="0.25">
      <c r="A20" s="27">
        <f t="shared" si="2"/>
        <v>15</v>
      </c>
      <c r="B20" s="103" t="s">
        <v>26</v>
      </c>
      <c r="C20" s="125" t="s">
        <v>2</v>
      </c>
      <c r="D20" s="189">
        <v>14.3</v>
      </c>
      <c r="E20" s="104">
        <v>950</v>
      </c>
      <c r="F20" s="40">
        <f t="shared" si="0"/>
        <v>13585</v>
      </c>
      <c r="G20" s="40">
        <f t="shared" si="1"/>
        <v>16302</v>
      </c>
    </row>
    <row r="21" spans="1:8" x14ac:dyDescent="0.25">
      <c r="A21" s="27"/>
      <c r="B21" s="133" t="s">
        <v>146</v>
      </c>
      <c r="C21" s="125"/>
      <c r="D21" s="128"/>
      <c r="E21" s="35"/>
      <c r="F21" s="39"/>
      <c r="G21" s="39"/>
    </row>
    <row r="22" spans="1:8" x14ac:dyDescent="0.25">
      <c r="A22" s="27">
        <f>A20+1</f>
        <v>16</v>
      </c>
      <c r="B22" s="17" t="s">
        <v>109</v>
      </c>
      <c r="C22" s="27" t="s">
        <v>12</v>
      </c>
      <c r="D22" s="170">
        <v>1</v>
      </c>
      <c r="E22" s="35">
        <v>2541.67</v>
      </c>
      <c r="F22" s="39">
        <f t="shared" si="0"/>
        <v>2541.67</v>
      </c>
      <c r="G22" s="39">
        <f t="shared" si="1"/>
        <v>3050</v>
      </c>
    </row>
    <row r="23" spans="1:8" x14ac:dyDescent="0.25">
      <c r="A23" s="27">
        <f t="shared" si="2"/>
        <v>17</v>
      </c>
      <c r="B23" s="17" t="s">
        <v>280</v>
      </c>
      <c r="C23" s="27" t="s">
        <v>12</v>
      </c>
      <c r="D23" s="170">
        <v>1</v>
      </c>
      <c r="E23" s="35">
        <v>2791.67</v>
      </c>
      <c r="F23" s="39">
        <f t="shared" si="0"/>
        <v>2791.67</v>
      </c>
      <c r="G23" s="39">
        <f t="shared" si="1"/>
        <v>3350</v>
      </c>
    </row>
    <row r="24" spans="1:8" x14ac:dyDescent="0.25">
      <c r="A24" s="27">
        <f t="shared" si="2"/>
        <v>18</v>
      </c>
      <c r="B24" s="17" t="s">
        <v>110</v>
      </c>
      <c r="C24" s="27" t="s">
        <v>12</v>
      </c>
      <c r="D24" s="170">
        <v>2</v>
      </c>
      <c r="E24" s="35">
        <v>3041.67</v>
      </c>
      <c r="F24" s="39">
        <f t="shared" ref="F24:F28" si="3">ROUND(E24*D24,2)</f>
        <v>6083.34</v>
      </c>
      <c r="G24" s="39">
        <f t="shared" ref="G24:G28" si="4">ROUND(F24*1.2,2)</f>
        <v>7300.01</v>
      </c>
    </row>
    <row r="25" spans="1:8" x14ac:dyDescent="0.25">
      <c r="A25" s="27">
        <f t="shared" si="2"/>
        <v>19</v>
      </c>
      <c r="B25" s="17" t="s">
        <v>111</v>
      </c>
      <c r="C25" s="27" t="s">
        <v>12</v>
      </c>
      <c r="D25" s="170">
        <v>1</v>
      </c>
      <c r="E25" s="35">
        <v>3041.67</v>
      </c>
      <c r="F25" s="39">
        <f t="shared" si="3"/>
        <v>3041.67</v>
      </c>
      <c r="G25" s="39">
        <f t="shared" si="4"/>
        <v>3650</v>
      </c>
    </row>
    <row r="26" spans="1:8" x14ac:dyDescent="0.25">
      <c r="A26" s="27">
        <f t="shared" si="2"/>
        <v>20</v>
      </c>
      <c r="B26" s="17" t="s">
        <v>112</v>
      </c>
      <c r="C26" s="27" t="s">
        <v>12</v>
      </c>
      <c r="D26" s="170">
        <v>1</v>
      </c>
      <c r="E26" s="35">
        <v>500</v>
      </c>
      <c r="F26" s="39">
        <f t="shared" si="3"/>
        <v>500</v>
      </c>
      <c r="G26" s="39">
        <f t="shared" si="4"/>
        <v>600</v>
      </c>
    </row>
    <row r="27" spans="1:8" x14ac:dyDescent="0.25">
      <c r="A27" s="27">
        <f t="shared" si="2"/>
        <v>21</v>
      </c>
      <c r="B27" s="17" t="s">
        <v>113</v>
      </c>
      <c r="C27" s="27" t="s">
        <v>12</v>
      </c>
      <c r="D27" s="170">
        <v>1</v>
      </c>
      <c r="E27" s="35">
        <v>8750</v>
      </c>
      <c r="F27" s="39">
        <f t="shared" si="3"/>
        <v>8750</v>
      </c>
      <c r="G27" s="39">
        <f t="shared" si="4"/>
        <v>10500</v>
      </c>
    </row>
    <row r="28" spans="1:8" x14ac:dyDescent="0.25">
      <c r="A28" s="27">
        <f t="shared" si="2"/>
        <v>22</v>
      </c>
      <c r="B28" s="103" t="s">
        <v>114</v>
      </c>
      <c r="C28" s="125" t="s">
        <v>18</v>
      </c>
      <c r="D28" s="189">
        <v>23</v>
      </c>
      <c r="E28" s="104">
        <f>22000/1000</f>
        <v>22</v>
      </c>
      <c r="F28" s="40">
        <f t="shared" si="3"/>
        <v>506</v>
      </c>
      <c r="G28" s="40">
        <f t="shared" si="4"/>
        <v>607.20000000000005</v>
      </c>
    </row>
    <row r="29" spans="1:8" x14ac:dyDescent="0.25">
      <c r="A29" s="27">
        <f t="shared" si="2"/>
        <v>23</v>
      </c>
      <c r="B29" s="103" t="s">
        <v>188</v>
      </c>
      <c r="C29" s="125" t="s">
        <v>18</v>
      </c>
      <c r="D29" s="171">
        <f>6*0.92</f>
        <v>5.5200000000000005</v>
      </c>
      <c r="E29" s="104">
        <f>64990/1000</f>
        <v>64.989999999999995</v>
      </c>
      <c r="F29" s="40">
        <f t="shared" si="0"/>
        <v>358.74</v>
      </c>
      <c r="G29" s="40">
        <f t="shared" si="1"/>
        <v>430.49</v>
      </c>
    </row>
    <row r="30" spans="1:8" x14ac:dyDescent="0.25">
      <c r="A30" s="27">
        <f t="shared" si="2"/>
        <v>24</v>
      </c>
      <c r="B30" s="103" t="s">
        <v>189</v>
      </c>
      <c r="C30" s="125" t="s">
        <v>18</v>
      </c>
      <c r="D30" s="171">
        <f>6*0.94</f>
        <v>5.64</v>
      </c>
      <c r="E30" s="104">
        <f>80890/1000</f>
        <v>80.89</v>
      </c>
      <c r="F30" s="40">
        <f t="shared" si="0"/>
        <v>456.22</v>
      </c>
      <c r="G30" s="40">
        <f t="shared" si="1"/>
        <v>547.46</v>
      </c>
    </row>
    <row r="31" spans="1:8" x14ac:dyDescent="0.25">
      <c r="A31" s="27">
        <f t="shared" si="2"/>
        <v>25</v>
      </c>
      <c r="B31" s="103" t="s">
        <v>115</v>
      </c>
      <c r="C31" s="125" t="s">
        <v>18</v>
      </c>
      <c r="D31" s="189">
        <v>5</v>
      </c>
      <c r="E31" s="104">
        <v>229.18</v>
      </c>
      <c r="F31" s="40">
        <f t="shared" si="0"/>
        <v>1145.9000000000001</v>
      </c>
      <c r="G31" s="40">
        <f t="shared" si="1"/>
        <v>1375.08</v>
      </c>
    </row>
    <row r="32" spans="1:8" ht="18" customHeight="1" x14ac:dyDescent="0.25">
      <c r="A32" s="27">
        <f t="shared" si="2"/>
        <v>26</v>
      </c>
      <c r="B32" s="103" t="s">
        <v>25</v>
      </c>
      <c r="C32" s="125" t="s">
        <v>18</v>
      </c>
      <c r="D32" s="189">
        <v>34</v>
      </c>
      <c r="E32" s="104">
        <v>187.05</v>
      </c>
      <c r="F32" s="40">
        <f t="shared" si="0"/>
        <v>6359.7</v>
      </c>
      <c r="G32" s="40">
        <f t="shared" si="1"/>
        <v>7631.64</v>
      </c>
    </row>
    <row r="33" spans="1:11" ht="21.75" customHeight="1" x14ac:dyDescent="0.25">
      <c r="A33" s="27">
        <f t="shared" si="2"/>
        <v>27</v>
      </c>
      <c r="B33" s="103" t="s">
        <v>116</v>
      </c>
      <c r="C33" s="125" t="s">
        <v>2</v>
      </c>
      <c r="D33" s="189">
        <v>0.7</v>
      </c>
      <c r="E33" s="104">
        <v>2950</v>
      </c>
      <c r="F33" s="40">
        <f t="shared" si="0"/>
        <v>2065</v>
      </c>
      <c r="G33" s="40">
        <f t="shared" si="1"/>
        <v>2478</v>
      </c>
    </row>
    <row r="34" spans="1:11" ht="30.75" customHeight="1" x14ac:dyDescent="0.25">
      <c r="A34" s="60"/>
      <c r="B34" s="236" t="s">
        <v>284</v>
      </c>
      <c r="C34" s="237"/>
      <c r="D34" s="237"/>
      <c r="E34" s="62"/>
      <c r="F34" s="63"/>
      <c r="G34" s="51"/>
    </row>
    <row r="35" spans="1:11" x14ac:dyDescent="0.25">
      <c r="A35" s="16">
        <f>A33+1</f>
        <v>28</v>
      </c>
      <c r="B35" s="17" t="s">
        <v>117</v>
      </c>
      <c r="C35" s="125" t="s">
        <v>3</v>
      </c>
      <c r="D35" s="189">
        <v>97</v>
      </c>
      <c r="E35" s="35">
        <v>1541.46</v>
      </c>
      <c r="F35" s="39">
        <f t="shared" ref="F35" si="5">ROUND(E35*D35,2)</f>
        <v>149521.62</v>
      </c>
      <c r="G35" s="39">
        <f t="shared" ref="G35" si="6">ROUND(F35*1.2,2)</f>
        <v>179425.94</v>
      </c>
      <c r="H35" s="144"/>
    </row>
    <row r="36" spans="1:11" ht="45" x14ac:dyDescent="0.25">
      <c r="A36" s="16">
        <f>A35+1</f>
        <v>29</v>
      </c>
      <c r="B36" s="17" t="s">
        <v>285</v>
      </c>
      <c r="C36" s="125" t="s">
        <v>3</v>
      </c>
      <c r="D36" s="189">
        <v>16</v>
      </c>
      <c r="E36" s="35">
        <v>7420.83</v>
      </c>
      <c r="F36" s="39">
        <f t="shared" ref="F36:F45" si="7">ROUND(E36*D36,2)</f>
        <v>118733.28</v>
      </c>
      <c r="G36" s="39">
        <f t="shared" ref="G36:G45" si="8">ROUND(F36*1.2,2)</f>
        <v>142479.94</v>
      </c>
      <c r="J36" s="142"/>
      <c r="K36" s="142"/>
    </row>
    <row r="37" spans="1:11" x14ac:dyDescent="0.25">
      <c r="A37" s="16">
        <f>A36+1</f>
        <v>30</v>
      </c>
      <c r="B37" s="17" t="s">
        <v>286</v>
      </c>
      <c r="C37" s="27" t="s">
        <v>12</v>
      </c>
      <c r="D37" s="170">
        <v>1</v>
      </c>
      <c r="E37" s="35">
        <v>1899.08</v>
      </c>
      <c r="F37" s="39">
        <f t="shared" si="7"/>
        <v>1899.08</v>
      </c>
      <c r="G37" s="39">
        <f t="shared" si="8"/>
        <v>2278.9</v>
      </c>
      <c r="H37" s="142"/>
    </row>
    <row r="38" spans="1:11" s="10" customFormat="1" x14ac:dyDescent="0.25">
      <c r="A38" s="27">
        <f>A37+1</f>
        <v>31</v>
      </c>
      <c r="B38" s="17" t="s">
        <v>127</v>
      </c>
      <c r="C38" s="27" t="s">
        <v>12</v>
      </c>
      <c r="D38" s="170">
        <v>1</v>
      </c>
      <c r="E38" s="35">
        <v>2000</v>
      </c>
      <c r="F38" s="40">
        <f t="shared" si="7"/>
        <v>2000</v>
      </c>
      <c r="G38" s="40">
        <f t="shared" si="8"/>
        <v>2400</v>
      </c>
      <c r="H38" s="142"/>
    </row>
    <row r="39" spans="1:11" x14ac:dyDescent="0.25">
      <c r="A39" s="27">
        <f>A38+1</f>
        <v>32</v>
      </c>
      <c r="B39" s="103" t="s">
        <v>515</v>
      </c>
      <c r="C39" s="27" t="s">
        <v>18</v>
      </c>
      <c r="D39" s="171">
        <f>8*0.243</f>
        <v>1.944</v>
      </c>
      <c r="E39" s="104">
        <f>194000/1000</f>
        <v>194</v>
      </c>
      <c r="F39" s="40">
        <f t="shared" si="7"/>
        <v>377.14</v>
      </c>
      <c r="G39" s="40">
        <f t="shared" si="8"/>
        <v>452.57</v>
      </c>
    </row>
    <row r="40" spans="1:11" x14ac:dyDescent="0.25">
      <c r="A40" s="27">
        <f>A39+1</f>
        <v>33</v>
      </c>
      <c r="B40" s="103" t="s">
        <v>277</v>
      </c>
      <c r="C40" s="27" t="s">
        <v>12</v>
      </c>
      <c r="D40" s="170">
        <v>8</v>
      </c>
      <c r="E40" s="104">
        <v>14.5</v>
      </c>
      <c r="F40" s="40">
        <f t="shared" si="7"/>
        <v>116</v>
      </c>
      <c r="G40" s="40">
        <f t="shared" si="8"/>
        <v>139.19999999999999</v>
      </c>
    </row>
    <row r="41" spans="1:11" x14ac:dyDescent="0.25">
      <c r="A41" s="27">
        <f t="shared" ref="A41:A47" si="9">A40+1</f>
        <v>34</v>
      </c>
      <c r="B41" s="103" t="s">
        <v>278</v>
      </c>
      <c r="C41" s="27" t="s">
        <v>12</v>
      </c>
      <c r="D41" s="170">
        <v>16</v>
      </c>
      <c r="E41" s="104">
        <v>4.6500000000000004</v>
      </c>
      <c r="F41" s="40">
        <f t="shared" si="7"/>
        <v>74.400000000000006</v>
      </c>
      <c r="G41" s="40">
        <f t="shared" si="8"/>
        <v>89.28</v>
      </c>
    </row>
    <row r="42" spans="1:11" ht="30" x14ac:dyDescent="0.25">
      <c r="A42" s="16">
        <f t="shared" si="9"/>
        <v>35</v>
      </c>
      <c r="B42" s="17" t="s">
        <v>287</v>
      </c>
      <c r="C42" s="27" t="s">
        <v>12</v>
      </c>
      <c r="D42" s="170">
        <v>1</v>
      </c>
      <c r="E42" s="35">
        <v>133.33000000000001</v>
      </c>
      <c r="F42" s="39">
        <f t="shared" si="7"/>
        <v>133.33000000000001</v>
      </c>
      <c r="G42" s="39">
        <f t="shared" si="8"/>
        <v>160</v>
      </c>
    </row>
    <row r="43" spans="1:11" ht="30" x14ac:dyDescent="0.25">
      <c r="A43" s="16">
        <f t="shared" si="9"/>
        <v>36</v>
      </c>
      <c r="B43" s="17" t="s">
        <v>120</v>
      </c>
      <c r="C43" s="27" t="s">
        <v>12</v>
      </c>
      <c r="D43" s="170">
        <v>1</v>
      </c>
      <c r="E43" s="35">
        <v>2000</v>
      </c>
      <c r="F43" s="39">
        <f t="shared" si="7"/>
        <v>2000</v>
      </c>
      <c r="G43" s="39">
        <f t="shared" si="8"/>
        <v>2400</v>
      </c>
      <c r="H43" s="142"/>
    </row>
    <row r="44" spans="1:11" x14ac:dyDescent="0.25">
      <c r="A44" s="16">
        <f t="shared" si="9"/>
        <v>37</v>
      </c>
      <c r="B44" s="17" t="s">
        <v>121</v>
      </c>
      <c r="C44" s="27" t="s">
        <v>12</v>
      </c>
      <c r="D44" s="170">
        <v>1</v>
      </c>
      <c r="E44" s="35">
        <v>6549.83</v>
      </c>
      <c r="F44" s="39">
        <f t="shared" si="7"/>
        <v>6549.83</v>
      </c>
      <c r="G44" s="39">
        <f t="shared" si="8"/>
        <v>7859.8</v>
      </c>
      <c r="H44" s="142"/>
    </row>
    <row r="45" spans="1:11" x14ac:dyDescent="0.25">
      <c r="A45" s="16">
        <f t="shared" si="9"/>
        <v>38</v>
      </c>
      <c r="B45" s="17" t="s">
        <v>118</v>
      </c>
      <c r="C45" s="27" t="s">
        <v>12</v>
      </c>
      <c r="D45" s="170">
        <v>2</v>
      </c>
      <c r="E45" s="35">
        <v>1375</v>
      </c>
      <c r="F45" s="39">
        <f t="shared" si="7"/>
        <v>2750</v>
      </c>
      <c r="G45" s="39">
        <f t="shared" si="8"/>
        <v>3300</v>
      </c>
      <c r="H45" s="142"/>
    </row>
    <row r="46" spans="1:11" x14ac:dyDescent="0.25">
      <c r="A46" s="27">
        <f t="shared" si="9"/>
        <v>39</v>
      </c>
      <c r="B46" s="103" t="s">
        <v>108</v>
      </c>
      <c r="C46" s="125" t="s">
        <v>2</v>
      </c>
      <c r="D46" s="189">
        <v>1.64</v>
      </c>
      <c r="E46" s="104">
        <v>5200</v>
      </c>
      <c r="F46" s="40">
        <f t="shared" ref="F46:F47" si="10">ROUND(E46*D46,2)</f>
        <v>8528</v>
      </c>
      <c r="G46" s="40">
        <f t="shared" ref="G46:G47" si="11">ROUND(F46*1.2,2)</f>
        <v>10233.6</v>
      </c>
    </row>
    <row r="47" spans="1:11" x14ac:dyDescent="0.25">
      <c r="A47" s="27">
        <f t="shared" si="9"/>
        <v>40</v>
      </c>
      <c r="B47" s="103" t="s">
        <v>26</v>
      </c>
      <c r="C47" s="125" t="s">
        <v>2</v>
      </c>
      <c r="D47" s="189">
        <v>47</v>
      </c>
      <c r="E47" s="104">
        <v>950</v>
      </c>
      <c r="F47" s="40">
        <f t="shared" si="10"/>
        <v>44650</v>
      </c>
      <c r="G47" s="40">
        <f t="shared" si="11"/>
        <v>53580</v>
      </c>
    </row>
    <row r="48" spans="1:11" ht="30" customHeight="1" x14ac:dyDescent="0.25">
      <c r="A48" s="60"/>
      <c r="B48" s="236" t="s">
        <v>288</v>
      </c>
      <c r="C48" s="237"/>
      <c r="D48" s="237"/>
      <c r="E48" s="62"/>
      <c r="F48" s="63"/>
      <c r="G48" s="51"/>
    </row>
    <row r="49" spans="1:11" x14ac:dyDescent="0.25">
      <c r="A49" s="16">
        <f>A47+1</f>
        <v>41</v>
      </c>
      <c r="B49" s="17" t="s">
        <v>122</v>
      </c>
      <c r="C49" s="125" t="s">
        <v>3</v>
      </c>
      <c r="D49" s="189">
        <v>82</v>
      </c>
      <c r="E49" s="104">
        <v>4623.6499999999996</v>
      </c>
      <c r="F49" s="39">
        <f t="shared" ref="F49" si="12">ROUND(E49*D49,2)</f>
        <v>379139.3</v>
      </c>
      <c r="G49" s="39">
        <f t="shared" ref="G49" si="13">ROUND(F49*1.2,2)</f>
        <v>454967.16</v>
      </c>
      <c r="H49" s="142"/>
    </row>
    <row r="50" spans="1:11" s="10" customFormat="1" ht="45" x14ac:dyDescent="0.25">
      <c r="A50" s="27">
        <f>A49+1</f>
        <v>42</v>
      </c>
      <c r="B50" s="17" t="s">
        <v>275</v>
      </c>
      <c r="C50" s="125" t="s">
        <v>3</v>
      </c>
      <c r="D50" s="189">
        <v>51</v>
      </c>
      <c r="E50" s="35">
        <v>11116.67</v>
      </c>
      <c r="F50" s="40">
        <f t="shared" ref="F50" si="14">ROUND(E50*D50,2)</f>
        <v>566950.17000000004</v>
      </c>
      <c r="G50" s="40">
        <f t="shared" ref="G50" si="15">ROUND(F50*1.2,2)</f>
        <v>680340.2</v>
      </c>
      <c r="I50"/>
      <c r="J50" s="142"/>
      <c r="K50" s="142"/>
    </row>
    <row r="51" spans="1:11" s="10" customFormat="1" x14ac:dyDescent="0.25">
      <c r="A51" s="27">
        <f>A50+1</f>
        <v>43</v>
      </c>
      <c r="B51" s="17" t="s">
        <v>124</v>
      </c>
      <c r="C51" s="27" t="s">
        <v>12</v>
      </c>
      <c r="D51" s="170">
        <v>1</v>
      </c>
      <c r="E51" s="104">
        <v>5083.33</v>
      </c>
      <c r="F51" s="40">
        <f t="shared" ref="F51" si="16">ROUND(E51*D51,2)</f>
        <v>5083.33</v>
      </c>
      <c r="G51" s="40">
        <f t="shared" ref="G51" si="17">ROUND(F51*1.2,2)</f>
        <v>6100</v>
      </c>
      <c r="H51" s="143"/>
    </row>
    <row r="52" spans="1:11" s="10" customFormat="1" x14ac:dyDescent="0.25">
      <c r="A52" s="27">
        <f t="shared" ref="A52:A53" si="18">A51+1</f>
        <v>44</v>
      </c>
      <c r="B52" s="17" t="s">
        <v>289</v>
      </c>
      <c r="C52" s="27" t="s">
        <v>12</v>
      </c>
      <c r="D52" s="170">
        <v>2</v>
      </c>
      <c r="E52" s="104">
        <v>3541.67</v>
      </c>
      <c r="F52" s="40">
        <f t="shared" ref="F52" si="19">ROUND(E52*D52,2)</f>
        <v>7083.34</v>
      </c>
      <c r="G52" s="40">
        <f t="shared" ref="G52" si="20">ROUND(F52*1.2,2)</f>
        <v>8500.01</v>
      </c>
      <c r="H52" s="143"/>
    </row>
    <row r="53" spans="1:11" s="10" customFormat="1" x14ac:dyDescent="0.25">
      <c r="A53" s="27">
        <f t="shared" si="18"/>
        <v>45</v>
      </c>
      <c r="B53" s="17" t="s">
        <v>119</v>
      </c>
      <c r="C53" s="27" t="s">
        <v>12</v>
      </c>
      <c r="D53" s="170">
        <v>2</v>
      </c>
      <c r="E53" s="104">
        <v>6099</v>
      </c>
      <c r="F53" s="40">
        <f t="shared" ref="F53:F54" si="21">ROUND(E53*D53,2)</f>
        <v>12198</v>
      </c>
      <c r="G53" s="40">
        <f t="shared" ref="G53:G54" si="22">ROUND(F53*1.2,2)</f>
        <v>14637.6</v>
      </c>
      <c r="H53" s="143"/>
    </row>
    <row r="54" spans="1:11" s="10" customFormat="1" x14ac:dyDescent="0.25">
      <c r="A54" s="27">
        <f t="shared" ref="A54:A61" si="23">A53+1</f>
        <v>46</v>
      </c>
      <c r="B54" s="103" t="s">
        <v>516</v>
      </c>
      <c r="C54" s="27" t="s">
        <v>18</v>
      </c>
      <c r="D54" s="171">
        <f>24*0.272</f>
        <v>6.5280000000000005</v>
      </c>
      <c r="E54" s="104">
        <f>194000/1000</f>
        <v>194</v>
      </c>
      <c r="F54" s="40">
        <f t="shared" si="21"/>
        <v>1266.43</v>
      </c>
      <c r="G54" s="40">
        <f t="shared" si="22"/>
        <v>1519.72</v>
      </c>
    </row>
    <row r="55" spans="1:11" x14ac:dyDescent="0.25">
      <c r="A55" s="27">
        <f t="shared" si="23"/>
        <v>47</v>
      </c>
      <c r="B55" s="103" t="s">
        <v>277</v>
      </c>
      <c r="C55" s="27" t="s">
        <v>12</v>
      </c>
      <c r="D55" s="170">
        <v>24</v>
      </c>
      <c r="E55" s="104">
        <v>14.5</v>
      </c>
      <c r="F55" s="40">
        <f t="shared" ref="F55:F59" si="24">ROUND(E55*D55,2)</f>
        <v>348</v>
      </c>
      <c r="G55" s="40">
        <f t="shared" ref="G55:G59" si="25">ROUND(F55*1.2,2)</f>
        <v>417.6</v>
      </c>
    </row>
    <row r="56" spans="1:11" x14ac:dyDescent="0.25">
      <c r="A56" s="27">
        <f t="shared" si="23"/>
        <v>48</v>
      </c>
      <c r="B56" s="103" t="s">
        <v>278</v>
      </c>
      <c r="C56" s="27" t="s">
        <v>12</v>
      </c>
      <c r="D56" s="170">
        <v>48</v>
      </c>
      <c r="E56" s="104">
        <v>4.6500000000000004</v>
      </c>
      <c r="F56" s="40">
        <f t="shared" si="24"/>
        <v>223.2</v>
      </c>
      <c r="G56" s="40">
        <f t="shared" si="25"/>
        <v>267.83999999999997</v>
      </c>
    </row>
    <row r="57" spans="1:11" ht="30" x14ac:dyDescent="0.25">
      <c r="A57" s="16">
        <f t="shared" si="23"/>
        <v>49</v>
      </c>
      <c r="B57" s="17" t="s">
        <v>125</v>
      </c>
      <c r="C57" s="27" t="s">
        <v>12</v>
      </c>
      <c r="D57" s="170">
        <v>2</v>
      </c>
      <c r="E57" s="104">
        <v>208.33</v>
      </c>
      <c r="F57" s="39">
        <f t="shared" si="24"/>
        <v>416.66</v>
      </c>
      <c r="G57" s="39">
        <f t="shared" si="25"/>
        <v>499.99</v>
      </c>
    </row>
    <row r="58" spans="1:11" s="10" customFormat="1" ht="30" x14ac:dyDescent="0.25">
      <c r="A58" s="27">
        <f t="shared" si="23"/>
        <v>50</v>
      </c>
      <c r="B58" s="17" t="s">
        <v>126</v>
      </c>
      <c r="C58" s="27" t="s">
        <v>12</v>
      </c>
      <c r="D58" s="170">
        <v>2</v>
      </c>
      <c r="E58" s="104">
        <v>3500</v>
      </c>
      <c r="F58" s="40">
        <f t="shared" si="24"/>
        <v>7000</v>
      </c>
      <c r="G58" s="40">
        <f t="shared" si="25"/>
        <v>8400</v>
      </c>
      <c r="H58" s="143"/>
    </row>
    <row r="59" spans="1:11" x14ac:dyDescent="0.25">
      <c r="A59" s="16">
        <f t="shared" si="23"/>
        <v>51</v>
      </c>
      <c r="B59" s="17" t="s">
        <v>123</v>
      </c>
      <c r="C59" s="27" t="s">
        <v>12</v>
      </c>
      <c r="D59" s="170">
        <v>12</v>
      </c>
      <c r="E59" s="104">
        <v>2041.67</v>
      </c>
      <c r="F59" s="39">
        <f t="shared" si="24"/>
        <v>24500.04</v>
      </c>
      <c r="G59" s="39">
        <f t="shared" si="25"/>
        <v>29400.05</v>
      </c>
    </row>
    <row r="60" spans="1:11" x14ac:dyDescent="0.25">
      <c r="A60" s="27">
        <f t="shared" si="23"/>
        <v>52</v>
      </c>
      <c r="B60" s="103" t="s">
        <v>108</v>
      </c>
      <c r="C60" s="125" t="s">
        <v>2</v>
      </c>
      <c r="D60" s="189">
        <v>7.25</v>
      </c>
      <c r="E60" s="104">
        <v>5200</v>
      </c>
      <c r="F60" s="40">
        <f t="shared" ref="F60:F61" si="26">ROUND(E60*D60,2)</f>
        <v>37700</v>
      </c>
      <c r="G60" s="40">
        <f t="shared" ref="G60:G61" si="27">ROUND(F60*1.2,2)</f>
        <v>45240</v>
      </c>
    </row>
    <row r="61" spans="1:11" x14ac:dyDescent="0.25">
      <c r="A61" s="27">
        <f t="shared" si="23"/>
        <v>53</v>
      </c>
      <c r="B61" s="103" t="s">
        <v>26</v>
      </c>
      <c r="C61" s="125" t="s">
        <v>2</v>
      </c>
      <c r="D61" s="189">
        <v>56</v>
      </c>
      <c r="E61" s="104">
        <v>950</v>
      </c>
      <c r="F61" s="40">
        <f t="shared" si="26"/>
        <v>53200</v>
      </c>
      <c r="G61" s="40">
        <f t="shared" si="27"/>
        <v>63840</v>
      </c>
    </row>
    <row r="62" spans="1:11" ht="28.5" customHeight="1" x14ac:dyDescent="0.25">
      <c r="A62" s="60"/>
      <c r="B62" s="236" t="s">
        <v>290</v>
      </c>
      <c r="C62" s="237"/>
      <c r="D62" s="241"/>
      <c r="E62" s="61"/>
      <c r="F62" s="62"/>
      <c r="G62" s="72"/>
    </row>
    <row r="63" spans="1:11" x14ac:dyDescent="0.25">
      <c r="A63" s="16">
        <f>A61+1</f>
        <v>54</v>
      </c>
      <c r="B63" s="17" t="s">
        <v>128</v>
      </c>
      <c r="C63" s="125" t="s">
        <v>3</v>
      </c>
      <c r="D63" s="170">
        <v>31</v>
      </c>
      <c r="E63" s="35">
        <v>21101.52</v>
      </c>
      <c r="F63" s="39">
        <f t="shared" ref="F63:F64" si="28">ROUND(E63*D63,2)</f>
        <v>654147.12</v>
      </c>
      <c r="G63" s="39">
        <f t="shared" ref="G63:G64" si="29">ROUND(F63*1.2,2)</f>
        <v>784976.54</v>
      </c>
      <c r="H63" s="142"/>
    </row>
    <row r="64" spans="1:11" s="10" customFormat="1" ht="45" x14ac:dyDescent="0.25">
      <c r="A64" s="27">
        <f>A63+1</f>
        <v>55</v>
      </c>
      <c r="B64" s="17" t="s">
        <v>291</v>
      </c>
      <c r="C64" s="125" t="s">
        <v>3</v>
      </c>
      <c r="D64" s="170">
        <v>16</v>
      </c>
      <c r="E64" s="104">
        <v>43333.33</v>
      </c>
      <c r="F64" s="40">
        <f t="shared" si="28"/>
        <v>693333.28</v>
      </c>
      <c r="G64" s="40">
        <f t="shared" si="29"/>
        <v>831999.94</v>
      </c>
      <c r="I64"/>
      <c r="J64" s="142"/>
      <c r="K64" s="142"/>
    </row>
    <row r="65" spans="1:12" s="10" customFormat="1" ht="30" x14ac:dyDescent="0.25">
      <c r="A65" s="27">
        <f t="shared" ref="A65:A68" si="30">A64+1</f>
        <v>56</v>
      </c>
      <c r="B65" s="17" t="s">
        <v>130</v>
      </c>
      <c r="C65" s="27" t="s">
        <v>12</v>
      </c>
      <c r="D65" s="170">
        <v>2</v>
      </c>
      <c r="E65" s="104">
        <v>29166.67</v>
      </c>
      <c r="F65" s="40">
        <f t="shared" ref="F65:F67" si="31">ROUND(E65*D65,2)</f>
        <v>58333.34</v>
      </c>
      <c r="G65" s="40">
        <f t="shared" ref="G65:G67" si="32">ROUND(F65*1.2,2)</f>
        <v>70000.009999999995</v>
      </c>
      <c r="H65" s="143"/>
    </row>
    <row r="66" spans="1:12" s="10" customFormat="1" x14ac:dyDescent="0.25">
      <c r="A66" s="27">
        <f t="shared" si="30"/>
        <v>57</v>
      </c>
      <c r="B66" s="17" t="s">
        <v>129</v>
      </c>
      <c r="C66" s="27" t="s">
        <v>12</v>
      </c>
      <c r="D66" s="170">
        <v>2</v>
      </c>
      <c r="E66" s="104">
        <v>6109.23</v>
      </c>
      <c r="F66" s="40">
        <f t="shared" si="31"/>
        <v>12218.46</v>
      </c>
      <c r="G66" s="40">
        <f t="shared" si="32"/>
        <v>14662.15</v>
      </c>
      <c r="H66" s="143"/>
    </row>
    <row r="67" spans="1:12" s="10" customFormat="1" x14ac:dyDescent="0.25">
      <c r="A67" s="27">
        <f t="shared" si="30"/>
        <v>58</v>
      </c>
      <c r="B67" s="103" t="s">
        <v>108</v>
      </c>
      <c r="C67" s="125" t="s">
        <v>2</v>
      </c>
      <c r="D67" s="171">
        <v>6.13</v>
      </c>
      <c r="E67" s="104">
        <v>5200</v>
      </c>
      <c r="F67" s="40">
        <f t="shared" si="31"/>
        <v>31876</v>
      </c>
      <c r="G67" s="40">
        <f t="shared" si="32"/>
        <v>38251.199999999997</v>
      </c>
    </row>
    <row r="68" spans="1:12" s="10" customFormat="1" x14ac:dyDescent="0.25">
      <c r="A68" s="27">
        <f t="shared" si="30"/>
        <v>59</v>
      </c>
      <c r="B68" s="103" t="s">
        <v>26</v>
      </c>
      <c r="C68" s="125" t="s">
        <v>2</v>
      </c>
      <c r="D68" s="170">
        <v>42</v>
      </c>
      <c r="E68" s="104">
        <v>950</v>
      </c>
      <c r="F68" s="40">
        <f t="shared" ref="F68" si="33">ROUND(E68*D68,2)</f>
        <v>39900</v>
      </c>
      <c r="G68" s="40">
        <f t="shared" ref="G68" si="34">ROUND(F68*1.2,2)</f>
        <v>47880</v>
      </c>
    </row>
    <row r="69" spans="1:12" s="10" customFormat="1" ht="25.5" customHeight="1" x14ac:dyDescent="0.25">
      <c r="A69" s="60"/>
      <c r="B69" s="236" t="s">
        <v>303</v>
      </c>
      <c r="C69" s="237"/>
      <c r="D69" s="241"/>
      <c r="E69" s="61"/>
      <c r="F69" s="62"/>
      <c r="G69" s="72"/>
    </row>
    <row r="70" spans="1:12" s="10" customFormat="1" x14ac:dyDescent="0.25">
      <c r="A70" s="118">
        <f>A68+1</f>
        <v>60</v>
      </c>
      <c r="B70" s="103" t="s">
        <v>131</v>
      </c>
      <c r="C70" s="125" t="s">
        <v>3</v>
      </c>
      <c r="D70" s="170">
        <v>31</v>
      </c>
      <c r="E70" s="104">
        <v>11849.36</v>
      </c>
      <c r="F70" s="40">
        <f t="shared" ref="F70:F75" si="35">ROUND(E70*D70,2)</f>
        <v>367330.16</v>
      </c>
      <c r="G70" s="40">
        <f t="shared" ref="G70:G75" si="36">ROUND(F70*1.2,2)</f>
        <v>440796.19</v>
      </c>
      <c r="H70" s="143"/>
    </row>
    <row r="71" spans="1:12" s="10" customFormat="1" ht="45" x14ac:dyDescent="0.25">
      <c r="A71" s="118">
        <f>A70+1</f>
        <v>61</v>
      </c>
      <c r="B71" s="103" t="s">
        <v>293</v>
      </c>
      <c r="C71" s="125" t="s">
        <v>3</v>
      </c>
      <c r="D71" s="170">
        <v>16</v>
      </c>
      <c r="E71" s="104">
        <v>23006.67</v>
      </c>
      <c r="F71" s="40">
        <f t="shared" si="35"/>
        <v>368106.72</v>
      </c>
      <c r="G71" s="40">
        <f t="shared" si="36"/>
        <v>441728.06</v>
      </c>
      <c r="I71"/>
      <c r="J71" s="142"/>
      <c r="K71" s="142"/>
    </row>
    <row r="72" spans="1:12" s="10" customFormat="1" ht="30" x14ac:dyDescent="0.25">
      <c r="A72" s="118">
        <f t="shared" ref="A72:A75" si="37">A71+1</f>
        <v>62</v>
      </c>
      <c r="B72" s="103" t="s">
        <v>133</v>
      </c>
      <c r="C72" s="27" t="s">
        <v>12</v>
      </c>
      <c r="D72" s="170">
        <v>2</v>
      </c>
      <c r="E72" s="104">
        <v>6750</v>
      </c>
      <c r="F72" s="40">
        <f t="shared" si="35"/>
        <v>13500</v>
      </c>
      <c r="G72" s="40">
        <f t="shared" si="36"/>
        <v>16200</v>
      </c>
      <c r="H72" s="143"/>
    </row>
    <row r="73" spans="1:12" s="10" customFormat="1" x14ac:dyDescent="0.25">
      <c r="A73" s="118">
        <f t="shared" si="37"/>
        <v>63</v>
      </c>
      <c r="B73" s="103" t="s">
        <v>132</v>
      </c>
      <c r="C73" s="27" t="s">
        <v>12</v>
      </c>
      <c r="D73" s="170">
        <v>2</v>
      </c>
      <c r="E73" s="104">
        <v>3858.33</v>
      </c>
      <c r="F73" s="40">
        <f t="shared" si="35"/>
        <v>7716.66</v>
      </c>
      <c r="G73" s="40">
        <f t="shared" si="36"/>
        <v>9259.99</v>
      </c>
      <c r="H73" s="143"/>
    </row>
    <row r="74" spans="1:12" s="10" customFormat="1" x14ac:dyDescent="0.25">
      <c r="A74" s="118">
        <f t="shared" si="37"/>
        <v>64</v>
      </c>
      <c r="B74" s="103" t="s">
        <v>108</v>
      </c>
      <c r="C74" s="125" t="s">
        <v>2</v>
      </c>
      <c r="D74" s="171">
        <v>3.46</v>
      </c>
      <c r="E74" s="104">
        <v>5200</v>
      </c>
      <c r="F74" s="40">
        <f t="shared" si="35"/>
        <v>17992</v>
      </c>
      <c r="G74" s="40">
        <f t="shared" si="36"/>
        <v>21590.400000000001</v>
      </c>
    </row>
    <row r="75" spans="1:12" s="10" customFormat="1" x14ac:dyDescent="0.25">
      <c r="A75" s="118">
        <f t="shared" si="37"/>
        <v>65</v>
      </c>
      <c r="B75" s="103" t="s">
        <v>26</v>
      </c>
      <c r="C75" s="125" t="s">
        <v>2</v>
      </c>
      <c r="D75" s="170">
        <v>26</v>
      </c>
      <c r="E75" s="104">
        <v>950</v>
      </c>
      <c r="F75" s="40">
        <f t="shared" si="35"/>
        <v>24700</v>
      </c>
      <c r="G75" s="40">
        <f t="shared" si="36"/>
        <v>29640</v>
      </c>
    </row>
    <row r="76" spans="1:12" s="10" customFormat="1" ht="25.5" customHeight="1" x14ac:dyDescent="0.25">
      <c r="A76" s="60"/>
      <c r="B76" s="236" t="s">
        <v>304</v>
      </c>
      <c r="C76" s="237"/>
      <c r="D76" s="241"/>
      <c r="E76" s="61"/>
      <c r="F76" s="62"/>
      <c r="G76" s="72"/>
    </row>
    <row r="77" spans="1:12" s="10" customFormat="1" x14ac:dyDescent="0.25">
      <c r="A77" s="118">
        <f>A75+1</f>
        <v>66</v>
      </c>
      <c r="B77" s="103" t="s">
        <v>131</v>
      </c>
      <c r="C77" s="125" t="s">
        <v>3</v>
      </c>
      <c r="D77" s="170">
        <v>21</v>
      </c>
      <c r="E77" s="104">
        <v>11849.36</v>
      </c>
      <c r="F77" s="40">
        <f t="shared" ref="F77:F82" si="38">ROUND(E77*D77,2)</f>
        <v>248836.56</v>
      </c>
      <c r="G77" s="40">
        <f t="shared" ref="G77:G82" si="39">ROUND(F77*1.2,2)</f>
        <v>298603.87</v>
      </c>
      <c r="H77" s="143"/>
    </row>
    <row r="78" spans="1:12" s="10" customFormat="1" ht="45" x14ac:dyDescent="0.25">
      <c r="A78" s="118">
        <f>A77+1</f>
        <v>67</v>
      </c>
      <c r="B78" s="103" t="s">
        <v>293</v>
      </c>
      <c r="C78" s="125" t="s">
        <v>3</v>
      </c>
      <c r="D78" s="170">
        <v>13</v>
      </c>
      <c r="E78" s="104">
        <v>23006.67</v>
      </c>
      <c r="F78" s="40">
        <f t="shared" si="38"/>
        <v>299086.71000000002</v>
      </c>
      <c r="G78" s="40">
        <f t="shared" si="39"/>
        <v>358904.05</v>
      </c>
      <c r="I78"/>
      <c r="J78" s="142"/>
      <c r="K78" s="142"/>
      <c r="L78"/>
    </row>
    <row r="79" spans="1:12" s="10" customFormat="1" ht="30" x14ac:dyDescent="0.25">
      <c r="A79" s="118">
        <f t="shared" ref="A79:A82" si="40">A78+1</f>
        <v>68</v>
      </c>
      <c r="B79" s="103" t="s">
        <v>133</v>
      </c>
      <c r="C79" s="27" t="s">
        <v>12</v>
      </c>
      <c r="D79" s="170">
        <v>2</v>
      </c>
      <c r="E79" s="104">
        <v>6750</v>
      </c>
      <c r="F79" s="40">
        <f t="shared" si="38"/>
        <v>13500</v>
      </c>
      <c r="G79" s="40">
        <f t="shared" si="39"/>
        <v>16200</v>
      </c>
      <c r="H79" s="143"/>
    </row>
    <row r="80" spans="1:12" s="10" customFormat="1" x14ac:dyDescent="0.25">
      <c r="A80" s="118">
        <f t="shared" si="40"/>
        <v>69</v>
      </c>
      <c r="B80" s="103" t="s">
        <v>132</v>
      </c>
      <c r="C80" s="27" t="s">
        <v>12</v>
      </c>
      <c r="D80" s="170">
        <v>2</v>
      </c>
      <c r="E80" s="104">
        <v>3858.33</v>
      </c>
      <c r="F80" s="40">
        <f t="shared" si="38"/>
        <v>7716.66</v>
      </c>
      <c r="G80" s="40">
        <f t="shared" si="39"/>
        <v>9259.99</v>
      </c>
      <c r="H80" s="143"/>
    </row>
    <row r="81" spans="1:11" s="10" customFormat="1" x14ac:dyDescent="0.25">
      <c r="A81" s="118">
        <f t="shared" si="40"/>
        <v>70</v>
      </c>
      <c r="B81" s="103" t="s">
        <v>108</v>
      </c>
      <c r="C81" s="125" t="s">
        <v>2</v>
      </c>
      <c r="D81" s="171">
        <v>2.81</v>
      </c>
      <c r="E81" s="104">
        <v>5200</v>
      </c>
      <c r="F81" s="40">
        <f t="shared" si="38"/>
        <v>14612</v>
      </c>
      <c r="G81" s="40">
        <f t="shared" si="39"/>
        <v>17534.400000000001</v>
      </c>
    </row>
    <row r="82" spans="1:11" s="10" customFormat="1" x14ac:dyDescent="0.25">
      <c r="A82" s="118">
        <f t="shared" si="40"/>
        <v>71</v>
      </c>
      <c r="B82" s="103" t="s">
        <v>26</v>
      </c>
      <c r="C82" s="125" t="s">
        <v>2</v>
      </c>
      <c r="D82" s="170">
        <v>15</v>
      </c>
      <c r="E82" s="104">
        <v>950</v>
      </c>
      <c r="F82" s="40">
        <f t="shared" si="38"/>
        <v>14250</v>
      </c>
      <c r="G82" s="40">
        <f t="shared" si="39"/>
        <v>17100</v>
      </c>
    </row>
    <row r="83" spans="1:11" ht="36" customHeight="1" x14ac:dyDescent="0.25">
      <c r="A83" s="60"/>
      <c r="B83" s="236" t="s">
        <v>292</v>
      </c>
      <c r="C83" s="237"/>
      <c r="D83" s="237"/>
      <c r="E83" s="62"/>
      <c r="F83" s="63"/>
      <c r="G83" s="51"/>
      <c r="H83" s="97"/>
    </row>
    <row r="84" spans="1:11" x14ac:dyDescent="0.25">
      <c r="A84" s="16">
        <f>A82+1</f>
        <v>72</v>
      </c>
      <c r="B84" s="17" t="s">
        <v>131</v>
      </c>
      <c r="C84" s="125" t="s">
        <v>3</v>
      </c>
      <c r="D84" s="189">
        <v>49</v>
      </c>
      <c r="E84" s="104">
        <v>11849.36</v>
      </c>
      <c r="F84" s="39">
        <f t="shared" ref="F84:F89" si="41">ROUND(E84*D84,2)</f>
        <v>580618.64</v>
      </c>
      <c r="G84" s="39">
        <f t="shared" ref="G84:G89" si="42">ROUND(F84*1.2,2)</f>
        <v>696742.37</v>
      </c>
      <c r="H84" s="143"/>
    </row>
    <row r="85" spans="1:11" ht="45" x14ac:dyDescent="0.25">
      <c r="A85" s="16">
        <f t="shared" ref="A85:A89" si="43">A84+1</f>
        <v>73</v>
      </c>
      <c r="B85" s="17" t="s">
        <v>293</v>
      </c>
      <c r="C85" s="125" t="s">
        <v>3</v>
      </c>
      <c r="D85" s="189">
        <v>16</v>
      </c>
      <c r="E85" s="104">
        <v>23006.67</v>
      </c>
      <c r="F85" s="39">
        <f t="shared" si="41"/>
        <v>368106.72</v>
      </c>
      <c r="G85" s="39">
        <f t="shared" si="42"/>
        <v>441728.06</v>
      </c>
      <c r="J85" s="142"/>
      <c r="K85" s="142"/>
    </row>
    <row r="86" spans="1:11" ht="30" x14ac:dyDescent="0.25">
      <c r="A86" s="16">
        <f t="shared" si="43"/>
        <v>74</v>
      </c>
      <c r="B86" s="17" t="s">
        <v>133</v>
      </c>
      <c r="C86" s="27" t="s">
        <v>12</v>
      </c>
      <c r="D86" s="170">
        <v>2</v>
      </c>
      <c r="E86" s="104">
        <v>6750</v>
      </c>
      <c r="F86" s="39">
        <f t="shared" si="41"/>
        <v>13500</v>
      </c>
      <c r="G86" s="39">
        <f t="shared" si="42"/>
        <v>16200</v>
      </c>
      <c r="H86" s="143"/>
    </row>
    <row r="87" spans="1:11" s="10" customFormat="1" x14ac:dyDescent="0.25">
      <c r="A87" s="27">
        <f>A86+1</f>
        <v>75</v>
      </c>
      <c r="B87" s="17" t="s">
        <v>132</v>
      </c>
      <c r="C87" s="27" t="s">
        <v>12</v>
      </c>
      <c r="D87" s="170">
        <v>2</v>
      </c>
      <c r="E87" s="104">
        <v>3858.33</v>
      </c>
      <c r="F87" s="40">
        <f t="shared" ref="F87" si="44">ROUND(E87*D87,2)</f>
        <v>7716.66</v>
      </c>
      <c r="G87" s="40">
        <f t="shared" ref="G87" si="45">ROUND(F87*1.2,2)</f>
        <v>9259.99</v>
      </c>
      <c r="H87" s="143"/>
    </row>
    <row r="88" spans="1:11" x14ac:dyDescent="0.25">
      <c r="A88" s="27">
        <f>A87+1</f>
        <v>76</v>
      </c>
      <c r="B88" s="103" t="s">
        <v>108</v>
      </c>
      <c r="C88" s="125" t="s">
        <v>2</v>
      </c>
      <c r="D88" s="171">
        <v>3.46</v>
      </c>
      <c r="E88" s="104">
        <v>5200</v>
      </c>
      <c r="F88" s="40">
        <f t="shared" si="41"/>
        <v>17992</v>
      </c>
      <c r="G88" s="40">
        <f t="shared" si="42"/>
        <v>21590.400000000001</v>
      </c>
    </row>
    <row r="89" spans="1:11" x14ac:dyDescent="0.25">
      <c r="A89" s="27">
        <f t="shared" si="43"/>
        <v>77</v>
      </c>
      <c r="B89" s="103" t="s">
        <v>26</v>
      </c>
      <c r="C89" s="125" t="s">
        <v>2</v>
      </c>
      <c r="D89" s="189">
        <v>46</v>
      </c>
      <c r="E89" s="104">
        <v>950</v>
      </c>
      <c r="F89" s="40">
        <f t="shared" si="41"/>
        <v>43700</v>
      </c>
      <c r="G89" s="40">
        <f t="shared" si="42"/>
        <v>52440</v>
      </c>
    </row>
    <row r="90" spans="1:11" x14ac:dyDescent="0.25">
      <c r="A90" s="65"/>
      <c r="B90" s="238" t="s">
        <v>86</v>
      </c>
      <c r="C90" s="239"/>
      <c r="D90" s="239"/>
      <c r="E90" s="240"/>
      <c r="F90" s="64">
        <f>SUM(F6:F89)</f>
        <v>5708132.7499999991</v>
      </c>
      <c r="G90" s="64">
        <f>SUM(G6:G89)</f>
        <v>6849759.2900000019</v>
      </c>
    </row>
  </sheetData>
  <mergeCells count="14">
    <mergeCell ref="A1:A2"/>
    <mergeCell ref="B1:B2"/>
    <mergeCell ref="C1:C2"/>
    <mergeCell ref="D1:D2"/>
    <mergeCell ref="B48:D48"/>
    <mergeCell ref="B34:D34"/>
    <mergeCell ref="B4:D4"/>
    <mergeCell ref="E1:G1"/>
    <mergeCell ref="B5:D5"/>
    <mergeCell ref="B83:D83"/>
    <mergeCell ref="B90:E90"/>
    <mergeCell ref="B76:D76"/>
    <mergeCell ref="B62:D62"/>
    <mergeCell ref="B69:D69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H18"/>
  <sheetViews>
    <sheetView view="pageBreakPreview" zoomScaleNormal="100" zoomScaleSheetLayoutView="100" workbookViewId="0">
      <selection activeCell="F21" sqref="F21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</cols>
  <sheetData>
    <row r="1" spans="1:7" x14ac:dyDescent="0.25">
      <c r="A1" s="222" t="s">
        <v>13</v>
      </c>
      <c r="B1" s="230" t="s">
        <v>9</v>
      </c>
      <c r="C1" s="230" t="s">
        <v>15</v>
      </c>
      <c r="D1" s="230" t="s">
        <v>10</v>
      </c>
      <c r="E1" s="230" t="s">
        <v>524</v>
      </c>
      <c r="F1" s="230"/>
      <c r="G1" s="230"/>
    </row>
    <row r="2" spans="1:7" ht="42.75" x14ac:dyDescent="0.25">
      <c r="A2" s="222"/>
      <c r="B2" s="230"/>
      <c r="C2" s="230"/>
      <c r="D2" s="230"/>
      <c r="E2" s="122" t="s">
        <v>45</v>
      </c>
      <c r="F2" s="122" t="s">
        <v>43</v>
      </c>
      <c r="G2" s="38" t="s">
        <v>28</v>
      </c>
    </row>
    <row r="3" spans="1:7" ht="17.2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7.25" customHeight="1" x14ac:dyDescent="0.25">
      <c r="A4" s="60"/>
      <c r="B4" s="220" t="s">
        <v>305</v>
      </c>
      <c r="C4" s="231"/>
      <c r="D4" s="221"/>
      <c r="E4" s="62"/>
      <c r="F4" s="63"/>
      <c r="G4" s="51"/>
    </row>
    <row r="5" spans="1:7" ht="15" customHeight="1" x14ac:dyDescent="0.25">
      <c r="A5" s="60"/>
      <c r="B5" s="220" t="s">
        <v>306</v>
      </c>
      <c r="C5" s="231"/>
      <c r="D5" s="221"/>
      <c r="E5" s="62"/>
      <c r="F5" s="63"/>
      <c r="G5" s="51"/>
    </row>
    <row r="6" spans="1:7" ht="18" customHeight="1" x14ac:dyDescent="0.25">
      <c r="A6" s="58"/>
      <c r="B6" s="25" t="s">
        <v>308</v>
      </c>
      <c r="C6" s="66"/>
      <c r="D6" s="66"/>
      <c r="E6" s="68"/>
      <c r="F6" s="26"/>
      <c r="G6" s="73"/>
    </row>
    <row r="7" spans="1:7" ht="18" customHeight="1" x14ac:dyDescent="0.25">
      <c r="A7" s="134">
        <v>1</v>
      </c>
      <c r="B7" s="135" t="s">
        <v>309</v>
      </c>
      <c r="C7" s="27" t="s">
        <v>3</v>
      </c>
      <c r="D7" s="179">
        <v>40</v>
      </c>
      <c r="E7" s="75">
        <v>370</v>
      </c>
      <c r="F7" s="39">
        <f t="shared" ref="F7" si="0">ROUND(E7*D7,2)</f>
        <v>14800</v>
      </c>
      <c r="G7" s="39">
        <f t="shared" ref="G7" si="1">ROUND(F7*1.2,2)</f>
        <v>17760</v>
      </c>
    </row>
    <row r="8" spans="1:7" ht="18" customHeight="1" x14ac:dyDescent="0.25">
      <c r="A8" s="134">
        <f>A7+1</f>
        <v>2</v>
      </c>
      <c r="B8" s="135" t="s">
        <v>69</v>
      </c>
      <c r="C8" s="27" t="s">
        <v>12</v>
      </c>
      <c r="D8" s="179">
        <v>4</v>
      </c>
      <c r="E8" s="75">
        <v>9069</v>
      </c>
      <c r="F8" s="39">
        <f t="shared" ref="F8" si="2">ROUND(E8*D8,2)</f>
        <v>36276</v>
      </c>
      <c r="G8" s="39">
        <f t="shared" ref="G8" si="3">ROUND(F8*1.2,2)</f>
        <v>43531.199999999997</v>
      </c>
    </row>
    <row r="9" spans="1:7" ht="18" customHeight="1" x14ac:dyDescent="0.25">
      <c r="A9" s="134">
        <f t="shared" ref="A9:A10" si="4">A8+1</f>
        <v>3</v>
      </c>
      <c r="B9" s="135" t="s">
        <v>70</v>
      </c>
      <c r="C9" s="27" t="s">
        <v>3</v>
      </c>
      <c r="D9" s="179">
        <v>40</v>
      </c>
      <c r="E9" s="271">
        <v>146.30000000000001</v>
      </c>
      <c r="F9" s="39">
        <f t="shared" ref="F9" si="5">ROUND(E9*D9,2)</f>
        <v>5852</v>
      </c>
      <c r="G9" s="39">
        <f t="shared" ref="G9" si="6">ROUND(F9*1.2,2)</f>
        <v>7022.4</v>
      </c>
    </row>
    <row r="10" spans="1:7" ht="29.25" customHeight="1" x14ac:dyDescent="0.25">
      <c r="A10" s="134">
        <f t="shared" si="4"/>
        <v>4</v>
      </c>
      <c r="B10" s="135" t="s">
        <v>310</v>
      </c>
      <c r="C10" s="27" t="s">
        <v>12</v>
      </c>
      <c r="D10" s="179">
        <v>4</v>
      </c>
      <c r="E10" s="75">
        <v>800</v>
      </c>
      <c r="F10" s="40">
        <f t="shared" ref="F10" si="7">ROUND(E10*D10,2)</f>
        <v>3200</v>
      </c>
      <c r="G10" s="40">
        <f t="shared" ref="G10" si="8">ROUND(F10*1.2,2)</f>
        <v>3840</v>
      </c>
    </row>
    <row r="11" spans="1:7" ht="18" customHeight="1" x14ac:dyDescent="0.25">
      <c r="A11" s="58"/>
      <c r="B11" s="114" t="s">
        <v>51</v>
      </c>
      <c r="C11" s="27"/>
      <c r="D11" s="19"/>
      <c r="E11" s="74"/>
      <c r="F11" s="39"/>
      <c r="G11" s="39"/>
    </row>
    <row r="12" spans="1:7" ht="18" customHeight="1" x14ac:dyDescent="0.25">
      <c r="A12" s="134">
        <f>A10+1</f>
        <v>5</v>
      </c>
      <c r="B12" s="135" t="s">
        <v>49</v>
      </c>
      <c r="C12" s="27" t="s">
        <v>2</v>
      </c>
      <c r="D12" s="180">
        <v>14.4</v>
      </c>
      <c r="E12" s="271">
        <v>1688.15</v>
      </c>
      <c r="F12" s="39">
        <f t="shared" ref="F12" si="9">ROUND(E12*D12,2)</f>
        <v>24309.360000000001</v>
      </c>
      <c r="G12" s="39">
        <f t="shared" ref="G12" si="10">ROUND(F12*1.2,2)</f>
        <v>29171.23</v>
      </c>
    </row>
    <row r="13" spans="1:7" ht="18" customHeight="1" x14ac:dyDescent="0.25">
      <c r="A13" s="134">
        <f>A12+1</f>
        <v>6</v>
      </c>
      <c r="B13" s="135" t="s">
        <v>311</v>
      </c>
      <c r="C13" s="27" t="s">
        <v>2</v>
      </c>
      <c r="D13" s="180">
        <v>2.7</v>
      </c>
      <c r="E13" s="271">
        <v>1310.05</v>
      </c>
      <c r="F13" s="39">
        <f t="shared" ref="F13" si="11">ROUND(E13*D13,2)</f>
        <v>3537.14</v>
      </c>
      <c r="G13" s="39">
        <f t="shared" ref="G13" si="12">ROUND(F13*1.2,2)</f>
        <v>4244.57</v>
      </c>
    </row>
    <row r="14" spans="1:7" ht="18" customHeight="1" x14ac:dyDescent="0.25">
      <c r="A14" s="134">
        <f t="shared" ref="A14:A15" si="13">A13+1</f>
        <v>7</v>
      </c>
      <c r="B14" s="135" t="s">
        <v>183</v>
      </c>
      <c r="C14" s="27" t="s">
        <v>2</v>
      </c>
      <c r="D14" s="180">
        <v>11.7</v>
      </c>
      <c r="E14" s="271">
        <v>854.05</v>
      </c>
      <c r="F14" s="39">
        <f t="shared" ref="F14:F15" si="14">ROUND(E14*D14,2)</f>
        <v>9992.39</v>
      </c>
      <c r="G14" s="39">
        <f t="shared" ref="G14:G15" si="15">ROUND(F14*1.2,2)</f>
        <v>11990.87</v>
      </c>
    </row>
    <row r="15" spans="1:7" ht="18" customHeight="1" x14ac:dyDescent="0.25">
      <c r="A15" s="134">
        <f t="shared" si="13"/>
        <v>8</v>
      </c>
      <c r="B15" s="17" t="s">
        <v>50</v>
      </c>
      <c r="C15" s="27" t="s">
        <v>2</v>
      </c>
      <c r="D15" s="180">
        <v>2.7</v>
      </c>
      <c r="E15" s="74">
        <v>0</v>
      </c>
      <c r="F15" s="39">
        <f t="shared" si="14"/>
        <v>0</v>
      </c>
      <c r="G15" s="39">
        <f t="shared" si="15"/>
        <v>0</v>
      </c>
    </row>
    <row r="16" spans="1:7" x14ac:dyDescent="0.25">
      <c r="A16" s="71"/>
      <c r="B16" s="232" t="s">
        <v>86</v>
      </c>
      <c r="C16" s="233"/>
      <c r="D16" s="233"/>
      <c r="E16" s="234"/>
      <c r="F16" s="64">
        <f>SUM(F7:F15)</f>
        <v>97966.89</v>
      </c>
      <c r="G16" s="64">
        <f>SUM(G7:G15)</f>
        <v>117560.26999999999</v>
      </c>
    </row>
    <row r="17" spans="1:8" x14ac:dyDescent="0.25">
      <c r="A17" s="217" t="s">
        <v>87</v>
      </c>
      <c r="B17" s="218"/>
      <c r="C17" s="218"/>
      <c r="D17" s="218"/>
      <c r="E17" s="219"/>
      <c r="F17" s="98">
        <f>ROUND(F16*0.03,2)</f>
        <v>2939.01</v>
      </c>
      <c r="G17" s="98">
        <f>ROUND(G16*0.03,2)</f>
        <v>3526.81</v>
      </c>
      <c r="H17" s="6"/>
    </row>
    <row r="18" spans="1:8" x14ac:dyDescent="0.25">
      <c r="A18" s="217" t="s">
        <v>88</v>
      </c>
      <c r="B18" s="218"/>
      <c r="C18" s="218"/>
      <c r="D18" s="218"/>
      <c r="E18" s="219"/>
      <c r="F18" s="98">
        <f>F16+F17</f>
        <v>100905.9</v>
      </c>
      <c r="G18" s="98">
        <f>G16+G17</f>
        <v>121087.07999999999</v>
      </c>
      <c r="H18" s="6"/>
    </row>
  </sheetData>
  <mergeCells count="10">
    <mergeCell ref="A18:E18"/>
    <mergeCell ref="B5:D5"/>
    <mergeCell ref="B16:E16"/>
    <mergeCell ref="A17:E17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G11"/>
  <sheetViews>
    <sheetView view="pageBreakPreview" zoomScale="80" zoomScaleNormal="100" zoomScaleSheetLayoutView="80" workbookViewId="0">
      <selection activeCell="D6" sqref="D6:D10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</cols>
  <sheetData>
    <row r="1" spans="1:7" ht="19.5" customHeight="1" x14ac:dyDescent="0.25">
      <c r="A1" s="212" t="s">
        <v>13</v>
      </c>
      <c r="B1" s="242" t="s">
        <v>9</v>
      </c>
      <c r="C1" s="212" t="s">
        <v>83</v>
      </c>
      <c r="D1" s="212" t="s">
        <v>10</v>
      </c>
      <c r="E1" s="235" t="s">
        <v>524</v>
      </c>
      <c r="F1" s="235"/>
      <c r="G1" s="235"/>
    </row>
    <row r="2" spans="1:7" s="7" customFormat="1" ht="28.5" x14ac:dyDescent="0.25">
      <c r="A2" s="212"/>
      <c r="B2" s="242"/>
      <c r="C2" s="212"/>
      <c r="D2" s="212"/>
      <c r="E2" s="121" t="s">
        <v>82</v>
      </c>
      <c r="F2" s="119" t="s">
        <v>5</v>
      </c>
      <c r="G2" s="119" t="s">
        <v>6</v>
      </c>
    </row>
    <row r="3" spans="1:7" ht="13.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3.5" customHeight="1" x14ac:dyDescent="0.25">
      <c r="A4" s="60"/>
      <c r="B4" s="220" t="s">
        <v>305</v>
      </c>
      <c r="C4" s="231"/>
      <c r="D4" s="221"/>
      <c r="E4" s="62"/>
      <c r="F4" s="63"/>
      <c r="G4" s="51"/>
    </row>
    <row r="5" spans="1:7" ht="21.75" customHeight="1" x14ac:dyDescent="0.25">
      <c r="A5" s="60"/>
      <c r="B5" s="220" t="s">
        <v>306</v>
      </c>
      <c r="C5" s="231"/>
      <c r="D5" s="221"/>
      <c r="E5" s="62"/>
      <c r="F5" s="63"/>
      <c r="G5" s="51"/>
    </row>
    <row r="6" spans="1:7" ht="19.5" customHeight="1" x14ac:dyDescent="0.25">
      <c r="A6" s="27">
        <v>1</v>
      </c>
      <c r="B6" s="17" t="s">
        <v>135</v>
      </c>
      <c r="C6" s="27" t="s">
        <v>3</v>
      </c>
      <c r="D6" s="170">
        <v>40</v>
      </c>
      <c r="E6" s="35">
        <v>1045.8333333333335</v>
      </c>
      <c r="F6" s="39">
        <f>ROUND(E6*D6,2)</f>
        <v>41833.33</v>
      </c>
      <c r="G6" s="39">
        <f>ROUND(F6*1.2,2)</f>
        <v>50200</v>
      </c>
    </row>
    <row r="7" spans="1:7" ht="19.5" customHeight="1" x14ac:dyDescent="0.25">
      <c r="A7" s="27">
        <f>A6+1</f>
        <v>2</v>
      </c>
      <c r="B7" s="17" t="s">
        <v>136</v>
      </c>
      <c r="C7" s="27" t="s">
        <v>12</v>
      </c>
      <c r="D7" s="170">
        <v>4</v>
      </c>
      <c r="E7" s="35">
        <v>7609.166666666667</v>
      </c>
      <c r="F7" s="39">
        <f t="shared" ref="F7:F10" si="0">ROUND(E7*D7,2)</f>
        <v>30436.67</v>
      </c>
      <c r="G7" s="39">
        <f t="shared" ref="G7:G10" si="1">ROUND(F7*1.2,2)</f>
        <v>36524</v>
      </c>
    </row>
    <row r="8" spans="1:7" ht="22.5" customHeight="1" x14ac:dyDescent="0.25">
      <c r="A8" s="27">
        <f>A7+1</f>
        <v>3</v>
      </c>
      <c r="B8" s="103" t="s">
        <v>134</v>
      </c>
      <c r="C8" s="27" t="s">
        <v>3</v>
      </c>
      <c r="D8" s="170">
        <v>40</v>
      </c>
      <c r="E8" s="104">
        <v>180</v>
      </c>
      <c r="F8" s="40">
        <f t="shared" si="0"/>
        <v>7200</v>
      </c>
      <c r="G8" s="40">
        <f t="shared" si="1"/>
        <v>8640</v>
      </c>
    </row>
    <row r="9" spans="1:7" ht="24" customHeight="1" x14ac:dyDescent="0.25">
      <c r="A9" s="27">
        <f t="shared" ref="A9:A10" si="2">A8+1</f>
        <v>4</v>
      </c>
      <c r="B9" s="17" t="s">
        <v>307</v>
      </c>
      <c r="C9" s="27" t="s">
        <v>12</v>
      </c>
      <c r="D9" s="170">
        <v>4</v>
      </c>
      <c r="E9" s="35">
        <v>325</v>
      </c>
      <c r="F9" s="39">
        <f t="shared" si="0"/>
        <v>1300</v>
      </c>
      <c r="G9" s="39">
        <f t="shared" si="1"/>
        <v>1560</v>
      </c>
    </row>
    <row r="10" spans="1:7" ht="23.25" customHeight="1" x14ac:dyDescent="0.25">
      <c r="A10" s="27">
        <f t="shared" si="2"/>
        <v>5</v>
      </c>
      <c r="B10" s="17" t="s">
        <v>0</v>
      </c>
      <c r="C10" s="27" t="s">
        <v>2</v>
      </c>
      <c r="D10" s="189">
        <v>2.7</v>
      </c>
      <c r="E10" s="35">
        <v>950</v>
      </c>
      <c r="F10" s="39">
        <f t="shared" si="0"/>
        <v>2565</v>
      </c>
      <c r="G10" s="39">
        <f t="shared" si="1"/>
        <v>3078</v>
      </c>
    </row>
    <row r="11" spans="1:7" x14ac:dyDescent="0.25">
      <c r="A11" s="65"/>
      <c r="B11" s="238" t="s">
        <v>86</v>
      </c>
      <c r="C11" s="239"/>
      <c r="D11" s="239"/>
      <c r="E11" s="240"/>
      <c r="F11" s="64">
        <f>SUM(F6:F10)</f>
        <v>83335</v>
      </c>
      <c r="G11" s="64">
        <f>SUM(G6:G10)</f>
        <v>100002</v>
      </c>
    </row>
  </sheetData>
  <mergeCells count="8">
    <mergeCell ref="B11:E11"/>
    <mergeCell ref="B5:D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H72"/>
  <sheetViews>
    <sheetView view="pageBreakPreview" zoomScale="130" zoomScaleNormal="100" zoomScaleSheetLayoutView="130" workbookViewId="0">
      <selection activeCell="G70" sqref="G70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55.28515625" style="96" customWidth="1"/>
  </cols>
  <sheetData>
    <row r="1" spans="1:8" x14ac:dyDescent="0.25">
      <c r="A1" s="222" t="s">
        <v>13</v>
      </c>
      <c r="B1" s="230" t="s">
        <v>9</v>
      </c>
      <c r="C1" s="230" t="s">
        <v>15</v>
      </c>
      <c r="D1" s="230" t="s">
        <v>10</v>
      </c>
      <c r="E1" s="230" t="s">
        <v>524</v>
      </c>
      <c r="F1" s="230"/>
      <c r="G1" s="230"/>
    </row>
    <row r="2" spans="1:8" ht="42.75" x14ac:dyDescent="0.25">
      <c r="A2" s="222"/>
      <c r="B2" s="230"/>
      <c r="C2" s="230"/>
      <c r="D2" s="230"/>
      <c r="E2" s="122" t="s">
        <v>45</v>
      </c>
      <c r="F2" s="122" t="s">
        <v>43</v>
      </c>
      <c r="G2" s="38" t="s">
        <v>28</v>
      </c>
    </row>
    <row r="3" spans="1:8" ht="17.2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17.25" customHeight="1" x14ac:dyDescent="0.25">
      <c r="A4" s="60"/>
      <c r="B4" s="220" t="s">
        <v>312</v>
      </c>
      <c r="C4" s="231"/>
      <c r="D4" s="221"/>
      <c r="E4" s="62"/>
      <c r="F4" s="63"/>
      <c r="G4" s="51"/>
    </row>
    <row r="5" spans="1:8" ht="17.25" customHeight="1" x14ac:dyDescent="0.25">
      <c r="A5" s="16"/>
      <c r="B5" s="12" t="s">
        <v>75</v>
      </c>
      <c r="C5" s="16"/>
      <c r="D5" s="19"/>
      <c r="E5" s="70"/>
      <c r="F5" s="67"/>
      <c r="G5" s="73"/>
    </row>
    <row r="6" spans="1:8" ht="15.75" x14ac:dyDescent="0.25">
      <c r="A6" s="16">
        <v>1</v>
      </c>
      <c r="B6" s="17" t="s">
        <v>76</v>
      </c>
      <c r="C6" s="16" t="s">
        <v>2</v>
      </c>
      <c r="D6" s="188">
        <v>1524.27</v>
      </c>
      <c r="E6" s="75">
        <v>630</v>
      </c>
      <c r="F6" s="39">
        <f t="shared" ref="F6:F12" si="0">ROUND(E6*D6,2)</f>
        <v>960290.1</v>
      </c>
      <c r="G6" s="39">
        <f t="shared" ref="G6:G12" si="1">ROUND(F6*1.2,2)</f>
        <v>1152348.1200000001</v>
      </c>
    </row>
    <row r="7" spans="1:8" ht="30" x14ac:dyDescent="0.25">
      <c r="A7" s="16">
        <f>A6+1</f>
        <v>2</v>
      </c>
      <c r="B7" s="17" t="s">
        <v>77</v>
      </c>
      <c r="C7" s="16" t="s">
        <v>2</v>
      </c>
      <c r="D7" s="188">
        <v>1524.27</v>
      </c>
      <c r="E7" s="75">
        <v>325</v>
      </c>
      <c r="F7" s="39">
        <f t="shared" si="0"/>
        <v>495387.75</v>
      </c>
      <c r="G7" s="39">
        <f t="shared" si="1"/>
        <v>594465.30000000005</v>
      </c>
    </row>
    <row r="8" spans="1:8" ht="15.75" x14ac:dyDescent="0.25">
      <c r="A8" s="260">
        <f t="shared" ref="A8" si="2">A7+1</f>
        <v>3</v>
      </c>
      <c r="B8" s="259" t="s">
        <v>54</v>
      </c>
      <c r="C8" s="260" t="s">
        <v>2</v>
      </c>
      <c r="D8" s="267">
        <v>1524.27</v>
      </c>
      <c r="E8" s="263">
        <v>494</v>
      </c>
      <c r="F8" s="264">
        <f t="shared" si="0"/>
        <v>752989.38</v>
      </c>
      <c r="G8" s="264">
        <f t="shared" si="1"/>
        <v>903587.26</v>
      </c>
      <c r="H8" s="96" t="s">
        <v>526</v>
      </c>
    </row>
    <row r="9" spans="1:8" ht="15.75" x14ac:dyDescent="0.25">
      <c r="A9" s="16">
        <v>4</v>
      </c>
      <c r="B9" s="103" t="s">
        <v>320</v>
      </c>
      <c r="C9" s="27" t="s">
        <v>2</v>
      </c>
      <c r="D9" s="188">
        <v>452.98</v>
      </c>
      <c r="E9" s="271">
        <v>425</v>
      </c>
      <c r="F9" s="40">
        <f t="shared" ref="F9" si="3">ROUND(E9*D9,2)</f>
        <v>192516.5</v>
      </c>
      <c r="G9" s="40">
        <f t="shared" ref="G9" si="4">ROUND(F9*1.2,2)</f>
        <v>231019.8</v>
      </c>
      <c r="H9" s="97"/>
    </row>
    <row r="10" spans="1:8" ht="15.75" x14ac:dyDescent="0.25">
      <c r="A10" s="16">
        <f t="shared" ref="A10:A12" si="5">A9+1</f>
        <v>5</v>
      </c>
      <c r="B10" s="103" t="s">
        <v>190</v>
      </c>
      <c r="C10" s="27" t="s">
        <v>2</v>
      </c>
      <c r="D10" s="188">
        <v>452.98</v>
      </c>
      <c r="E10" s="74">
        <v>325</v>
      </c>
      <c r="F10" s="40">
        <f t="shared" si="0"/>
        <v>147218.5</v>
      </c>
      <c r="G10" s="40">
        <f t="shared" si="1"/>
        <v>176662.2</v>
      </c>
    </row>
    <row r="11" spans="1:8" ht="30" x14ac:dyDescent="0.25">
      <c r="A11" s="16">
        <f t="shared" si="5"/>
        <v>6</v>
      </c>
      <c r="B11" s="103" t="s">
        <v>191</v>
      </c>
      <c r="C11" s="27" t="s">
        <v>2</v>
      </c>
      <c r="D11" s="179">
        <v>279</v>
      </c>
      <c r="E11" s="271">
        <v>425</v>
      </c>
      <c r="F11" s="40">
        <f t="shared" si="0"/>
        <v>118575</v>
      </c>
      <c r="G11" s="40">
        <f t="shared" si="1"/>
        <v>142290</v>
      </c>
      <c r="H11" s="97"/>
    </row>
    <row r="12" spans="1:8" ht="15.75" x14ac:dyDescent="0.25">
      <c r="A12" s="16">
        <f t="shared" si="5"/>
        <v>7</v>
      </c>
      <c r="B12" s="113" t="s">
        <v>192</v>
      </c>
      <c r="C12" s="110" t="s">
        <v>2</v>
      </c>
      <c r="D12" s="179">
        <v>279</v>
      </c>
      <c r="E12" s="75">
        <v>442</v>
      </c>
      <c r="F12" s="112">
        <f t="shared" si="0"/>
        <v>123318</v>
      </c>
      <c r="G12" s="112">
        <f t="shared" si="1"/>
        <v>147981.6</v>
      </c>
    </row>
    <row r="13" spans="1:8" ht="21.75" customHeight="1" x14ac:dyDescent="0.25">
      <c r="A13" s="16"/>
      <c r="B13" s="12" t="s">
        <v>60</v>
      </c>
      <c r="C13" s="16"/>
      <c r="D13" s="19"/>
      <c r="E13" s="70"/>
      <c r="F13" s="67"/>
      <c r="G13" s="73"/>
    </row>
    <row r="14" spans="1:8" ht="30" x14ac:dyDescent="0.25">
      <c r="A14" s="16">
        <f>A12+1</f>
        <v>8</v>
      </c>
      <c r="B14" s="17" t="s">
        <v>61</v>
      </c>
      <c r="C14" s="16" t="s">
        <v>3</v>
      </c>
      <c r="D14" s="179">
        <v>53</v>
      </c>
      <c r="E14" s="271">
        <v>4236.335</v>
      </c>
      <c r="F14" s="39">
        <f t="shared" ref="F14:F15" si="6">ROUND(E14*D14,2)</f>
        <v>224525.76</v>
      </c>
      <c r="G14" s="39">
        <f t="shared" ref="G14:G15" si="7">ROUND(F14*1.2,2)</f>
        <v>269430.90999999997</v>
      </c>
    </row>
    <row r="15" spans="1:8" ht="36.75" customHeight="1" x14ac:dyDescent="0.25">
      <c r="A15" s="16">
        <f>A14+1</f>
        <v>9</v>
      </c>
      <c r="B15" s="17" t="s">
        <v>62</v>
      </c>
      <c r="C15" s="16" t="s">
        <v>3</v>
      </c>
      <c r="D15" s="179">
        <v>53</v>
      </c>
      <c r="E15" s="271">
        <v>526.29999999999995</v>
      </c>
      <c r="F15" s="39">
        <f t="shared" si="6"/>
        <v>27893.9</v>
      </c>
      <c r="G15" s="39">
        <f t="shared" si="7"/>
        <v>33472.68</v>
      </c>
      <c r="H15" s="97" t="s">
        <v>532</v>
      </c>
    </row>
    <row r="16" spans="1:8" ht="19.5" customHeight="1" x14ac:dyDescent="0.25">
      <c r="A16" s="16"/>
      <c r="B16" s="12" t="s">
        <v>321</v>
      </c>
      <c r="C16" s="16"/>
      <c r="D16" s="19"/>
      <c r="E16" s="70"/>
      <c r="F16" s="67"/>
      <c r="G16" s="73"/>
    </row>
    <row r="17" spans="1:8" s="10" customFormat="1" ht="24" customHeight="1" x14ac:dyDescent="0.25">
      <c r="A17" s="27">
        <f>A15+1</f>
        <v>10</v>
      </c>
      <c r="B17" s="103" t="s">
        <v>314</v>
      </c>
      <c r="C17" s="27" t="s">
        <v>3</v>
      </c>
      <c r="D17" s="179">
        <v>4</v>
      </c>
      <c r="E17" s="74">
        <v>1637</v>
      </c>
      <c r="F17" s="40">
        <f t="shared" ref="F17" si="8">ROUND(E17*D17,2)</f>
        <v>6548</v>
      </c>
      <c r="G17" s="40">
        <f t="shared" ref="G17" si="9">ROUND(F17*1.2,2)</f>
        <v>7857.6</v>
      </c>
      <c r="H17" s="97" t="s">
        <v>531</v>
      </c>
    </row>
    <row r="18" spans="1:8" ht="22.5" customHeight="1" x14ac:dyDescent="0.25">
      <c r="A18" s="16"/>
      <c r="B18" s="12" t="s">
        <v>193</v>
      </c>
      <c r="C18" s="16"/>
      <c r="D18" s="19"/>
      <c r="E18" s="70"/>
      <c r="F18" s="67"/>
      <c r="G18" s="73"/>
    </row>
    <row r="19" spans="1:8" ht="30" x14ac:dyDescent="0.25">
      <c r="A19" s="16">
        <f>A17+1</f>
        <v>11</v>
      </c>
      <c r="B19" s="17" t="s">
        <v>64</v>
      </c>
      <c r="C19" s="16" t="s">
        <v>42</v>
      </c>
      <c r="D19" s="188">
        <v>1335</v>
      </c>
      <c r="E19" s="74">
        <v>1140</v>
      </c>
      <c r="F19" s="39">
        <f t="shared" ref="F19:F24" si="10">ROUND(E19*D19,2)</f>
        <v>1521900</v>
      </c>
      <c r="G19" s="39">
        <f t="shared" ref="G19:G24" si="11">ROUND(F19*1.2,2)</f>
        <v>1826280</v>
      </c>
    </row>
    <row r="20" spans="1:8" ht="30" x14ac:dyDescent="0.25">
      <c r="A20" s="16">
        <f>A19+1</f>
        <v>12</v>
      </c>
      <c r="B20" s="17" t="s">
        <v>78</v>
      </c>
      <c r="C20" s="16" t="s">
        <v>2</v>
      </c>
      <c r="D20" s="188">
        <v>112.14</v>
      </c>
      <c r="E20" s="74">
        <v>1754</v>
      </c>
      <c r="F20" s="39">
        <f t="shared" si="10"/>
        <v>196693.56</v>
      </c>
      <c r="G20" s="39">
        <f t="shared" si="11"/>
        <v>236032.27</v>
      </c>
    </row>
    <row r="21" spans="1:8" ht="30" x14ac:dyDescent="0.25">
      <c r="A21" s="16">
        <f t="shared" ref="A21:A24" si="12">A20+1</f>
        <v>13</v>
      </c>
      <c r="B21" s="17" t="s">
        <v>79</v>
      </c>
      <c r="C21" s="16" t="s">
        <v>2</v>
      </c>
      <c r="D21" s="188">
        <v>210.26</v>
      </c>
      <c r="E21" s="74">
        <v>1754</v>
      </c>
      <c r="F21" s="39">
        <f t="shared" si="10"/>
        <v>368796.04</v>
      </c>
      <c r="G21" s="39">
        <f t="shared" si="11"/>
        <v>442555.25</v>
      </c>
    </row>
    <row r="22" spans="1:8" ht="15.75" x14ac:dyDescent="0.25">
      <c r="A22" s="16">
        <f t="shared" si="12"/>
        <v>14</v>
      </c>
      <c r="B22" s="17" t="s">
        <v>67</v>
      </c>
      <c r="C22" s="16" t="s">
        <v>2</v>
      </c>
      <c r="D22" s="188">
        <v>440.55</v>
      </c>
      <c r="E22" s="74">
        <v>1111</v>
      </c>
      <c r="F22" s="39">
        <f t="shared" si="10"/>
        <v>489451.05</v>
      </c>
      <c r="G22" s="39">
        <f t="shared" si="11"/>
        <v>587341.26</v>
      </c>
    </row>
    <row r="23" spans="1:8" ht="30" x14ac:dyDescent="0.25">
      <c r="A23" s="16">
        <f t="shared" si="12"/>
        <v>15</v>
      </c>
      <c r="B23" s="17" t="s">
        <v>68</v>
      </c>
      <c r="C23" s="16" t="s">
        <v>2</v>
      </c>
      <c r="D23" s="188">
        <v>391.05</v>
      </c>
      <c r="E23" s="74">
        <v>1111</v>
      </c>
      <c r="F23" s="39">
        <f t="shared" si="10"/>
        <v>434456.55</v>
      </c>
      <c r="G23" s="39">
        <f t="shared" si="11"/>
        <v>521347.86</v>
      </c>
    </row>
    <row r="24" spans="1:8" ht="19.5" customHeight="1" x14ac:dyDescent="0.25">
      <c r="A24" s="16">
        <f t="shared" si="12"/>
        <v>16</v>
      </c>
      <c r="B24" s="113" t="s">
        <v>194</v>
      </c>
      <c r="C24" s="110" t="s">
        <v>12</v>
      </c>
      <c r="D24" s="179">
        <v>488</v>
      </c>
      <c r="E24" s="75">
        <v>1637</v>
      </c>
      <c r="F24" s="112">
        <f t="shared" si="10"/>
        <v>798856</v>
      </c>
      <c r="G24" s="112">
        <f t="shared" si="11"/>
        <v>958627.2</v>
      </c>
    </row>
    <row r="25" spans="1:8" ht="24.75" customHeight="1" x14ac:dyDescent="0.25">
      <c r="A25" s="16"/>
      <c r="B25" s="114" t="s">
        <v>195</v>
      </c>
      <c r="C25" s="110"/>
      <c r="D25" s="111"/>
      <c r="E25" s="75"/>
      <c r="F25" s="112"/>
      <c r="G25" s="112"/>
    </row>
    <row r="26" spans="1:8" ht="30" x14ac:dyDescent="0.25">
      <c r="A26" s="16">
        <f>A24+1</f>
        <v>17</v>
      </c>
      <c r="B26" s="113" t="s">
        <v>197</v>
      </c>
      <c r="C26" s="110" t="s">
        <v>42</v>
      </c>
      <c r="D26" s="188">
        <v>1405</v>
      </c>
      <c r="E26" s="75">
        <v>642</v>
      </c>
      <c r="F26" s="112">
        <f t="shared" ref="F26:F30" si="13">ROUND(E26*D26,2)</f>
        <v>902010</v>
      </c>
      <c r="G26" s="112">
        <f t="shared" ref="G26:G30" si="14">ROUND(F26*1.2,2)</f>
        <v>1082412</v>
      </c>
    </row>
    <row r="27" spans="1:8" ht="30" x14ac:dyDescent="0.25">
      <c r="A27" s="16">
        <f>A26+1</f>
        <v>18</v>
      </c>
      <c r="B27" s="113" t="s">
        <v>198</v>
      </c>
      <c r="C27" s="110" t="s">
        <v>2</v>
      </c>
      <c r="D27" s="188">
        <v>118.02</v>
      </c>
      <c r="E27" s="75">
        <f>20.5+320</f>
        <v>340.5</v>
      </c>
      <c r="F27" s="112">
        <f t="shared" si="13"/>
        <v>40185.81</v>
      </c>
      <c r="G27" s="112">
        <f t="shared" si="14"/>
        <v>48222.97</v>
      </c>
    </row>
    <row r="28" spans="1:8" ht="30" x14ac:dyDescent="0.25">
      <c r="A28" s="16">
        <f t="shared" ref="A28:A30" si="15">A27+1</f>
        <v>19</v>
      </c>
      <c r="B28" s="113" t="s">
        <v>199</v>
      </c>
      <c r="C28" s="110" t="s">
        <v>2</v>
      </c>
      <c r="D28" s="188">
        <v>221.28</v>
      </c>
      <c r="E28" s="75">
        <v>320</v>
      </c>
      <c r="F28" s="112">
        <f t="shared" si="13"/>
        <v>70809.600000000006</v>
      </c>
      <c r="G28" s="112">
        <f t="shared" si="14"/>
        <v>84971.520000000004</v>
      </c>
    </row>
    <row r="29" spans="1:8" ht="30" x14ac:dyDescent="0.25">
      <c r="A29" s="16">
        <f t="shared" si="15"/>
        <v>20</v>
      </c>
      <c r="B29" s="113" t="s">
        <v>200</v>
      </c>
      <c r="C29" s="110" t="s">
        <v>2</v>
      </c>
      <c r="D29" s="188">
        <v>463.65</v>
      </c>
      <c r="E29" s="75">
        <v>183</v>
      </c>
      <c r="F29" s="112">
        <f t="shared" si="13"/>
        <v>84847.95</v>
      </c>
      <c r="G29" s="112">
        <f t="shared" si="14"/>
        <v>101817.54</v>
      </c>
    </row>
    <row r="30" spans="1:8" ht="15.75" x14ac:dyDescent="0.25">
      <c r="A30" s="16">
        <f t="shared" si="15"/>
        <v>21</v>
      </c>
      <c r="B30" s="113" t="s">
        <v>196</v>
      </c>
      <c r="C30" s="110" t="s">
        <v>12</v>
      </c>
      <c r="D30" s="179">
        <v>425</v>
      </c>
      <c r="E30" s="75">
        <v>1169</v>
      </c>
      <c r="F30" s="112">
        <f t="shared" si="13"/>
        <v>496825</v>
      </c>
      <c r="G30" s="112">
        <f t="shared" si="14"/>
        <v>596190</v>
      </c>
    </row>
    <row r="31" spans="1:8" ht="23.25" customHeight="1" x14ac:dyDescent="0.25">
      <c r="A31" s="16"/>
      <c r="B31" s="114" t="s">
        <v>201</v>
      </c>
      <c r="C31" s="110"/>
      <c r="D31" s="111"/>
      <c r="E31" s="75"/>
      <c r="F31" s="112"/>
      <c r="G31" s="112"/>
    </row>
    <row r="32" spans="1:8" ht="30" x14ac:dyDescent="0.25">
      <c r="A32" s="16">
        <f>A30+1</f>
        <v>22</v>
      </c>
      <c r="B32" s="113" t="s">
        <v>202</v>
      </c>
      <c r="C32" s="110" t="s">
        <v>2</v>
      </c>
      <c r="D32" s="188">
        <v>49.45</v>
      </c>
      <c r="E32" s="75">
        <v>1754</v>
      </c>
      <c r="F32" s="112">
        <f t="shared" ref="F32" si="16">ROUND(E32*D32,2)</f>
        <v>86735.3</v>
      </c>
      <c r="G32" s="112">
        <f t="shared" ref="G32" si="17">ROUND(F32*1.2,2)</f>
        <v>104082.36</v>
      </c>
    </row>
    <row r="33" spans="1:8" ht="21.75" customHeight="1" x14ac:dyDescent="0.25">
      <c r="A33" s="16"/>
      <c r="B33" s="114" t="s">
        <v>203</v>
      </c>
      <c r="C33" s="110"/>
      <c r="D33" s="111"/>
      <c r="E33" s="75"/>
      <c r="F33" s="112"/>
      <c r="G33" s="112"/>
    </row>
    <row r="34" spans="1:8" ht="15.75" x14ac:dyDescent="0.25">
      <c r="A34" s="16">
        <f>A32+1</f>
        <v>23</v>
      </c>
      <c r="B34" s="113" t="s">
        <v>204</v>
      </c>
      <c r="C34" s="110" t="s">
        <v>12</v>
      </c>
      <c r="D34" s="179">
        <v>37</v>
      </c>
      <c r="E34" s="75">
        <v>1475</v>
      </c>
      <c r="F34" s="112">
        <f t="shared" ref="F34:F37" si="18">ROUND(E34*D34,2)</f>
        <v>54575</v>
      </c>
      <c r="G34" s="112">
        <f t="shared" ref="G34:G37" si="19">ROUND(F34*1.2,2)</f>
        <v>65490</v>
      </c>
    </row>
    <row r="35" spans="1:8" ht="15.75" x14ac:dyDescent="0.25">
      <c r="A35" s="16">
        <f t="shared" ref="A35:A37" si="20">A34+1</f>
        <v>24</v>
      </c>
      <c r="B35" s="113" t="s">
        <v>205</v>
      </c>
      <c r="C35" s="110" t="s">
        <v>12</v>
      </c>
      <c r="D35" s="179">
        <v>73</v>
      </c>
      <c r="E35" s="75">
        <v>535</v>
      </c>
      <c r="F35" s="112">
        <f t="shared" si="18"/>
        <v>39055</v>
      </c>
      <c r="G35" s="112">
        <f t="shared" si="19"/>
        <v>46866</v>
      </c>
    </row>
    <row r="36" spans="1:8" ht="15.75" x14ac:dyDescent="0.25">
      <c r="A36" s="16">
        <f t="shared" si="20"/>
        <v>25</v>
      </c>
      <c r="B36" s="113" t="s">
        <v>206</v>
      </c>
      <c r="C36" s="110" t="s">
        <v>12</v>
      </c>
      <c r="D36" s="179">
        <v>73</v>
      </c>
      <c r="E36" s="75">
        <v>170</v>
      </c>
      <c r="F36" s="112">
        <f t="shared" si="18"/>
        <v>12410</v>
      </c>
      <c r="G36" s="112">
        <f t="shared" si="19"/>
        <v>14892</v>
      </c>
    </row>
    <row r="37" spans="1:8" ht="15.75" x14ac:dyDescent="0.25">
      <c r="A37" s="16">
        <f t="shared" si="20"/>
        <v>26</v>
      </c>
      <c r="B37" s="113" t="s">
        <v>207</v>
      </c>
      <c r="C37" s="110" t="s">
        <v>12</v>
      </c>
      <c r="D37" s="179">
        <v>37</v>
      </c>
      <c r="E37" s="75">
        <v>1025</v>
      </c>
      <c r="F37" s="112">
        <f t="shared" si="18"/>
        <v>37925</v>
      </c>
      <c r="G37" s="112">
        <f t="shared" si="19"/>
        <v>45510</v>
      </c>
      <c r="H37" s="96" t="s">
        <v>533</v>
      </c>
    </row>
    <row r="38" spans="1:8" ht="27" customHeight="1" x14ac:dyDescent="0.25">
      <c r="A38" s="27"/>
      <c r="B38" s="25" t="s">
        <v>328</v>
      </c>
      <c r="C38" s="27"/>
      <c r="D38" s="59"/>
      <c r="E38" s="107"/>
      <c r="F38" s="67"/>
      <c r="G38" s="108"/>
    </row>
    <row r="39" spans="1:8" ht="15.75" x14ac:dyDescent="0.25">
      <c r="A39" s="27">
        <f>A37+1</f>
        <v>27</v>
      </c>
      <c r="B39" s="103" t="s">
        <v>322</v>
      </c>
      <c r="C39" s="27" t="s">
        <v>2</v>
      </c>
      <c r="D39" s="188">
        <v>27.45</v>
      </c>
      <c r="E39" s="74">
        <v>10711</v>
      </c>
      <c r="F39" s="40">
        <f t="shared" ref="F39:F40" si="21">ROUND(E39*D39,2)</f>
        <v>294016.95</v>
      </c>
      <c r="G39" s="40">
        <f t="shared" ref="G39:G40" si="22">ROUND(F39*1.2,2)</f>
        <v>352820.34</v>
      </c>
    </row>
    <row r="40" spans="1:8" ht="15.75" x14ac:dyDescent="0.25">
      <c r="A40" s="27">
        <f t="shared" ref="A40" si="23">A39+1</f>
        <v>28</v>
      </c>
      <c r="B40" s="103" t="s">
        <v>67</v>
      </c>
      <c r="C40" s="27" t="s">
        <v>2</v>
      </c>
      <c r="D40" s="188">
        <v>60.39</v>
      </c>
      <c r="E40" s="74">
        <v>1111</v>
      </c>
      <c r="F40" s="40">
        <f t="shared" si="21"/>
        <v>67093.289999999994</v>
      </c>
      <c r="G40" s="40">
        <f t="shared" si="22"/>
        <v>80511.95</v>
      </c>
    </row>
    <row r="41" spans="1:8" ht="18.75" customHeight="1" x14ac:dyDescent="0.25">
      <c r="A41" s="27"/>
      <c r="B41" s="25" t="s">
        <v>329</v>
      </c>
      <c r="C41" s="27"/>
      <c r="D41" s="59"/>
      <c r="E41" s="107"/>
      <c r="F41" s="67"/>
      <c r="G41" s="108"/>
    </row>
    <row r="42" spans="1:8" ht="30" x14ac:dyDescent="0.25">
      <c r="A42" s="27">
        <f>A40+1</f>
        <v>29</v>
      </c>
      <c r="B42" s="103" t="s">
        <v>323</v>
      </c>
      <c r="C42" s="27" t="s">
        <v>2</v>
      </c>
      <c r="D42" s="188">
        <v>22.5</v>
      </c>
      <c r="E42" s="74">
        <v>6707</v>
      </c>
      <c r="F42" s="40">
        <f t="shared" ref="F42:F43" si="24">ROUND(E42*D42,2)</f>
        <v>150907.5</v>
      </c>
      <c r="G42" s="40">
        <f t="shared" ref="G42:G43" si="25">ROUND(F42*1.2,2)</f>
        <v>181089</v>
      </c>
    </row>
    <row r="43" spans="1:8" ht="30" x14ac:dyDescent="0.25">
      <c r="A43" s="27">
        <f t="shared" ref="A43" si="26">A42+1</f>
        <v>30</v>
      </c>
      <c r="B43" s="103" t="s">
        <v>200</v>
      </c>
      <c r="C43" s="27" t="s">
        <v>2</v>
      </c>
      <c r="D43" s="188">
        <v>49.5</v>
      </c>
      <c r="E43" s="75">
        <v>183</v>
      </c>
      <c r="F43" s="40">
        <f t="shared" si="24"/>
        <v>9058.5</v>
      </c>
      <c r="G43" s="40">
        <f t="shared" si="25"/>
        <v>10870.2</v>
      </c>
    </row>
    <row r="44" spans="1:8" ht="15.75" x14ac:dyDescent="0.25">
      <c r="A44" s="27"/>
      <c r="B44" s="114" t="s">
        <v>209</v>
      </c>
      <c r="C44" s="110"/>
      <c r="D44" s="111"/>
      <c r="E44" s="75"/>
      <c r="F44" s="112"/>
      <c r="G44" s="112"/>
    </row>
    <row r="45" spans="1:8" ht="15.75" x14ac:dyDescent="0.25">
      <c r="A45" s="16">
        <f>A43+1</f>
        <v>31</v>
      </c>
      <c r="B45" s="113" t="s">
        <v>210</v>
      </c>
      <c r="C45" s="110" t="s">
        <v>42</v>
      </c>
      <c r="D45" s="179">
        <v>1395</v>
      </c>
      <c r="E45" s="75">
        <v>156</v>
      </c>
      <c r="F45" s="112">
        <f t="shared" ref="F45" si="27">ROUND(E45*D45,2)</f>
        <v>217620</v>
      </c>
      <c r="G45" s="112">
        <f t="shared" ref="G45" si="28">ROUND(F45*1.2,2)</f>
        <v>261144</v>
      </c>
    </row>
    <row r="46" spans="1:8" ht="28.5" x14ac:dyDescent="0.25">
      <c r="A46" s="27"/>
      <c r="B46" s="25" t="s">
        <v>324</v>
      </c>
      <c r="C46" s="27"/>
      <c r="D46" s="59"/>
      <c r="E46" s="107"/>
      <c r="F46" s="67"/>
      <c r="G46" s="108"/>
    </row>
    <row r="47" spans="1:8" ht="20.25" customHeight="1" x14ac:dyDescent="0.25">
      <c r="A47" s="27">
        <f>A45+1</f>
        <v>32</v>
      </c>
      <c r="B47" s="103" t="s">
        <v>325</v>
      </c>
      <c r="C47" s="27" t="s">
        <v>12</v>
      </c>
      <c r="D47" s="179">
        <v>1</v>
      </c>
      <c r="E47" s="74">
        <v>3780</v>
      </c>
      <c r="F47" s="40">
        <f t="shared" ref="F47" si="29">ROUND(E47*D47,2)</f>
        <v>3780</v>
      </c>
      <c r="G47" s="40">
        <f t="shared" ref="G47" si="30">ROUND(F47*1.2,2)</f>
        <v>4536</v>
      </c>
    </row>
    <row r="48" spans="1:8" ht="21" customHeight="1" x14ac:dyDescent="0.25">
      <c r="A48" s="27"/>
      <c r="B48" s="25" t="s">
        <v>318</v>
      </c>
      <c r="C48" s="27"/>
      <c r="D48" s="59"/>
      <c r="E48" s="107"/>
      <c r="F48" s="67"/>
      <c r="G48" s="108"/>
    </row>
    <row r="49" spans="1:8" ht="21.75" customHeight="1" x14ac:dyDescent="0.25">
      <c r="A49" s="27">
        <f>A47+1</f>
        <v>33</v>
      </c>
      <c r="B49" s="103" t="s">
        <v>326</v>
      </c>
      <c r="C49" s="27" t="s">
        <v>12</v>
      </c>
      <c r="D49" s="179">
        <v>1</v>
      </c>
      <c r="E49" s="74">
        <v>4200</v>
      </c>
      <c r="F49" s="40">
        <f t="shared" ref="F49" si="31">ROUND(E49*D49,2)</f>
        <v>4200</v>
      </c>
      <c r="G49" s="40">
        <f t="shared" ref="G49" si="32">ROUND(F49*1.2,2)</f>
        <v>5040</v>
      </c>
    </row>
    <row r="50" spans="1:8" ht="28.5" x14ac:dyDescent="0.25">
      <c r="A50" s="27"/>
      <c r="B50" s="25" t="s">
        <v>319</v>
      </c>
      <c r="C50" s="27"/>
      <c r="D50" s="59"/>
      <c r="E50" s="107"/>
      <c r="F50" s="67"/>
      <c r="G50" s="108"/>
    </row>
    <row r="51" spans="1:8" ht="22.5" customHeight="1" x14ac:dyDescent="0.25">
      <c r="A51" s="27">
        <f>A49+1</f>
        <v>34</v>
      </c>
      <c r="B51" s="103" t="s">
        <v>327</v>
      </c>
      <c r="C51" s="27" t="s">
        <v>12</v>
      </c>
      <c r="D51" s="179">
        <v>1</v>
      </c>
      <c r="E51" s="74">
        <v>4200</v>
      </c>
      <c r="F51" s="40">
        <f t="shared" ref="F51" si="33">ROUND(E51*D51,2)</f>
        <v>4200</v>
      </c>
      <c r="G51" s="40">
        <f t="shared" ref="G51" si="34">ROUND(F51*1.2,2)</f>
        <v>5040</v>
      </c>
    </row>
    <row r="52" spans="1:8" x14ac:dyDescent="0.25">
      <c r="A52" s="16"/>
      <c r="B52" s="12" t="s">
        <v>330</v>
      </c>
      <c r="C52" s="16"/>
      <c r="D52" s="19"/>
      <c r="E52" s="70"/>
      <c r="F52" s="67"/>
      <c r="G52" s="73"/>
    </row>
    <row r="53" spans="1:8" ht="15.75" x14ac:dyDescent="0.25">
      <c r="A53" s="27">
        <f>A51+1</f>
        <v>35</v>
      </c>
      <c r="B53" s="103" t="s">
        <v>331</v>
      </c>
      <c r="C53" s="27" t="s">
        <v>2</v>
      </c>
      <c r="D53" s="180">
        <v>21.2</v>
      </c>
      <c r="E53" s="74">
        <v>6707</v>
      </c>
      <c r="F53" s="40">
        <f t="shared" ref="F53:F60" si="35">ROUND(E53*D53,2)</f>
        <v>142188.4</v>
      </c>
      <c r="G53" s="40">
        <f t="shared" ref="G53:G60" si="36">ROUND(F53*1.2,2)</f>
        <v>170626.08</v>
      </c>
    </row>
    <row r="54" spans="1:8" ht="15.75" x14ac:dyDescent="0.25">
      <c r="A54" s="27">
        <f>A53+1</f>
        <v>36</v>
      </c>
      <c r="B54" s="103" t="s">
        <v>342</v>
      </c>
      <c r="C54" s="27" t="s">
        <v>12</v>
      </c>
      <c r="D54" s="179">
        <v>4</v>
      </c>
      <c r="E54" s="74">
        <v>73325</v>
      </c>
      <c r="F54" s="40">
        <f t="shared" si="35"/>
        <v>293300</v>
      </c>
      <c r="G54" s="40">
        <f t="shared" si="36"/>
        <v>351960</v>
      </c>
    </row>
    <row r="55" spans="1:8" ht="31.5" customHeight="1" x14ac:dyDescent="0.25">
      <c r="A55" s="27">
        <f t="shared" ref="A55:A60" si="37">A54+1</f>
        <v>37</v>
      </c>
      <c r="B55" s="103" t="s">
        <v>223</v>
      </c>
      <c r="C55" s="27" t="s">
        <v>12</v>
      </c>
      <c r="D55" s="179">
        <v>6</v>
      </c>
      <c r="E55" s="74">
        <v>8631</v>
      </c>
      <c r="F55" s="40">
        <f t="shared" si="35"/>
        <v>51786</v>
      </c>
      <c r="G55" s="40">
        <f t="shared" si="36"/>
        <v>62143.199999999997</v>
      </c>
    </row>
    <row r="56" spans="1:8" ht="15.75" x14ac:dyDescent="0.25">
      <c r="A56" s="27">
        <f t="shared" si="37"/>
        <v>38</v>
      </c>
      <c r="B56" s="103" t="s">
        <v>224</v>
      </c>
      <c r="C56" s="27" t="s">
        <v>18</v>
      </c>
      <c r="D56" s="179">
        <v>1480</v>
      </c>
      <c r="E56" s="74">
        <v>33.020000000000003</v>
      </c>
      <c r="F56" s="40">
        <f t="shared" si="35"/>
        <v>48869.599999999999</v>
      </c>
      <c r="G56" s="40">
        <f t="shared" si="36"/>
        <v>58643.519999999997</v>
      </c>
    </row>
    <row r="57" spans="1:8" ht="15.75" x14ac:dyDescent="0.25">
      <c r="A57" s="27">
        <f t="shared" si="37"/>
        <v>39</v>
      </c>
      <c r="B57" s="103" t="s">
        <v>332</v>
      </c>
      <c r="C57" s="27" t="s">
        <v>12</v>
      </c>
      <c r="D57" s="179">
        <v>1</v>
      </c>
      <c r="E57" s="74">
        <v>239182</v>
      </c>
      <c r="F57" s="40">
        <f t="shared" si="35"/>
        <v>239182</v>
      </c>
      <c r="G57" s="40">
        <f t="shared" si="36"/>
        <v>287018.40000000002</v>
      </c>
    </row>
    <row r="58" spans="1:8" ht="15.75" x14ac:dyDescent="0.25">
      <c r="A58" s="27">
        <f t="shared" si="37"/>
        <v>40</v>
      </c>
      <c r="B58" s="103" t="s">
        <v>333</v>
      </c>
      <c r="C58" s="27" t="s">
        <v>12</v>
      </c>
      <c r="D58" s="179">
        <v>1</v>
      </c>
      <c r="E58" s="74">
        <v>252711</v>
      </c>
      <c r="F58" s="40">
        <f t="shared" si="35"/>
        <v>252711</v>
      </c>
      <c r="G58" s="40">
        <f t="shared" si="36"/>
        <v>303253.2</v>
      </c>
    </row>
    <row r="59" spans="1:8" ht="15.75" x14ac:dyDescent="0.25">
      <c r="A59" s="27">
        <f t="shared" si="37"/>
        <v>41</v>
      </c>
      <c r="B59" s="103" t="s">
        <v>334</v>
      </c>
      <c r="C59" s="27" t="s">
        <v>12</v>
      </c>
      <c r="D59" s="179">
        <v>1</v>
      </c>
      <c r="E59" s="74">
        <v>234827</v>
      </c>
      <c r="F59" s="40">
        <f t="shared" si="35"/>
        <v>234827</v>
      </c>
      <c r="G59" s="40">
        <f t="shared" si="36"/>
        <v>281792.40000000002</v>
      </c>
    </row>
    <row r="60" spans="1:8" ht="15.75" x14ac:dyDescent="0.25">
      <c r="A60" s="27">
        <f t="shared" si="37"/>
        <v>42</v>
      </c>
      <c r="B60" s="103" t="s">
        <v>335</v>
      </c>
      <c r="C60" s="27" t="s">
        <v>12</v>
      </c>
      <c r="D60" s="185">
        <v>1</v>
      </c>
      <c r="E60" s="74">
        <f>47121/D60</f>
        <v>47121</v>
      </c>
      <c r="F60" s="40">
        <f t="shared" si="35"/>
        <v>47121</v>
      </c>
      <c r="G60" s="40">
        <f t="shared" si="36"/>
        <v>56545.2</v>
      </c>
      <c r="H60" s="96" t="s">
        <v>534</v>
      </c>
    </row>
    <row r="61" spans="1:8" x14ac:dyDescent="0.25">
      <c r="A61" s="16"/>
      <c r="B61" s="12" t="s">
        <v>336</v>
      </c>
      <c r="C61" s="16"/>
      <c r="D61" s="19"/>
      <c r="E61" s="70"/>
      <c r="F61" s="67"/>
      <c r="G61" s="73"/>
    </row>
    <row r="62" spans="1:8" ht="15.75" x14ac:dyDescent="0.25">
      <c r="A62" s="27">
        <f>A60+1</f>
        <v>43</v>
      </c>
      <c r="B62" s="103" t="s">
        <v>338</v>
      </c>
      <c r="C62" s="27" t="s">
        <v>17</v>
      </c>
      <c r="D62" s="185">
        <f>2500*1.75</f>
        <v>4375</v>
      </c>
      <c r="E62" s="74">
        <v>325</v>
      </c>
      <c r="F62" s="40">
        <f t="shared" ref="F62:F63" si="38">ROUND(E62*D62,2)</f>
        <v>1421875</v>
      </c>
      <c r="G62" s="40">
        <f t="shared" ref="G62:G63" si="39">ROUND(F62*1.2,2)</f>
        <v>1706250</v>
      </c>
      <c r="H62" s="96" t="s">
        <v>535</v>
      </c>
    </row>
    <row r="63" spans="1:8" ht="15.75" x14ac:dyDescent="0.25">
      <c r="A63" s="27">
        <f>A62+1</f>
        <v>44</v>
      </c>
      <c r="B63" s="103" t="s">
        <v>50</v>
      </c>
      <c r="C63" s="27" t="s">
        <v>17</v>
      </c>
      <c r="D63" s="185">
        <f>2500*1.75</f>
        <v>4375</v>
      </c>
      <c r="E63" s="74">
        <v>0</v>
      </c>
      <c r="F63" s="40">
        <f t="shared" si="38"/>
        <v>0</v>
      </c>
      <c r="G63" s="40">
        <f t="shared" si="39"/>
        <v>0</v>
      </c>
    </row>
    <row r="64" spans="1:8" ht="28.5" x14ac:dyDescent="0.25">
      <c r="A64" s="16"/>
      <c r="B64" s="12" t="s">
        <v>339</v>
      </c>
      <c r="C64" s="16"/>
      <c r="D64" s="19"/>
      <c r="E64" s="70"/>
      <c r="F64" s="67"/>
      <c r="G64" s="73"/>
    </row>
    <row r="65" spans="1:8" ht="15.75" x14ac:dyDescent="0.25">
      <c r="A65" s="27">
        <f>A63+1</f>
        <v>45</v>
      </c>
      <c r="B65" s="103" t="s">
        <v>513</v>
      </c>
      <c r="C65" s="27" t="s">
        <v>2</v>
      </c>
      <c r="D65" s="188">
        <v>2431.9899999999998</v>
      </c>
      <c r="E65" s="74">
        <v>630</v>
      </c>
      <c r="F65" s="40">
        <f t="shared" ref="F65:F69" si="40">ROUND(E65*D65,2)</f>
        <v>1532153.7</v>
      </c>
      <c r="G65" s="40">
        <f t="shared" ref="G65:G69" si="41">ROUND(F65*1.2,2)</f>
        <v>1838584.44</v>
      </c>
    </row>
    <row r="66" spans="1:8" ht="15.75" x14ac:dyDescent="0.25">
      <c r="A66" s="27">
        <f>A65+1</f>
        <v>46</v>
      </c>
      <c r="B66" s="103" t="s">
        <v>54</v>
      </c>
      <c r="C66" s="27" t="s">
        <v>17</v>
      </c>
      <c r="D66" s="196">
        <f>391.43*1.75</f>
        <v>685.00250000000005</v>
      </c>
      <c r="E66" s="74">
        <v>325</v>
      </c>
      <c r="F66" s="40">
        <f t="shared" si="40"/>
        <v>222625.81</v>
      </c>
      <c r="G66" s="40">
        <f t="shared" si="41"/>
        <v>267150.96999999997</v>
      </c>
      <c r="H66" s="96" t="s">
        <v>535</v>
      </c>
    </row>
    <row r="67" spans="1:8" ht="15.75" x14ac:dyDescent="0.25">
      <c r="A67" s="27">
        <f t="shared" ref="A67:A68" si="42">A66+1</f>
        <v>47</v>
      </c>
      <c r="B67" s="103" t="s">
        <v>543</v>
      </c>
      <c r="C67" s="27" t="s">
        <v>2</v>
      </c>
      <c r="D67" s="188">
        <v>391.43</v>
      </c>
      <c r="E67" s="74">
        <v>325</v>
      </c>
      <c r="F67" s="40">
        <f t="shared" si="40"/>
        <v>127214.75</v>
      </c>
      <c r="G67" s="40">
        <f t="shared" si="41"/>
        <v>152657.70000000001</v>
      </c>
    </row>
    <row r="68" spans="1:8" ht="15.75" x14ac:dyDescent="0.25">
      <c r="A68" s="260">
        <f t="shared" si="42"/>
        <v>48</v>
      </c>
      <c r="B68" s="268" t="s">
        <v>340</v>
      </c>
      <c r="C68" s="260" t="s">
        <v>2</v>
      </c>
      <c r="D68" s="262">
        <f>2040.56*0.8</f>
        <v>1632.4480000000001</v>
      </c>
      <c r="E68" s="263">
        <v>494</v>
      </c>
      <c r="F68" s="264">
        <f t="shared" si="40"/>
        <v>806429.31</v>
      </c>
      <c r="G68" s="264">
        <f t="shared" si="41"/>
        <v>967715.17</v>
      </c>
      <c r="H68" s="173"/>
    </row>
    <row r="69" spans="1:8" ht="15.75" x14ac:dyDescent="0.25">
      <c r="A69" s="260">
        <v>49</v>
      </c>
      <c r="B69" s="268" t="s">
        <v>341</v>
      </c>
      <c r="C69" s="260" t="s">
        <v>2</v>
      </c>
      <c r="D69" s="262">
        <f>2040.56*0.2</f>
        <v>408.11200000000002</v>
      </c>
      <c r="E69" s="263">
        <v>494</v>
      </c>
      <c r="F69" s="264">
        <f t="shared" si="40"/>
        <v>201607.33</v>
      </c>
      <c r="G69" s="264">
        <f t="shared" si="41"/>
        <v>241928.8</v>
      </c>
      <c r="H69" s="173"/>
    </row>
    <row r="70" spans="1:8" x14ac:dyDescent="0.25">
      <c r="A70" s="71"/>
      <c r="B70" s="232" t="s">
        <v>86</v>
      </c>
      <c r="C70" s="233"/>
      <c r="D70" s="233"/>
      <c r="E70" s="234"/>
      <c r="F70" s="64">
        <f>SUM(F5:F69)</f>
        <v>15057561.889999999</v>
      </c>
      <c r="G70" s="64">
        <f>SUM(G5:G69)</f>
        <v>18069074.27</v>
      </c>
    </row>
    <row r="71" spans="1:8" x14ac:dyDescent="0.25">
      <c r="A71" s="217" t="s">
        <v>87</v>
      </c>
      <c r="B71" s="218"/>
      <c r="C71" s="218"/>
      <c r="D71" s="218"/>
      <c r="E71" s="219"/>
      <c r="F71" s="98">
        <f>ROUND(F70*0.03,2)</f>
        <v>451726.86</v>
      </c>
      <c r="G71" s="98">
        <f>ROUND(G70*0.03,2)</f>
        <v>542072.23</v>
      </c>
      <c r="H71" s="195"/>
    </row>
    <row r="72" spans="1:8" x14ac:dyDescent="0.25">
      <c r="A72" s="217" t="s">
        <v>88</v>
      </c>
      <c r="B72" s="218"/>
      <c r="C72" s="218"/>
      <c r="D72" s="218"/>
      <c r="E72" s="219"/>
      <c r="F72" s="98">
        <f>F70+F71</f>
        <v>15509288.749999998</v>
      </c>
      <c r="G72" s="98">
        <f>G70+G71</f>
        <v>18611146.5</v>
      </c>
      <c r="H72" s="195"/>
    </row>
  </sheetData>
  <mergeCells count="9">
    <mergeCell ref="A72:E72"/>
    <mergeCell ref="B70:E70"/>
    <mergeCell ref="A71:E71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79998168889431442"/>
  </sheetPr>
  <dimension ref="A1:H37"/>
  <sheetViews>
    <sheetView view="pageBreakPreview" zoomScale="80" zoomScaleNormal="100" zoomScaleSheetLayoutView="80" workbookViewId="0">
      <selection activeCell="D13" sqref="D13"/>
    </sheetView>
  </sheetViews>
  <sheetFormatPr defaultRowHeight="15" x14ac:dyDescent="0.25"/>
  <cols>
    <col min="1" max="1" width="7.42578125" customWidth="1"/>
    <col min="2" max="2" width="65.42578125" customWidth="1"/>
    <col min="3" max="3" width="9.85546875" customWidth="1"/>
    <col min="4" max="4" width="10.42578125" customWidth="1"/>
    <col min="5" max="5" width="14.140625" bestFit="1" customWidth="1"/>
    <col min="6" max="6" width="17.42578125" customWidth="1"/>
    <col min="7" max="7" width="17.28515625" customWidth="1"/>
    <col min="8" max="8" width="8.85546875" style="97"/>
  </cols>
  <sheetData>
    <row r="1" spans="1:8" ht="19.5" customHeight="1" x14ac:dyDescent="0.25">
      <c r="A1" s="212" t="s">
        <v>13</v>
      </c>
      <c r="B1" s="242" t="s">
        <v>9</v>
      </c>
      <c r="C1" s="212" t="s">
        <v>83</v>
      </c>
      <c r="D1" s="212" t="s">
        <v>10</v>
      </c>
      <c r="E1" s="235" t="s">
        <v>524</v>
      </c>
      <c r="F1" s="235"/>
      <c r="G1" s="235"/>
    </row>
    <row r="2" spans="1:8" s="7" customFormat="1" ht="28.5" x14ac:dyDescent="0.25">
      <c r="A2" s="212"/>
      <c r="B2" s="242"/>
      <c r="C2" s="212"/>
      <c r="D2" s="212"/>
      <c r="E2" s="121" t="s">
        <v>82</v>
      </c>
      <c r="F2" s="119" t="s">
        <v>5</v>
      </c>
      <c r="G2" s="119" t="s">
        <v>6</v>
      </c>
      <c r="H2" s="193"/>
    </row>
    <row r="3" spans="1:8" ht="13.5" customHeight="1" x14ac:dyDescent="0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21.75" customHeight="1" x14ac:dyDescent="0.25">
      <c r="A4" s="60"/>
      <c r="B4" s="220" t="s">
        <v>312</v>
      </c>
      <c r="C4" s="231"/>
      <c r="D4" s="221"/>
      <c r="E4" s="62"/>
      <c r="F4" s="63"/>
      <c r="G4" s="51"/>
    </row>
    <row r="5" spans="1:8" ht="21.75" customHeight="1" x14ac:dyDescent="0.25">
      <c r="A5" s="27"/>
      <c r="B5" s="130" t="s">
        <v>313</v>
      </c>
      <c r="C5" s="125"/>
      <c r="D5" s="126"/>
      <c r="E5" s="35"/>
      <c r="F5" s="39"/>
      <c r="G5" s="39"/>
    </row>
    <row r="6" spans="1:8" ht="15.75" x14ac:dyDescent="0.25">
      <c r="A6" s="27">
        <v>1</v>
      </c>
      <c r="B6" s="103" t="s">
        <v>61</v>
      </c>
      <c r="C6" s="27" t="s">
        <v>3</v>
      </c>
      <c r="D6" s="190">
        <v>53</v>
      </c>
      <c r="E6" s="104">
        <v>35174</v>
      </c>
      <c r="F6" s="40">
        <f>ROUND(E6*D6,2)</f>
        <v>1864222</v>
      </c>
      <c r="G6" s="40">
        <f>ROUND(F6*1.2,2)</f>
        <v>2237066.4</v>
      </c>
    </row>
    <row r="7" spans="1:8" ht="30" x14ac:dyDescent="0.25">
      <c r="A7" s="27">
        <f>A6+1</f>
        <v>2</v>
      </c>
      <c r="B7" s="103" t="s">
        <v>62</v>
      </c>
      <c r="C7" s="27" t="s">
        <v>3</v>
      </c>
      <c r="D7" s="190">
        <v>53</v>
      </c>
      <c r="E7" s="104">
        <v>9020</v>
      </c>
      <c r="F7" s="40">
        <f t="shared" ref="F7:F9" si="0">ROUND(E7*D7,2)</f>
        <v>478060</v>
      </c>
      <c r="G7" s="40">
        <f t="shared" ref="G7:G9" si="1">ROUND(F7*1.2,2)</f>
        <v>573672</v>
      </c>
    </row>
    <row r="8" spans="1:8" ht="22.5" customHeight="1" x14ac:dyDescent="0.25">
      <c r="A8" s="27">
        <f>A7+1</f>
        <v>3</v>
      </c>
      <c r="B8" s="158" t="s">
        <v>63</v>
      </c>
      <c r="C8" s="27" t="s">
        <v>2</v>
      </c>
      <c r="D8" s="191">
        <v>5.63</v>
      </c>
      <c r="E8" s="104">
        <v>2950</v>
      </c>
      <c r="F8" s="40">
        <f t="shared" si="0"/>
        <v>16608.5</v>
      </c>
      <c r="G8" s="40">
        <f>ROUND(F8*1.2,2)</f>
        <v>19930.2</v>
      </c>
    </row>
    <row r="9" spans="1:8" ht="15.75" x14ac:dyDescent="0.25">
      <c r="A9" s="27">
        <f t="shared" ref="A9" si="2">A8+1</f>
        <v>4</v>
      </c>
      <c r="B9" s="153" t="s">
        <v>314</v>
      </c>
      <c r="C9" s="125" t="s">
        <v>3</v>
      </c>
      <c r="D9" s="190">
        <v>4</v>
      </c>
      <c r="E9" s="104">
        <v>1950</v>
      </c>
      <c r="F9" s="40">
        <f t="shared" si="0"/>
        <v>7800</v>
      </c>
      <c r="G9" s="40">
        <f t="shared" si="1"/>
        <v>9360</v>
      </c>
    </row>
    <row r="10" spans="1:8" ht="20.25" customHeight="1" x14ac:dyDescent="0.25">
      <c r="A10" s="27"/>
      <c r="B10" s="159" t="s">
        <v>193</v>
      </c>
      <c r="C10" s="27"/>
      <c r="D10" s="126"/>
      <c r="E10" s="104"/>
      <c r="F10" s="40"/>
      <c r="G10" s="40"/>
    </row>
    <row r="11" spans="1:8" ht="30" x14ac:dyDescent="0.25">
      <c r="A11" s="27">
        <f>A9+1</f>
        <v>5</v>
      </c>
      <c r="B11" s="103" t="s">
        <v>64</v>
      </c>
      <c r="C11" s="27" t="s">
        <v>17</v>
      </c>
      <c r="D11" s="192">
        <f>66.75*2.4</f>
        <v>160.19999999999999</v>
      </c>
      <c r="E11" s="104">
        <v>4120</v>
      </c>
      <c r="F11" s="40">
        <f t="shared" ref="F11:F15" si="3">ROUND(E11*D11,2)</f>
        <v>660024</v>
      </c>
      <c r="G11" s="40">
        <f t="shared" ref="G11:G15" si="4">ROUND(F11*1.2,2)</f>
        <v>792028.8</v>
      </c>
      <c r="H11" s="97" t="s">
        <v>530</v>
      </c>
    </row>
    <row r="12" spans="1:8" ht="30" x14ac:dyDescent="0.25">
      <c r="A12" s="27">
        <f>A11+1</f>
        <v>6</v>
      </c>
      <c r="B12" s="103" t="s">
        <v>65</v>
      </c>
      <c r="C12" s="27" t="s">
        <v>2</v>
      </c>
      <c r="D12" s="191">
        <v>112.14</v>
      </c>
      <c r="E12" s="104">
        <v>3200</v>
      </c>
      <c r="F12" s="40">
        <f t="shared" si="3"/>
        <v>358848</v>
      </c>
      <c r="G12" s="40">
        <f t="shared" si="4"/>
        <v>430617.59999999998</v>
      </c>
    </row>
    <row r="13" spans="1:8" ht="15.75" x14ac:dyDescent="0.25">
      <c r="A13" s="27">
        <f t="shared" ref="A13:A15" si="5">A12+1</f>
        <v>7</v>
      </c>
      <c r="B13" s="103" t="s">
        <v>66</v>
      </c>
      <c r="C13" s="27" t="s">
        <v>2</v>
      </c>
      <c r="D13" s="191">
        <v>210.26</v>
      </c>
      <c r="E13" s="104">
        <v>3400</v>
      </c>
      <c r="F13" s="40">
        <f t="shared" si="3"/>
        <v>714884</v>
      </c>
      <c r="G13" s="40">
        <f t="shared" si="4"/>
        <v>857860.8</v>
      </c>
    </row>
    <row r="14" spans="1:8" ht="15.75" x14ac:dyDescent="0.25">
      <c r="A14" s="27">
        <f t="shared" si="5"/>
        <v>8</v>
      </c>
      <c r="B14" s="103" t="s">
        <v>67</v>
      </c>
      <c r="C14" s="27" t="s">
        <v>2</v>
      </c>
      <c r="D14" s="191">
        <v>881.1</v>
      </c>
      <c r="E14" s="104">
        <v>1200</v>
      </c>
      <c r="F14" s="40">
        <f t="shared" si="3"/>
        <v>1057320</v>
      </c>
      <c r="G14" s="40">
        <f t="shared" si="4"/>
        <v>1268784</v>
      </c>
    </row>
    <row r="15" spans="1:8" ht="15.75" x14ac:dyDescent="0.25">
      <c r="A15" s="27">
        <f t="shared" si="5"/>
        <v>9</v>
      </c>
      <c r="B15" s="158" t="s">
        <v>211</v>
      </c>
      <c r="C15" s="27" t="s">
        <v>12</v>
      </c>
      <c r="D15" s="190">
        <v>476</v>
      </c>
      <c r="E15" s="104">
        <v>460</v>
      </c>
      <c r="F15" s="40">
        <f t="shared" si="3"/>
        <v>218960</v>
      </c>
      <c r="G15" s="40">
        <f t="shared" si="4"/>
        <v>262752</v>
      </c>
    </row>
    <row r="16" spans="1:8" ht="18.75" customHeight="1" x14ac:dyDescent="0.25">
      <c r="A16" s="27"/>
      <c r="B16" s="159" t="s">
        <v>201</v>
      </c>
      <c r="C16" s="27"/>
      <c r="D16" s="126"/>
      <c r="E16" s="104"/>
      <c r="F16" s="40"/>
      <c r="G16" s="40"/>
    </row>
    <row r="17" spans="1:7" ht="15.75" x14ac:dyDescent="0.25">
      <c r="A17" s="27">
        <f>A15+1</f>
        <v>10</v>
      </c>
      <c r="B17" s="103" t="s">
        <v>66</v>
      </c>
      <c r="C17" s="27" t="s">
        <v>2</v>
      </c>
      <c r="D17" s="191">
        <v>49.45</v>
      </c>
      <c r="E17" s="104">
        <v>3400</v>
      </c>
      <c r="F17" s="40">
        <f t="shared" ref="F17" si="6">ROUND(E17*D17,2)</f>
        <v>168130</v>
      </c>
      <c r="G17" s="40">
        <f t="shared" ref="G17" si="7">ROUND(F17*1.2,2)</f>
        <v>201756</v>
      </c>
    </row>
    <row r="18" spans="1:7" ht="21" customHeight="1" x14ac:dyDescent="0.25">
      <c r="A18" s="27"/>
      <c r="B18" s="136" t="s">
        <v>203</v>
      </c>
      <c r="C18" s="16"/>
      <c r="D18" s="18"/>
      <c r="E18" s="35"/>
      <c r="F18" s="39"/>
      <c r="G18" s="39"/>
    </row>
    <row r="19" spans="1:7" x14ac:dyDescent="0.25">
      <c r="A19" s="27">
        <f>A17+1</f>
        <v>11</v>
      </c>
      <c r="B19" s="103" t="s">
        <v>517</v>
      </c>
      <c r="C19" s="27" t="s">
        <v>12</v>
      </c>
      <c r="D19" s="179">
        <v>37</v>
      </c>
      <c r="E19" s="243">
        <v>1312500</v>
      </c>
      <c r="F19" s="246">
        <f>ROUND(E19*1,2)</f>
        <v>1312500</v>
      </c>
      <c r="G19" s="246">
        <f t="shared" ref="G19" si="8">ROUND(F19*1.2,2)</f>
        <v>1575000</v>
      </c>
    </row>
    <row r="20" spans="1:7" x14ac:dyDescent="0.25">
      <c r="A20" s="27">
        <f>A19+1</f>
        <v>12</v>
      </c>
      <c r="B20" s="103" t="s">
        <v>205</v>
      </c>
      <c r="C20" s="27" t="s">
        <v>12</v>
      </c>
      <c r="D20" s="179">
        <v>73</v>
      </c>
      <c r="E20" s="244"/>
      <c r="F20" s="247"/>
      <c r="G20" s="247"/>
    </row>
    <row r="21" spans="1:7" x14ac:dyDescent="0.25">
      <c r="A21" s="27">
        <f t="shared" ref="A21:A23" si="9">A20+1</f>
        <v>13</v>
      </c>
      <c r="B21" s="103" t="s">
        <v>206</v>
      </c>
      <c r="C21" s="27" t="s">
        <v>12</v>
      </c>
      <c r="D21" s="179">
        <v>73</v>
      </c>
      <c r="E21" s="244"/>
      <c r="F21" s="247"/>
      <c r="G21" s="247"/>
    </row>
    <row r="22" spans="1:7" x14ac:dyDescent="0.25">
      <c r="A22" s="27">
        <f t="shared" si="9"/>
        <v>14</v>
      </c>
      <c r="B22" s="103" t="s">
        <v>207</v>
      </c>
      <c r="C22" s="27" t="s">
        <v>12</v>
      </c>
      <c r="D22" s="179">
        <v>37</v>
      </c>
      <c r="E22" s="244"/>
      <c r="F22" s="247"/>
      <c r="G22" s="247"/>
    </row>
    <row r="23" spans="1:7" x14ac:dyDescent="0.25">
      <c r="A23" s="27">
        <f t="shared" si="9"/>
        <v>15</v>
      </c>
      <c r="B23" s="103" t="s">
        <v>208</v>
      </c>
      <c r="C23" s="27" t="s">
        <v>12</v>
      </c>
      <c r="D23" s="179">
        <v>2</v>
      </c>
      <c r="E23" s="245"/>
      <c r="F23" s="248"/>
      <c r="G23" s="248"/>
    </row>
    <row r="24" spans="1:7" ht="18.75" customHeight="1" x14ac:dyDescent="0.25">
      <c r="A24" s="27"/>
      <c r="B24" s="136" t="s">
        <v>209</v>
      </c>
      <c r="C24" s="16"/>
      <c r="D24" s="18"/>
      <c r="E24" s="35"/>
      <c r="F24" s="39"/>
      <c r="G24" s="39"/>
    </row>
    <row r="25" spans="1:7" x14ac:dyDescent="0.25">
      <c r="A25" s="27">
        <f>A23+1</f>
        <v>16</v>
      </c>
      <c r="B25" s="103" t="s">
        <v>20</v>
      </c>
      <c r="C25" s="106" t="s">
        <v>18</v>
      </c>
      <c r="D25" s="188">
        <v>2.8</v>
      </c>
      <c r="E25" s="104">
        <v>350</v>
      </c>
      <c r="F25" s="40">
        <f t="shared" ref="F25:F27" si="10">ROUND(E25*D25,2)</f>
        <v>980</v>
      </c>
      <c r="G25" s="40">
        <f t="shared" ref="G25:G27" si="11">ROUND(F25*1.2,2)</f>
        <v>1176</v>
      </c>
    </row>
    <row r="26" spans="1:7" x14ac:dyDescent="0.25">
      <c r="A26" s="27">
        <f>A25+1</f>
        <v>17</v>
      </c>
      <c r="B26" s="103" t="s">
        <v>21</v>
      </c>
      <c r="C26" s="106" t="s">
        <v>18</v>
      </c>
      <c r="D26" s="188">
        <v>2.2000000000000002</v>
      </c>
      <c r="E26" s="104">
        <v>740</v>
      </c>
      <c r="F26" s="40">
        <f t="shared" si="10"/>
        <v>1628</v>
      </c>
      <c r="G26" s="40">
        <f t="shared" si="11"/>
        <v>1953.6</v>
      </c>
    </row>
    <row r="27" spans="1:7" x14ac:dyDescent="0.25">
      <c r="A27" s="27">
        <f t="shared" ref="A27" si="12">A26+1</f>
        <v>18</v>
      </c>
      <c r="B27" s="103" t="s">
        <v>22</v>
      </c>
      <c r="C27" s="106" t="s">
        <v>18</v>
      </c>
      <c r="D27" s="188">
        <v>2.4</v>
      </c>
      <c r="E27" s="104">
        <v>423</v>
      </c>
      <c r="F27" s="40">
        <f t="shared" si="10"/>
        <v>1015.2</v>
      </c>
      <c r="G27" s="40">
        <f t="shared" si="11"/>
        <v>1218.24</v>
      </c>
    </row>
    <row r="28" spans="1:7" ht="20.25" customHeight="1" x14ac:dyDescent="0.25">
      <c r="A28" s="27"/>
      <c r="B28" s="159" t="s">
        <v>315</v>
      </c>
      <c r="C28" s="125"/>
      <c r="D28" s="126"/>
      <c r="E28" s="104"/>
      <c r="F28" s="40"/>
      <c r="G28" s="40"/>
    </row>
    <row r="29" spans="1:7" ht="31.5" x14ac:dyDescent="0.25">
      <c r="A29" s="27">
        <f>A27+1</f>
        <v>19</v>
      </c>
      <c r="B29" s="153" t="s">
        <v>316</v>
      </c>
      <c r="C29" s="125" t="s">
        <v>2</v>
      </c>
      <c r="D29" s="191">
        <v>27.45</v>
      </c>
      <c r="E29" s="104">
        <v>6400</v>
      </c>
      <c r="F29" s="40">
        <f t="shared" ref="F29:F30" si="13">ROUND(E29*D29,2)</f>
        <v>175680</v>
      </c>
      <c r="G29" s="40">
        <f t="shared" ref="G29:G30" si="14">ROUND(F29*1.2,2)</f>
        <v>210816</v>
      </c>
    </row>
    <row r="30" spans="1:7" ht="15.75" x14ac:dyDescent="0.25">
      <c r="A30" s="27">
        <f>A29+1</f>
        <v>20</v>
      </c>
      <c r="B30" s="103" t="s">
        <v>67</v>
      </c>
      <c r="C30" s="125" t="s">
        <v>2</v>
      </c>
      <c r="D30" s="191">
        <v>60.39</v>
      </c>
      <c r="E30" s="104">
        <v>1200</v>
      </c>
      <c r="F30" s="40">
        <f t="shared" si="13"/>
        <v>72468</v>
      </c>
      <c r="G30" s="40">
        <f t="shared" si="14"/>
        <v>86961.600000000006</v>
      </c>
    </row>
    <row r="31" spans="1:7" ht="28.5" x14ac:dyDescent="0.25">
      <c r="A31" s="27"/>
      <c r="B31" s="136" t="s">
        <v>317</v>
      </c>
      <c r="C31" s="125"/>
      <c r="D31" s="126"/>
      <c r="E31" s="35"/>
      <c r="F31" s="39"/>
      <c r="G31" s="39"/>
    </row>
    <row r="32" spans="1:7" ht="15.75" x14ac:dyDescent="0.25">
      <c r="A32" s="27">
        <f>A30+1</f>
        <v>21</v>
      </c>
      <c r="B32" s="123" t="s">
        <v>110</v>
      </c>
      <c r="C32" s="27" t="s">
        <v>12</v>
      </c>
      <c r="D32" s="190">
        <v>1</v>
      </c>
      <c r="E32" s="35">
        <v>3041.67</v>
      </c>
      <c r="F32" s="39">
        <f t="shared" ref="F32" si="15">ROUND(E32*D32,2)</f>
        <v>3041.67</v>
      </c>
      <c r="G32" s="39">
        <f t="shared" ref="G32" si="16">ROUND(F32*1.2,2)</f>
        <v>3650</v>
      </c>
    </row>
    <row r="33" spans="1:7" ht="23.25" customHeight="1" x14ac:dyDescent="0.25">
      <c r="A33" s="27"/>
      <c r="B33" s="136" t="s">
        <v>318</v>
      </c>
      <c r="C33" s="125"/>
      <c r="D33" s="126"/>
      <c r="E33" s="35"/>
      <c r="F33" s="39"/>
      <c r="G33" s="39"/>
    </row>
    <row r="34" spans="1:7" ht="15.75" x14ac:dyDescent="0.25">
      <c r="A34" s="27">
        <f>A32+1</f>
        <v>22</v>
      </c>
      <c r="B34" s="123" t="s">
        <v>24</v>
      </c>
      <c r="C34" s="27" t="s">
        <v>12</v>
      </c>
      <c r="D34" s="190">
        <v>1</v>
      </c>
      <c r="E34" s="35">
        <v>4916.67</v>
      </c>
      <c r="F34" s="39">
        <f t="shared" ref="F34" si="17">ROUND(E34*D34,2)</f>
        <v>4916.67</v>
      </c>
      <c r="G34" s="39">
        <f t="shared" ref="G34" si="18">ROUND(F34*1.2,2)</f>
        <v>5900</v>
      </c>
    </row>
    <row r="35" spans="1:7" ht="24" customHeight="1" x14ac:dyDescent="0.25">
      <c r="A35" s="27"/>
      <c r="B35" s="136" t="s">
        <v>319</v>
      </c>
      <c r="C35" s="125"/>
      <c r="D35" s="126"/>
      <c r="E35" s="35"/>
      <c r="F35" s="39"/>
      <c r="G35" s="39"/>
    </row>
    <row r="36" spans="1:7" ht="15.75" x14ac:dyDescent="0.25">
      <c r="A36" s="27">
        <f>A34+1</f>
        <v>23</v>
      </c>
      <c r="B36" s="123" t="s">
        <v>23</v>
      </c>
      <c r="C36" s="27" t="s">
        <v>12</v>
      </c>
      <c r="D36" s="190">
        <v>1</v>
      </c>
      <c r="E36" s="35">
        <v>3541.666666666667</v>
      </c>
      <c r="F36" s="39">
        <f t="shared" ref="F36" si="19">ROUND(E36*D36,2)</f>
        <v>3541.67</v>
      </c>
      <c r="G36" s="39">
        <f t="shared" ref="G36" si="20">ROUND(F36*1.2,2)</f>
        <v>4250</v>
      </c>
    </row>
    <row r="37" spans="1:7" x14ac:dyDescent="0.25">
      <c r="A37" s="65"/>
      <c r="B37" s="238" t="s">
        <v>86</v>
      </c>
      <c r="C37" s="239"/>
      <c r="D37" s="239"/>
      <c r="E37" s="240"/>
      <c r="F37" s="64">
        <f>SUM(F6:F36)</f>
        <v>7120627.71</v>
      </c>
      <c r="G37" s="64">
        <f>SUM(G6:G36)</f>
        <v>8544753.2400000002</v>
      </c>
    </row>
  </sheetData>
  <mergeCells count="10">
    <mergeCell ref="B37:E37"/>
    <mergeCell ref="A1:A2"/>
    <mergeCell ref="B1:B2"/>
    <mergeCell ref="C1:C2"/>
    <mergeCell ref="D1:D2"/>
    <mergeCell ref="E1:G1"/>
    <mergeCell ref="B4:D4"/>
    <mergeCell ref="E19:E23"/>
    <mergeCell ref="F19:F23"/>
    <mergeCell ref="G19:G2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Свод 217</vt:lpstr>
      <vt:lpstr>СМР ПЖ+</vt:lpstr>
      <vt:lpstr>мат ПЖ+</vt:lpstr>
      <vt:lpstr>СМР НВК-</vt:lpstr>
      <vt:lpstr>мат НВК+</vt:lpstr>
      <vt:lpstr>СМР ЭС+</vt:lpstr>
      <vt:lpstr>мат ЭС+ </vt:lpstr>
      <vt:lpstr>СМР ГП-</vt:lpstr>
      <vt:lpstr>мат ГП-</vt:lpstr>
      <vt:lpstr>СМР КС</vt:lpstr>
      <vt:lpstr>мат КС  </vt:lpstr>
      <vt:lpstr>СМР АС-</vt:lpstr>
      <vt:lpstr>мат АС-</vt:lpstr>
      <vt:lpstr>СМР трнсбрдр-</vt:lpstr>
      <vt:lpstr>мат трнсбрдр-</vt:lpstr>
      <vt:lpstr>'мат АС-'!Область_печати</vt:lpstr>
      <vt:lpstr>'мат ГП-'!Область_печати</vt:lpstr>
      <vt:lpstr>'мат КС  '!Область_печати</vt:lpstr>
      <vt:lpstr>'мат НВК+'!Область_печати</vt:lpstr>
      <vt:lpstr>'мат ПЖ+'!Область_печати</vt:lpstr>
      <vt:lpstr>'мат трнсбрдр-'!Область_печати</vt:lpstr>
      <vt:lpstr>'мат ЭС+ '!Область_печати</vt:lpstr>
      <vt:lpstr>'Свод 217'!Область_печати</vt:lpstr>
      <vt:lpstr>'СМР АС-'!Область_печати</vt:lpstr>
      <vt:lpstr>'СМР ГП-'!Область_печати</vt:lpstr>
      <vt:lpstr>'СМР КС'!Область_печати</vt:lpstr>
      <vt:lpstr>'СМР НВК-'!Область_печати</vt:lpstr>
      <vt:lpstr>'СМР ПЖ+'!Область_печати</vt:lpstr>
      <vt:lpstr>'СМР трнсбрдр-'!Область_печати</vt:lpstr>
      <vt:lpstr>'СМР ЭС+'!Область_печати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Work55</cp:lastModifiedBy>
  <cp:lastPrinted>2023-08-23T08:23:11Z</cp:lastPrinted>
  <dcterms:created xsi:type="dcterms:W3CDTF">2023-03-21T11:58:40Z</dcterms:created>
  <dcterms:modified xsi:type="dcterms:W3CDTF">2023-09-06T16:55:27Z</dcterms:modified>
</cp:coreProperties>
</file>