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Аналитика\"/>
    </mc:Choice>
  </mc:AlternateContent>
  <xr:revisionPtr revIDLastSave="0" documentId="13_ncr:1_{1C8534BD-813E-4781-A969-B02E82421BF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index" sheetId="1" r:id="rId1"/>
    <sheet name="1" sheetId="2" r:id="rId2"/>
    <sheet name="2" sheetId="3" r:id="rId3"/>
    <sheet name="3" sheetId="4" r:id="rId4"/>
    <sheet name="4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4" hidden="1">'4'!$C$1:$C$536</definedName>
    <definedName name="Excel_BuiltIn__FilterDatabase_4" localSheetId="4">#REF!</definedName>
    <definedName name="Excel_BuiltIn__FilterDatabase_4">#REF!</definedName>
    <definedName name="Excel_BuiltIn_Print_Area" localSheetId="4">#REF!</definedName>
    <definedName name="Excel_BuiltIn_Print_Area">#REF!</definedName>
    <definedName name="Excel_BuiltIn_Print_Area_1" localSheetId="4">#REF!</definedName>
    <definedName name="Excel_BuiltIn_Print_Area_1">#REF!</definedName>
    <definedName name="Excel_BuiltIn_Print_Area_13" localSheetId="4">#REF!</definedName>
    <definedName name="Excel_BuiltIn_Print_Area_13">#REF!</definedName>
    <definedName name="Excel_BuiltIn_Print_Area_2" localSheetId="4">#REF!</definedName>
    <definedName name="Excel_BuiltIn_Print_Area_2">#REF!</definedName>
    <definedName name="Excel_BuiltIn_Print_Area_3" localSheetId="4">#REF!</definedName>
    <definedName name="Excel_BuiltIn_Print_Area_3">#REF!</definedName>
    <definedName name="Excel_BuiltIn_Print_Area_4" localSheetId="4">#REF!</definedName>
    <definedName name="Excel_BuiltIn_Print_Area_4">#REF!</definedName>
    <definedName name="Excel_BuiltIn_Print_Area_5" localSheetId="4">#REF!</definedName>
    <definedName name="Excel_BuiltIn_Print_Area_5">#REF!</definedName>
    <definedName name="Excel_BuiltIn_Print_Area_6" localSheetId="4">#REF!</definedName>
    <definedName name="Excel_BuiltIn_Print_Area_6">#REF!</definedName>
    <definedName name="Excel_BuiltIn_Print_Area_7" localSheetId="4">#REF!</definedName>
    <definedName name="Excel_BuiltIn_Print_Area_7">#REF!</definedName>
    <definedName name="Excel_BuiltIn_Print_Area_8" localSheetId="4">#REF!</definedName>
    <definedName name="Excel_BuiltIn_Print_Area_8">#REF!</definedName>
    <definedName name="Excel_BuiltIn_Print_Titles" localSheetId="4">#REF!</definedName>
    <definedName name="Excel_BuiltIn_Print_Titles">#REF!</definedName>
    <definedName name="Fuck" localSheetId="4">#REF!</definedName>
    <definedName name="Fuck">#REF!</definedName>
    <definedName name="k">'[1]Текущие показатели'!$A$2</definedName>
    <definedName name="VES" localSheetId="4">#REF!</definedName>
    <definedName name="VES">#REF!</definedName>
    <definedName name="Z_32BE0561_3E43_11D1_AA21_0080C83F6713_.wvu.FilterData" localSheetId="4" hidden="1">#REF!</definedName>
    <definedName name="Z_32BE0561_3E43_11D1_AA21_0080C83F6713_.wvu.FilterData" hidden="1">#REF!</definedName>
    <definedName name="Z_32BE0561_3E43_11D1_AA21_0080C83F6713_.wvu.Rows" localSheetId="4" hidden="1">#REF!</definedName>
    <definedName name="Z_32BE0561_3E43_11D1_AA21_0080C83F6713_.wvu.Rows" hidden="1">#REF!</definedName>
    <definedName name="Z_361DAB21_3E43_11D1_9921_000021579852_.wvu.FilterData" localSheetId="4" hidden="1">#REF!</definedName>
    <definedName name="Z_361DAB21_3E43_11D1_9921_000021579852_.wvu.FilterData" hidden="1">#REF!</definedName>
    <definedName name="Z_6DAEFF01_3E3C_11D1_9921_000021579852_.wvu.FilterData" localSheetId="4" hidden="1">#REF!</definedName>
    <definedName name="Z_6DAEFF01_3E3C_11D1_9921_000021579852_.wvu.FilterData" hidden="1">#REF!</definedName>
    <definedName name="Z_6DAEFF01_3E3C_11D1_9921_000021579852_.wvu.Rows" localSheetId="4" hidden="1">#REF!</definedName>
    <definedName name="Z_6DAEFF01_3E3C_11D1_9921_000021579852_.wvu.Rows" hidden="1">#REF!</definedName>
    <definedName name="Z_7F3F38C1_B38F_11D1_B73A_0080C83F5DB9_.wvu.FilterData" localSheetId="4" hidden="1">#REF!</definedName>
    <definedName name="Z_7F3F38C1_B38F_11D1_B73A_0080C83F5DB9_.wvu.FilterData" hidden="1">#REF!</definedName>
    <definedName name="_xlnm.Database" localSheetId="4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4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4">[5]Кабель!#REF!</definedName>
    <definedName name="Дост_Кавказ">[5]Кабель!#REF!</definedName>
    <definedName name="Дост_Промсервис">[5]Кабель!$BR$9</definedName>
    <definedName name="Доставка_Алюр" localSheetId="4">#REF!</definedName>
    <definedName name="Доставка_Алюр">#REF!</definedName>
    <definedName name="доставка_андромеда" localSheetId="4">#REF!</definedName>
    <definedName name="доставка_андромеда">#REF!</definedName>
    <definedName name="доставка_ВИМкабель" localSheetId="4">#REF!</definedName>
    <definedName name="доставка_ВИМкабель">#REF!</definedName>
    <definedName name="Доставка_Дилявер" localSheetId="4">#REF!</definedName>
    <definedName name="Доставка_Дилявер">#REF!</definedName>
    <definedName name="доставка_кавказ" localSheetId="4">#REF!</definedName>
    <definedName name="доставка_кавказ">#REF!</definedName>
    <definedName name="_xlnm.Print_Titles" localSheetId="4">'4'!$1:$1</definedName>
    <definedName name="заказчики">[3]база!$A$1:$A$65536</definedName>
    <definedName name="Заключение">[6]Списки!$I$2:$I$4</definedName>
    <definedName name="к1" localSheetId="4">#REF!</definedName>
    <definedName name="к1">#REF!</definedName>
    <definedName name="к2" localSheetId="4">#REF!</definedName>
    <definedName name="к2">#REF!</definedName>
    <definedName name="к3" localSheetId="4">#REF!</definedName>
    <definedName name="к3">#REF!</definedName>
    <definedName name="Код_1" localSheetId="4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4">#REF!</definedName>
    <definedName name="Конец">#REF!</definedName>
    <definedName name="конкр150" localSheetId="4">'[2]исх дан'!#REF!</definedName>
    <definedName name="конкр150">'[2]исх дан'!#REF!</definedName>
    <definedName name="конкр230" localSheetId="4">'[2]исх дан'!#REF!</definedName>
    <definedName name="конкр230">'[2]исх дан'!#REF!</definedName>
    <definedName name="конкр240" localSheetId="4">'[2]исх дан'!#REF!</definedName>
    <definedName name="конкр240">'[2]исх дан'!#REF!</definedName>
    <definedName name="КОНТРОЛЬНИК" localSheetId="4">'[2]исх дан'!#REF!</definedName>
    <definedName name="КОНТРОЛЬНИК">'[2]исх дан'!#REF!</definedName>
    <definedName name="Копилка_объем" localSheetId="4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4">#REF!</definedName>
    <definedName name="_xlnm.Criteria">#REF!</definedName>
    <definedName name="КУРС" localSheetId="4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4">#REF!</definedName>
    <definedName name="левон_опт">#REF!</definedName>
    <definedName name="левон_розн" localSheetId="4">#REF!</definedName>
    <definedName name="левон_розн">#REF!</definedName>
    <definedName name="лист1" localSheetId="4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4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4">#REF!,#REF!</definedName>
    <definedName name="лист10">#REF!,#REF!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4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4">#REF!,#REF!,#REF!,#REF!,#REF!,#REF!</definedName>
    <definedName name="лист3">#REF!,#REF!,#REF!,#REF!,#REF!,#REF!</definedName>
    <definedName name="лист3_txt" localSheetId="4">#REF!,#REF!,#REF!,#REF!</definedName>
    <definedName name="лист3_txt">#REF!,#REF!,#REF!,#REF!</definedName>
    <definedName name="лист4" localSheetId="4">#REF!,#REF!,#REF!,#REF!,#REF!,#REF!</definedName>
    <definedName name="лист4">#REF!,#REF!,#REF!,#REF!,#REF!,#REF!</definedName>
    <definedName name="лист4_txt" localSheetId="4">#REF!,#REF!,#REF!,#REF!</definedName>
    <definedName name="лист4_txt">#REF!,#REF!,#REF!,#REF!</definedName>
    <definedName name="лист8" localSheetId="4">#REF!,#REF!</definedName>
    <definedName name="лист8">#REF!,#REF!</definedName>
    <definedName name="ЛУКИ" localSheetId="4">#REF!</definedName>
    <definedName name="ЛУКИ">#REF!</definedName>
    <definedName name="ЛУКИ_МЕДЬ" localSheetId="4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4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4">#REF!</definedName>
    <definedName name="нац_након">#REF!</definedName>
    <definedName name="НАЦ_НЕГОРЮЧ" localSheetId="4">#REF!</definedName>
    <definedName name="НАЦ_НЕГОРЮЧ">#REF!</definedName>
    <definedName name="НАЦ_ОПТ" localSheetId="4">'[2]исх дан'!#REF!</definedName>
    <definedName name="НАЦ_ОПТ">'[2]исх дан'!#REF!</definedName>
    <definedName name="НАЦ_ОПТ_КОЛЬЧ" localSheetId="4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4">#REF!</definedName>
    <definedName name="НАЦ_ТУРЦ_ОПТ">#REF!</definedName>
    <definedName name="НАЦ_ТУРЦ_РОЗН" localSheetId="4">#REF!</definedName>
    <definedName name="НАЦ_ТУРЦ_РОЗН">#REF!</definedName>
    <definedName name="НАЦЕНКА" localSheetId="4">'[2]исх дан'!#REF!</definedName>
    <definedName name="НАЦЕНКА">'[2]исх дан'!#REF!</definedName>
    <definedName name="НАЦЕНКА_150" localSheetId="4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4">#REF!,#REF!</definedName>
    <definedName name="ООС">#REF!,#REF!</definedName>
    <definedName name="от_БИРЖЕВОГО" localSheetId="4">'[2]исх дан'!#REF!</definedName>
    <definedName name="от_БИРЖЕВОГО">'[2]исх дан'!#REF!</definedName>
    <definedName name="ПВ" localSheetId="4">'[2]исх дан'!#REF!</definedName>
    <definedName name="ПВ">'[2]исх дан'!#REF!</definedName>
    <definedName name="ПВС_ОПТ" localSheetId="4">'[2]исх дан'!#REF!</definedName>
    <definedName name="ПВС_ОПТ">'[2]исх дан'!#REF!</definedName>
    <definedName name="ПВС_РОЗН">[10]ПРОЦЕНТЫ!$AQ$7</definedName>
    <definedName name="пр" localSheetId="4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4">#REF!</definedName>
    <definedName name="Расход_меди_кг_км_с_отходами">#REF!</definedName>
    <definedName name="рома1" localSheetId="4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4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4">#REF!,#REF!</definedName>
    <definedName name="текст10">#REF!,#REF!</definedName>
    <definedName name="текст11" localSheetId="4">#REF!,#REF!</definedName>
    <definedName name="текст11">#REF!,#REF!</definedName>
    <definedName name="текст12" localSheetId="4">#REF!,#REF!</definedName>
    <definedName name="текст12">#REF!,#REF!</definedName>
    <definedName name="текст2" localSheetId="4">[5]Кабель!$A$137:$A$419,#REF!</definedName>
    <definedName name="текст2">[5]Кабель!$A$137:$A$419,#REF!</definedName>
    <definedName name="текст3" localSheetId="4">#REF!,#REF!</definedName>
    <definedName name="текст3">#REF!,#REF!</definedName>
    <definedName name="текст4" localSheetId="4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4">[7]Электрика!$A$32:$B$129,[7]Электрика!#REF!</definedName>
    <definedName name="текст6">[7]Электрика!$A$32:$B$129,[7]Электрика!#REF!</definedName>
    <definedName name="текст7" localSheetId="4">#REF!,#REF!</definedName>
    <definedName name="текст7">#REF!,#REF!</definedName>
    <definedName name="текст8" localSheetId="4">#REF!,#REF!</definedName>
    <definedName name="текст8">#REF!,#REF!</definedName>
    <definedName name="текст9" localSheetId="4">#REF!,#REF!</definedName>
    <definedName name="текст9">#REF!,#REF!</definedName>
    <definedName name="Титул00" localSheetId="4">#REF!</definedName>
    <definedName name="Титул00">#REF!</definedName>
    <definedName name="Титул01" localSheetId="4">#REF!,#REF!</definedName>
    <definedName name="Титул01">#REF!,#REF!</definedName>
    <definedName name="Титул02" localSheetId="4">#REF!,#REF!</definedName>
    <definedName name="Титул02">#REF!,#REF!</definedName>
    <definedName name="Титул03" localSheetId="4">#REF!,#REF!</definedName>
    <definedName name="Титул03">#REF!,#REF!</definedName>
    <definedName name="Титул04" localSheetId="4">#REF!,#REF!</definedName>
    <definedName name="Титул04">#REF!,#REF!</definedName>
    <definedName name="Титул05" localSheetId="4">#REF!,#REF!</definedName>
    <definedName name="Титул05">#REF!,#REF!</definedName>
    <definedName name="Титул06" localSheetId="4">#REF!</definedName>
    <definedName name="Титул06">#REF!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3" i="7" l="1"/>
  <c r="R84" i="7"/>
  <c r="R85" i="7" s="1"/>
  <c r="R86" i="7" s="1"/>
  <c r="P65" i="7"/>
  <c r="P66" i="7" s="1"/>
  <c r="P67" i="7" s="1"/>
  <c r="O65" i="7"/>
  <c r="O66" i="7" s="1"/>
  <c r="O67" i="7" s="1"/>
  <c r="P64" i="7"/>
  <c r="O64" i="7"/>
  <c r="G64" i="7"/>
  <c r="G65" i="7" s="1"/>
  <c r="G66" i="7" s="1"/>
  <c r="G67" i="7" s="1"/>
  <c r="I63" i="7"/>
  <c r="F63" i="7"/>
  <c r="J63" i="7" s="1"/>
  <c r="K63" i="7" s="1"/>
  <c r="J62" i="7"/>
  <c r="K62" i="7" s="1"/>
  <c r="I62" i="7"/>
  <c r="F62" i="7"/>
  <c r="I61" i="7"/>
  <c r="F61" i="7"/>
  <c r="J61" i="7" s="1"/>
  <c r="K61" i="7" s="1"/>
  <c r="I60" i="7"/>
  <c r="F60" i="7"/>
  <c r="J60" i="7" s="1"/>
  <c r="K60" i="7" s="1"/>
  <c r="I59" i="7"/>
  <c r="F59" i="7"/>
  <c r="J59" i="7" s="1"/>
  <c r="K59" i="7" s="1"/>
  <c r="J58" i="7"/>
  <c r="K58" i="7" s="1"/>
  <c r="I58" i="7"/>
  <c r="F58" i="7"/>
  <c r="I57" i="7"/>
  <c r="F57" i="7"/>
  <c r="J57" i="7" s="1"/>
  <c r="K57" i="7" s="1"/>
  <c r="I56" i="7"/>
  <c r="F56" i="7"/>
  <c r="J56" i="7" s="1"/>
  <c r="K56" i="7" s="1"/>
  <c r="I55" i="7"/>
  <c r="F55" i="7"/>
  <c r="J55" i="7" s="1"/>
  <c r="K55" i="7" s="1"/>
  <c r="J54" i="7"/>
  <c r="K54" i="7" s="1"/>
  <c r="I54" i="7"/>
  <c r="F54" i="7"/>
  <c r="I53" i="7"/>
  <c r="F53" i="7"/>
  <c r="J53" i="7" s="1"/>
  <c r="K53" i="7" s="1"/>
  <c r="I52" i="7"/>
  <c r="F52" i="7"/>
  <c r="J52" i="7" s="1"/>
  <c r="K52" i="7" s="1"/>
  <c r="I51" i="7"/>
  <c r="F51" i="7"/>
  <c r="J51" i="7" s="1"/>
  <c r="K51" i="7" s="1"/>
  <c r="J50" i="7"/>
  <c r="K50" i="7" s="1"/>
  <c r="I50" i="7"/>
  <c r="F50" i="7"/>
  <c r="I49" i="7"/>
  <c r="F49" i="7"/>
  <c r="J49" i="7" s="1"/>
  <c r="K49" i="7" s="1"/>
  <c r="I47" i="7"/>
  <c r="F47" i="7"/>
  <c r="J47" i="7" s="1"/>
  <c r="K47" i="7" s="1"/>
  <c r="I46" i="7"/>
  <c r="F46" i="7"/>
  <c r="J46" i="7" s="1"/>
  <c r="K46" i="7" s="1"/>
  <c r="J45" i="7"/>
  <c r="K45" i="7" s="1"/>
  <c r="I45" i="7"/>
  <c r="F45" i="7"/>
  <c r="I44" i="7"/>
  <c r="F44" i="7"/>
  <c r="J44" i="7" s="1"/>
  <c r="K44" i="7" s="1"/>
  <c r="I43" i="7"/>
  <c r="F43" i="7"/>
  <c r="J43" i="7" s="1"/>
  <c r="K43" i="7" s="1"/>
  <c r="I42" i="7"/>
  <c r="F42" i="7"/>
  <c r="J42" i="7" s="1"/>
  <c r="K42" i="7" s="1"/>
  <c r="J41" i="7"/>
  <c r="K41" i="7" s="1"/>
  <c r="I41" i="7"/>
  <c r="F41" i="7"/>
  <c r="I40" i="7"/>
  <c r="F40" i="7"/>
  <c r="J40" i="7" s="1"/>
  <c r="K40" i="7" s="1"/>
  <c r="I39" i="7"/>
  <c r="F39" i="7"/>
  <c r="J39" i="7" s="1"/>
  <c r="K39" i="7" s="1"/>
  <c r="I38" i="7"/>
  <c r="F38" i="7"/>
  <c r="J38" i="7" s="1"/>
  <c r="K38" i="7" s="1"/>
  <c r="J37" i="7"/>
  <c r="K37" i="7" s="1"/>
  <c r="I37" i="7"/>
  <c r="F37" i="7"/>
  <c r="I36" i="7"/>
  <c r="H36" i="7"/>
  <c r="F36" i="7"/>
  <c r="J36" i="7" s="1"/>
  <c r="K36" i="7" s="1"/>
  <c r="H35" i="7"/>
  <c r="I35" i="7" s="1"/>
  <c r="F35" i="7"/>
  <c r="J35" i="7" s="1"/>
  <c r="K35" i="7" s="1"/>
  <c r="H34" i="7"/>
  <c r="I34" i="7" s="1"/>
  <c r="J34" i="7" s="1"/>
  <c r="K34" i="7" s="1"/>
  <c r="F34" i="7"/>
  <c r="F33" i="7"/>
  <c r="H32" i="7"/>
  <c r="I32" i="7" s="1"/>
  <c r="F32" i="7"/>
  <c r="J32" i="7" s="1"/>
  <c r="K32" i="7" s="1"/>
  <c r="I31" i="7"/>
  <c r="F31" i="7"/>
  <c r="J31" i="7" s="1"/>
  <c r="K31" i="7" s="1"/>
  <c r="K30" i="7"/>
  <c r="J30" i="7"/>
  <c r="H30" i="7"/>
  <c r="F30" i="7"/>
  <c r="I29" i="7"/>
  <c r="F29" i="7"/>
  <c r="J29" i="7" s="1"/>
  <c r="K29" i="7" s="1"/>
  <c r="I28" i="7"/>
  <c r="F28" i="7"/>
  <c r="J28" i="7" s="1"/>
  <c r="K28" i="7" s="1"/>
  <c r="I27" i="7"/>
  <c r="F27" i="7"/>
  <c r="J27" i="7" s="1"/>
  <c r="K27" i="7" s="1"/>
  <c r="I26" i="7"/>
  <c r="J26" i="7" s="1"/>
  <c r="K26" i="7" s="1"/>
  <c r="F26" i="7"/>
  <c r="I25" i="7"/>
  <c r="F25" i="7"/>
  <c r="J25" i="7" s="1"/>
  <c r="K25" i="7" s="1"/>
  <c r="I24" i="7"/>
  <c r="F24" i="7"/>
  <c r="J24" i="7" s="1"/>
  <c r="K24" i="7" s="1"/>
  <c r="H23" i="7"/>
  <c r="I23" i="7" s="1"/>
  <c r="F23" i="7"/>
  <c r="J23" i="7" s="1"/>
  <c r="K23" i="7" s="1"/>
  <c r="F21" i="7"/>
  <c r="H20" i="7"/>
  <c r="I20" i="7" s="1"/>
  <c r="F20" i="7"/>
  <c r="J20" i="7" s="1"/>
  <c r="K20" i="7" s="1"/>
  <c r="J19" i="7"/>
  <c r="K19" i="7" s="1"/>
  <c r="H18" i="7"/>
  <c r="I18" i="7" s="1"/>
  <c r="J18" i="7" s="1"/>
  <c r="K18" i="7" s="1"/>
  <c r="F18" i="7"/>
  <c r="H17" i="7"/>
  <c r="I17" i="7" s="1"/>
  <c r="F17" i="7"/>
  <c r="J17" i="7" s="1"/>
  <c r="K17" i="7" s="1"/>
  <c r="I16" i="7"/>
  <c r="H16" i="7"/>
  <c r="F16" i="7"/>
  <c r="J16" i="7" s="1"/>
  <c r="K16" i="7" s="1"/>
  <c r="I15" i="7"/>
  <c r="F15" i="7"/>
  <c r="J15" i="7" s="1"/>
  <c r="K15" i="7" s="1"/>
  <c r="I13" i="7"/>
  <c r="J13" i="7" s="1"/>
  <c r="K13" i="7" s="1"/>
  <c r="F13" i="7"/>
  <c r="H12" i="7"/>
  <c r="I12" i="7" s="1"/>
  <c r="F12" i="7"/>
  <c r="J12" i="7" s="1"/>
  <c r="K12" i="7" s="1"/>
  <c r="H11" i="7"/>
  <c r="I11" i="7" s="1"/>
  <c r="F11" i="7"/>
  <c r="J11" i="7" s="1"/>
  <c r="K11" i="7" s="1"/>
  <c r="I10" i="7"/>
  <c r="J10" i="7" s="1"/>
  <c r="K10" i="7" s="1"/>
  <c r="F10" i="7"/>
  <c r="F9" i="7"/>
  <c r="J9" i="7" s="1"/>
  <c r="K9" i="7" s="1"/>
  <c r="H8" i="7"/>
  <c r="I8" i="7" s="1"/>
  <c r="F8" i="7"/>
  <c r="J8" i="7" s="1"/>
  <c r="K8" i="7" s="1"/>
  <c r="R64" i="7" s="1"/>
  <c r="R65" i="7" s="1"/>
  <c r="R66" i="7" s="1"/>
  <c r="R67" i="7" s="1"/>
  <c r="I7" i="7"/>
  <c r="J7" i="7" s="1"/>
  <c r="K7" i="7" s="1"/>
  <c r="H7" i="7"/>
  <c r="F7" i="7"/>
  <c r="H6" i="7"/>
  <c r="F6" i="7"/>
  <c r="I5" i="7"/>
  <c r="H5" i="7"/>
  <c r="F5" i="7"/>
  <c r="J5" i="7" s="1"/>
  <c r="K5" i="7" s="1"/>
  <c r="F4" i="7"/>
  <c r="X4" i="3"/>
  <c r="Z4" i="3" s="1"/>
  <c r="AV3" i="2"/>
  <c r="AT4" i="2"/>
  <c r="AV4" i="2"/>
  <c r="Z3" i="3"/>
  <c r="R87" i="7" l="1"/>
  <c r="R88" i="7" s="1"/>
  <c r="G68" i="7"/>
  <c r="G69" i="7" s="1"/>
  <c r="P68" i="7"/>
  <c r="P69" i="7" s="1"/>
  <c r="R68" i="7"/>
  <c r="R69" i="7" s="1"/>
  <c r="O68" i="7"/>
  <c r="O69" i="7" s="1"/>
  <c r="I6" i="7"/>
  <c r="H4" i="7" s="1"/>
  <c r="H9" i="7"/>
  <c r="H33" i="7"/>
  <c r="I33" i="7" s="1"/>
  <c r="J33" i="7" s="1"/>
  <c r="K33" i="7" s="1"/>
  <c r="H21" i="7"/>
  <c r="I21" i="7" s="1"/>
  <c r="J21" i="7" s="1"/>
  <c r="K21" i="7" s="1"/>
  <c r="Z5" i="3"/>
  <c r="Z6" i="3" s="1"/>
  <c r="Z7" i="3" s="1"/>
  <c r="Z8" i="3" s="1"/>
  <c r="Z9" i="3" s="1"/>
  <c r="Z10" i="3" s="1"/>
  <c r="AV5" i="2"/>
  <c r="AV6" i="2" s="1"/>
  <c r="AV7" i="2" s="1"/>
  <c r="AV8" i="2" s="1"/>
  <c r="AV9" i="2" s="1"/>
  <c r="AV10" i="2" s="1"/>
  <c r="I4" i="7" l="1"/>
  <c r="J4" i="7" s="1"/>
  <c r="J6" i="7"/>
  <c r="K6" i="7" s="1"/>
  <c r="J64" i="7" l="1"/>
  <c r="J65" i="7" s="1"/>
  <c r="J66" i="7" s="1"/>
  <c r="J67" i="7" s="1"/>
  <c r="Q64" i="7"/>
  <c r="Q65" i="7" s="1"/>
  <c r="Q66" i="7" s="1"/>
  <c r="Q67" i="7" s="1"/>
  <c r="K4" i="7"/>
  <c r="K64" i="7" s="1"/>
  <c r="K65" i="7" s="1"/>
  <c r="K66" i="7" s="1"/>
  <c r="K67" i="7" s="1"/>
  <c r="K68" i="7" l="1"/>
  <c r="K69" i="7" s="1"/>
  <c r="Q68" i="7"/>
  <c r="Q69" i="7" s="1"/>
  <c r="J68" i="7"/>
  <c r="J69" i="7" s="1"/>
</calcChain>
</file>

<file path=xl/sharedStrings.xml><?xml version="1.0" encoding="utf-8"?>
<sst xmlns="http://schemas.openxmlformats.org/spreadsheetml/2006/main" count="294" uniqueCount="216">
  <si>
    <t>№</t>
  </si>
  <si>
    <t>Шифр РД</t>
  </si>
  <si>
    <t>Проблематика</t>
  </si>
  <si>
    <t>ГП1</t>
  </si>
  <si>
    <t>В сентябре Сергийко подписан акт на утилизацию грунта с трансбордера в объеме 2822,3м3, по картограмме выемка грунта 1954м3, остальное считали с учетом Кф разрыхления. Дураев готов пропустить только 2000м3(надо схему скорректировать), 822м3 выпадает, Кф так и не был согласован с Проминжиниринг.</t>
  </si>
  <si>
    <t>АС1</t>
  </si>
  <si>
    <t>ЭС2 (допработы)</t>
  </si>
  <si>
    <t>Прокладка 2КЛ под тупиками 32,34,36. Дураев не пропускает это как допработы, считает что это наш косяк-порванные кабели, т.к. они были указаны а геоподосове, без команды сверху рассматривать этот участок не будет.</t>
  </si>
  <si>
    <t>По ИД от Электроэнергетики объем разработки составляет 1481м3(возможно ошибка, Гецину отправил, пересчитывают), Дураев подтверждает только объем 1090м3(как по РД), если ЭЭ подтвердит 1481м3 остаток 391м3 выпадет.</t>
  </si>
  <si>
    <t>В КС закрыт объем 1109м3 (100% сметы), остальной объем нужно оформлять доп/соглашение.</t>
  </si>
  <si>
    <t>В КС закрыт объем 1090м3 (100% сметы), жду от ЭЭ подтверждение или корректировку объема, возможно вопрос отпадет.</t>
  </si>
  <si>
    <t>Комментарий</t>
  </si>
  <si>
    <t>Комментарий-2 (примерно в деньгах)</t>
  </si>
  <si>
    <t>7</t>
  </si>
  <si>
    <t>1</t>
  </si>
  <si>
    <t>6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</si>
  <si>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</si>
  <si>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</si>
  <si>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2</t>
  </si>
  <si>
    <t>3</t>
  </si>
  <si>
    <t>4</t>
  </si>
  <si>
    <t>ФЕР01-02-057-02</t>
  </si>
  <si>
    <t>100 м3</t>
  </si>
  <si>
    <t>8</t>
  </si>
  <si>
    <t>9</t>
  </si>
  <si>
    <t>Цена поставщика ООО "Террус"</t>
  </si>
  <si>
    <t>Перевозка и утилизация отходов 4-5 класса опасности</t>
  </si>
  <si>
    <t>м3</t>
  </si>
  <si>
    <t>5</t>
  </si>
  <si>
    <t>10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</si>
  <si>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</si>
  <si>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</si>
  <si>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11</t>
  </si>
  <si>
    <t>ФЕР01-02-061-02</t>
  </si>
  <si>
    <t>Засыпка вручную траншей, пазух котлованов и ям, группа грунтов: 2</t>
  </si>
  <si>
    <t>12</t>
  </si>
  <si>
    <t>13</t>
  </si>
  <si>
    <t>14</t>
  </si>
  <si>
    <t>15</t>
  </si>
  <si>
    <t>Цена Поставщика ООО “Грунт-маркет”</t>
  </si>
  <si>
    <t>16</t>
  </si>
  <si>
    <t>17</t>
  </si>
  <si>
    <t>Песок карьерный</t>
  </si>
  <si>
    <t>18</t>
  </si>
  <si>
    <t>19</t>
  </si>
  <si>
    <t>Щебень известняковый М600 фр. 20/40</t>
  </si>
  <si>
    <t>20</t>
  </si>
  <si>
    <t>21</t>
  </si>
  <si>
    <t>22</t>
  </si>
  <si>
    <t>23</t>
  </si>
  <si>
    <t>24</t>
  </si>
  <si>
    <t>т</t>
  </si>
  <si>
    <t>25</t>
  </si>
  <si>
    <t>100 м</t>
  </si>
  <si>
    <t>26</t>
  </si>
  <si>
    <t>шт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</si>
  <si>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</si>
  <si>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</si>
  <si>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</si>
  <si>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</si>
  <si>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</si>
  <si>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</si>
  <si>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</si>
  <si>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</si>
  <si>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</si>
  <si>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</si>
  <si>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</si>
  <si>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Итого</t>
  </si>
  <si>
    <t>с ВЗиС</t>
  </si>
  <si>
    <t>с ЗУ</t>
  </si>
  <si>
    <t>с Дог.Кф</t>
  </si>
  <si>
    <t>НДС</t>
  </si>
  <si>
    <t>Всего с НДС</t>
  </si>
  <si>
    <t>грубо, сметы не было</t>
  </si>
  <si>
    <t>НВК1</t>
  </si>
  <si>
    <t>Расценка</t>
  </si>
  <si>
    <t>Наименование работ</t>
  </si>
  <si>
    <t>ед.изм</t>
  </si>
  <si>
    <t>объем сметы</t>
  </si>
  <si>
    <t>стоим. Ед</t>
  </si>
  <si>
    <t>Сумма сметы</t>
  </si>
  <si>
    <t>объем ИД</t>
  </si>
  <si>
    <t>объем для КС3</t>
  </si>
  <si>
    <t>в деньгах</t>
  </si>
  <si>
    <t>выпадает</t>
  </si>
  <si>
    <t>Раздел 1. Устройство ливневых сточных вод от трасбордера  (К2)</t>
  </si>
  <si>
    <t>Земляные работы</t>
  </si>
  <si>
    <t>ФЕР01-01-003-08</t>
  </si>
  <si>
    <r>
      <t xml:space="preserve">Разработка грунта </t>
    </r>
    <r>
      <rPr>
        <sz val="8"/>
        <color rgb="FFFF0000"/>
        <rFont val="Arial"/>
        <family val="2"/>
        <charset val="204"/>
      </rPr>
      <t>в отвал экскаваторами</t>
    </r>
    <r>
      <rPr>
        <sz val="8"/>
        <color rgb="FF000000"/>
        <rFont val="Arial"/>
        <family val="2"/>
        <charset val="204"/>
      </rPr>
      <t xml:space="preserve"> "драглайн" или "обратная лопата" с ковшом вместимостью: 0,65 (0,5-1) м3, группа грунтов 2</t>
    </r>
  </si>
  <si>
    <t>ФЕР01-01-013-08</t>
  </si>
  <si>
    <r>
      <t xml:space="preserve">Разработка грунта </t>
    </r>
    <r>
      <rPr>
        <sz val="8"/>
        <color rgb="FFFF0000"/>
        <rFont val="Arial"/>
        <family val="2"/>
        <charset val="204"/>
      </rPr>
      <t>с погрузкой на автомобили</t>
    </r>
    <r>
      <rPr>
        <sz val="8"/>
        <color rgb="FF000000"/>
        <rFont val="Arial"/>
        <family val="2"/>
        <charset val="204"/>
      </rPr>
      <t>-самосвалы экскаваторами с ковшом вместимостью: 0,65 (0,5-1) м3, группа грунтов 2</t>
    </r>
  </si>
  <si>
    <t>ФЕР01-01-007-02</t>
  </si>
  <si>
    <r>
      <t>Разработка грунта</t>
    </r>
    <r>
      <rPr>
        <sz val="8"/>
        <color rgb="FFFF0000"/>
        <rFont val="Arial"/>
        <family val="2"/>
        <charset val="204"/>
      </rPr>
      <t xml:space="preserve"> в отвал</t>
    </r>
    <r>
      <rPr>
        <sz val="8"/>
        <color rgb="FF000000"/>
        <rFont val="Arial"/>
        <family val="2"/>
        <charset val="204"/>
      </rPr>
      <t xml:space="preserve"> в котлованах объемом до 1000 м3 </t>
    </r>
    <r>
      <rPr>
        <sz val="8"/>
        <color rgb="FFFF0000"/>
        <rFont val="Arial"/>
        <family val="2"/>
        <charset val="204"/>
      </rPr>
      <t>экскаваторами</t>
    </r>
    <r>
      <rPr>
        <sz val="8"/>
        <color rgb="FF000000"/>
        <rFont val="Arial"/>
        <family val="2"/>
        <charset val="204"/>
      </rPr>
      <t xml:space="preserve"> с ковшом вместимостью 0,5 (0,5-0,63) м3, группа грунтов: 2</t>
    </r>
  </si>
  <si>
    <r>
      <t>Доработка грунта</t>
    </r>
    <r>
      <rPr>
        <sz val="8"/>
        <color rgb="FFFF0000"/>
        <rFont val="Arial"/>
        <family val="2"/>
        <charset val="204"/>
      </rPr>
      <t xml:space="preserve"> вручную в траншеях</t>
    </r>
    <r>
      <rPr>
        <sz val="8"/>
        <color rgb="FF000000"/>
        <rFont val="Arial"/>
        <family val="2"/>
        <charset val="204"/>
      </rPr>
      <t xml:space="preserve"> глубиной до 2 м без креплений с откосами, группа грунтов: 2</t>
    </r>
  </si>
  <si>
    <t>ФЕР01-02-055-08</t>
  </si>
  <si>
    <r>
      <t xml:space="preserve">Разработка грунта </t>
    </r>
    <r>
      <rPr>
        <sz val="8"/>
        <color rgb="FFFF0000"/>
        <rFont val="Arial"/>
        <family val="2"/>
        <charset val="204"/>
      </rPr>
      <t>вручную с креплениями в траншеях</t>
    </r>
    <r>
      <rPr>
        <sz val="8"/>
        <color rgb="FF000000"/>
        <rFont val="Arial"/>
        <family val="2"/>
        <charset val="204"/>
      </rPr>
      <t xml:space="preserve"> шириной до 2 м, глубиной: до 3 м, группа грунтов 2</t>
    </r>
  </si>
  <si>
    <t>увы (((</t>
  </si>
  <si>
    <t>ФЕР01-02-063-02</t>
  </si>
  <si>
    <r>
      <t xml:space="preserve">Разработка грунта в траншеях и котлованах глубиной более 3 м </t>
    </r>
    <r>
      <rPr>
        <sz val="8"/>
        <color rgb="FFFF0000"/>
        <rFont val="Arial"/>
        <family val="2"/>
        <charset val="204"/>
      </rPr>
      <t>вручную с подъемом краном</t>
    </r>
    <r>
      <rPr>
        <sz val="8"/>
        <color rgb="FF000000"/>
        <rFont val="Arial"/>
        <family val="2"/>
        <charset val="204"/>
      </rPr>
      <t xml:space="preserve"> при наличии креплений, группа грунтов: 2</t>
    </r>
  </si>
  <si>
    <t>Устройство основания</t>
  </si>
  <si>
    <t>ФЕР08-01-002-02</t>
  </si>
  <si>
    <t>Устройство основания под фундаменты: щебеночного</t>
  </si>
  <si>
    <t>ФЕР23-01-001-01</t>
  </si>
  <si>
    <t>Устройство основания под трубопроводы: песчаного</t>
  </si>
  <si>
    <t>10 м3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</si>
  <si>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</si>
  <si>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</si>
  <si>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</si>
  <si>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</si>
  <si>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</si>
  <si>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м</t>
  </si>
  <si>
    <t>Колодец-перепадной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</si>
  <si>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</si>
  <si>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</si>
  <si>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ФССЦ-05.1.01.11-0046</t>
  </si>
  <si>
    <t>Плита днища ПН20, бетон B15 (М200), объем 0,59 м3, расход арматуры 79,44 кг</t>
  </si>
  <si>
    <t>не выполняли</t>
  </si>
  <si>
    <t>ФССЦ-05.1.06.09-0010</t>
  </si>
  <si>
    <t>Плиты перекрытия 2ПП20-2, бетон B15, объем 0,48 м3, расход арматуры 84,49 кг</t>
  </si>
  <si>
    <t>ФССЦ-05.1.01.09-0071</t>
  </si>
  <si>
    <t>Кольцо стеновое смотровых колодцев КС20.6, бетон B15 (М200), объем 0,39 м3, расход арматуры 13,04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</si>
  <si>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</si>
  <si>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</si>
  <si>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ФССЦ-05.1.01.09-0042</t>
  </si>
  <si>
    <t>Кольцо опорное КО-6 /бетон B15 (М200), объем 0,02 м3, расход арматуры 1,10 кг</t>
  </si>
  <si>
    <t>ФССЦ-08.1.02.06-0032</t>
  </si>
  <si>
    <t>Люк чугунный тяжелый (ГОСТ 3634-99) марка Т(C250)-Д-1-60</t>
  </si>
  <si>
    <t>ФССЦ-07.2.05.01-0032</t>
  </si>
  <si>
    <t>Ограждения лестничных проемов, лестничные марши, пожарные лестницы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</si>
  <si>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</si>
  <si>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</si>
  <si>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</si>
  <si>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</si>
  <si>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</si>
  <si>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ФССЦ-01.2.03.03-0009</t>
  </si>
  <si>
    <t>Мастика битумная «Еша» применит.</t>
  </si>
  <si>
    <t>ФССЦ-01.2.03.05-0010</t>
  </si>
  <si>
    <t>Праймер битумный производства «Техно-Николь»</t>
  </si>
  <si>
    <t>ФЕР06-13-001-03</t>
  </si>
  <si>
    <t>Устройство стен и плоских днищ при толщине: до 150 мм прямоугольных сооружений/ стенка рассекатель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</si>
  <si>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</si>
  <si>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</si>
  <si>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</si>
  <si>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</si>
  <si>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стенка отсекающая</t>
  </si>
  <si>
    <t>ФЕР06-03-004-09</t>
  </si>
  <si>
    <t>Установка закладных деталей весом: до 4 кг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</si>
  <si>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</si>
  <si>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</si>
  <si>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ФЕР06-03-004-08</t>
  </si>
  <si>
    <t>Установка стальных конструкций, остающихся в теле бетона</t>
  </si>
  <si>
    <t>ФССЦ-08.3.01.02-0024</t>
  </si>
  <si>
    <t>Двутавры с параллельными гранями полок нормальные «Б», сталь: полуспокойная, № 12</t>
  </si>
  <si>
    <t>ФССЦ-08.3.07.01-0060</t>
  </si>
  <si>
    <t>Сталь полосовая: 100х10 мм, марка Ст3сп</t>
  </si>
  <si>
    <t>ФССЦ-08.3.08.02-0043</t>
  </si>
  <si>
    <t>Сталь угловая равнополочная, марка стали: 18кп, шириной полок 60-100 мм</t>
  </si>
  <si>
    <t>38</t>
  </si>
  <si>
    <t>39</t>
  </si>
  <si>
    <t>ФССЦ-08.3.05.02-0061</t>
  </si>
  <si>
    <t>Прокат толстолистовой горячекатаный в листах, марка стали Ст3, толщина 10-13 мм</t>
  </si>
  <si>
    <t>40</t>
  </si>
  <si>
    <t>ФЕР13-03-002-17</t>
  </si>
  <si>
    <t>Огрунтовка металлических поверхностей за один раз: грунтовкой цинконаполненной</t>
  </si>
  <si>
    <t>41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</si>
  <si>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</si>
  <si>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</si>
  <si>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Раздел 2. Устройство футляра для существующей тубы хоз.бытовой канализации</t>
  </si>
  <si>
    <t>не выполняли футляр</t>
  </si>
  <si>
    <t>42</t>
  </si>
  <si>
    <t>Разработка грунта в отвал экскаваторами "драглайн" или "обратная лопата" с ковшом вместимостью: 0,65 (0,5-1) м3, группа грунтов 2</t>
  </si>
  <si>
    <t>43</t>
  </si>
  <si>
    <t>Разработка грунта с погрузкой на автомобили-самосвалы экскаваторами с ковшом вместимостью: 0,65 (0,5-1) м3, группа грунтов 2</t>
  </si>
  <si>
    <t>44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</si>
  <si>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</si>
  <si>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</si>
  <si>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45</t>
  </si>
  <si>
    <t>46</t>
  </si>
  <si>
    <t>47</t>
  </si>
  <si>
    <t>48</t>
  </si>
  <si>
    <t>ФЕР22-01-015-13</t>
  </si>
  <si>
    <t>Укладка стальных разрезных кожухов (футляров) в открытых траншеях диаметром: 400 мм</t>
  </si>
  <si>
    <t>49</t>
  </si>
  <si>
    <t>ФССЦ-11.1.03.01-0076</t>
  </si>
  <si>
    <t>Бруски обрезные, хвойных пород, длина 2-6,5 м, толщина 40-60 мм, сорт III</t>
  </si>
  <si>
    <t>50</t>
  </si>
  <si>
    <t>ФССЦ-23.1.02.03-1049</t>
  </si>
  <si>
    <t>Кольцо опорное из нержавеющей стали, толщина стенки 2 мм, длина 150 мм, наружный диаметр 230 мм</t>
  </si>
  <si>
    <t>51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</si>
  <si>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</si>
  <si>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</si>
  <si>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52</t>
  </si>
  <si>
    <t>ФЕР09-05-006-01</t>
  </si>
  <si>
    <t>Резка стального профилированного настила</t>
  </si>
  <si>
    <t>м реза</t>
  </si>
  <si>
    <t>53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</si>
  <si>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</si>
  <si>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</si>
  <si>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км</t>
  </si>
  <si>
    <t>54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</si>
  <si>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</si>
  <si>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</si>
  <si>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55</t>
  </si>
  <si>
    <t>ФССЦ-01.2.03.03-0002</t>
  </si>
  <si>
    <t>Мастика "Ярославна БПХ-2"</t>
  </si>
  <si>
    <t>56</t>
  </si>
  <si>
    <t>ФЕРр66-38-3</t>
  </si>
  <si>
    <t>Заполнение трубопроводов или межтрубного пространства при трубах в футляре: цементным раствором</t>
  </si>
  <si>
    <t>футляр</t>
  </si>
  <si>
    <t>стенка</t>
  </si>
  <si>
    <t>недозабираем</t>
  </si>
  <si>
    <t>из них разр-грунта</t>
  </si>
  <si>
    <t>В смете есть дорогая расценка "Разработка грунта вручную с креплениями в траншеях шириной до 2 м, глубиной: до 3 м, группа грунтов 2", можно закрыть ей основной объем грунта, техзак не пропускает, т.к. креплений траншей не было.</t>
  </si>
  <si>
    <t>ГСН</t>
  </si>
  <si>
    <t>Ранее озвучивали, вроде сверху было одобрение добавить крепления траншей</t>
  </si>
  <si>
    <t>Разработка в отвал, крепление траншей, обратная засыпка песком не пропускается, т.к. эти работы не выполнялись.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</si>
</sst>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0" fillId="0" borderId="0"/>
    <xf numFmtId="0" fontId="4" fillId="0" borderId="0"/>
  </cellStyleXfs>
  <cellXfs count="1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vertical="center"/>
    </xf>
    <xf numFmtId="4" fontId="6" fillId="0" borderId="2" xfId="1" applyNumberFormat="1" applyFont="1" applyBorder="1" applyAlignment="1">
      <alignment horizontal="right" vertical="center"/>
    </xf>
    <xf numFmtId="4" fontId="6" fillId="0" borderId="2" xfId="2" applyNumberFormat="1" applyFont="1" applyBorder="1" applyAlignment="1">
      <alignment horizontal="right" vertical="center"/>
    </xf>
    <xf numFmtId="4" fontId="6" fillId="0" borderId="1" xfId="1" applyNumberFormat="1" applyFont="1" applyBorder="1" applyAlignment="1">
      <alignment horizontal="right" vertical="center"/>
    </xf>
    <xf numFmtId="4" fontId="11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/>
    <xf numFmtId="4" fontId="1" fillId="0" borderId="0" xfId="0" applyNumberFormat="1" applyFont="1" applyAlignment="1">
      <alignment horizontal="center" vertical="center"/>
    </xf>
    <xf numFmtId="4" fontId="12" fillId="0" borderId="2" xfId="1" applyNumberFormat="1" applyFont="1" applyBorder="1" applyAlignment="1">
      <alignment horizontal="right" vertical="center"/>
    </xf>
    <xf numFmtId="4" fontId="12" fillId="0" borderId="2" xfId="2" applyNumberFormat="1" applyFont="1" applyBorder="1" applyAlignment="1">
      <alignment horizontal="right" vertical="center"/>
    </xf>
    <xf numFmtId="4" fontId="12" fillId="0" borderId="1" xfId="1" applyNumberFormat="1" applyFont="1" applyBorder="1" applyAlignment="1">
      <alignment horizontal="right" vertical="center"/>
    </xf>
    <xf numFmtId="4" fontId="13" fillId="0" borderId="1" xfId="1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14" fillId="2" borderId="1" xfId="1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49" fontId="11" fillId="2" borderId="1" xfId="2" applyNumberFormat="1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4" fontId="11" fillId="2" borderId="1" xfId="3" applyNumberFormat="1" applyFont="1" applyFill="1" applyBorder="1" applyAlignment="1">
      <alignment horizontal="center" vertical="center" wrapText="1"/>
    </xf>
    <xf numFmtId="4" fontId="11" fillId="2" borderId="1" xfId="2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4" fontId="11" fillId="3" borderId="1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9" fontId="7" fillId="0" borderId="1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vertical="center" wrapText="1"/>
    </xf>
    <xf numFmtId="4" fontId="7" fillId="0" borderId="1" xfId="1" applyNumberFormat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4" fontId="7" fillId="3" borderId="1" xfId="1" applyNumberFormat="1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right" vertical="center"/>
    </xf>
    <xf numFmtId="4" fontId="5" fillId="0" borderId="1" xfId="1" applyNumberFormat="1" applyFont="1" applyBorder="1" applyAlignment="1">
      <alignment vertical="center"/>
    </xf>
    <xf numFmtId="0" fontId="5" fillId="3" borderId="1" xfId="1" applyFont="1" applyFill="1" applyBorder="1" applyAlignment="1">
      <alignment vertical="center"/>
    </xf>
    <xf numFmtId="4" fontId="5" fillId="3" borderId="1" xfId="1" applyNumberFormat="1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4" fontId="8" fillId="0" borderId="1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0" fontId="15" fillId="3" borderId="1" xfId="1" applyFont="1" applyFill="1" applyBorder="1" applyAlignment="1">
      <alignment vertical="center"/>
    </xf>
    <xf numFmtId="4" fontId="7" fillId="0" borderId="1" xfId="1" applyNumberFormat="1" applyFont="1" applyBorder="1" applyAlignment="1">
      <alignment horizontal="right" vertical="center"/>
    </xf>
    <xf numFmtId="49" fontId="16" fillId="0" borderId="1" xfId="1" applyNumberFormat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left" vertical="center"/>
    </xf>
    <xf numFmtId="49" fontId="16" fillId="0" borderId="1" xfId="1" applyNumberFormat="1" applyFont="1" applyBorder="1" applyAlignment="1">
      <alignment vertical="center" wrapText="1"/>
    </xf>
    <xf numFmtId="0" fontId="16" fillId="0" borderId="1" xfId="1" applyFont="1" applyBorder="1" applyAlignment="1">
      <alignment horizontal="center" vertical="center"/>
    </xf>
    <xf numFmtId="4" fontId="16" fillId="0" borderId="1" xfId="1" applyNumberFormat="1" applyFont="1" applyBorder="1" applyAlignment="1">
      <alignment horizontal="right" vertical="center"/>
    </xf>
    <xf numFmtId="4" fontId="16" fillId="0" borderId="1" xfId="1" applyNumberFormat="1" applyFont="1" applyBorder="1" applyAlignment="1">
      <alignment vertical="center"/>
    </xf>
    <xf numFmtId="0" fontId="17" fillId="3" borderId="1" xfId="1" applyFont="1" applyFill="1" applyBorder="1" applyAlignment="1">
      <alignment vertical="center"/>
    </xf>
    <xf numFmtId="0" fontId="16" fillId="3" borderId="1" xfId="1" applyFont="1" applyFill="1" applyBorder="1" applyAlignment="1">
      <alignment vertical="center"/>
    </xf>
    <xf numFmtId="4" fontId="16" fillId="3" borderId="1" xfId="1" applyNumberFormat="1" applyFont="1" applyFill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49" fontId="17" fillId="0" borderId="1" xfId="1" applyNumberFormat="1" applyFont="1" applyBorder="1" applyAlignment="1">
      <alignment horizontal="center" vertical="center"/>
    </xf>
    <xf numFmtId="49" fontId="17" fillId="0" borderId="1" xfId="1" applyNumberFormat="1" applyFont="1" applyBorder="1" applyAlignment="1">
      <alignment horizontal="left" vertical="center"/>
    </xf>
    <xf numFmtId="49" fontId="17" fillId="0" borderId="1" xfId="1" applyNumberFormat="1" applyFont="1" applyBorder="1" applyAlignment="1">
      <alignment vertical="center" wrapText="1"/>
    </xf>
    <xf numFmtId="0" fontId="17" fillId="0" borderId="1" xfId="1" applyFont="1" applyBorder="1" applyAlignment="1">
      <alignment horizontal="center" vertical="center"/>
    </xf>
    <xf numFmtId="4" fontId="17" fillId="0" borderId="1" xfId="1" applyNumberFormat="1" applyFont="1" applyBorder="1" applyAlignment="1">
      <alignment horizontal="right" vertical="center"/>
    </xf>
    <xf numFmtId="4" fontId="17" fillId="0" borderId="1" xfId="1" applyNumberFormat="1" applyFont="1" applyBorder="1" applyAlignment="1">
      <alignment vertical="center"/>
    </xf>
    <xf numFmtId="4" fontId="17" fillId="3" borderId="1" xfId="1" applyNumberFormat="1" applyFont="1" applyFill="1" applyBorder="1" applyAlignment="1">
      <alignment vertical="center"/>
    </xf>
    <xf numFmtId="4" fontId="15" fillId="0" borderId="1" xfId="1" applyNumberFormat="1" applyFont="1" applyBorder="1" applyAlignment="1">
      <alignment vertic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164" fontId="16" fillId="3" borderId="1" xfId="1" applyNumberFormat="1" applyFont="1" applyFill="1" applyBorder="1" applyAlignment="1">
      <alignment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left" vertical="center"/>
    </xf>
    <xf numFmtId="49" fontId="6" fillId="0" borderId="1" xfId="1" applyNumberFormat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/>
    </xf>
    <xf numFmtId="4" fontId="6" fillId="0" borderId="1" xfId="1" applyNumberFormat="1" applyFont="1" applyBorder="1" applyAlignment="1">
      <alignment vertical="center"/>
    </xf>
    <xf numFmtId="4" fontId="6" fillId="3" borderId="1" xfId="1" applyNumberFormat="1" applyFont="1" applyFill="1" applyBorder="1" applyAlignment="1">
      <alignment vertical="center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left" vertical="center"/>
    </xf>
    <xf numFmtId="49" fontId="9" fillId="0" borderId="1" xfId="1" applyNumberFormat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right" vertical="center"/>
    </xf>
    <xf numFmtId="4" fontId="9" fillId="0" borderId="1" xfId="1" applyNumberFormat="1" applyFont="1" applyBorder="1" applyAlignment="1">
      <alignment vertical="center"/>
    </xf>
    <xf numFmtId="0" fontId="9" fillId="3" borderId="1" xfId="1" applyFont="1" applyFill="1" applyBorder="1" applyAlignment="1">
      <alignment vertical="center"/>
    </xf>
    <xf numFmtId="4" fontId="9" fillId="3" borderId="1" xfId="1" applyNumberFormat="1" applyFont="1" applyFill="1" applyBorder="1" applyAlignment="1">
      <alignment vertical="center"/>
    </xf>
    <xf numFmtId="0" fontId="17" fillId="0" borderId="1" xfId="1" applyFont="1" applyBorder="1" applyAlignment="1">
      <alignment vertical="center"/>
    </xf>
    <xf numFmtId="49" fontId="15" fillId="0" borderId="1" xfId="1" applyNumberFormat="1" applyFont="1" applyBorder="1" applyAlignment="1">
      <alignment horizontal="center" vertical="center"/>
    </xf>
    <xf numFmtId="49" fontId="15" fillId="0" borderId="1" xfId="1" applyNumberFormat="1" applyFont="1" applyBorder="1" applyAlignment="1">
      <alignment horizontal="left" vertical="center"/>
    </xf>
    <xf numFmtId="49" fontId="15" fillId="0" borderId="1" xfId="1" applyNumberFormat="1" applyFont="1" applyBorder="1" applyAlignment="1">
      <alignment vertical="center" wrapText="1"/>
    </xf>
    <xf numFmtId="0" fontId="15" fillId="0" borderId="1" xfId="1" applyFont="1" applyBorder="1" applyAlignment="1">
      <alignment horizontal="center" vertical="center"/>
    </xf>
    <xf numFmtId="4" fontId="15" fillId="0" borderId="1" xfId="1" applyNumberFormat="1" applyFont="1" applyBorder="1" applyAlignment="1">
      <alignment horizontal="right" vertical="center"/>
    </xf>
    <xf numFmtId="0" fontId="15" fillId="0" borderId="1" xfId="1" applyFont="1" applyBorder="1" applyAlignment="1">
      <alignment vertical="center"/>
    </xf>
    <xf numFmtId="4" fontId="15" fillId="3" borderId="1" xfId="1" applyNumberFormat="1" applyFont="1" applyFill="1" applyBorder="1" applyAlignment="1">
      <alignment vertical="center"/>
    </xf>
    <xf numFmtId="49" fontId="8" fillId="0" borderId="1" xfId="1" applyNumberFormat="1" applyFont="1" applyBorder="1" applyAlignment="1">
      <alignment vertical="center"/>
    </xf>
    <xf numFmtId="49" fontId="8" fillId="0" borderId="1" xfId="1" applyNumberFormat="1" applyFont="1" applyBorder="1" applyAlignment="1">
      <alignment vertical="center" wrapText="1"/>
    </xf>
    <xf numFmtId="4" fontId="8" fillId="0" borderId="1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4" fontId="6" fillId="0" borderId="1" xfId="2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4" fontId="18" fillId="3" borderId="1" xfId="1" applyNumberFormat="1" applyFont="1" applyFill="1" applyBorder="1" applyAlignment="1">
      <alignment horizontal="right" vertical="center"/>
    </xf>
    <xf numFmtId="4" fontId="11" fillId="0" borderId="1" xfId="1" applyNumberFormat="1" applyFont="1" applyBorder="1" applyAlignment="1">
      <alignment horizontal="center" vertical="center"/>
    </xf>
    <xf numFmtId="4" fontId="5" fillId="0" borderId="0" xfId="1" applyNumberFormat="1" applyFont="1" applyAlignment="1">
      <alignment vertical="center"/>
    </xf>
    <xf numFmtId="4" fontId="5" fillId="0" borderId="0" xfId="1" applyNumberFormat="1" applyFont="1" applyAlignment="1">
      <alignment horizontal="center" vertical="center"/>
    </xf>
    <xf numFmtId="0" fontId="5" fillId="4" borderId="0" xfId="1" applyFont="1" applyFill="1" applyAlignment="1">
      <alignment vertical="center"/>
    </xf>
    <xf numFmtId="0" fontId="5" fillId="4" borderId="0" xfId="1" applyFont="1" applyFill="1" applyAlignment="1">
      <alignment horizontal="center" vertical="center"/>
    </xf>
  </cellXfs>
  <cellStyles count="4">
    <cellStyle name="Обычный" xfId="0" builtinId="0"/>
    <cellStyle name="Обычный 12 2" xfId="2" xr:uid="{DC11DF78-D239-4254-817C-411BDAD4A2C8}"/>
    <cellStyle name="Обычный 2" xfId="1" xr:uid="{2C757836-52BB-47C2-8DE0-BFEDD3BCA508}"/>
    <cellStyle name="Обычный 4 2 2" xfId="3" xr:uid="{49731B6A-6D4F-4B8F-B3EB-651A6E8B92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117804</xdr:colOff>
      <xdr:row>56</xdr:row>
      <xdr:rowOff>144517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0E830A0-3ECC-48DE-96BD-D4FF3D48E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111404" cy="11765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19</xdr:col>
      <xdr:colOff>57151</xdr:colOff>
      <xdr:row>27</xdr:row>
      <xdr:rowOff>109255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5C70F9B-0AB3-44C7-98CF-480795F76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1639550" cy="56337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34</xdr:col>
      <xdr:colOff>498262</xdr:colOff>
      <xdr:row>53</xdr:row>
      <xdr:rowOff>125251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3E2A8F3-FB09-469B-AE0C-855DE81D4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224662" cy="102217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6"/>
  <sheetViews>
    <sheetView tabSelected="1" workbookViewId="0">
      <pane ySplit="1" topLeftCell="A2" activePane="bottomLeft" state="frozen"/>
      <selection pane="bottomLeft" activeCell="K12" sqref="K12"/>
    </sheetView>
  </sheetViews>
  <sheetFormatPr defaultRowHeight="15.75" x14ac:dyDescent="0.25"/>
  <cols>
    <col min="1" max="1" width="9.140625" style="6"/>
    <col min="2" max="2" width="19.85546875" style="6" customWidth="1"/>
    <col min="3" max="4" width="55" style="5" customWidth="1"/>
    <col min="5" max="5" width="29.140625" style="5" customWidth="1"/>
    <col min="6" max="6" width="35.7109375" style="25" customWidth="1"/>
    <col min="7" max="16384" width="9.140625" style="5"/>
  </cols>
  <sheetData>
    <row r="1" spans="1:6" s="2" customFormat="1" ht="31.5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12</v>
      </c>
      <c r="F1" s="24"/>
    </row>
    <row r="2" spans="1:6" ht="110.25" x14ac:dyDescent="0.25">
      <c r="A2" s="3">
        <v>1</v>
      </c>
      <c r="B2" s="3" t="s">
        <v>3</v>
      </c>
      <c r="C2" s="4" t="s">
        <v>4</v>
      </c>
      <c r="D2" s="4" t="s">
        <v>9</v>
      </c>
      <c r="E2" s="23">
        <v>1700000</v>
      </c>
    </row>
    <row r="3" spans="1:6" ht="78.75" x14ac:dyDescent="0.25">
      <c r="A3" s="3">
        <v>2</v>
      </c>
      <c r="B3" s="3" t="s">
        <v>5</v>
      </c>
      <c r="C3" s="4" t="s">
        <v>8</v>
      </c>
      <c r="D3" s="4" t="s">
        <v>10</v>
      </c>
      <c r="E3" s="23">
        <v>800000</v>
      </c>
    </row>
    <row r="4" spans="1:6" ht="78.75" x14ac:dyDescent="0.25">
      <c r="A4" s="3">
        <v>3</v>
      </c>
      <c r="B4" s="3" t="s">
        <v>6</v>
      </c>
      <c r="C4" s="4" t="s">
        <v>7</v>
      </c>
      <c r="D4" s="4"/>
      <c r="E4" s="23">
        <v>250000</v>
      </c>
      <c r="F4" s="26" t="s">
        <v>73</v>
      </c>
    </row>
    <row r="5" spans="1:6" ht="78.75" x14ac:dyDescent="0.25">
      <c r="A5" s="3">
        <v>4</v>
      </c>
      <c r="B5" s="3" t="s">
        <v>74</v>
      </c>
      <c r="C5" s="4" t="s">
        <v>212</v>
      </c>
      <c r="D5" s="4"/>
      <c r="E5" s="23">
        <v>650000</v>
      </c>
    </row>
    <row r="6" spans="1:6" ht="47.25" x14ac:dyDescent="0.25">
      <c r="A6" s="3">
        <v>5</v>
      </c>
      <c r="B6" s="3" t="s">
        <v>213</v>
      </c>
      <c r="C6" s="4" t="s">
        <v>215</v>
      </c>
      <c r="D6" s="4" t="s">
        <v>214</v>
      </c>
      <c r="E6" s="2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4C500-D493-46DB-9A6A-25A0D25405A4}">
  <dimension ref="AR3:AV10"/>
  <sheetViews>
    <sheetView zoomScale="85" zoomScaleNormal="85" workbookViewId="0">
      <selection activeCell="AT3" sqref="AT3"/>
    </sheetView>
  </sheetViews>
  <sheetFormatPr defaultRowHeight="15" x14ac:dyDescent="0.25"/>
  <cols>
    <col min="44" max="44" width="40.140625" style="15" customWidth="1"/>
    <col min="45" max="46" width="9.140625" style="15"/>
    <col min="47" max="47" width="14.85546875" style="15" customWidth="1"/>
    <col min="48" max="48" width="30.42578125" style="16" customWidth="1"/>
  </cols>
  <sheetData>
    <row r="3" spans="44:48" ht="75" x14ac:dyDescent="0.25">
      <c r="AR3" s="13" t="s">
        <v>16</v>
      </c>
      <c r="AS3" s="13" t="s">
        <v>17</v>
      </c>
      <c r="AT3" s="14">
        <v>822</v>
      </c>
      <c r="AU3" s="14">
        <v>147.83000000000001</v>
      </c>
      <c r="AV3" s="21">
        <f>AT3*AU3</f>
        <v>121516.26000000001</v>
      </c>
    </row>
    <row r="4" spans="44:48" ht="30" x14ac:dyDescent="0.25">
      <c r="AR4" s="13" t="s">
        <v>26</v>
      </c>
      <c r="AS4" s="13" t="s">
        <v>27</v>
      </c>
      <c r="AT4" s="14">
        <f>AT3</f>
        <v>822</v>
      </c>
      <c r="AU4" s="14">
        <v>1325</v>
      </c>
      <c r="AV4" s="21">
        <f>AT4*AU4</f>
        <v>1089150</v>
      </c>
    </row>
    <row r="5" spans="44:48" x14ac:dyDescent="0.25">
      <c r="AU5" s="17" t="s">
        <v>67</v>
      </c>
      <c r="AV5" s="18">
        <f>SUM(AV3:AV4)</f>
        <v>1210666.26</v>
      </c>
    </row>
    <row r="6" spans="44:48" x14ac:dyDescent="0.25">
      <c r="AU6" s="19" t="s">
        <v>68</v>
      </c>
      <c r="AV6" s="19">
        <f>AV5*0.082+AV5</f>
        <v>1309940.89332</v>
      </c>
    </row>
    <row r="7" spans="44:48" x14ac:dyDescent="0.25">
      <c r="AU7" s="19" t="s">
        <v>69</v>
      </c>
      <c r="AV7" s="19">
        <f>AV6*0.024+AV6</f>
        <v>1341379.47475968</v>
      </c>
    </row>
    <row r="8" spans="44:48" x14ac:dyDescent="0.25">
      <c r="AU8" s="19" t="s">
        <v>70</v>
      </c>
      <c r="AV8" s="19">
        <f>AV7*1.05136042</f>
        <v>1410273.2879627165</v>
      </c>
    </row>
    <row r="9" spans="44:48" x14ac:dyDescent="0.25">
      <c r="AU9" s="19" t="s">
        <v>71</v>
      </c>
      <c r="AV9" s="19">
        <f>AV8*0.2</f>
        <v>282054.65759254334</v>
      </c>
    </row>
    <row r="10" spans="44:48" x14ac:dyDescent="0.25">
      <c r="AU10" s="20" t="s">
        <v>72</v>
      </c>
      <c r="AV10" s="22">
        <f>AV8+AV9</f>
        <v>1692327.9455552599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0DCD-851A-47C4-AC0A-1F1E5B9D6056}">
  <dimension ref="V3:Z10"/>
  <sheetViews>
    <sheetView workbookViewId="0">
      <selection activeCell="X4" sqref="X4"/>
    </sheetView>
  </sheetViews>
  <sheetFormatPr defaultRowHeight="15" x14ac:dyDescent="0.25"/>
  <cols>
    <col min="1" max="21" width="9.140625" style="15"/>
    <col min="22" max="22" width="40.140625" style="15" customWidth="1"/>
    <col min="23" max="24" width="9.140625" style="15"/>
    <col min="25" max="25" width="14.85546875" style="15" customWidth="1"/>
    <col min="26" max="26" width="30.42578125" style="16" customWidth="1"/>
    <col min="27" max="16384" width="9.140625" style="15"/>
  </cols>
  <sheetData>
    <row r="3" spans="22:26" ht="75" x14ac:dyDescent="0.25">
      <c r="V3" s="13" t="s">
        <v>16</v>
      </c>
      <c r="W3" s="13" t="s">
        <v>17</v>
      </c>
      <c r="X3" s="14">
        <v>391</v>
      </c>
      <c r="Y3" s="14">
        <v>147.83000000000001</v>
      </c>
      <c r="Z3" s="21">
        <f>X3*Y3</f>
        <v>57801.530000000006</v>
      </c>
    </row>
    <row r="4" spans="22:26" ht="30" x14ac:dyDescent="0.25">
      <c r="V4" s="13" t="s">
        <v>26</v>
      </c>
      <c r="W4" s="13" t="s">
        <v>27</v>
      </c>
      <c r="X4" s="14">
        <f>X3</f>
        <v>391</v>
      </c>
      <c r="Y4" s="14">
        <v>1325</v>
      </c>
      <c r="Z4" s="21">
        <f>X4*Y4</f>
        <v>518075</v>
      </c>
    </row>
    <row r="5" spans="22:26" x14ac:dyDescent="0.25">
      <c r="Y5" s="17" t="s">
        <v>67</v>
      </c>
      <c r="Z5" s="18">
        <f>SUM(Z3:Z4)</f>
        <v>575876.53</v>
      </c>
    </row>
    <row r="6" spans="22:26" x14ac:dyDescent="0.25">
      <c r="Y6" s="19" t="s">
        <v>68</v>
      </c>
      <c r="Z6" s="19">
        <f>Z5*0.082+Z5</f>
        <v>623098.40546000004</v>
      </c>
    </row>
    <row r="7" spans="22:26" x14ac:dyDescent="0.25">
      <c r="Y7" s="19" t="s">
        <v>69</v>
      </c>
      <c r="Z7" s="19">
        <f>Z6*0.024+Z6</f>
        <v>638052.7671910401</v>
      </c>
    </row>
    <row r="8" spans="22:26" x14ac:dyDescent="0.25">
      <c r="Y8" s="19" t="s">
        <v>70</v>
      </c>
      <c r="Z8" s="19">
        <f>Z7*1.05136042</f>
        <v>670823.42529613408</v>
      </c>
    </row>
    <row r="9" spans="22:26" x14ac:dyDescent="0.25">
      <c r="Y9" s="19" t="s">
        <v>71</v>
      </c>
      <c r="Z9" s="19">
        <f>Z8*0.2</f>
        <v>134164.68505922682</v>
      </c>
    </row>
    <row r="10" spans="22:26" x14ac:dyDescent="0.25">
      <c r="Y10" s="20" t="s">
        <v>72</v>
      </c>
      <c r="Z10" s="22">
        <f>Z8+Z9</f>
        <v>804988.1103553609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3C966-F06E-4CD8-BF7D-618F1294BFAE}">
  <dimension ref="A1"/>
  <sheetViews>
    <sheetView topLeftCell="A4" zoomScale="115" zoomScaleNormal="115" workbookViewId="0">
      <selection activeCell="AL1" sqref="AL1:AN104857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8D1B-03FD-443E-8021-CBE99A4FF0C6}">
  <sheetPr>
    <pageSetUpPr fitToPage="1"/>
  </sheetPr>
  <dimension ref="A1:AC88"/>
  <sheetViews>
    <sheetView zoomScale="110" zoomScaleNormal="110" workbookViewId="0">
      <selection activeCell="R84" sqref="R84"/>
    </sheetView>
  </sheetViews>
  <sheetFormatPr defaultColWidth="9.140625" defaultRowHeight="11.25" x14ac:dyDescent="0.25"/>
  <cols>
    <col min="1" max="1" width="9.140625" style="8" customWidth="1"/>
    <col min="2" max="2" width="11.140625" style="33" customWidth="1"/>
    <col min="3" max="3" width="61.140625" style="106" customWidth="1"/>
    <col min="4" max="4" width="8.5703125" style="33" customWidth="1"/>
    <col min="5" max="5" width="10.5703125" style="33" customWidth="1"/>
    <col min="6" max="7" width="12.7109375" style="111" customWidth="1"/>
    <col min="8" max="9" width="12.7109375" style="33" customWidth="1"/>
    <col min="10" max="10" width="16.28515625" style="111" customWidth="1"/>
    <col min="11" max="11" width="12.7109375" style="33" customWidth="1"/>
    <col min="12" max="12" width="23.85546875" style="33" customWidth="1"/>
    <col min="13" max="14" width="9.140625" style="33"/>
    <col min="15" max="15" width="21" style="34" customWidth="1"/>
    <col min="16" max="16" width="15.42578125" style="34" customWidth="1"/>
    <col min="17" max="17" width="20.140625" style="34" customWidth="1"/>
    <col min="18" max="18" width="24.140625" style="33" customWidth="1"/>
    <col min="19" max="16384" width="9.140625" style="33"/>
  </cols>
  <sheetData>
    <row r="1" spans="1:29" ht="22.5" x14ac:dyDescent="0.25">
      <c r="A1" s="27" t="s">
        <v>0</v>
      </c>
      <c r="B1" s="28" t="s">
        <v>75</v>
      </c>
      <c r="C1" s="28" t="s">
        <v>76</v>
      </c>
      <c r="D1" s="29" t="s">
        <v>77</v>
      </c>
      <c r="E1" s="29" t="s">
        <v>78</v>
      </c>
      <c r="F1" s="30" t="s">
        <v>79</v>
      </c>
      <c r="G1" s="30" t="s">
        <v>80</v>
      </c>
      <c r="H1" s="31" t="s">
        <v>81</v>
      </c>
      <c r="I1" s="31" t="s">
        <v>82</v>
      </c>
      <c r="J1" s="32" t="s">
        <v>83</v>
      </c>
      <c r="K1" s="30" t="s">
        <v>84</v>
      </c>
    </row>
    <row r="2" spans="1:29" s="40" customFormat="1" x14ac:dyDescent="0.25">
      <c r="A2" s="35" t="s">
        <v>85</v>
      </c>
      <c r="B2" s="35"/>
      <c r="C2" s="36"/>
      <c r="D2" s="35"/>
      <c r="E2" s="35"/>
      <c r="F2" s="37"/>
      <c r="G2" s="37"/>
      <c r="H2" s="38"/>
      <c r="I2" s="38"/>
      <c r="J2" s="39"/>
      <c r="K2" s="38"/>
      <c r="O2" s="41"/>
      <c r="P2" s="41"/>
      <c r="Q2" s="41"/>
    </row>
    <row r="3" spans="1:29" s="40" customFormat="1" x14ac:dyDescent="0.25">
      <c r="A3" s="35" t="s">
        <v>86</v>
      </c>
      <c r="B3" s="35"/>
      <c r="C3" s="36"/>
      <c r="D3" s="35"/>
      <c r="E3" s="35"/>
      <c r="F3" s="37"/>
      <c r="G3" s="37"/>
      <c r="H3" s="38"/>
      <c r="I3" s="38"/>
      <c r="J3" s="39"/>
      <c r="K3" s="38"/>
      <c r="O3" s="41"/>
      <c r="P3" s="41"/>
      <c r="Q3" s="41"/>
    </row>
    <row r="4" spans="1:29" ht="22.5" x14ac:dyDescent="0.25">
      <c r="A4" s="7" t="s">
        <v>14</v>
      </c>
      <c r="B4" s="42" t="s">
        <v>87</v>
      </c>
      <c r="C4" s="43" t="s">
        <v>88</v>
      </c>
      <c r="D4" s="7" t="s">
        <v>17</v>
      </c>
      <c r="E4" s="44">
        <v>2.7E-2</v>
      </c>
      <c r="F4" s="45">
        <f t="shared" ref="F4:F63" si="0">G4/E4</f>
        <v>59700.000000000007</v>
      </c>
      <c r="G4" s="46">
        <v>1611.9</v>
      </c>
      <c r="H4" s="47">
        <f>196.25/1000-I5-I6</f>
        <v>4.1700000000000348E-3</v>
      </c>
      <c r="I4" s="47">
        <f>H4</f>
        <v>4.1700000000000348E-3</v>
      </c>
      <c r="J4" s="48">
        <f>F4*I4</f>
        <v>248.94900000000212</v>
      </c>
      <c r="K4" s="46">
        <f>J4-G4</f>
        <v>-1362.950999999998</v>
      </c>
    </row>
    <row r="5" spans="1:29" ht="22.5" x14ac:dyDescent="0.25">
      <c r="A5" s="7" t="s">
        <v>18</v>
      </c>
      <c r="B5" s="42" t="s">
        <v>89</v>
      </c>
      <c r="C5" s="43" t="s">
        <v>90</v>
      </c>
      <c r="D5" s="7" t="s">
        <v>17</v>
      </c>
      <c r="E5" s="44">
        <v>3.3000000000000002E-2</v>
      </c>
      <c r="F5" s="45">
        <f t="shared" si="0"/>
        <v>101620</v>
      </c>
      <c r="G5" s="46">
        <v>3353.46</v>
      </c>
      <c r="H5" s="47">
        <f>(30.52+15.72)/1000</f>
        <v>4.6240000000000003E-2</v>
      </c>
      <c r="I5" s="47">
        <f>33/1000</f>
        <v>3.3000000000000002E-2</v>
      </c>
      <c r="J5" s="48">
        <f t="shared" ref="J5:J63" si="1">F5*I5</f>
        <v>3353.46</v>
      </c>
      <c r="K5" s="46">
        <f t="shared" ref="K5:K63" si="2">J5-G5</f>
        <v>0</v>
      </c>
    </row>
    <row r="6" spans="1:29" ht="22.5" x14ac:dyDescent="0.25">
      <c r="A6" s="7" t="s">
        <v>19</v>
      </c>
      <c r="B6" s="42" t="s">
        <v>91</v>
      </c>
      <c r="C6" s="43" t="s">
        <v>92</v>
      </c>
      <c r="D6" s="7" t="s">
        <v>17</v>
      </c>
      <c r="E6" s="44">
        <v>0.16800000000000001</v>
      </c>
      <c r="F6" s="45">
        <f t="shared" si="0"/>
        <v>66931.488095238092</v>
      </c>
      <c r="G6" s="46">
        <v>11244.49</v>
      </c>
      <c r="H6" s="47">
        <f>(6.16+9.72+143.2)/1000</f>
        <v>0.15907999999999997</v>
      </c>
      <c r="I6" s="47">
        <f>H6</f>
        <v>0.15907999999999997</v>
      </c>
      <c r="J6" s="48">
        <f t="shared" si="1"/>
        <v>10647.461126190474</v>
      </c>
      <c r="K6" s="46">
        <f t="shared" si="2"/>
        <v>-597.02887380952598</v>
      </c>
    </row>
    <row r="7" spans="1:29" ht="22.5" x14ac:dyDescent="0.25">
      <c r="A7" s="7" t="s">
        <v>20</v>
      </c>
      <c r="B7" s="42" t="s">
        <v>21</v>
      </c>
      <c r="C7" s="43" t="s">
        <v>93</v>
      </c>
      <c r="D7" s="7" t="s">
        <v>22</v>
      </c>
      <c r="E7" s="44">
        <v>0.02</v>
      </c>
      <c r="F7" s="45">
        <f t="shared" si="0"/>
        <v>165480.5</v>
      </c>
      <c r="G7" s="46">
        <v>3309.61</v>
      </c>
      <c r="H7" s="47">
        <f>0.76/100</f>
        <v>7.6E-3</v>
      </c>
      <c r="I7" s="47">
        <f>H7</f>
        <v>7.6E-3</v>
      </c>
      <c r="J7" s="48">
        <f t="shared" si="1"/>
        <v>1257.6518000000001</v>
      </c>
      <c r="K7" s="46">
        <f t="shared" si="2"/>
        <v>-2051.9582</v>
      </c>
    </row>
    <row r="8" spans="1:29" ht="22.5" x14ac:dyDescent="0.25">
      <c r="A8" s="7" t="s">
        <v>28</v>
      </c>
      <c r="B8" s="42" t="s">
        <v>94</v>
      </c>
      <c r="C8" s="43" t="s">
        <v>95</v>
      </c>
      <c r="D8" s="7" t="s">
        <v>22</v>
      </c>
      <c r="E8" s="44">
        <v>1.6831</v>
      </c>
      <c r="F8" s="45">
        <f t="shared" si="0"/>
        <v>292102.56075099518</v>
      </c>
      <c r="G8" s="46">
        <v>491637.82</v>
      </c>
      <c r="H8" s="49">
        <f>2.92/100</f>
        <v>2.92E-2</v>
      </c>
      <c r="I8" s="47">
        <f>H8</f>
        <v>2.92E-2</v>
      </c>
      <c r="J8" s="48">
        <f t="shared" si="1"/>
        <v>8529.3947739290597</v>
      </c>
      <c r="K8" s="50">
        <f t="shared" si="2"/>
        <v>-483108.42522607092</v>
      </c>
      <c r="L8" s="51" t="s">
        <v>96</v>
      </c>
      <c r="M8" s="113"/>
      <c r="N8" s="113"/>
      <c r="O8" s="114"/>
      <c r="P8" s="114"/>
      <c r="Q8" s="114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</row>
    <row r="9" spans="1:29" ht="22.5" x14ac:dyDescent="0.25">
      <c r="A9" s="7" t="s">
        <v>15</v>
      </c>
      <c r="B9" s="42" t="s">
        <v>97</v>
      </c>
      <c r="C9" s="43" t="s">
        <v>98</v>
      </c>
      <c r="D9" s="7" t="s">
        <v>22</v>
      </c>
      <c r="E9" s="44">
        <v>1.3690000000000001E-2</v>
      </c>
      <c r="F9" s="45">
        <f t="shared" si="0"/>
        <v>374348.42951059167</v>
      </c>
      <c r="G9" s="46">
        <v>5124.83</v>
      </c>
      <c r="H9" s="47">
        <f>H8-I8</f>
        <v>0</v>
      </c>
      <c r="I9" s="47">
        <v>0</v>
      </c>
      <c r="J9" s="48">
        <f t="shared" si="1"/>
        <v>0</v>
      </c>
      <c r="K9" s="46">
        <f t="shared" si="2"/>
        <v>-5124.83</v>
      </c>
    </row>
    <row r="10" spans="1:29" x14ac:dyDescent="0.25">
      <c r="A10" s="7" t="s">
        <v>13</v>
      </c>
      <c r="B10" s="42" t="s">
        <v>25</v>
      </c>
      <c r="C10" s="43" t="s">
        <v>26</v>
      </c>
      <c r="D10" s="7" t="s">
        <v>27</v>
      </c>
      <c r="E10" s="44">
        <v>33</v>
      </c>
      <c r="F10" s="45">
        <f t="shared" si="0"/>
        <v>1325.0209090909091</v>
      </c>
      <c r="G10" s="46">
        <v>43725.69</v>
      </c>
      <c r="H10" s="47">
        <v>33</v>
      </c>
      <c r="I10" s="47">
        <f>E10</f>
        <v>33</v>
      </c>
      <c r="J10" s="48">
        <f t="shared" si="1"/>
        <v>43725.69</v>
      </c>
      <c r="K10" s="46">
        <f t="shared" si="2"/>
        <v>0</v>
      </c>
    </row>
    <row r="11" spans="1:29" ht="22.5" x14ac:dyDescent="0.25">
      <c r="A11" s="7" t="s">
        <v>23</v>
      </c>
      <c r="B11" s="42" t="s">
        <v>30</v>
      </c>
      <c r="C11" s="43" t="s">
        <v>31</v>
      </c>
      <c r="D11" s="7" t="s">
        <v>17</v>
      </c>
      <c r="E11" s="44">
        <v>0.36</v>
      </c>
      <c r="F11" s="45">
        <f t="shared" si="0"/>
        <v>13609.388888888891</v>
      </c>
      <c r="G11" s="46">
        <v>4899.38</v>
      </c>
      <c r="H11" s="47">
        <f>(131.48+22.21+11.02-28)/1000</f>
        <v>0.13671</v>
      </c>
      <c r="I11" s="47">
        <f>H11</f>
        <v>0.13671</v>
      </c>
      <c r="J11" s="48">
        <f t="shared" si="1"/>
        <v>1860.5395550000003</v>
      </c>
      <c r="K11" s="46">
        <f t="shared" si="2"/>
        <v>-3038.8404449999998</v>
      </c>
    </row>
    <row r="12" spans="1:29" x14ac:dyDescent="0.25">
      <c r="A12" s="7" t="s">
        <v>24</v>
      </c>
      <c r="B12" s="42" t="s">
        <v>33</v>
      </c>
      <c r="C12" s="43" t="s">
        <v>34</v>
      </c>
      <c r="D12" s="7" t="s">
        <v>22</v>
      </c>
      <c r="E12" s="44">
        <v>0.28000000000000003</v>
      </c>
      <c r="F12" s="45">
        <f t="shared" si="0"/>
        <v>83699.178571428565</v>
      </c>
      <c r="G12" s="46">
        <v>23435.77</v>
      </c>
      <c r="H12" s="47">
        <f>E12</f>
        <v>0.28000000000000003</v>
      </c>
      <c r="I12" s="47">
        <f>H12</f>
        <v>0.28000000000000003</v>
      </c>
      <c r="J12" s="48">
        <f t="shared" si="1"/>
        <v>23435.77</v>
      </c>
      <c r="K12" s="46">
        <f t="shared" si="2"/>
        <v>0</v>
      </c>
    </row>
    <row r="13" spans="1:29" x14ac:dyDescent="0.25">
      <c r="A13" s="7" t="s">
        <v>29</v>
      </c>
      <c r="B13" s="42" t="s">
        <v>39</v>
      </c>
      <c r="C13" s="43" t="s">
        <v>42</v>
      </c>
      <c r="D13" s="7" t="s">
        <v>27</v>
      </c>
      <c r="E13" s="44">
        <v>9</v>
      </c>
      <c r="F13" s="45">
        <f t="shared" si="0"/>
        <v>825.62888888888892</v>
      </c>
      <c r="G13" s="46">
        <v>7430.66</v>
      </c>
      <c r="H13" s="52">
        <v>11.49</v>
      </c>
      <c r="I13" s="47">
        <f>E13</f>
        <v>9</v>
      </c>
      <c r="J13" s="48">
        <f t="shared" si="1"/>
        <v>7430.66</v>
      </c>
      <c r="K13" s="46">
        <f t="shared" si="2"/>
        <v>0</v>
      </c>
    </row>
    <row r="14" spans="1:29" s="40" customFormat="1" x14ac:dyDescent="0.25">
      <c r="A14" s="35" t="s">
        <v>99</v>
      </c>
      <c r="B14" s="35"/>
      <c r="C14" s="36"/>
      <c r="D14" s="35"/>
      <c r="E14" s="35"/>
      <c r="F14" s="53"/>
      <c r="G14" s="37"/>
      <c r="H14" s="38"/>
      <c r="I14" s="38"/>
      <c r="J14" s="48"/>
      <c r="K14" s="46"/>
      <c r="O14" s="41"/>
      <c r="P14" s="41"/>
      <c r="Q14" s="41"/>
    </row>
    <row r="15" spans="1:29" x14ac:dyDescent="0.25">
      <c r="A15" s="7" t="s">
        <v>32</v>
      </c>
      <c r="B15" s="42" t="s">
        <v>100</v>
      </c>
      <c r="C15" s="43" t="s">
        <v>101</v>
      </c>
      <c r="D15" s="7" t="s">
        <v>27</v>
      </c>
      <c r="E15" s="44">
        <v>0.8</v>
      </c>
      <c r="F15" s="45">
        <f t="shared" si="0"/>
        <v>1133.75</v>
      </c>
      <c r="G15" s="46">
        <v>907</v>
      </c>
      <c r="H15" s="52">
        <v>9.7200000000000006</v>
      </c>
      <c r="I15" s="47">
        <f>E15</f>
        <v>0.8</v>
      </c>
      <c r="J15" s="48">
        <f t="shared" si="1"/>
        <v>907</v>
      </c>
      <c r="K15" s="46">
        <f t="shared" si="2"/>
        <v>0</v>
      </c>
    </row>
    <row r="16" spans="1:29" s="63" customFormat="1" x14ac:dyDescent="0.25">
      <c r="A16" s="54" t="s">
        <v>35</v>
      </c>
      <c r="B16" s="55" t="s">
        <v>39</v>
      </c>
      <c r="C16" s="56" t="s">
        <v>45</v>
      </c>
      <c r="D16" s="54" t="s">
        <v>27</v>
      </c>
      <c r="E16" s="57">
        <v>0.92</v>
      </c>
      <c r="F16" s="58">
        <f t="shared" si="0"/>
        <v>2685.5217391304345</v>
      </c>
      <c r="G16" s="59">
        <v>2470.6799999999998</v>
      </c>
      <c r="H16" s="60">
        <f>1.15*H15</f>
        <v>11.177999999999999</v>
      </c>
      <c r="I16" s="61">
        <f>E16</f>
        <v>0.92</v>
      </c>
      <c r="J16" s="62">
        <f t="shared" si="1"/>
        <v>2470.6799999999998</v>
      </c>
      <c r="K16" s="46">
        <f t="shared" si="2"/>
        <v>0</v>
      </c>
      <c r="O16" s="64"/>
      <c r="P16" s="64"/>
      <c r="Q16" s="64"/>
    </row>
    <row r="17" spans="1:17" x14ac:dyDescent="0.25">
      <c r="A17" s="7" t="s">
        <v>36</v>
      </c>
      <c r="B17" s="42" t="s">
        <v>102</v>
      </c>
      <c r="C17" s="43" t="s">
        <v>103</v>
      </c>
      <c r="D17" s="7" t="s">
        <v>104</v>
      </c>
      <c r="E17" s="44">
        <v>0.3</v>
      </c>
      <c r="F17" s="45">
        <f t="shared" si="0"/>
        <v>12745.7</v>
      </c>
      <c r="G17" s="46">
        <v>3823.71</v>
      </c>
      <c r="H17" s="48">
        <f>2.71/10</f>
        <v>0.27100000000000002</v>
      </c>
      <c r="I17" s="48">
        <f>H17</f>
        <v>0.27100000000000002</v>
      </c>
      <c r="J17" s="48">
        <f t="shared" si="1"/>
        <v>3454.0847000000003</v>
      </c>
      <c r="K17" s="46">
        <f t="shared" si="2"/>
        <v>-369.6252999999997</v>
      </c>
    </row>
    <row r="18" spans="1:17" s="63" customFormat="1" x14ac:dyDescent="0.25">
      <c r="A18" s="54" t="s">
        <v>37</v>
      </c>
      <c r="B18" s="55" t="s">
        <v>39</v>
      </c>
      <c r="C18" s="56" t="s">
        <v>42</v>
      </c>
      <c r="D18" s="54" t="s">
        <v>27</v>
      </c>
      <c r="E18" s="57">
        <v>3.3</v>
      </c>
      <c r="F18" s="58">
        <f t="shared" si="0"/>
        <v>825.61818181818182</v>
      </c>
      <c r="G18" s="59">
        <v>2724.54</v>
      </c>
      <c r="H18" s="62">
        <f>H17*10*1.1</f>
        <v>2.9810000000000003</v>
      </c>
      <c r="I18" s="62">
        <f>H18</f>
        <v>2.9810000000000003</v>
      </c>
      <c r="J18" s="62">
        <f t="shared" si="1"/>
        <v>2461.1678000000002</v>
      </c>
      <c r="K18" s="46">
        <f t="shared" si="2"/>
        <v>-263.37219999999979</v>
      </c>
      <c r="O18" s="64"/>
      <c r="P18" s="64"/>
      <c r="Q18" s="64"/>
    </row>
    <row r="19" spans="1:17" s="40" customFormat="1" x14ac:dyDescent="0.25">
      <c r="A19" s="35" t="s">
        <v>105</v>
      </c>
      <c r="B19" s="35"/>
      <c r="C19" s="36"/>
      <c r="D19" s="35"/>
      <c r="E19" s="35"/>
      <c r="F19" s="53"/>
      <c r="G19" s="37"/>
      <c r="H19" s="38"/>
      <c r="I19" s="38"/>
      <c r="J19" s="48">
        <f t="shared" si="1"/>
        <v>0</v>
      </c>
      <c r="K19" s="46">
        <f t="shared" si="2"/>
        <v>0</v>
      </c>
      <c r="O19" s="41"/>
      <c r="P19" s="41"/>
      <c r="Q19" s="41"/>
    </row>
    <row r="20" spans="1:17" ht="22.5" x14ac:dyDescent="0.25">
      <c r="A20" s="7" t="s">
        <v>38</v>
      </c>
      <c r="B20" s="42" t="s">
        <v>106</v>
      </c>
      <c r="C20" s="43" t="s">
        <v>107</v>
      </c>
      <c r="D20" s="7" t="s">
        <v>53</v>
      </c>
      <c r="E20" s="44">
        <v>0.28999999999999998</v>
      </c>
      <c r="F20" s="45">
        <f t="shared" si="0"/>
        <v>48468.862068965522</v>
      </c>
      <c r="G20" s="46">
        <v>14055.97</v>
      </c>
      <c r="H20" s="47">
        <f>E20</f>
        <v>0.28999999999999998</v>
      </c>
      <c r="I20" s="47">
        <f>H20</f>
        <v>0.28999999999999998</v>
      </c>
      <c r="J20" s="48">
        <f t="shared" si="1"/>
        <v>14055.970000000001</v>
      </c>
      <c r="K20" s="46">
        <f t="shared" si="2"/>
        <v>0</v>
      </c>
    </row>
    <row r="21" spans="1:17" s="63" customFormat="1" ht="22.5" x14ac:dyDescent="0.25">
      <c r="A21" s="54" t="s">
        <v>40</v>
      </c>
      <c r="B21" s="55" t="s">
        <v>108</v>
      </c>
      <c r="C21" s="56" t="s">
        <v>109</v>
      </c>
      <c r="D21" s="54" t="s">
        <v>110</v>
      </c>
      <c r="E21" s="57">
        <v>29</v>
      </c>
      <c r="F21" s="58">
        <f t="shared" si="0"/>
        <v>1942.6510344827586</v>
      </c>
      <c r="G21" s="59">
        <v>56336.88</v>
      </c>
      <c r="H21" s="61">
        <f>H20*100</f>
        <v>28.999999999999996</v>
      </c>
      <c r="I21" s="61">
        <f>H21</f>
        <v>28.999999999999996</v>
      </c>
      <c r="J21" s="62">
        <f t="shared" si="1"/>
        <v>56336.87999999999</v>
      </c>
      <c r="K21" s="46">
        <f t="shared" si="2"/>
        <v>0</v>
      </c>
      <c r="O21" s="64"/>
      <c r="P21" s="64"/>
      <c r="Q21" s="64"/>
    </row>
    <row r="22" spans="1:17" s="40" customFormat="1" x14ac:dyDescent="0.25">
      <c r="A22" s="35" t="s">
        <v>111</v>
      </c>
      <c r="B22" s="35"/>
      <c r="C22" s="36"/>
      <c r="D22" s="35"/>
      <c r="E22" s="35"/>
      <c r="F22" s="53"/>
      <c r="G22" s="37"/>
      <c r="H22" s="38"/>
      <c r="I22" s="38"/>
      <c r="J22" s="48"/>
      <c r="K22" s="46"/>
      <c r="O22" s="41"/>
      <c r="P22" s="41"/>
      <c r="Q22" s="41"/>
    </row>
    <row r="23" spans="1:17" ht="22.5" x14ac:dyDescent="0.25">
      <c r="A23" s="7" t="s">
        <v>41</v>
      </c>
      <c r="B23" s="42" t="s">
        <v>112</v>
      </c>
      <c r="C23" s="43" t="s">
        <v>113</v>
      </c>
      <c r="D23" s="7" t="s">
        <v>104</v>
      </c>
      <c r="E23" s="44">
        <v>0.625</v>
      </c>
      <c r="F23" s="45">
        <f t="shared" si="0"/>
        <v>179293.21599999999</v>
      </c>
      <c r="G23" s="46">
        <v>112058.26</v>
      </c>
      <c r="H23" s="47">
        <f>E23-0.59/10</f>
        <v>0.56600000000000006</v>
      </c>
      <c r="I23" s="47">
        <f>H23</f>
        <v>0.56600000000000006</v>
      </c>
      <c r="J23" s="48">
        <f t="shared" si="1"/>
        <v>101479.96025600001</v>
      </c>
      <c r="K23" s="46">
        <f t="shared" si="2"/>
        <v>-10578.299743999989</v>
      </c>
    </row>
    <row r="24" spans="1:17" s="73" customFormat="1" ht="22.5" x14ac:dyDescent="0.25">
      <c r="A24" s="65" t="s">
        <v>43</v>
      </c>
      <c r="B24" s="66" t="s">
        <v>114</v>
      </c>
      <c r="C24" s="67" t="s">
        <v>115</v>
      </c>
      <c r="D24" s="65" t="s">
        <v>55</v>
      </c>
      <c r="E24" s="68">
        <v>1</v>
      </c>
      <c r="F24" s="69">
        <f t="shared" si="0"/>
        <v>7412.87</v>
      </c>
      <c r="G24" s="70">
        <v>7412.87</v>
      </c>
      <c r="H24" s="60">
        <v>0</v>
      </c>
      <c r="I24" s="60">
        <f>H24</f>
        <v>0</v>
      </c>
      <c r="J24" s="71">
        <f t="shared" si="1"/>
        <v>0</v>
      </c>
      <c r="K24" s="72">
        <f t="shared" si="2"/>
        <v>-7412.87</v>
      </c>
      <c r="L24" s="51" t="s">
        <v>116</v>
      </c>
      <c r="O24" s="74"/>
      <c r="P24" s="74"/>
      <c r="Q24" s="74"/>
    </row>
    <row r="25" spans="1:17" s="63" customFormat="1" ht="22.5" x14ac:dyDescent="0.25">
      <c r="A25" s="54" t="s">
        <v>44</v>
      </c>
      <c r="B25" s="55" t="s">
        <v>117</v>
      </c>
      <c r="C25" s="56" t="s">
        <v>118</v>
      </c>
      <c r="D25" s="54" t="s">
        <v>55</v>
      </c>
      <c r="E25" s="57">
        <v>1</v>
      </c>
      <c r="F25" s="58">
        <f t="shared" si="0"/>
        <v>7129.56</v>
      </c>
      <c r="G25" s="59">
        <v>7129.56</v>
      </c>
      <c r="H25" s="61">
        <v>1</v>
      </c>
      <c r="I25" s="61">
        <f>H25</f>
        <v>1</v>
      </c>
      <c r="J25" s="62">
        <f t="shared" si="1"/>
        <v>7129.56</v>
      </c>
      <c r="K25" s="46">
        <f t="shared" si="2"/>
        <v>0</v>
      </c>
      <c r="O25" s="64"/>
      <c r="P25" s="64"/>
      <c r="Q25" s="64"/>
    </row>
    <row r="26" spans="1:17" s="63" customFormat="1" ht="22.5" x14ac:dyDescent="0.25">
      <c r="A26" s="54" t="s">
        <v>46</v>
      </c>
      <c r="B26" s="55" t="s">
        <v>119</v>
      </c>
      <c r="C26" s="56" t="s">
        <v>120</v>
      </c>
      <c r="D26" s="54" t="s">
        <v>55</v>
      </c>
      <c r="E26" s="57">
        <v>1</v>
      </c>
      <c r="F26" s="58">
        <f t="shared" si="0"/>
        <v>4845.82</v>
      </c>
      <c r="G26" s="59">
        <v>4845.82</v>
      </c>
      <c r="H26" s="61">
        <v>1</v>
      </c>
      <c r="I26" s="61">
        <f t="shared" ref="I26:I29" si="3">H26</f>
        <v>1</v>
      </c>
      <c r="J26" s="62">
        <f t="shared" si="1"/>
        <v>4845.82</v>
      </c>
      <c r="K26" s="46">
        <f t="shared" si="2"/>
        <v>0</v>
      </c>
      <c r="O26" s="64"/>
      <c r="P26" s="64"/>
      <c r="Q26" s="64"/>
    </row>
    <row r="27" spans="1:17" s="63" customFormat="1" ht="22.5" x14ac:dyDescent="0.25">
      <c r="A27" s="54" t="s">
        <v>47</v>
      </c>
      <c r="B27" s="55" t="s">
        <v>121</v>
      </c>
      <c r="C27" s="56" t="s">
        <v>122</v>
      </c>
      <c r="D27" s="54" t="s">
        <v>55</v>
      </c>
      <c r="E27" s="57">
        <v>3</v>
      </c>
      <c r="F27" s="58">
        <f t="shared" si="0"/>
        <v>7353.4666666666672</v>
      </c>
      <c r="G27" s="59">
        <v>22060.400000000001</v>
      </c>
      <c r="H27" s="61">
        <v>3</v>
      </c>
      <c r="I27" s="61">
        <f t="shared" si="3"/>
        <v>3</v>
      </c>
      <c r="J27" s="62">
        <f t="shared" si="1"/>
        <v>22060.400000000001</v>
      </c>
      <c r="K27" s="46">
        <f t="shared" si="2"/>
        <v>0</v>
      </c>
      <c r="O27" s="64"/>
      <c r="P27" s="64"/>
      <c r="Q27" s="64"/>
    </row>
    <row r="28" spans="1:17" s="63" customFormat="1" ht="22.5" x14ac:dyDescent="0.25">
      <c r="A28" s="54" t="s">
        <v>48</v>
      </c>
      <c r="B28" s="55" t="s">
        <v>123</v>
      </c>
      <c r="C28" s="56" t="s">
        <v>124</v>
      </c>
      <c r="D28" s="54" t="s">
        <v>55</v>
      </c>
      <c r="E28" s="57">
        <v>1</v>
      </c>
      <c r="F28" s="58">
        <f t="shared" si="0"/>
        <v>256.47000000000003</v>
      </c>
      <c r="G28" s="59">
        <v>256.47000000000003</v>
      </c>
      <c r="H28" s="61">
        <v>1</v>
      </c>
      <c r="I28" s="61">
        <f t="shared" si="3"/>
        <v>1</v>
      </c>
      <c r="J28" s="62">
        <f t="shared" si="1"/>
        <v>256.47000000000003</v>
      </c>
      <c r="K28" s="46">
        <f t="shared" si="2"/>
        <v>0</v>
      </c>
      <c r="O28" s="64"/>
      <c r="P28" s="64"/>
      <c r="Q28" s="64"/>
    </row>
    <row r="29" spans="1:17" s="63" customFormat="1" x14ac:dyDescent="0.25">
      <c r="A29" s="54" t="s">
        <v>49</v>
      </c>
      <c r="B29" s="55" t="s">
        <v>125</v>
      </c>
      <c r="C29" s="56" t="s">
        <v>126</v>
      </c>
      <c r="D29" s="54" t="s">
        <v>55</v>
      </c>
      <c r="E29" s="57">
        <v>1</v>
      </c>
      <c r="F29" s="58">
        <f t="shared" si="0"/>
        <v>4863.6899999999996</v>
      </c>
      <c r="G29" s="59">
        <v>4863.6899999999996</v>
      </c>
      <c r="H29" s="61">
        <v>1</v>
      </c>
      <c r="I29" s="61">
        <f t="shared" si="3"/>
        <v>1</v>
      </c>
      <c r="J29" s="62">
        <f t="shared" si="1"/>
        <v>4863.6899999999996</v>
      </c>
      <c r="K29" s="46">
        <f t="shared" si="2"/>
        <v>0</v>
      </c>
      <c r="O29" s="64"/>
      <c r="P29" s="64"/>
      <c r="Q29" s="64"/>
    </row>
    <row r="30" spans="1:17" s="63" customFormat="1" x14ac:dyDescent="0.25">
      <c r="A30" s="54" t="s">
        <v>50</v>
      </c>
      <c r="B30" s="55" t="s">
        <v>127</v>
      </c>
      <c r="C30" s="56" t="s">
        <v>128</v>
      </c>
      <c r="D30" s="54" t="s">
        <v>51</v>
      </c>
      <c r="E30" s="57">
        <v>2.682E-2</v>
      </c>
      <c r="F30" s="58">
        <f t="shared" si="0"/>
        <v>61778.150633855337</v>
      </c>
      <c r="G30" s="59">
        <v>1656.89</v>
      </c>
      <c r="H30" s="75">
        <f>(22.62+3)/1000</f>
        <v>2.562E-2</v>
      </c>
      <c r="I30" s="75">
        <v>2.5999999999999999E-2</v>
      </c>
      <c r="J30" s="62">
        <f t="shared" si="1"/>
        <v>1606.2319164802386</v>
      </c>
      <c r="K30" s="46">
        <f t="shared" si="2"/>
        <v>-50.658083519761476</v>
      </c>
      <c r="O30" s="64"/>
      <c r="P30" s="64"/>
      <c r="Q30" s="64"/>
    </row>
    <row r="31" spans="1:17" s="63" customFormat="1" ht="22.5" x14ac:dyDescent="0.25">
      <c r="A31" s="54" t="s">
        <v>52</v>
      </c>
      <c r="B31" s="55" t="s">
        <v>129</v>
      </c>
      <c r="C31" s="56" t="s">
        <v>130</v>
      </c>
      <c r="D31" s="54" t="s">
        <v>55</v>
      </c>
      <c r="E31" s="57">
        <v>1</v>
      </c>
      <c r="F31" s="58">
        <f t="shared" si="0"/>
        <v>2307.9699999999998</v>
      </c>
      <c r="G31" s="59">
        <v>2307.9699999999998</v>
      </c>
      <c r="H31" s="61">
        <v>1</v>
      </c>
      <c r="I31" s="61">
        <f t="shared" ref="I31:I47" si="4">H31</f>
        <v>1</v>
      </c>
      <c r="J31" s="62">
        <f t="shared" si="1"/>
        <v>2307.9699999999998</v>
      </c>
      <c r="K31" s="46">
        <f t="shared" si="2"/>
        <v>0</v>
      </c>
      <c r="O31" s="64"/>
      <c r="P31" s="64"/>
      <c r="Q31" s="64"/>
    </row>
    <row r="32" spans="1:17" ht="22.5" x14ac:dyDescent="0.25">
      <c r="A32" s="7" t="s">
        <v>54</v>
      </c>
      <c r="B32" s="42" t="s">
        <v>131</v>
      </c>
      <c r="C32" s="43" t="s">
        <v>132</v>
      </c>
      <c r="D32" s="7" t="s">
        <v>133</v>
      </c>
      <c r="E32" s="44">
        <v>0.375</v>
      </c>
      <c r="F32" s="45">
        <f t="shared" si="0"/>
        <v>29688.399999999998</v>
      </c>
      <c r="G32" s="46">
        <v>11133.15</v>
      </c>
      <c r="H32" s="49">
        <f>34.8/100</f>
        <v>0.34799999999999998</v>
      </c>
      <c r="I32" s="47">
        <f t="shared" si="4"/>
        <v>0.34799999999999998</v>
      </c>
      <c r="J32" s="48">
        <f t="shared" si="1"/>
        <v>10331.563199999999</v>
      </c>
      <c r="K32" s="46">
        <f t="shared" si="2"/>
        <v>-801.58680000000095</v>
      </c>
    </row>
    <row r="33" spans="1:17" s="63" customFormat="1" x14ac:dyDescent="0.25">
      <c r="A33" s="54" t="s">
        <v>56</v>
      </c>
      <c r="B33" s="55" t="s">
        <v>134</v>
      </c>
      <c r="C33" s="56" t="s">
        <v>135</v>
      </c>
      <c r="D33" s="54" t="s">
        <v>51</v>
      </c>
      <c r="E33" s="57">
        <v>7.4999999999999997E-2</v>
      </c>
      <c r="F33" s="58">
        <f t="shared" si="0"/>
        <v>176237.46666666667</v>
      </c>
      <c r="G33" s="59">
        <v>13217.81</v>
      </c>
      <c r="H33" s="75">
        <f>H32*2*100/1000</f>
        <v>6.9599999999999995E-2</v>
      </c>
      <c r="I33" s="75">
        <f t="shared" si="4"/>
        <v>6.9599999999999995E-2</v>
      </c>
      <c r="J33" s="62">
        <f t="shared" si="1"/>
        <v>12266.12768</v>
      </c>
      <c r="K33" s="46">
        <f t="shared" si="2"/>
        <v>-951.68231999999989</v>
      </c>
      <c r="O33" s="64"/>
      <c r="P33" s="64"/>
      <c r="Q33" s="64"/>
    </row>
    <row r="34" spans="1:17" s="63" customFormat="1" x14ac:dyDescent="0.25">
      <c r="A34" s="54" t="s">
        <v>57</v>
      </c>
      <c r="B34" s="55" t="s">
        <v>136</v>
      </c>
      <c r="C34" s="56" t="s">
        <v>137</v>
      </c>
      <c r="D34" s="54" t="s">
        <v>51</v>
      </c>
      <c r="E34" s="57">
        <v>1.2E-2</v>
      </c>
      <c r="F34" s="58">
        <f t="shared" si="0"/>
        <v>96988.333333333328</v>
      </c>
      <c r="G34" s="59">
        <v>1163.8599999999999</v>
      </c>
      <c r="H34" s="75">
        <f>0.32*H32*100/1000</f>
        <v>1.1136E-2</v>
      </c>
      <c r="I34" s="75">
        <f t="shared" si="4"/>
        <v>1.1136E-2</v>
      </c>
      <c r="J34" s="62">
        <f t="shared" si="1"/>
        <v>1080.0620799999999</v>
      </c>
      <c r="K34" s="46">
        <f t="shared" si="2"/>
        <v>-83.797919999999976</v>
      </c>
      <c r="O34" s="64"/>
      <c r="P34" s="64"/>
      <c r="Q34" s="64"/>
    </row>
    <row r="35" spans="1:17" s="82" customFormat="1" ht="22.5" x14ac:dyDescent="0.25">
      <c r="A35" s="76" t="s">
        <v>58</v>
      </c>
      <c r="B35" s="77" t="s">
        <v>138</v>
      </c>
      <c r="C35" s="78" t="s">
        <v>139</v>
      </c>
      <c r="D35" s="76" t="s">
        <v>22</v>
      </c>
      <c r="E35" s="79">
        <v>5.0000000000000001E-3</v>
      </c>
      <c r="F35" s="11">
        <f t="shared" si="0"/>
        <v>1930093.9999999998</v>
      </c>
      <c r="G35" s="80">
        <v>9650.4699999999993</v>
      </c>
      <c r="H35" s="49">
        <f>E35</f>
        <v>5.0000000000000001E-3</v>
      </c>
      <c r="I35" s="49">
        <f t="shared" si="4"/>
        <v>5.0000000000000001E-3</v>
      </c>
      <c r="J35" s="81">
        <f t="shared" si="1"/>
        <v>9650.4699999999993</v>
      </c>
      <c r="K35" s="80">
        <f t="shared" si="2"/>
        <v>0</v>
      </c>
      <c r="O35" s="83"/>
      <c r="P35" s="83"/>
      <c r="Q35" s="83"/>
    </row>
    <row r="36" spans="1:17" s="73" customFormat="1" ht="22.5" x14ac:dyDescent="0.25">
      <c r="A36" s="84" t="s">
        <v>59</v>
      </c>
      <c r="B36" s="85" t="s">
        <v>140</v>
      </c>
      <c r="C36" s="86" t="s">
        <v>141</v>
      </c>
      <c r="D36" s="84" t="s">
        <v>27</v>
      </c>
      <c r="E36" s="87">
        <v>0.50749999999999995</v>
      </c>
      <c r="F36" s="88">
        <f t="shared" si="0"/>
        <v>6940.9064039408877</v>
      </c>
      <c r="G36" s="89">
        <v>3522.51</v>
      </c>
      <c r="H36" s="90">
        <f>E36</f>
        <v>0.50749999999999995</v>
      </c>
      <c r="I36" s="90">
        <f t="shared" si="4"/>
        <v>0.50749999999999995</v>
      </c>
      <c r="J36" s="91">
        <f t="shared" si="1"/>
        <v>3522.51</v>
      </c>
      <c r="K36" s="80">
        <f t="shared" si="2"/>
        <v>0</v>
      </c>
      <c r="O36" s="74"/>
      <c r="P36" s="74"/>
      <c r="Q36" s="74"/>
    </row>
    <row r="37" spans="1:17" s="73" customFormat="1" ht="22.5" x14ac:dyDescent="0.25">
      <c r="A37" s="65" t="s">
        <v>60</v>
      </c>
      <c r="B37" s="66" t="s">
        <v>142</v>
      </c>
      <c r="C37" s="67" t="s">
        <v>143</v>
      </c>
      <c r="D37" s="65" t="s">
        <v>51</v>
      </c>
      <c r="E37" s="68">
        <v>2.9000000000000001E-2</v>
      </c>
      <c r="F37" s="69">
        <f t="shared" si="0"/>
        <v>65395.517241379312</v>
      </c>
      <c r="G37" s="70">
        <v>1896.47</v>
      </c>
      <c r="H37" s="92">
        <v>0</v>
      </c>
      <c r="I37" s="92">
        <f t="shared" si="4"/>
        <v>0</v>
      </c>
      <c r="J37" s="71">
        <f t="shared" si="1"/>
        <v>0</v>
      </c>
      <c r="K37" s="72">
        <f t="shared" si="2"/>
        <v>-1896.47</v>
      </c>
      <c r="L37" s="51" t="s">
        <v>144</v>
      </c>
      <c r="O37" s="74"/>
      <c r="P37" s="74"/>
      <c r="Q37" s="74"/>
    </row>
    <row r="38" spans="1:17" s="82" customFormat="1" x14ac:dyDescent="0.25">
      <c r="A38" s="93" t="s">
        <v>61</v>
      </c>
      <c r="B38" s="94" t="s">
        <v>145</v>
      </c>
      <c r="C38" s="95" t="s">
        <v>146</v>
      </c>
      <c r="D38" s="93" t="s">
        <v>51</v>
      </c>
      <c r="E38" s="96">
        <v>1.14E-2</v>
      </c>
      <c r="F38" s="97">
        <f t="shared" si="0"/>
        <v>233056.14035087719</v>
      </c>
      <c r="G38" s="72">
        <v>2656.84</v>
      </c>
      <c r="H38" s="98">
        <v>0</v>
      </c>
      <c r="I38" s="92">
        <f t="shared" si="4"/>
        <v>0</v>
      </c>
      <c r="J38" s="99">
        <f t="shared" si="1"/>
        <v>0</v>
      </c>
      <c r="K38" s="72">
        <f t="shared" si="2"/>
        <v>-2656.84</v>
      </c>
      <c r="O38" s="83"/>
      <c r="P38" s="83"/>
      <c r="Q38" s="83"/>
    </row>
    <row r="39" spans="1:17" s="73" customFormat="1" ht="33.75" x14ac:dyDescent="0.25">
      <c r="A39" s="65" t="s">
        <v>62</v>
      </c>
      <c r="B39" s="66" t="s">
        <v>147</v>
      </c>
      <c r="C39" s="67" t="s">
        <v>148</v>
      </c>
      <c r="D39" s="65" t="s">
        <v>51</v>
      </c>
      <c r="E39" s="68">
        <v>1.14E-2</v>
      </c>
      <c r="F39" s="69">
        <f t="shared" si="0"/>
        <v>55487.719298245611</v>
      </c>
      <c r="G39" s="70">
        <v>632.55999999999995</v>
      </c>
      <c r="H39" s="92">
        <v>0</v>
      </c>
      <c r="I39" s="92">
        <f t="shared" si="4"/>
        <v>0</v>
      </c>
      <c r="J39" s="71">
        <f t="shared" si="1"/>
        <v>0</v>
      </c>
      <c r="K39" s="72">
        <f t="shared" si="2"/>
        <v>-632.55999999999995</v>
      </c>
      <c r="O39" s="74"/>
      <c r="P39" s="74"/>
      <c r="Q39" s="74"/>
    </row>
    <row r="40" spans="1:17" s="82" customFormat="1" x14ac:dyDescent="0.25">
      <c r="A40" s="93" t="s">
        <v>63</v>
      </c>
      <c r="B40" s="94" t="s">
        <v>149</v>
      </c>
      <c r="C40" s="95" t="s">
        <v>150</v>
      </c>
      <c r="D40" s="93" t="s">
        <v>51</v>
      </c>
      <c r="E40" s="96">
        <v>3.7319999999999999E-2</v>
      </c>
      <c r="F40" s="97">
        <f t="shared" si="0"/>
        <v>28126.741693461954</v>
      </c>
      <c r="G40" s="72">
        <v>1049.69</v>
      </c>
      <c r="H40" s="98">
        <v>0</v>
      </c>
      <c r="I40" s="92">
        <f t="shared" si="4"/>
        <v>0</v>
      </c>
      <c r="J40" s="99">
        <f t="shared" si="1"/>
        <v>0</v>
      </c>
      <c r="K40" s="72">
        <f t="shared" si="2"/>
        <v>-1049.69</v>
      </c>
      <c r="O40" s="83"/>
      <c r="P40" s="83"/>
      <c r="Q40" s="83"/>
    </row>
    <row r="41" spans="1:17" s="73" customFormat="1" ht="22.5" x14ac:dyDescent="0.25">
      <c r="A41" s="65" t="s">
        <v>64</v>
      </c>
      <c r="B41" s="66" t="s">
        <v>151</v>
      </c>
      <c r="C41" s="67" t="s">
        <v>152</v>
      </c>
      <c r="D41" s="65" t="s">
        <v>51</v>
      </c>
      <c r="E41" s="68">
        <v>1.38E-2</v>
      </c>
      <c r="F41" s="69">
        <f t="shared" si="0"/>
        <v>52377.536231884056</v>
      </c>
      <c r="G41" s="70">
        <v>722.81</v>
      </c>
      <c r="H41" s="92">
        <v>0</v>
      </c>
      <c r="I41" s="92">
        <f t="shared" si="4"/>
        <v>0</v>
      </c>
      <c r="J41" s="71">
        <f t="shared" si="1"/>
        <v>0</v>
      </c>
      <c r="K41" s="72">
        <f t="shared" si="2"/>
        <v>-722.81</v>
      </c>
      <c r="O41" s="74"/>
      <c r="P41" s="74"/>
      <c r="Q41" s="74"/>
    </row>
    <row r="42" spans="1:17" s="73" customFormat="1" x14ac:dyDescent="0.25">
      <c r="A42" s="65" t="s">
        <v>65</v>
      </c>
      <c r="B42" s="66" t="s">
        <v>153</v>
      </c>
      <c r="C42" s="67" t="s">
        <v>154</v>
      </c>
      <c r="D42" s="65" t="s">
        <v>51</v>
      </c>
      <c r="E42" s="68">
        <v>1.044E-2</v>
      </c>
      <c r="F42" s="69">
        <f t="shared" si="0"/>
        <v>60262.452107279692</v>
      </c>
      <c r="G42" s="70">
        <v>629.14</v>
      </c>
      <c r="H42" s="92">
        <v>0</v>
      </c>
      <c r="I42" s="92">
        <f t="shared" si="4"/>
        <v>0</v>
      </c>
      <c r="J42" s="71">
        <f t="shared" si="1"/>
        <v>0</v>
      </c>
      <c r="K42" s="72">
        <f t="shared" si="2"/>
        <v>-629.14</v>
      </c>
      <c r="O42" s="74"/>
      <c r="P42" s="74"/>
      <c r="Q42" s="74"/>
    </row>
    <row r="43" spans="1:17" s="73" customFormat="1" x14ac:dyDescent="0.25">
      <c r="A43" s="65" t="s">
        <v>66</v>
      </c>
      <c r="B43" s="66" t="s">
        <v>155</v>
      </c>
      <c r="C43" s="67" t="s">
        <v>156</v>
      </c>
      <c r="D43" s="65" t="s">
        <v>51</v>
      </c>
      <c r="E43" s="68">
        <v>1.308E-2</v>
      </c>
      <c r="F43" s="69">
        <f t="shared" si="0"/>
        <v>37605.504587155963</v>
      </c>
      <c r="G43" s="70">
        <v>491.88</v>
      </c>
      <c r="H43" s="92">
        <v>0</v>
      </c>
      <c r="I43" s="92">
        <f t="shared" si="4"/>
        <v>0</v>
      </c>
      <c r="J43" s="71">
        <f t="shared" si="1"/>
        <v>0</v>
      </c>
      <c r="K43" s="72">
        <f t="shared" si="2"/>
        <v>-491.88</v>
      </c>
      <c r="O43" s="74"/>
      <c r="P43" s="74"/>
      <c r="Q43" s="74"/>
    </row>
    <row r="44" spans="1:17" s="82" customFormat="1" x14ac:dyDescent="0.25">
      <c r="A44" s="93" t="s">
        <v>157</v>
      </c>
      <c r="B44" s="94" t="s">
        <v>145</v>
      </c>
      <c r="C44" s="95" t="s">
        <v>146</v>
      </c>
      <c r="D44" s="93" t="s">
        <v>51</v>
      </c>
      <c r="E44" s="96">
        <v>2.826E-2</v>
      </c>
      <c r="F44" s="97">
        <f t="shared" si="0"/>
        <v>233086.69497523</v>
      </c>
      <c r="G44" s="72">
        <v>6587.03</v>
      </c>
      <c r="H44" s="98">
        <v>0</v>
      </c>
      <c r="I44" s="92">
        <f t="shared" si="4"/>
        <v>0</v>
      </c>
      <c r="J44" s="99">
        <f t="shared" si="1"/>
        <v>0</v>
      </c>
      <c r="K44" s="72">
        <f t="shared" si="2"/>
        <v>-6587.03</v>
      </c>
      <c r="O44" s="83"/>
      <c r="P44" s="83"/>
      <c r="Q44" s="83"/>
    </row>
    <row r="45" spans="1:17" s="73" customFormat="1" ht="22.5" x14ac:dyDescent="0.25">
      <c r="A45" s="65" t="s">
        <v>158</v>
      </c>
      <c r="B45" s="66" t="s">
        <v>159</v>
      </c>
      <c r="C45" s="67" t="s">
        <v>160</v>
      </c>
      <c r="D45" s="65" t="s">
        <v>51</v>
      </c>
      <c r="E45" s="68">
        <v>2.826E-2</v>
      </c>
      <c r="F45" s="69">
        <f t="shared" si="0"/>
        <v>54443.382873319177</v>
      </c>
      <c r="G45" s="70">
        <v>1538.57</v>
      </c>
      <c r="H45" s="92">
        <v>0</v>
      </c>
      <c r="I45" s="92">
        <f t="shared" si="4"/>
        <v>0</v>
      </c>
      <c r="J45" s="71">
        <f t="shared" si="1"/>
        <v>0</v>
      </c>
      <c r="K45" s="72">
        <f t="shared" si="2"/>
        <v>-1538.57</v>
      </c>
      <c r="O45" s="74"/>
      <c r="P45" s="74"/>
      <c r="Q45" s="74"/>
    </row>
    <row r="46" spans="1:17" s="82" customFormat="1" ht="22.5" x14ac:dyDescent="0.25">
      <c r="A46" s="93" t="s">
        <v>161</v>
      </c>
      <c r="B46" s="94" t="s">
        <v>162</v>
      </c>
      <c r="C46" s="95" t="s">
        <v>163</v>
      </c>
      <c r="D46" s="93" t="s">
        <v>133</v>
      </c>
      <c r="E46" s="96">
        <v>0.03</v>
      </c>
      <c r="F46" s="97">
        <f t="shared" si="0"/>
        <v>15832.666666666668</v>
      </c>
      <c r="G46" s="72">
        <v>474.98</v>
      </c>
      <c r="H46" s="98">
        <v>0</v>
      </c>
      <c r="I46" s="92">
        <f t="shared" si="4"/>
        <v>0</v>
      </c>
      <c r="J46" s="99">
        <f t="shared" si="1"/>
        <v>0</v>
      </c>
      <c r="K46" s="72">
        <f t="shared" si="2"/>
        <v>-474.98</v>
      </c>
      <c r="O46" s="83"/>
      <c r="P46" s="83"/>
      <c r="Q46" s="83"/>
    </row>
    <row r="47" spans="1:17" s="82" customFormat="1" ht="22.5" x14ac:dyDescent="0.25">
      <c r="A47" s="93" t="s">
        <v>164</v>
      </c>
      <c r="B47" s="94" t="s">
        <v>165</v>
      </c>
      <c r="C47" s="95" t="s">
        <v>166</v>
      </c>
      <c r="D47" s="93" t="s">
        <v>133</v>
      </c>
      <c r="E47" s="96">
        <v>0.03</v>
      </c>
      <c r="F47" s="97">
        <f t="shared" si="0"/>
        <v>37694.333333333336</v>
      </c>
      <c r="G47" s="72">
        <v>1130.83</v>
      </c>
      <c r="H47" s="98">
        <v>0</v>
      </c>
      <c r="I47" s="92">
        <f t="shared" si="4"/>
        <v>0</v>
      </c>
      <c r="J47" s="99">
        <f t="shared" si="1"/>
        <v>0</v>
      </c>
      <c r="K47" s="72">
        <f t="shared" si="2"/>
        <v>-1130.83</v>
      </c>
      <c r="O47" s="83"/>
      <c r="P47" s="83"/>
      <c r="Q47" s="83"/>
    </row>
    <row r="48" spans="1:17" s="51" customFormat="1" x14ac:dyDescent="0.25">
      <c r="A48" s="100" t="s">
        <v>167</v>
      </c>
      <c r="B48" s="100"/>
      <c r="C48" s="101"/>
      <c r="D48" s="100"/>
      <c r="E48" s="100"/>
      <c r="F48" s="102"/>
      <c r="G48" s="50"/>
      <c r="H48" s="103"/>
      <c r="I48" s="103"/>
      <c r="J48" s="99"/>
      <c r="K48" s="46"/>
      <c r="L48" s="51" t="s">
        <v>168</v>
      </c>
      <c r="O48" s="104"/>
      <c r="P48" s="104"/>
      <c r="Q48" s="104"/>
    </row>
    <row r="49" spans="1:18" s="82" customFormat="1" ht="22.5" x14ac:dyDescent="0.25">
      <c r="A49" s="93" t="s">
        <v>169</v>
      </c>
      <c r="B49" s="94" t="s">
        <v>87</v>
      </c>
      <c r="C49" s="95" t="s">
        <v>170</v>
      </c>
      <c r="D49" s="93" t="s">
        <v>17</v>
      </c>
      <c r="E49" s="96">
        <v>0.2</v>
      </c>
      <c r="F49" s="97">
        <f t="shared" si="0"/>
        <v>59701.649999999994</v>
      </c>
      <c r="G49" s="72">
        <v>11940.33</v>
      </c>
      <c r="H49" s="98">
        <v>0</v>
      </c>
      <c r="I49" s="98">
        <f>H49</f>
        <v>0</v>
      </c>
      <c r="J49" s="99">
        <f t="shared" si="1"/>
        <v>0</v>
      </c>
      <c r="K49" s="72">
        <f t="shared" si="2"/>
        <v>-11940.33</v>
      </c>
      <c r="O49" s="83"/>
      <c r="P49" s="83"/>
      <c r="Q49" s="83"/>
    </row>
    <row r="50" spans="1:18" s="82" customFormat="1" ht="22.5" x14ac:dyDescent="0.25">
      <c r="A50" s="93" t="s">
        <v>171</v>
      </c>
      <c r="B50" s="94" t="s">
        <v>89</v>
      </c>
      <c r="C50" s="95" t="s">
        <v>172</v>
      </c>
      <c r="D50" s="93" t="s">
        <v>17</v>
      </c>
      <c r="E50" s="96">
        <v>5.0000000000000001E-3</v>
      </c>
      <c r="F50" s="97">
        <f t="shared" si="0"/>
        <v>101600</v>
      </c>
      <c r="G50" s="72">
        <v>508</v>
      </c>
      <c r="H50" s="98">
        <v>0</v>
      </c>
      <c r="I50" s="98">
        <f t="shared" ref="I50:I63" si="5">H50</f>
        <v>0</v>
      </c>
      <c r="J50" s="99">
        <f t="shared" si="1"/>
        <v>0</v>
      </c>
      <c r="K50" s="72">
        <f t="shared" si="2"/>
        <v>-508</v>
      </c>
      <c r="O50" s="83"/>
      <c r="P50" s="83"/>
      <c r="Q50" s="83"/>
    </row>
    <row r="51" spans="1:18" s="82" customFormat="1" ht="33.75" x14ac:dyDescent="0.25">
      <c r="A51" s="93" t="s">
        <v>173</v>
      </c>
      <c r="B51" s="94" t="s">
        <v>174</v>
      </c>
      <c r="C51" s="95" t="s">
        <v>175</v>
      </c>
      <c r="D51" s="93" t="s">
        <v>22</v>
      </c>
      <c r="E51" s="96">
        <v>0.7</v>
      </c>
      <c r="F51" s="97">
        <f t="shared" si="0"/>
        <v>327508.47142857144</v>
      </c>
      <c r="G51" s="72">
        <v>229255.93</v>
      </c>
      <c r="H51" s="98">
        <v>0</v>
      </c>
      <c r="I51" s="98">
        <f t="shared" si="5"/>
        <v>0</v>
      </c>
      <c r="J51" s="99">
        <f t="shared" si="1"/>
        <v>0</v>
      </c>
      <c r="K51" s="72">
        <f t="shared" si="2"/>
        <v>-229255.93</v>
      </c>
      <c r="O51" s="83"/>
      <c r="P51" s="83"/>
      <c r="Q51" s="83"/>
    </row>
    <row r="52" spans="1:18" s="82" customFormat="1" x14ac:dyDescent="0.25">
      <c r="A52" s="93" t="s">
        <v>176</v>
      </c>
      <c r="B52" s="94" t="s">
        <v>25</v>
      </c>
      <c r="C52" s="95" t="s">
        <v>26</v>
      </c>
      <c r="D52" s="93" t="s">
        <v>27</v>
      </c>
      <c r="E52" s="96">
        <v>5</v>
      </c>
      <c r="F52" s="97">
        <f t="shared" si="0"/>
        <v>1325.02</v>
      </c>
      <c r="G52" s="72">
        <v>6625.1</v>
      </c>
      <c r="H52" s="98">
        <v>0</v>
      </c>
      <c r="I52" s="98">
        <f t="shared" si="5"/>
        <v>0</v>
      </c>
      <c r="J52" s="99">
        <f t="shared" si="1"/>
        <v>0</v>
      </c>
      <c r="K52" s="72">
        <f t="shared" si="2"/>
        <v>-6625.1</v>
      </c>
      <c r="O52" s="83"/>
      <c r="P52" s="83"/>
      <c r="Q52" s="83"/>
    </row>
    <row r="53" spans="1:18" s="82" customFormat="1" ht="22.5" x14ac:dyDescent="0.25">
      <c r="A53" s="93" t="s">
        <v>177</v>
      </c>
      <c r="B53" s="94" t="s">
        <v>30</v>
      </c>
      <c r="C53" s="95" t="s">
        <v>31</v>
      </c>
      <c r="D53" s="93" t="s">
        <v>17</v>
      </c>
      <c r="E53" s="96">
        <v>0.25700000000000001</v>
      </c>
      <c r="F53" s="97">
        <f t="shared" si="0"/>
        <v>13608.63813229572</v>
      </c>
      <c r="G53" s="72">
        <v>3497.42</v>
      </c>
      <c r="H53" s="98">
        <v>0</v>
      </c>
      <c r="I53" s="98">
        <f t="shared" si="5"/>
        <v>0</v>
      </c>
      <c r="J53" s="99">
        <f t="shared" si="1"/>
        <v>0</v>
      </c>
      <c r="K53" s="72">
        <f t="shared" si="2"/>
        <v>-3497.42</v>
      </c>
      <c r="O53" s="83"/>
      <c r="P53" s="83"/>
      <c r="Q53" s="83"/>
    </row>
    <row r="54" spans="1:18" s="82" customFormat="1" x14ac:dyDescent="0.25">
      <c r="A54" s="93" t="s">
        <v>178</v>
      </c>
      <c r="B54" s="94" t="s">
        <v>33</v>
      </c>
      <c r="C54" s="95" t="s">
        <v>34</v>
      </c>
      <c r="D54" s="93" t="s">
        <v>22</v>
      </c>
      <c r="E54" s="96">
        <v>0.13</v>
      </c>
      <c r="F54" s="97">
        <f t="shared" si="0"/>
        <v>83701.846153846156</v>
      </c>
      <c r="G54" s="72">
        <v>10881.24</v>
      </c>
      <c r="H54" s="98">
        <v>0</v>
      </c>
      <c r="I54" s="98">
        <f t="shared" si="5"/>
        <v>0</v>
      </c>
      <c r="J54" s="99">
        <f t="shared" si="1"/>
        <v>0</v>
      </c>
      <c r="K54" s="72">
        <f t="shared" si="2"/>
        <v>-10881.24</v>
      </c>
      <c r="O54" s="83"/>
      <c r="P54" s="83"/>
      <c r="Q54" s="83"/>
    </row>
    <row r="55" spans="1:18" s="82" customFormat="1" ht="22.5" x14ac:dyDescent="0.25">
      <c r="A55" s="93" t="s">
        <v>179</v>
      </c>
      <c r="B55" s="94" t="s">
        <v>180</v>
      </c>
      <c r="C55" s="95" t="s">
        <v>181</v>
      </c>
      <c r="D55" s="93" t="s">
        <v>53</v>
      </c>
      <c r="E55" s="96">
        <v>0.33</v>
      </c>
      <c r="F55" s="97">
        <f t="shared" si="0"/>
        <v>468932.45454545447</v>
      </c>
      <c r="G55" s="72">
        <v>154747.71</v>
      </c>
      <c r="H55" s="98">
        <v>0</v>
      </c>
      <c r="I55" s="98">
        <f t="shared" si="5"/>
        <v>0</v>
      </c>
      <c r="J55" s="99">
        <f t="shared" si="1"/>
        <v>0</v>
      </c>
      <c r="K55" s="72">
        <f t="shared" si="2"/>
        <v>-154747.71</v>
      </c>
      <c r="O55" s="83"/>
      <c r="P55" s="83"/>
      <c r="Q55" s="83"/>
    </row>
    <row r="56" spans="1:18" s="82" customFormat="1" x14ac:dyDescent="0.25">
      <c r="A56" s="93" t="s">
        <v>182</v>
      </c>
      <c r="B56" s="94" t="s">
        <v>183</v>
      </c>
      <c r="C56" s="95" t="s">
        <v>184</v>
      </c>
      <c r="D56" s="93" t="s">
        <v>27</v>
      </c>
      <c r="E56" s="96">
        <v>-0.33</v>
      </c>
      <c r="F56" s="97">
        <f t="shared" si="0"/>
        <v>7968.6060606060601</v>
      </c>
      <c r="G56" s="72">
        <v>-2629.64</v>
      </c>
      <c r="H56" s="98">
        <v>0</v>
      </c>
      <c r="I56" s="98">
        <f t="shared" si="5"/>
        <v>0</v>
      </c>
      <c r="J56" s="99">
        <f t="shared" si="1"/>
        <v>0</v>
      </c>
      <c r="K56" s="72">
        <f t="shared" si="2"/>
        <v>2629.64</v>
      </c>
      <c r="O56" s="83"/>
      <c r="P56" s="83"/>
      <c r="Q56" s="83"/>
    </row>
    <row r="57" spans="1:18" s="82" customFormat="1" ht="22.5" x14ac:dyDescent="0.25">
      <c r="A57" s="93" t="s">
        <v>185</v>
      </c>
      <c r="B57" s="94" t="s">
        <v>186</v>
      </c>
      <c r="C57" s="95" t="s">
        <v>187</v>
      </c>
      <c r="D57" s="93" t="s">
        <v>55</v>
      </c>
      <c r="E57" s="96">
        <v>6</v>
      </c>
      <c r="F57" s="97">
        <f t="shared" si="0"/>
        <v>4502.1166666666668</v>
      </c>
      <c r="G57" s="72">
        <v>27012.7</v>
      </c>
      <c r="H57" s="98">
        <v>0</v>
      </c>
      <c r="I57" s="98">
        <f t="shared" si="5"/>
        <v>0</v>
      </c>
      <c r="J57" s="99">
        <f t="shared" si="1"/>
        <v>0</v>
      </c>
      <c r="K57" s="72">
        <f t="shared" si="2"/>
        <v>-27012.7</v>
      </c>
      <c r="O57" s="83"/>
      <c r="P57" s="83"/>
      <c r="Q57" s="83"/>
    </row>
    <row r="58" spans="1:18" s="82" customFormat="1" ht="22.5" x14ac:dyDescent="0.25">
      <c r="A58" s="93" t="s">
        <v>188</v>
      </c>
      <c r="B58" s="94" t="s">
        <v>189</v>
      </c>
      <c r="C58" s="95" t="s">
        <v>190</v>
      </c>
      <c r="D58" s="93" t="s">
        <v>110</v>
      </c>
      <c r="E58" s="96">
        <v>33.33</v>
      </c>
      <c r="F58" s="97">
        <f t="shared" si="0"/>
        <v>4425.1683168316831</v>
      </c>
      <c r="G58" s="72">
        <v>147490.85999999999</v>
      </c>
      <c r="H58" s="98">
        <v>0</v>
      </c>
      <c r="I58" s="98">
        <f t="shared" si="5"/>
        <v>0</v>
      </c>
      <c r="J58" s="99">
        <f t="shared" si="1"/>
        <v>0</v>
      </c>
      <c r="K58" s="72">
        <f t="shared" si="2"/>
        <v>-147490.85999999999</v>
      </c>
      <c r="O58" s="83"/>
      <c r="P58" s="83"/>
      <c r="Q58" s="83"/>
    </row>
    <row r="59" spans="1:18" s="82" customFormat="1" x14ac:dyDescent="0.25">
      <c r="A59" s="93" t="s">
        <v>191</v>
      </c>
      <c r="B59" s="94" t="s">
        <v>192</v>
      </c>
      <c r="C59" s="95" t="s">
        <v>193</v>
      </c>
      <c r="D59" s="93" t="s">
        <v>194</v>
      </c>
      <c r="E59" s="96">
        <v>66</v>
      </c>
      <c r="F59" s="97">
        <f t="shared" si="0"/>
        <v>385.83318181818186</v>
      </c>
      <c r="G59" s="72">
        <v>25464.99</v>
      </c>
      <c r="H59" s="98">
        <v>0</v>
      </c>
      <c r="I59" s="98">
        <f t="shared" si="5"/>
        <v>0</v>
      </c>
      <c r="J59" s="99">
        <f t="shared" si="1"/>
        <v>0</v>
      </c>
      <c r="K59" s="72">
        <f t="shared" si="2"/>
        <v>-25464.99</v>
      </c>
      <c r="O59" s="83"/>
      <c r="P59" s="83"/>
      <c r="Q59" s="83"/>
    </row>
    <row r="60" spans="1:18" s="82" customFormat="1" ht="22.5" x14ac:dyDescent="0.25">
      <c r="A60" s="93" t="s">
        <v>195</v>
      </c>
      <c r="B60" s="94" t="s">
        <v>196</v>
      </c>
      <c r="C60" s="95" t="s">
        <v>197</v>
      </c>
      <c r="D60" s="93" t="s">
        <v>198</v>
      </c>
      <c r="E60" s="96">
        <v>3.3000000000000002E-2</v>
      </c>
      <c r="F60" s="97">
        <f t="shared" si="0"/>
        <v>1147547.2727272727</v>
      </c>
      <c r="G60" s="72">
        <v>37869.06</v>
      </c>
      <c r="H60" s="98">
        <v>0</v>
      </c>
      <c r="I60" s="98">
        <f t="shared" si="5"/>
        <v>0</v>
      </c>
      <c r="J60" s="99">
        <f t="shared" si="1"/>
        <v>0</v>
      </c>
      <c r="K60" s="72">
        <f t="shared" si="2"/>
        <v>-37869.06</v>
      </c>
      <c r="O60" s="83"/>
      <c r="P60" s="83"/>
      <c r="Q60" s="83"/>
    </row>
    <row r="61" spans="1:18" s="82" customFormat="1" ht="33.75" x14ac:dyDescent="0.25">
      <c r="A61" s="93" t="s">
        <v>199</v>
      </c>
      <c r="B61" s="94" t="s">
        <v>200</v>
      </c>
      <c r="C61" s="95" t="s">
        <v>201</v>
      </c>
      <c r="D61" s="93" t="s">
        <v>198</v>
      </c>
      <c r="E61" s="96">
        <v>3.3000000000000002E-2</v>
      </c>
      <c r="F61" s="97">
        <f t="shared" si="0"/>
        <v>210481.51515151514</v>
      </c>
      <c r="G61" s="72">
        <v>6945.89</v>
      </c>
      <c r="H61" s="98">
        <v>0</v>
      </c>
      <c r="I61" s="98">
        <f t="shared" si="5"/>
        <v>0</v>
      </c>
      <c r="J61" s="99">
        <f t="shared" si="1"/>
        <v>0</v>
      </c>
      <c r="K61" s="72">
        <f t="shared" si="2"/>
        <v>-6945.89</v>
      </c>
      <c r="O61" s="83"/>
      <c r="P61" s="83"/>
      <c r="Q61" s="83"/>
    </row>
    <row r="62" spans="1:18" s="82" customFormat="1" x14ac:dyDescent="0.25">
      <c r="A62" s="93" t="s">
        <v>202</v>
      </c>
      <c r="B62" s="94" t="s">
        <v>203</v>
      </c>
      <c r="C62" s="95" t="s">
        <v>204</v>
      </c>
      <c r="D62" s="93" t="s">
        <v>51</v>
      </c>
      <c r="E62" s="96">
        <v>0.46794000000000002</v>
      </c>
      <c r="F62" s="97">
        <f t="shared" si="0"/>
        <v>358896.31149292644</v>
      </c>
      <c r="G62" s="72">
        <v>167941.94</v>
      </c>
      <c r="H62" s="98">
        <v>0</v>
      </c>
      <c r="I62" s="98">
        <f t="shared" si="5"/>
        <v>0</v>
      </c>
      <c r="J62" s="99">
        <f t="shared" si="1"/>
        <v>0</v>
      </c>
      <c r="K62" s="72">
        <f t="shared" si="2"/>
        <v>-167941.94</v>
      </c>
      <c r="O62" s="83"/>
      <c r="P62" s="83"/>
      <c r="Q62" s="83"/>
    </row>
    <row r="63" spans="1:18" s="82" customFormat="1" ht="22.5" x14ac:dyDescent="0.25">
      <c r="A63" s="93" t="s">
        <v>205</v>
      </c>
      <c r="B63" s="94" t="s">
        <v>206</v>
      </c>
      <c r="C63" s="95" t="s">
        <v>207</v>
      </c>
      <c r="D63" s="93" t="s">
        <v>27</v>
      </c>
      <c r="E63" s="96">
        <v>4</v>
      </c>
      <c r="F63" s="97">
        <f t="shared" si="0"/>
        <v>9007.3024999999998</v>
      </c>
      <c r="G63" s="72">
        <v>36029.21</v>
      </c>
      <c r="H63" s="98">
        <v>0</v>
      </c>
      <c r="I63" s="98">
        <f t="shared" si="5"/>
        <v>0</v>
      </c>
      <c r="J63" s="99">
        <f t="shared" si="1"/>
        <v>0</v>
      </c>
      <c r="K63" s="72">
        <f t="shared" si="2"/>
        <v>-36029.21</v>
      </c>
      <c r="O63" s="96" t="s">
        <v>208</v>
      </c>
      <c r="P63" s="96" t="s">
        <v>209</v>
      </c>
      <c r="Q63" s="96" t="s">
        <v>210</v>
      </c>
      <c r="R63" s="105" t="s">
        <v>211</v>
      </c>
    </row>
    <row r="64" spans="1:18" x14ac:dyDescent="0.25">
      <c r="A64" s="33"/>
      <c r="F64" s="9" t="s">
        <v>67</v>
      </c>
      <c r="G64" s="10">
        <f>SUM(G4:G63)</f>
        <v>1758763.6599999997</v>
      </c>
      <c r="J64" s="10">
        <f>SUM(J4:J63)</f>
        <v>361576.19388759969</v>
      </c>
      <c r="K64" s="10">
        <f>SUM(K4:K63)</f>
        <v>-1397187.4661123999</v>
      </c>
      <c r="O64" s="107">
        <f>SUM(G49:G63)</f>
        <v>863580.74</v>
      </c>
      <c r="P64" s="107">
        <f>SUM(G35:G47)-G35-G36</f>
        <v>17810.799999999996</v>
      </c>
      <c r="Q64" s="107">
        <f>SUM(G4:G34)-SUM(J4:J34)</f>
        <v>515795.92611240043</v>
      </c>
      <c r="R64" s="107">
        <f>K8</f>
        <v>-483108.42522607092</v>
      </c>
    </row>
    <row r="65" spans="1:18" x14ac:dyDescent="0.25">
      <c r="A65" s="33"/>
      <c r="F65" s="11" t="s">
        <v>68</v>
      </c>
      <c r="G65" s="11">
        <f>G64*0.082+G64</f>
        <v>1902982.2801199998</v>
      </c>
      <c r="J65" s="11">
        <f>J64*0.082+J64</f>
        <v>391225.44178638287</v>
      </c>
      <c r="K65" s="11">
        <f>K64*0.082+K64</f>
        <v>-1511756.8383336167</v>
      </c>
      <c r="O65" s="108">
        <f>O64*0.082+O64</f>
        <v>934394.36068000004</v>
      </c>
      <c r="P65" s="108">
        <f>P64*0.082+P64</f>
        <v>19271.285599999996</v>
      </c>
      <c r="Q65" s="108">
        <f>Q64*0.082+Q64</f>
        <v>558091.19205361721</v>
      </c>
      <c r="R65" s="108">
        <f>R64*0.082+R64</f>
        <v>-522723.31609460874</v>
      </c>
    </row>
    <row r="66" spans="1:18" x14ac:dyDescent="0.25">
      <c r="F66" s="11" t="s">
        <v>69</v>
      </c>
      <c r="G66" s="11">
        <f>G65*0.024+G65</f>
        <v>1948653.8548428798</v>
      </c>
      <c r="J66" s="11">
        <f>J65*0.024+J65</f>
        <v>400614.85238925606</v>
      </c>
      <c r="K66" s="11">
        <f>K65*0.024+K65</f>
        <v>-1548039.0024536236</v>
      </c>
      <c r="O66" s="108">
        <f>O65*0.024+O65</f>
        <v>956819.82533632009</v>
      </c>
      <c r="P66" s="108">
        <f>P65*0.024+P65</f>
        <v>19733.796454399995</v>
      </c>
      <c r="Q66" s="108">
        <f>Q65*0.024+Q65</f>
        <v>571485.380662904</v>
      </c>
      <c r="R66" s="108">
        <f>R65*0.024+R65</f>
        <v>-535268.67568087939</v>
      </c>
    </row>
    <row r="67" spans="1:18" x14ac:dyDescent="0.25">
      <c r="F67" s="11" t="s">
        <v>70</v>
      </c>
      <c r="G67" s="11">
        <f>G66*1.05136042</f>
        <v>2048737.5352622292</v>
      </c>
      <c r="J67" s="11">
        <f>J66*1.05136042</f>
        <v>421190.59946620621</v>
      </c>
      <c r="K67" s="11">
        <f>K66*1.05136042</f>
        <v>-1627546.9357960226</v>
      </c>
      <c r="O67" s="108">
        <f>O66*1.05136042</f>
        <v>1005962.4934299201</v>
      </c>
      <c r="P67" s="108">
        <f>P66*1.05136042</f>
        <v>20747.33252849249</v>
      </c>
      <c r="Q67" s="108">
        <f>Q66*1.05136042</f>
        <v>600837.10983761062</v>
      </c>
      <c r="R67" s="108">
        <f>R66*1.05136042</f>
        <v>-562760.29967669316</v>
      </c>
    </row>
    <row r="68" spans="1:18" x14ac:dyDescent="0.25">
      <c r="F68" s="11" t="s">
        <v>71</v>
      </c>
      <c r="G68" s="11">
        <f>G67*0.2</f>
        <v>409747.50705244584</v>
      </c>
      <c r="J68" s="11">
        <f>J67*0.2</f>
        <v>84238.119893241252</v>
      </c>
      <c r="K68" s="11">
        <f>K67*0.2</f>
        <v>-325509.38715920458</v>
      </c>
      <c r="O68" s="108">
        <f>O67*0.2</f>
        <v>201192.49868598403</v>
      </c>
      <c r="P68" s="108">
        <f>P67*0.2</f>
        <v>4149.4665056984986</v>
      </c>
      <c r="Q68" s="108">
        <f>Q67*0.2</f>
        <v>120167.42196752212</v>
      </c>
      <c r="R68" s="108">
        <f>R67*0.2</f>
        <v>-112552.05993533864</v>
      </c>
    </row>
    <row r="69" spans="1:18" ht="15.75" x14ac:dyDescent="0.25">
      <c r="F69" s="12" t="s">
        <v>72</v>
      </c>
      <c r="G69" s="12">
        <f>G67+G68</f>
        <v>2458485.0423146752</v>
      </c>
      <c r="J69" s="109">
        <f>J67+J68</f>
        <v>505428.71935944748</v>
      </c>
      <c r="K69" s="12">
        <f>K67+K68</f>
        <v>-1953056.3229552272</v>
      </c>
      <c r="O69" s="110">
        <f>O67+O68</f>
        <v>1207154.9921159041</v>
      </c>
      <c r="P69" s="110">
        <f>P67+P68</f>
        <v>24896.79903419099</v>
      </c>
      <c r="Q69" s="110">
        <f>Q67+Q68</f>
        <v>721004.53180513275</v>
      </c>
      <c r="R69" s="110">
        <f>R67+R68</f>
        <v>-675312.35961203184</v>
      </c>
    </row>
    <row r="77" spans="1:18" x14ac:dyDescent="0.25">
      <c r="Q77" s="112"/>
    </row>
    <row r="83" spans="18:18" x14ac:dyDescent="0.25">
      <c r="R83" s="107">
        <f>K8</f>
        <v>-483108.42522607092</v>
      </c>
    </row>
    <row r="84" spans="18:18" x14ac:dyDescent="0.25">
      <c r="R84" s="108">
        <f>R83*0.082+R83</f>
        <v>-522723.31609460874</v>
      </c>
    </row>
    <row r="85" spans="18:18" x14ac:dyDescent="0.25">
      <c r="R85" s="108">
        <f>R84*0.024+R84</f>
        <v>-535268.67568087939</v>
      </c>
    </row>
    <row r="86" spans="18:18" x14ac:dyDescent="0.25">
      <c r="R86" s="108">
        <f>R85*1.05136042</f>
        <v>-562760.29967669316</v>
      </c>
    </row>
    <row r="87" spans="18:18" x14ac:dyDescent="0.25">
      <c r="R87" s="108">
        <f>R86*0.2</f>
        <v>-112552.05993533864</v>
      </c>
    </row>
    <row r="88" spans="18:18" x14ac:dyDescent="0.25">
      <c r="R88" s="110">
        <f>R86+R87</f>
        <v>-675312.35961203184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index</vt:lpstr>
      <vt:lpstr>1</vt:lpstr>
      <vt:lpstr>2</vt:lpstr>
      <vt:lpstr>3</vt:lpstr>
      <vt:lpstr>4</vt:lpstr>
      <vt:lpstr>'4'!Заголовки_для_печати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2024-02-05T13:12:23Z</dcterms:modified>
</cp:coreProperties>
</file>