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Закрытия\"/>
    </mc:Choice>
  </mc:AlternateContent>
  <xr:revisionPtr revIDLastSave="0" documentId="13_ncr:1_{8FE07120-C00F-401E-9F58-0BC90D9B0F28}" xr6:coauthVersionLast="47" xr6:coauthVersionMax="47" xr10:uidLastSave="{00000000-0000-0000-0000-000000000000}"/>
  <bookViews>
    <workbookView xWindow="28680" yWindow="-120" windowWidth="29040" windowHeight="15840" tabRatio="914" firstSheet="2" activeTab="7" xr2:uid="{00000000-000D-0000-FFFF-FFFF00000000}"/>
  </bookViews>
  <sheets>
    <sheet name="Лист1" sheetId="1" state="hidden" r:id="rId1"/>
    <sheet name="Лист2" sheetId="2" state="hidden" r:id="rId2"/>
    <sheet name="Демонтаж-121" sheetId="21" r:id="rId3"/>
    <sheet name="Демонтаж-75" sheetId="22" r:id="rId4"/>
    <sheet name="Свод" sheetId="13" r:id="rId5"/>
    <sheet name="СМР 217 путь" sheetId="9" state="hidden" r:id="rId6"/>
    <sheet name="мат 217 путь" sheetId="4" state="hidden" r:id="rId7"/>
    <sheet name="СМР комм-ции 417" sheetId="12" r:id="rId8"/>
    <sheet name="мат комм-ции 417" sheetId="7" r:id="rId9"/>
    <sheet name="СМР ограждение" sheetId="17" state="hidden" r:id="rId10"/>
    <sheet name="мат ограждение" sheetId="18" state="hidden" r:id="rId11"/>
    <sheet name="СМР КС" sheetId="20" state="hidden" r:id="rId12"/>
    <sheet name="мат КС" sheetId="19" state="hidden" r:id="rId13"/>
    <sheet name="СМР комм-ции 217 " sheetId="14" state="hidden" r:id="rId14"/>
    <sheet name="мат комм-ции 217" sheetId="15" state="hidden" r:id="rId15"/>
    <sheet name="СМР жд 8 цех" sheetId="10" state="hidden" r:id="rId16"/>
    <sheet name="мат 8 цех" sheetId="5" state="hidden" r:id="rId17"/>
  </sheets>
  <definedNames>
    <definedName name="_xlnm.Print_Area" localSheetId="14">'мат комм-ции 217'!$A$1:$G$109</definedName>
    <definedName name="_xlnm.Print_Area" localSheetId="8">'мат комм-ции 417'!$A$1:$G$63</definedName>
    <definedName name="_xlnm.Print_Area" localSheetId="12">'мат КС'!$A$1:$G$45</definedName>
    <definedName name="_xlnm.Print_Area" localSheetId="10">'мат ограждение'!$A$1:$G$15</definedName>
    <definedName name="_xlnm.Print_Area" localSheetId="4">Свод!$A$1:$H$4</definedName>
    <definedName name="_xlnm.Print_Area" localSheetId="13">'СМР комм-ции 217 '!$A$1:$G$253</definedName>
    <definedName name="_xlnm.Print_Area" localSheetId="7">'СМР комм-ции 417'!$A$1:$G$129</definedName>
    <definedName name="_xlnm.Print_Area" localSheetId="11">'СМР КС'!$A$1:$G$58</definedName>
    <definedName name="_xlnm.Print_Area" localSheetId="9">'СМР ограждение'!$A$1:$G$26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1" l="1"/>
  <c r="F14" i="21"/>
  <c r="F11" i="21"/>
  <c r="F9" i="21"/>
  <c r="F8" i="21"/>
  <c r="E54" i="20"/>
  <c r="F43" i="20"/>
  <c r="G43" i="20" s="1"/>
  <c r="D14" i="17"/>
  <c r="F44" i="19"/>
  <c r="G44" i="19" s="1"/>
  <c r="F43" i="19"/>
  <c r="G43" i="19" s="1"/>
  <c r="F42" i="19"/>
  <c r="G42" i="19" s="1"/>
  <c r="F41" i="19"/>
  <c r="G41" i="19" s="1"/>
  <c r="F40" i="19"/>
  <c r="G40" i="19" s="1"/>
  <c r="F39" i="19"/>
  <c r="G39" i="19" s="1"/>
  <c r="F38" i="19"/>
  <c r="G38" i="19" s="1"/>
  <c r="F37" i="19"/>
  <c r="G37" i="19" s="1"/>
  <c r="F36" i="19"/>
  <c r="G36" i="19" s="1"/>
  <c r="F35" i="19"/>
  <c r="G35" i="19" s="1"/>
  <c r="F34" i="19"/>
  <c r="G34" i="19" s="1"/>
  <c r="F33" i="19"/>
  <c r="G33" i="19" s="1"/>
  <c r="F32" i="19"/>
  <c r="G32" i="19" s="1"/>
  <c r="F31" i="19"/>
  <c r="G31" i="19" s="1"/>
  <c r="F30" i="19"/>
  <c r="G30" i="19" s="1"/>
  <c r="F29" i="19"/>
  <c r="G29" i="19" s="1"/>
  <c r="F28" i="19"/>
  <c r="G28" i="19" s="1"/>
  <c r="F51" i="20" l="1"/>
  <c r="G51" i="20" s="1"/>
  <c r="F52" i="20"/>
  <c r="G52" i="20" s="1"/>
  <c r="F53" i="20"/>
  <c r="G53" i="20" s="1"/>
  <c r="F54" i="20"/>
  <c r="G54" i="20" s="1"/>
  <c r="F55" i="20"/>
  <c r="G55" i="20"/>
  <c r="F50" i="20"/>
  <c r="G50" i="20" s="1"/>
  <c r="F48" i="20"/>
  <c r="G48" i="20" s="1"/>
  <c r="F47" i="20"/>
  <c r="G47" i="20" s="1"/>
  <c r="F46" i="20"/>
  <c r="G46" i="20" s="1"/>
  <c r="F45" i="20"/>
  <c r="G45" i="20" s="1"/>
  <c r="F42" i="20"/>
  <c r="G42" i="20" s="1"/>
  <c r="F41" i="20"/>
  <c r="G41" i="20" s="1"/>
  <c r="F40" i="20"/>
  <c r="G40" i="20" s="1"/>
  <c r="F39" i="20"/>
  <c r="G39" i="20" s="1"/>
  <c r="F38" i="20"/>
  <c r="G38" i="20" s="1"/>
  <c r="F37" i="20"/>
  <c r="G37" i="20" s="1"/>
  <c r="F36" i="20"/>
  <c r="G36" i="20" s="1"/>
  <c r="F35" i="20"/>
  <c r="G35" i="20" s="1"/>
  <c r="F34" i="20" l="1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7" i="20"/>
  <c r="G27" i="20" s="1"/>
  <c r="F26" i="20"/>
  <c r="G26" i="20" s="1"/>
  <c r="F25" i="20"/>
  <c r="G25" i="20" s="1"/>
  <c r="F24" i="20"/>
  <c r="G24" i="20" s="1"/>
  <c r="F23" i="20"/>
  <c r="G23" i="20" s="1"/>
  <c r="F22" i="20"/>
  <c r="G22" i="20" s="1"/>
  <c r="F13" i="20"/>
  <c r="G13" i="20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6" i="19"/>
  <c r="A7" i="18"/>
  <c r="A8" i="18" s="1"/>
  <c r="A9" i="18" s="1"/>
  <c r="A10" i="18" s="1"/>
  <c r="A11" i="18" s="1"/>
  <c r="A12" i="18" s="1"/>
  <c r="A13" i="18" s="1"/>
  <c r="A14" i="18" s="1"/>
  <c r="F20" i="20"/>
  <c r="G20" i="20" s="1"/>
  <c r="F19" i="20"/>
  <c r="G19" i="20" s="1"/>
  <c r="F18" i="20"/>
  <c r="G18" i="20" s="1"/>
  <c r="F17" i="20"/>
  <c r="G17" i="20" s="1"/>
  <c r="F16" i="20"/>
  <c r="G16" i="20" s="1"/>
  <c r="F15" i="20"/>
  <c r="G15" i="20" s="1"/>
  <c r="F14" i="20"/>
  <c r="G14" i="20" s="1"/>
  <c r="F12" i="20"/>
  <c r="G12" i="20" s="1"/>
  <c r="F11" i="20"/>
  <c r="G11" i="20" s="1"/>
  <c r="F10" i="20"/>
  <c r="G10" i="20" s="1"/>
  <c r="F9" i="20"/>
  <c r="G9" i="20" s="1"/>
  <c r="F8" i="20"/>
  <c r="G8" i="20" s="1"/>
  <c r="F7" i="20"/>
  <c r="A7" i="20"/>
  <c r="A8" i="20" s="1"/>
  <c r="A9" i="20" s="1"/>
  <c r="A10" i="20" s="1"/>
  <c r="A11" i="20" s="1"/>
  <c r="A12" i="20" s="1"/>
  <c r="A13" i="20" s="1"/>
  <c r="A14" i="20" s="1"/>
  <c r="F6" i="20"/>
  <c r="F27" i="19"/>
  <c r="G27" i="19" s="1"/>
  <c r="F26" i="19"/>
  <c r="G26" i="19" s="1"/>
  <c r="F25" i="19"/>
  <c r="G25" i="19" s="1"/>
  <c r="F23" i="19"/>
  <c r="G23" i="19" s="1"/>
  <c r="F22" i="19"/>
  <c r="G22" i="19" s="1"/>
  <c r="F21" i="19"/>
  <c r="G21" i="19" s="1"/>
  <c r="F20" i="19"/>
  <c r="G20" i="19" s="1"/>
  <c r="F19" i="19"/>
  <c r="G19" i="19" s="1"/>
  <c r="F18" i="19"/>
  <c r="G18" i="19" s="1"/>
  <c r="F17" i="19"/>
  <c r="G17" i="19" s="1"/>
  <c r="F16" i="19"/>
  <c r="G16" i="19" s="1"/>
  <c r="F15" i="19"/>
  <c r="G15" i="19" s="1"/>
  <c r="F14" i="19"/>
  <c r="G14" i="19" s="1"/>
  <c r="F13" i="19"/>
  <c r="G13" i="19" s="1"/>
  <c r="F12" i="19"/>
  <c r="G12" i="19" s="1"/>
  <c r="F24" i="19"/>
  <c r="G24" i="19" s="1"/>
  <c r="F11" i="19"/>
  <c r="G11" i="19" s="1"/>
  <c r="F10" i="19"/>
  <c r="G10" i="19" s="1"/>
  <c r="F9" i="19"/>
  <c r="G9" i="19" s="1"/>
  <c r="F8" i="19"/>
  <c r="G8" i="19" s="1"/>
  <c r="F7" i="19"/>
  <c r="G7" i="19" s="1"/>
  <c r="F6" i="19"/>
  <c r="F45" i="19" s="1"/>
  <c r="D12" i="17"/>
  <c r="F12" i="17" s="1"/>
  <c r="G12" i="17" s="1"/>
  <c r="F11" i="17"/>
  <c r="G11" i="17" s="1"/>
  <c r="A7" i="17"/>
  <c r="A8" i="17" s="1"/>
  <c r="A9" i="17" s="1"/>
  <c r="A10" i="17" s="1"/>
  <c r="A11" i="17" s="1"/>
  <c r="A12" i="17" s="1"/>
  <c r="A14" i="17" s="1"/>
  <c r="F23" i="17"/>
  <c r="G23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G7" i="20" l="1"/>
  <c r="F56" i="20"/>
  <c r="A15" i="20"/>
  <c r="A16" i="20" s="1"/>
  <c r="A17" i="20" s="1"/>
  <c r="A18" i="20" s="1"/>
  <c r="A19" i="20" s="1"/>
  <c r="A20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G6" i="20"/>
  <c r="G6" i="19"/>
  <c r="G45" i="19" s="1"/>
  <c r="A15" i="17"/>
  <c r="A16" i="17" s="1"/>
  <c r="A17" i="17" s="1"/>
  <c r="A18" i="17" s="1"/>
  <c r="A19" i="17" s="1"/>
  <c r="A20" i="17" s="1"/>
  <c r="A21" i="17" s="1"/>
  <c r="A22" i="17" s="1"/>
  <c r="A23" i="17" s="1"/>
  <c r="A41" i="20" l="1"/>
  <c r="A42" i="20" s="1"/>
  <c r="G56" i="20"/>
  <c r="G57" i="20" s="1"/>
  <c r="G58" i="20" s="1"/>
  <c r="F57" i="20"/>
  <c r="F58" i="20" s="1"/>
  <c r="A43" i="20" l="1"/>
  <c r="A45" i="20" s="1"/>
  <c r="A46" i="20" s="1"/>
  <c r="A47" i="20" s="1"/>
  <c r="A48" i="20" s="1"/>
  <c r="A50" i="20" s="1"/>
  <c r="A51" i="20" s="1"/>
  <c r="A52" i="20" s="1"/>
  <c r="A53" i="20" s="1"/>
  <c r="A54" i="20" s="1"/>
  <c r="A55" i="20" s="1"/>
  <c r="F14" i="18"/>
  <c r="G14" i="18" s="1"/>
  <c r="F12" i="18"/>
  <c r="G12" i="18" s="1"/>
  <c r="F11" i="18"/>
  <c r="G11" i="18" s="1"/>
  <c r="F10" i="18"/>
  <c r="G10" i="18" s="1"/>
  <c r="F9" i="18"/>
  <c r="G9" i="18" s="1"/>
  <c r="F8" i="18"/>
  <c r="G8" i="18" s="1"/>
  <c r="F7" i="18"/>
  <c r="G7" i="18" s="1"/>
  <c r="F6" i="18"/>
  <c r="D13" i="18"/>
  <c r="F13" i="18" s="1"/>
  <c r="G13" i="18" s="1"/>
  <c r="F10" i="17"/>
  <c r="G10" i="17" s="1"/>
  <c r="F9" i="17"/>
  <c r="G9" i="17" s="1"/>
  <c r="F8" i="17"/>
  <c r="G8" i="17" s="1"/>
  <c r="F7" i="17"/>
  <c r="G7" i="17" s="1"/>
  <c r="F6" i="17"/>
  <c r="G6" i="18" l="1"/>
  <c r="F15" i="18"/>
  <c r="G6" i="17"/>
  <c r="F24" i="17"/>
  <c r="D31" i="7"/>
  <c r="F31" i="7" s="1"/>
  <c r="G31" i="7" s="1"/>
  <c r="D35" i="7"/>
  <c r="D34" i="7"/>
  <c r="D33" i="7"/>
  <c r="A77" i="12"/>
  <c r="A78" i="12" s="1"/>
  <c r="A80" i="12" s="1"/>
  <c r="A81" i="12" s="1"/>
  <c r="A82" i="12" s="1"/>
  <c r="A84" i="12" s="1"/>
  <c r="A85" i="12" s="1"/>
  <c r="A87" i="12" s="1"/>
  <c r="A88" i="12" s="1"/>
  <c r="A91" i="12" s="1"/>
  <c r="G24" i="17" l="1"/>
  <c r="G15" i="18"/>
  <c r="D88" i="12"/>
  <c r="D87" i="12"/>
  <c r="F87" i="12" s="1"/>
  <c r="G87" i="12" s="1"/>
  <c r="D85" i="12"/>
  <c r="F85" i="12" s="1"/>
  <c r="G85" i="12" s="1"/>
  <c r="D84" i="12"/>
  <c r="F84" i="12" s="1"/>
  <c r="G84" i="12" s="1"/>
  <c r="D81" i="12"/>
  <c r="F81" i="12" s="1"/>
  <c r="G81" i="12" s="1"/>
  <c r="D82" i="12"/>
  <c r="F82" i="12" s="1"/>
  <c r="G82" i="12" s="1"/>
  <c r="D78" i="12"/>
  <c r="F78" i="12" s="1"/>
  <c r="G78" i="12" s="1"/>
  <c r="F88" i="12"/>
  <c r="G88" i="12" s="1"/>
  <c r="F80" i="12"/>
  <c r="G80" i="12" s="1"/>
  <c r="F77" i="12"/>
  <c r="G77" i="12" l="1"/>
  <c r="G25" i="17"/>
  <c r="G26" i="17" s="1"/>
  <c r="F25" i="17"/>
  <c r="F26" i="17" s="1"/>
  <c r="F62" i="7"/>
  <c r="G62" i="7" s="1"/>
  <c r="F61" i="7"/>
  <c r="G61" i="7" s="1"/>
  <c r="F60" i="7"/>
  <c r="G60" i="7" s="1"/>
  <c r="F59" i="7"/>
  <c r="G59" i="7" s="1"/>
  <c r="F58" i="7"/>
  <c r="G58" i="7" s="1"/>
  <c r="F57" i="7"/>
  <c r="G57" i="7" s="1"/>
  <c r="F56" i="7"/>
  <c r="G56" i="7" s="1"/>
  <c r="F55" i="7"/>
  <c r="G55" i="7" s="1"/>
  <c r="F53" i="7"/>
  <c r="G53" i="7" s="1"/>
  <c r="F52" i="7"/>
  <c r="G52" i="7" s="1"/>
  <c r="F51" i="7"/>
  <c r="G51" i="7" s="1"/>
  <c r="F50" i="7"/>
  <c r="G50" i="7" s="1"/>
  <c r="F49" i="7"/>
  <c r="G49" i="7" s="1"/>
  <c r="F48" i="7"/>
  <c r="G48" i="7" s="1"/>
  <c r="F47" i="7"/>
  <c r="G47" i="7" s="1"/>
  <c r="F46" i="7"/>
  <c r="G46" i="7" s="1"/>
  <c r="F45" i="7"/>
  <c r="G45" i="7" s="1"/>
  <c r="F44" i="7"/>
  <c r="G44" i="7" s="1"/>
  <c r="F43" i="7"/>
  <c r="G43" i="7" s="1"/>
  <c r="F42" i="7"/>
  <c r="G42" i="7" s="1"/>
  <c r="F41" i="7"/>
  <c r="G41" i="7" s="1"/>
  <c r="F40" i="7"/>
  <c r="G40" i="7" s="1"/>
  <c r="F38" i="7"/>
  <c r="G38" i="7" s="1"/>
  <c r="F126" i="12"/>
  <c r="G126" i="12" s="1"/>
  <c r="E125" i="12"/>
  <c r="F125" i="12" s="1"/>
  <c r="G125" i="12" s="1"/>
  <c r="F124" i="12"/>
  <c r="G124" i="12" s="1"/>
  <c r="E123" i="12"/>
  <c r="F123" i="12" s="1"/>
  <c r="G123" i="12" s="1"/>
  <c r="F121" i="12"/>
  <c r="G121" i="12" s="1"/>
  <c r="E120" i="12"/>
  <c r="F120" i="12" s="1"/>
  <c r="G120" i="12" s="1"/>
  <c r="F119" i="12"/>
  <c r="G119" i="12" s="1"/>
  <c r="F118" i="12"/>
  <c r="G118" i="12" s="1"/>
  <c r="D117" i="12"/>
  <c r="F117" i="12" s="1"/>
  <c r="G117" i="12" s="1"/>
  <c r="F116" i="12"/>
  <c r="G116" i="12" s="1"/>
  <c r="F115" i="12"/>
  <c r="G115" i="12" s="1"/>
  <c r="F114" i="12"/>
  <c r="G114" i="12" s="1"/>
  <c r="F113" i="12"/>
  <c r="G113" i="12" s="1"/>
  <c r="F112" i="12"/>
  <c r="G112" i="12" s="1"/>
  <c r="F111" i="12"/>
  <c r="G111" i="12" s="1"/>
  <c r="F110" i="12"/>
  <c r="G110" i="12" s="1"/>
  <c r="F109" i="12"/>
  <c r="G109" i="12" s="1"/>
  <c r="F108" i="12"/>
  <c r="G108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E100" i="12"/>
  <c r="F100" i="12" s="1"/>
  <c r="G100" i="12" s="1"/>
  <c r="F99" i="12"/>
  <c r="G99" i="12" s="1"/>
  <c r="F98" i="12"/>
  <c r="G98" i="12" s="1"/>
  <c r="F97" i="12"/>
  <c r="G97" i="12" s="1"/>
  <c r="F96" i="12"/>
  <c r="G96" i="12" s="1"/>
  <c r="F95" i="12"/>
  <c r="G95" i="12" s="1"/>
  <c r="F94" i="12"/>
  <c r="G94" i="12" s="1"/>
  <c r="F93" i="12"/>
  <c r="G93" i="12" s="1"/>
  <c r="F92" i="12"/>
  <c r="G92" i="12" s="1"/>
  <c r="F91" i="12"/>
  <c r="G91" i="12" s="1"/>
  <c r="F28" i="7"/>
  <c r="G28" i="7" s="1"/>
  <c r="D26" i="7"/>
  <c r="F26" i="7" s="1"/>
  <c r="G26" i="7" s="1"/>
  <c r="F27" i="7"/>
  <c r="G27" i="7" s="1"/>
  <c r="D25" i="7"/>
  <c r="F25" i="7" s="1"/>
  <c r="G25" i="7" s="1"/>
  <c r="D24" i="7"/>
  <c r="F24" i="7" s="1"/>
  <c r="G24" i="7" s="1"/>
  <c r="F23" i="7"/>
  <c r="G23" i="7" s="1"/>
  <c r="F22" i="7"/>
  <c r="G22" i="7" s="1"/>
  <c r="D21" i="7"/>
  <c r="F21" i="7" s="1"/>
  <c r="G21" i="7" s="1"/>
  <c r="F63" i="12"/>
  <c r="G63" i="12" s="1"/>
  <c r="D62" i="12"/>
  <c r="F62" i="12" s="1"/>
  <c r="G62" i="12" s="1"/>
  <c r="F66" i="12"/>
  <c r="G66" i="12" s="1"/>
  <c r="F65" i="12"/>
  <c r="G65" i="12" s="1"/>
  <c r="F61" i="12"/>
  <c r="G61" i="12" s="1"/>
  <c r="F60" i="12"/>
  <c r="G60" i="12" s="1"/>
  <c r="F59" i="12"/>
  <c r="G59" i="12" s="1"/>
  <c r="D74" i="12"/>
  <c r="F74" i="12" s="1"/>
  <c r="G74" i="12" s="1"/>
  <c r="D73" i="12"/>
  <c r="F73" i="12" s="1"/>
  <c r="G73" i="12" s="1"/>
  <c r="F69" i="12"/>
  <c r="G69" i="12" s="1"/>
  <c r="F72" i="12"/>
  <c r="G72" i="12" s="1"/>
  <c r="F71" i="12"/>
  <c r="G71" i="12" s="1"/>
  <c r="F68" i="12"/>
  <c r="G68" i="12" s="1"/>
  <c r="F70" i="12" l="1"/>
  <c r="G70" i="12" s="1"/>
  <c r="D57" i="12"/>
  <c r="F57" i="12" s="1"/>
  <c r="G57" i="12" s="1"/>
  <c r="D58" i="12" l="1"/>
  <c r="F58" i="12" s="1"/>
  <c r="G58" i="12" s="1"/>
  <c r="F56" i="12" l="1"/>
  <c r="G56" i="12" s="1"/>
  <c r="F55" i="12"/>
  <c r="G55" i="12" s="1"/>
  <c r="F54" i="12"/>
  <c r="G54" i="12" s="1"/>
  <c r="F52" i="12"/>
  <c r="G52" i="12" s="1"/>
  <c r="F51" i="12"/>
  <c r="G51" i="12" s="1"/>
  <c r="D48" i="12" l="1"/>
  <c r="F48" i="12" s="1"/>
  <c r="G48" i="12" s="1"/>
  <c r="D7" i="7" l="1"/>
  <c r="F7" i="7" s="1"/>
  <c r="G7" i="7" s="1"/>
  <c r="A7" i="7"/>
  <c r="A11" i="7" s="1"/>
  <c r="D10" i="12"/>
  <c r="F10" i="12" s="1"/>
  <c r="G10" i="12" s="1"/>
  <c r="E9" i="12"/>
  <c r="D9" i="12"/>
  <c r="E7" i="12"/>
  <c r="F7" i="12" s="1"/>
  <c r="A7" i="12"/>
  <c r="A9" i="12" s="1"/>
  <c r="D45" i="12"/>
  <c r="F45" i="12" s="1"/>
  <c r="G45" i="12" s="1"/>
  <c r="E44" i="12"/>
  <c r="F44" i="12" s="1"/>
  <c r="G44" i="12" s="1"/>
  <c r="F18" i="7"/>
  <c r="G18" i="7" s="1"/>
  <c r="D42" i="12"/>
  <c r="D41" i="12"/>
  <c r="F41" i="12" s="1"/>
  <c r="G41" i="12" s="1"/>
  <c r="E42" i="12"/>
  <c r="E39" i="12"/>
  <c r="F39" i="12" s="1"/>
  <c r="G39" i="12" s="1"/>
  <c r="E38" i="12"/>
  <c r="F38" i="12" s="1"/>
  <c r="G38" i="12" s="1"/>
  <c r="F40" i="12"/>
  <c r="G40" i="12" s="1"/>
  <c r="E14" i="7"/>
  <c r="F14" i="7" s="1"/>
  <c r="G14" i="7" s="1"/>
  <c r="E15" i="7"/>
  <c r="D15" i="7"/>
  <c r="E29" i="12"/>
  <c r="F29" i="12" s="1"/>
  <c r="G29" i="12" s="1"/>
  <c r="F33" i="12"/>
  <c r="G33" i="12" s="1"/>
  <c r="E35" i="12"/>
  <c r="F35" i="12" s="1"/>
  <c r="G35" i="12" s="1"/>
  <c r="E30" i="12"/>
  <c r="F30" i="12" s="1"/>
  <c r="G30" i="12" s="1"/>
  <c r="D34" i="12"/>
  <c r="F34" i="12" s="1"/>
  <c r="G34" i="12" s="1"/>
  <c r="D32" i="12"/>
  <c r="F32" i="12" s="1"/>
  <c r="G32" i="12" s="1"/>
  <c r="E31" i="12"/>
  <c r="D31" i="12"/>
  <c r="D13" i="7"/>
  <c r="F13" i="7" s="1"/>
  <c r="G13" i="7" s="1"/>
  <c r="D12" i="7"/>
  <c r="F12" i="7" s="1"/>
  <c r="G12" i="7" s="1"/>
  <c r="D11" i="7"/>
  <c r="F11" i="7" s="1"/>
  <c r="D27" i="12"/>
  <c r="F27" i="12" s="1"/>
  <c r="G27" i="12" s="1"/>
  <c r="D25" i="12"/>
  <c r="F25" i="12" s="1"/>
  <c r="G25" i="12" s="1"/>
  <c r="D24" i="12"/>
  <c r="F24" i="12" s="1"/>
  <c r="G24" i="12" s="1"/>
  <c r="F26" i="12"/>
  <c r="G26" i="12" s="1"/>
  <c r="D21" i="12"/>
  <c r="F21" i="12" s="1"/>
  <c r="G21" i="12" s="1"/>
  <c r="F15" i="12"/>
  <c r="G15" i="12" s="1"/>
  <c r="D18" i="12"/>
  <c r="D19" i="12" s="1"/>
  <c r="D20" i="12" s="1"/>
  <c r="F17" i="12"/>
  <c r="G17" i="12" s="1"/>
  <c r="F16" i="12"/>
  <c r="G16" i="12" s="1"/>
  <c r="G11" i="7" l="1"/>
  <c r="G7" i="12"/>
  <c r="F42" i="12"/>
  <c r="G42" i="12" s="1"/>
  <c r="F31" i="12"/>
  <c r="G31" i="12" s="1"/>
  <c r="F15" i="7"/>
  <c r="G15" i="7" s="1"/>
  <c r="D22" i="12"/>
  <c r="F22" i="12" s="1"/>
  <c r="G22" i="12" s="1"/>
  <c r="F14" i="12"/>
  <c r="G14" i="12" s="1"/>
  <c r="F20" i="12"/>
  <c r="G20" i="12" s="1"/>
  <c r="F19" i="12"/>
  <c r="G19" i="12" s="1"/>
  <c r="F18" i="12"/>
  <c r="G18" i="12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A131" i="14" l="1"/>
  <c r="A132" i="14" s="1"/>
  <c r="A134" i="14" s="1"/>
  <c r="A135" i="14" s="1"/>
  <c r="A136" i="14" s="1"/>
  <c r="A137" i="14" s="1"/>
  <c r="A138" i="14" s="1"/>
  <c r="A139" i="14" s="1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9" i="12"/>
  <c r="F127" i="12" s="1"/>
  <c r="G9" i="12" l="1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35" i="7"/>
  <c r="G35" i="7" s="1"/>
  <c r="F34" i="7"/>
  <c r="G34" i="7" s="1"/>
  <c r="F33" i="7"/>
  <c r="G33" i="7" l="1"/>
  <c r="G63" i="7" s="1"/>
  <c r="G3" i="13" s="1"/>
  <c r="F63" i="7"/>
  <c r="D3" i="13" s="1"/>
  <c r="G127" i="12"/>
  <c r="G128" i="12" s="1"/>
  <c r="G129" i="12" s="1"/>
  <c r="F3" i="13" s="1"/>
  <c r="F128" i="12"/>
  <c r="F129" i="12" s="1"/>
  <c r="C3" i="13" s="1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F41" i="5" l="1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14" i="9"/>
  <c r="G14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E3" i="13" l="1"/>
  <c r="H3" i="13" l="1"/>
  <c r="E4" i="13" l="1"/>
  <c r="D48" i="10" l="1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G57" i="10"/>
  <c r="G58" i="10" s="1"/>
  <c r="G59" i="10" s="1"/>
  <c r="A12" i="7" l="1"/>
  <c r="A13" i="7" s="1"/>
  <c r="A14" i="7" s="1"/>
  <c r="A15" i="7" s="1"/>
  <c r="A18" i="7" s="1"/>
  <c r="A21" i="7" s="1"/>
  <c r="F58" i="10"/>
  <c r="F59" i="10" s="1"/>
  <c r="D4" i="13" l="1"/>
  <c r="G4" i="13" l="1"/>
  <c r="G62" i="2" l="1"/>
  <c r="G61" i="2"/>
  <c r="D61" i="2"/>
  <c r="A22" i="7" l="1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G17" i="1"/>
  <c r="H33" i="1"/>
  <c r="G33" i="1" s="1"/>
  <c r="H17" i="1"/>
  <c r="A23" i="7" l="1"/>
  <c r="A24" i="7"/>
  <c r="A25" i="7" s="1"/>
  <c r="A26" i="7" s="1"/>
  <c r="A27" i="7" s="1"/>
  <c r="A28" i="7" s="1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A31" i="7" l="1"/>
  <c r="A33" i="7" s="1"/>
  <c r="A34" i="7" s="1"/>
  <c r="A35" i="7" s="1"/>
  <c r="A38" i="7" s="1"/>
  <c r="A40" i="7" s="1"/>
  <c r="A41" i="7" s="1"/>
  <c r="A42" i="7" s="1"/>
  <c r="A43" i="7" s="1"/>
  <c r="A44" i="7" s="1"/>
  <c r="A45" i="7" s="1"/>
  <c r="A10" i="12"/>
  <c r="A14" i="12" s="1"/>
  <c r="A15" i="12" s="1"/>
  <c r="A16" i="12" s="1"/>
  <c r="A17" i="12" s="1"/>
  <c r="A18" i="12" s="1"/>
  <c r="A19" i="12" s="1"/>
  <c r="A20" i="12" s="1"/>
  <c r="A21" i="12" s="1"/>
  <c r="A22" i="12" s="1"/>
  <c r="A24" i="12" s="1"/>
  <c r="A25" i="12" s="1"/>
  <c r="A26" i="12" s="1"/>
  <c r="A27" i="12" s="1"/>
  <c r="A29" i="12" s="1"/>
  <c r="A30" i="12" s="1"/>
  <c r="A31" i="12" s="1"/>
  <c r="A32" i="12" s="1"/>
  <c r="A33" i="12" s="1"/>
  <c r="A34" i="12" s="1"/>
  <c r="A35" i="12" s="1"/>
  <c r="A38" i="12" s="1"/>
  <c r="A39" i="12" s="1"/>
  <c r="A40" i="12" s="1"/>
  <c r="A41" i="12" s="1"/>
  <c r="A42" i="12" s="1"/>
  <c r="A44" i="12" s="1"/>
  <c r="A45" i="12" s="1"/>
  <c r="A48" i="12" s="1"/>
  <c r="A51" i="12" s="1"/>
  <c r="A52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5" i="12" s="1"/>
  <c r="A66" i="12" s="1"/>
  <c r="A68" i="12" s="1"/>
  <c r="H78" i="1"/>
  <c r="G78" i="1"/>
  <c r="H79" i="1" s="1"/>
  <c r="H87" i="2"/>
  <c r="A47" i="7" l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46" i="7"/>
  <c r="A69" i="12"/>
  <c r="A70" i="12"/>
  <c r="F4" i="13"/>
  <c r="C4" i="13"/>
  <c r="A71" i="12" l="1"/>
  <c r="A72" i="12"/>
  <c r="H4" i="13"/>
  <c r="A73" i="12" l="1"/>
  <c r="A92" i="12" l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8" i="12" s="1"/>
  <c r="A109" i="12" s="1"/>
  <c r="A110" i="12" s="1"/>
  <c r="A111" i="12" s="1"/>
  <c r="A112" i="12" s="1"/>
  <c r="A113" i="12" s="1"/>
  <c r="A114" i="12" s="1"/>
  <c r="A115" i="12" s="1"/>
  <c r="A117" i="12" s="1"/>
  <c r="A118" i="12" s="1"/>
  <c r="A119" i="12" s="1"/>
  <c r="A120" i="12" s="1"/>
  <c r="A121" i="12" s="1"/>
  <c r="A123" i="12" s="1"/>
  <c r="A124" i="12" s="1"/>
  <c r="A125" i="12" s="1"/>
  <c r="A126" i="12" s="1"/>
  <c r="A93" i="12"/>
</calcChain>
</file>

<file path=xl/sharedStrings.xml><?xml version="1.0" encoding="utf-8"?>
<sst xmlns="http://schemas.openxmlformats.org/spreadsheetml/2006/main" count="2377" uniqueCount="941">
  <si>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</si>
  <si>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</si>
  <si>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</si>
  <si>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</si>
  <si>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</si>
  <si>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</si>
  <si>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</si>
  <si>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</si>
  <si>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</si>
  <si>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</si>
  <si>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</si>
  <si>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</si>
  <si>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</si>
  <si>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</si>
  <si>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</si>
  <si>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</si>
  <si>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</si>
  <si>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</si>
  <si>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</si>
  <si>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</si>
  <si>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</si>
  <si>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</si>
  <si>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</si>
  <si>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</si>
  <si>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</si>
  <si>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</si>
  <si>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</si>
  <si>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</si>
  <si>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</si>
  <si>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</si>
  <si>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</si>
  <si>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</si>
  <si>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</si>
  <si>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</si>
  <si>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</si>
  <si>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</si>
  <si>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</si>
  <si>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</si>
  <si>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</si>
  <si>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</si>
  <si>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</si>
  <si>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</si>
  <si>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</si>
  <si>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</si>
  <si>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</si>
  <si>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</si>
  <si>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</si>
  <si>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</si>
  <si>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</si>
  <si>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</si>
  <si>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</si>
  <si>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</si>
  <si>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</si>
  <si>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</si>
  <si>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</si>
  <si>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</si>
  <si>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</si>
  <si>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</si>
  <si>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</si>
  <si>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</si>
  <si>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</si>
  <si>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</si>
  <si>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</si>
  <si>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</si>
  <si>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</si>
  <si>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</si>
  <si>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</si>
  <si>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</si>
  <si>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</si>
  <si>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</si>
  <si>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</si>
  <si>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</si>
  <si>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</si>
  <si>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</si>
  <si>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</si>
  <si>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</si>
  <si>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</si>
  <si>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</si>
  <si>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</si>
  <si>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</si>
  <si>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</si>
  <si>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</si>
  <si>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</si>
  <si>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</si>
  <si>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</si>
  <si>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</si>
  <si>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</si>
  <si>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</si>
  <si>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</si>
  <si>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</si>
  <si>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</si>
  <si>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</si>
  <si>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</si>
  <si>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</si>
  <si>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</si>
  <si>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</si>
  <si>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</si>
  <si>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</si>
  <si>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</si>
  <si>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</si>
  <si>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</si>
  <si>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</si>
  <si>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</si>
  <si>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</si>
  <si>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</si>
  <si>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</si>
  <si>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</si>
  <si>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</si>
  <si>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</si>
  <si>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</si>
  <si>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</si>
  <si>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</si>
  <si>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</si>
  <si>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</si>
  <si>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</si>
  <si>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</si>
  <si>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</si>
  <si>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</si>
  <si>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</si>
  <si>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</si>
  <si>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</si>
  <si>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</si>
  <si>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</si>
  <si>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</si>
  <si>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</si>
  <si>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</si>
  <si>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</si>
  <si>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</si>
  <si>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</si>
  <si>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</si>
  <si>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</si>
  <si>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</si>
  <si>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</si>
  <si>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</si>
  <si>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</si>
  <si>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</si>
  <si>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</si>
  <si>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</si>
  <si>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</si>
  <si>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</si>
  <si>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</si>
  <si>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</si>
  <si>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</si>
  <si>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</si>
  <si>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</si>
  <si>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</si>
  <si>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</si>
  <si>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</si>
  <si>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</si>
  <si>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</si>
  <si>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</si>
  <si>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</si>
  <si>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</si>
  <si>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</si>
  <si>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</si>
  <si>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</si>
  <si>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</si>
  <si>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</si>
  <si>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</si>
  <si>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</si>
  <si>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</si>
  <si>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</si>
  <si>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</si>
  <si>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</si>
  <si>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</si>
  <si>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</si>
  <si>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</si>
  <si>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</si>
  <si>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</si>
  <si>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</si>
  <si>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</si>
  <si>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</si>
  <si>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</si>
  <si>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</si>
  <si>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</si>
  <si>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</si>
  <si>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</si>
  <si>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</si>
  <si>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</si>
  <si>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Рельсошпальная решетка Р-65 на бетонной шпале, тип скрепления ЖБР-65Ш в сборе</t>
  </si>
  <si>
    <t xml:space="preserve">Тупиковые упоры новые </t>
  </si>
  <si>
    <t>м3</t>
  </si>
  <si>
    <t>м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</si>
  <si>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</si>
  <si>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</si>
  <si>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</si>
  <si>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</si>
  <si>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</si>
  <si>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</si>
  <si>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</si>
  <si>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</si>
  <si>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</si>
  <si>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</si>
  <si>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</si>
  <si>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</si>
  <si>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</si>
  <si>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</si>
  <si>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</si>
  <si>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</si>
  <si>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</si>
  <si>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</si>
  <si>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</si>
  <si>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</si>
  <si>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</si>
  <si>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</si>
  <si>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</si>
  <si>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</si>
  <si>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</si>
  <si>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</si>
  <si>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</si>
  <si>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</si>
  <si>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</si>
  <si>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</si>
  <si>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</si>
  <si>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</si>
  <si>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</si>
  <si>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</si>
  <si>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</si>
  <si>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Песок природный  средний</t>
  </si>
  <si>
    <t>т</t>
  </si>
  <si>
    <t>кг</t>
  </si>
  <si>
    <t>Битумная мастика Технониколь №24</t>
  </si>
  <si>
    <t>Песок строительный</t>
  </si>
  <si>
    <t>ИТОГО с НДС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</si>
  <si>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</si>
  <si>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</si>
  <si>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</si>
  <si>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</si>
  <si>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Разборка существующего звеньевого пути</t>
  </si>
  <si>
    <t>Разборка тупиковых упоров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</si>
  <si>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</si>
  <si>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</si>
  <si>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</si>
  <si>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</si>
  <si>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</si>
  <si>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</si>
  <si>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</si>
  <si>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</si>
  <si>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</si>
  <si>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</si>
  <si>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</si>
  <si>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</si>
  <si>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</si>
  <si>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</si>
  <si>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</si>
  <si>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Уплотнение грунта пневматическими трамбовками</t>
  </si>
  <si>
    <t>Разработка грунта вручную</t>
  </si>
  <si>
    <t>Отвозка лишнего грунта  на расстояние до 30 км с утилизацией</t>
  </si>
  <si>
    <t>Земляные работы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</si>
  <si>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</si>
  <si>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</si>
  <si>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</si>
  <si>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</si>
  <si>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</si>
  <si>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</si>
  <si>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131-23-НВК2. Переустройство хозпитьевого водопровода (В1) к цеху 121/18</t>
  </si>
  <si>
    <t>4</t>
  </si>
  <si>
    <t>10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</si>
  <si>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</si>
  <si>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</si>
  <si>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</si>
  <si>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131-23-ГП Вертикальная планировка, благоустройство</t>
  </si>
  <si>
    <t>Асфальтобетон плотный горячий на битуме БНД марки 60/90, Тип В, Марки III ГОСТ 9128-2013   h=0,05</t>
  </si>
  <si>
    <t>Щебень М600 (20-70мм) ГОСТ 8267-93  h=0,15 с К упл.= 1,05</t>
  </si>
  <si>
    <t>Песок крупный ГОСТ 8736-2014 h=0,30 с К упл.= 1,10</t>
  </si>
  <si>
    <t>Монтаж трубы ПНД-110 SN12 в траншее на глубине 1 м</t>
  </si>
  <si>
    <t>Обратная засыпка грунта вручную  (5%)</t>
  </si>
  <si>
    <t>футляр</t>
  </si>
  <si>
    <t>Прокладка труб стальных электросварных 377х10мм  (футляр)</t>
  </si>
  <si>
    <t>Заделка концов футляра 377х10мм</t>
  </si>
  <si>
    <t xml:space="preserve">Прокладка труб КОРСИС PRODN/OD 160P SN 16 </t>
  </si>
  <si>
    <t xml:space="preserve">Разработка грунта вручную </t>
  </si>
  <si>
    <t>Обратная засыпка грунта вручную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</si>
  <si>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</si>
  <si>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</si>
  <si>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</si>
  <si>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</si>
  <si>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</si>
  <si>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Демонтажные работы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</si>
  <si>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</si>
  <si>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</si>
  <si>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</si>
  <si>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</si>
  <si>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</si>
  <si>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</si>
  <si>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</si>
  <si>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</si>
  <si>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</si>
  <si>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</si>
  <si>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</si>
  <si>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</si>
  <si>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</si>
  <si>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Без НДС</t>
  </si>
  <si>
    <t>с НДС</t>
  </si>
  <si>
    <t>комплекс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</si>
  <si>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</si>
  <si>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</si>
  <si>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</si>
  <si>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</si>
  <si>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</si>
  <si>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</si>
  <si>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</si>
  <si>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</si>
  <si>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</si>
  <si>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</si>
  <si>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</si>
  <si>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</si>
  <si>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</si>
  <si>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</si>
  <si>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</si>
  <si>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</si>
  <si>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</si>
  <si>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</si>
  <si>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</si>
  <si>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</si>
  <si>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</si>
  <si>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</si>
  <si>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</si>
  <si>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</si>
  <si>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</si>
  <si>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</si>
  <si>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</si>
  <si>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</si>
  <si>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</si>
  <si>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</si>
  <si>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</si>
  <si>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</si>
  <si>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</si>
  <si>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</si>
  <si>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</si>
  <si>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</si>
  <si>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</si>
  <si>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</si>
  <si>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</si>
  <si>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</si>
  <si>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</si>
  <si>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</si>
  <si>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</si>
  <si>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</si>
  <si>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</si>
  <si>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</si>
  <si>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</si>
  <si>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</si>
  <si>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</si>
  <si>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</si>
  <si>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</si>
  <si>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</si>
  <si>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</si>
  <si>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</si>
  <si>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</si>
  <si>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</si>
  <si>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</si>
  <si>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</si>
  <si>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</si>
  <si>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</si>
  <si>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</si>
  <si>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</si>
  <si>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</si>
  <si>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</si>
  <si>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</si>
  <si>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</si>
  <si>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</si>
  <si>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</si>
  <si>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</si>
  <si>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</si>
  <si>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</si>
  <si>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</si>
  <si>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</si>
  <si>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</si>
  <si>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</si>
  <si>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</si>
  <si>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</si>
  <si>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</si>
  <si>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</si>
  <si>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</si>
  <si>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</si>
  <si>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</si>
  <si>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</si>
  <si>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</si>
  <si>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</si>
  <si>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</si>
  <si>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</si>
  <si>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</si>
  <si>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</si>
  <si>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</si>
  <si>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</si>
  <si>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</si>
  <si>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</si>
  <si>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</si>
  <si>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</si>
  <si>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</si>
  <si>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</si>
  <si>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</si>
  <si>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</si>
  <si>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</si>
  <si>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</si>
  <si>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</si>
  <si>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</si>
  <si>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</si>
  <si>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</si>
  <si>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</si>
  <si>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</si>
  <si>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</si>
  <si>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</si>
  <si>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</si>
  <si>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</si>
  <si>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</si>
  <si>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</si>
  <si>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</si>
  <si>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</si>
  <si>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</si>
  <si>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</si>
  <si>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</si>
  <si>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</si>
  <si>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</si>
  <si>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</si>
  <si>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</si>
  <si>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</si>
  <si>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</si>
  <si>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</si>
  <si>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</si>
  <si>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</si>
  <si>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</si>
  <si>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</si>
  <si>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</si>
  <si>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</si>
  <si>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</si>
  <si>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</si>
  <si>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</si>
  <si>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</si>
  <si>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</si>
  <si>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</si>
  <si>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</si>
  <si>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</si>
  <si>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</si>
  <si>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</si>
  <si>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</si>
  <si>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</si>
  <si>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</si>
  <si>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</si>
  <si>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</si>
  <si>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</si>
  <si>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</si>
  <si>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</si>
  <si>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</si>
  <si>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</si>
  <si>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</si>
  <si>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</si>
  <si>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</si>
  <si>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</si>
  <si>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</si>
  <si>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</si>
  <si>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</si>
  <si>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</si>
  <si>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</si>
  <si>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</si>
  <si>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</si>
  <si>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</si>
  <si>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</si>
  <si>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</si>
  <si>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</si>
  <si>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</si>
  <si>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</si>
  <si>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</si>
  <si>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</si>
  <si>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</si>
  <si>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</si>
  <si>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</si>
  <si>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</si>
  <si>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</si>
  <si>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</si>
  <si>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</si>
  <si>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</si>
  <si>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</si>
  <si>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</si>
  <si>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</si>
  <si>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</si>
  <si>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</si>
  <si>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</si>
  <si>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</si>
  <si>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</si>
  <si>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</si>
  <si>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</si>
  <si>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</si>
  <si>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</si>
  <si>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Заполнение межтрубного пространства в футляре цементно-песчаным раствором М100</t>
  </si>
  <si>
    <t>Обратная засыпка песком вручную</t>
  </si>
  <si>
    <t>Благоустройство (Асфальтовое покрытие проездов)</t>
  </si>
  <si>
    <t>131-23-ЭС1 Электротехнические решения</t>
  </si>
  <si>
    <t>131-23-ЭС2 Электротехнические решения</t>
  </si>
  <si>
    <t>Лента сигнальная ЛСЭ-300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</si>
  <si>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</si>
  <si>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</si>
  <si>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</si>
  <si>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</si>
  <si>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</si>
  <si>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</si>
  <si>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</si>
  <si>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</si>
  <si>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</si>
  <si>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</si>
  <si>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</si>
  <si>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</si>
  <si>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</si>
  <si>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</si>
  <si>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</si>
  <si>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</si>
  <si>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</si>
  <si>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</si>
  <si>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</si>
  <si>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</si>
  <si>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</si>
  <si>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</si>
  <si>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</si>
  <si>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</si>
  <si>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</si>
  <si>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</si>
  <si>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</si>
  <si>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</si>
  <si>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</si>
  <si>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</si>
  <si>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</si>
  <si>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</si>
  <si>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</si>
  <si>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</si>
  <si>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</si>
  <si>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</si>
  <si>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</si>
  <si>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</si>
  <si>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</si>
  <si>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</si>
  <si>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</si>
  <si>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</si>
  <si>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</si>
  <si>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</si>
  <si>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</si>
  <si>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</si>
  <si>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</si>
  <si>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</si>
  <si>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</si>
  <si>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</si>
  <si>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</si>
  <si>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</si>
  <si>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</si>
  <si>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</si>
  <si>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</si>
  <si>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</si>
  <si>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</si>
  <si>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</si>
  <si>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</si>
  <si>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</si>
  <si>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</si>
  <si>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</si>
  <si>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Установка опознавательного столбика с табличкой</t>
  </si>
  <si>
    <t>Герметизация стыков манжетами</t>
  </si>
  <si>
    <t>Изоляция стального соединения</t>
  </si>
  <si>
    <t>Устройство заделки футляра цемент м-400 (3 футляра)</t>
  </si>
  <si>
    <t>т.10-т.10А</t>
  </si>
  <si>
    <t>Крепление стенок траншеи инвентарными дощатыми щитами</t>
  </si>
  <si>
    <t>Сопутствующие работы</t>
  </si>
  <si>
    <t>Разборка кирпичной горловины колодца (h)30см -2шт.</t>
  </si>
  <si>
    <t>Установка трубы стальной  (Гильза) -2шт.</t>
  </si>
  <si>
    <t>Устройство горловины из ж/б конструкций на канализационный колодцец</t>
  </si>
  <si>
    <t>Демонтаж труб полиэтиленовых ø110мм</t>
  </si>
  <si>
    <t>Демонтаж люка чугунного тяжелого (с сохранением материала)</t>
  </si>
  <si>
    <t>Монтаж люка чугунного тяжелого (ранее демонтированного)</t>
  </si>
  <si>
    <t>Кольцо стеновое КС7.0,15</t>
  </si>
  <si>
    <t>т.1 - т.7 (ТП №30); от т.7 (ТП №30) - т.5 (щит питания крана)</t>
  </si>
  <si>
    <t>Монтаж муфты соединительной 4ПСТБ-1-70/120</t>
  </si>
  <si>
    <t>Демонтаж кабеля АВБШв-1 сеч. 4х120мм2 (с сохранением материала)</t>
  </si>
  <si>
    <t>Демонтаж кабеля ВВГнг-1 сеч. 4х50мм2 (с сохранением материала)</t>
  </si>
  <si>
    <t>Прокладка кабеля АВБШв-1 сеч. 4х120мм2 по стенам с креплением скобами (ранее демонтированный)</t>
  </si>
  <si>
    <t>Прокладка кабеля ВВГнг-1 сеч. 4х50мм2 (с сохранением материала) (ранее демонтированный)</t>
  </si>
  <si>
    <t>Муфта соединительная  4ПСТБ-1-70/120</t>
  </si>
  <si>
    <t>цех 121/18 от т.1 - т.4 (ТП №30)</t>
  </si>
  <si>
    <t>131-23-АС3;  131-23-ПОД Дополнительные работы</t>
  </si>
  <si>
    <t>Демонтаж трубопровода в корпусе №121 в осях А3 - А9</t>
  </si>
  <si>
    <t>Монтаж трубопровода по временной схеме в осях Г14 - Д14; в осях Д1 - Д2</t>
  </si>
  <si>
    <t>Демонтаж труб стальных электросварных прямошовных ø76мм</t>
  </si>
  <si>
    <t>Монтаж отвода стального приварного 90° Ф76мм</t>
  </si>
  <si>
    <t>Отвода стального приварного 90° Ф76мм</t>
  </si>
  <si>
    <t>Демонтаж ж/д пути №19 от т.1 до т.10</t>
  </si>
  <si>
    <t>Укладка ленты сигнальной ЛСЭ-600 в траншею</t>
  </si>
  <si>
    <t>от т. 2 до т.11</t>
  </si>
  <si>
    <t>от т. 2 до т.12</t>
  </si>
  <si>
    <t>Дополнительные работы</t>
  </si>
  <si>
    <t xml:space="preserve">Пробивка отверстий в бетоных конструкциях </t>
  </si>
  <si>
    <t>Устройство футляра из труб ПЭ 100 SDR 17- 110х6,6 L=2,0 м на вводах кабеля в здание</t>
  </si>
  <si>
    <t>Заделка футляров (гильзы) цементно-песчаным раствором</t>
  </si>
  <si>
    <t xml:space="preserve">Заделка футляров (гильзы) цементно-песчаным раствором </t>
  </si>
  <si>
    <t>Крепление кабеля при помощи кронштейна (хомутов)</t>
  </si>
  <si>
    <t>Прокладка кабеля 4х95мм2 в трубе- футляре</t>
  </si>
  <si>
    <t>Прокладка кабеля АВБШв-1 сеч. 4х95мм2 по стенам с креплением</t>
  </si>
  <si>
    <t>Вводы в склад цеха №75 и в ТП7</t>
  </si>
  <si>
    <t>Прокладка футляров из труб ПЭ100 SDR17,6 ø160мм</t>
  </si>
  <si>
    <t>Дополнительный футляр</t>
  </si>
  <si>
    <t>Заделка концов труб заглушками / пеной двухкомпонентной огнезащитной</t>
  </si>
  <si>
    <t>Заделка концов труб пеной двухкомпонентной огнезащитной</t>
  </si>
  <si>
    <t>Прокладка кабеля 4х95мм2 в траншее</t>
  </si>
  <si>
    <t>Монтаж муфты концевой 4ПКТп(б) -1 70/120</t>
  </si>
  <si>
    <t>Кабель АВБШв сеч. 4х95мм2</t>
  </si>
  <si>
    <t>уточнить стоимость</t>
  </si>
  <si>
    <t>Труба  ПЭ100 SDR17,6 ∅160мм</t>
  </si>
  <si>
    <t>Труба полиэтиленовая напорная ПЭ100  SDR17 ø110мм</t>
  </si>
  <si>
    <t>Муфта концевая 4ПКТп(б) -1 70/120</t>
  </si>
  <si>
    <t>Кронштейн стальной с резиновым уплотнением 1 1/4" (38-43мм)</t>
  </si>
  <si>
    <t>Отвозка демонтированного оборудования самосвалами на расстояние до 1 км</t>
  </si>
  <si>
    <t>Демонтаж (Существующее асфальтовое покрытие проездов)</t>
  </si>
  <si>
    <t xml:space="preserve">Демонтаж (существующее бетонное покрытие) </t>
  </si>
  <si>
    <t>Благоустройство (Бетонное покрытие)</t>
  </si>
  <si>
    <t>Демонтаж асфальтового покрытия  h=0,05</t>
  </si>
  <si>
    <t>Демонтаж бетонного покрытия  h = 0,2 м</t>
  </si>
  <si>
    <t>Бетонное покрытие h = 0,2 м</t>
  </si>
  <si>
    <t>Резка асфальтового покрытия</t>
  </si>
  <si>
    <t>Резка бетонного покрытия</t>
  </si>
  <si>
    <t>Демонтаж. Основание под а/д из щебня  h=0,15</t>
  </si>
  <si>
    <t>Основание под а/д из щебня М600 (20-70мм) ГОСТ 8267-93  h=0,15 с К упл.= 1,05</t>
  </si>
  <si>
    <t>уточнить стоимость. в 217 пути эти работы стоят 642 руб/м2</t>
  </si>
  <si>
    <t xml:space="preserve">Песок крупный  h=0,90 </t>
  </si>
  <si>
    <t>Благоустройство (бетонное покрытие)</t>
  </si>
  <si>
    <t>Бетон монолитный кл.В25, F 75, W6 ГОСТ 26633-2015 h = 0,15м</t>
  </si>
  <si>
    <t>Выполнено</t>
  </si>
  <si>
    <t xml:space="preserve">Разработка сухого грунта механизированным способом </t>
  </si>
  <si>
    <t>Доработка грунта в траншее вручную</t>
  </si>
  <si>
    <t xml:space="preserve">Обратная засыпка грунта бульдозером </t>
  </si>
  <si>
    <t xml:space="preserve">Обратная засыпка грунта вручную  </t>
  </si>
  <si>
    <t>Сборные железобетонные, монолитные и кирпичные конструкции</t>
  </si>
  <si>
    <t>Устройство кирпичной кладки из кирпича КР-р-по 250х120х88/1,4НФ/150/2,0/50 на растворе М50</t>
  </si>
  <si>
    <t>Устройство монолитных фундаментов из бетона кл. В20, W6, F75</t>
  </si>
  <si>
    <t>Устройство щебеночной подготовки из щебня фр. 20-40 мм под фундаменты</t>
  </si>
  <si>
    <t>Устройство цементной стяжки толщ. 30 мм по верху кирпичной кладки из цементного раствора М100</t>
  </si>
  <si>
    <t>Штукатурка поверхности кирпичных стен</t>
  </si>
  <si>
    <t>Окраска поверхности кирпичных стен фасадной краской типа «Полифан» за 2 раза</t>
  </si>
  <si>
    <t>Очистка поверхности сборных железобетонных и монолитных фундаментов перед обмазкой</t>
  </si>
  <si>
    <t>Огрунтовка  поверхностей сборных железобетонных и монолитных битумной грунтовкой ТЕХНОНИКОЛЬ №01</t>
  </si>
  <si>
    <t>Обмазка поверхностей сборных железобетонных и монолитных битумной мастикой ТЕХНОНИКОЛЬ № 24 за 2 раза</t>
  </si>
  <si>
    <t>л</t>
  </si>
  <si>
    <t>Праймер Технониколь №1</t>
  </si>
  <si>
    <t>Бетон В20 W6 F75</t>
  </si>
  <si>
    <t>Щебень фр. 20-40</t>
  </si>
  <si>
    <t>Кирпич КР-р-по 250х120х88/1,4НФ/150/2,0/50</t>
  </si>
  <si>
    <t>Фундаменты ограждения ФО-2</t>
  </si>
  <si>
    <t>Панели ограждения ПО-2</t>
  </si>
  <si>
    <t>Цементный раствор М100</t>
  </si>
  <si>
    <t>Покрытие Полифан</t>
  </si>
  <si>
    <t>8,5</t>
  </si>
  <si>
    <t>131-23-ГП2 Вертикальная планировка, благоустройство</t>
  </si>
  <si>
    <t>из 217 пути</t>
  </si>
  <si>
    <t>131-23-КС</t>
  </si>
  <si>
    <t>Опора металлическая  МШП-12-150</t>
  </si>
  <si>
    <t>Опора металлическая  МШК1-12-100</t>
  </si>
  <si>
    <t>Фундамент с анкерным креплением ТСА-4,5-120</t>
  </si>
  <si>
    <t>Фундамент с анкерным креплением ТСА-4,5-150</t>
  </si>
  <si>
    <t>Втулка изолирующая верхняя</t>
  </si>
  <si>
    <t>Втулка изолирующая нижняя</t>
  </si>
  <si>
    <t>Изолирующая пластина</t>
  </si>
  <si>
    <t>Колпачки</t>
  </si>
  <si>
    <t>Гайки</t>
  </si>
  <si>
    <t>Шайбы</t>
  </si>
  <si>
    <t>Выравнивающие пластины  3 мм</t>
  </si>
  <si>
    <t>Хомуты крепления номерных знаков</t>
  </si>
  <si>
    <t>Номерные знаки оцинкованные</t>
  </si>
  <si>
    <t>Знак «Высокое напряжение» самоклеящийся</t>
  </si>
  <si>
    <t>Грунт</t>
  </si>
  <si>
    <t xml:space="preserve">Краска ПФ-135, RAL7040 </t>
  </si>
  <si>
    <t xml:space="preserve">Краска ПФ-135, RAL3020 </t>
  </si>
  <si>
    <t>Песок для засыпки</t>
  </si>
  <si>
    <t>Провод медный сечением 120 мм2 М-120</t>
  </si>
  <si>
    <t>Провод  МФ сечением 100 мм2 МФ-100</t>
  </si>
  <si>
    <t>км</t>
  </si>
  <si>
    <t>Провод медный сечением 95 мм2  М-95</t>
  </si>
  <si>
    <t>Проволока биметаллическая сталемедная марки БСМ-1 Ø 4 мм</t>
  </si>
  <si>
    <t>Узел подключения заземляющих проводников к рельсам УКЗУ-2 для постоянного тока (Р-65)</t>
  </si>
  <si>
    <t>Кронштейн заземления (деталь заземления) УКС 04911</t>
  </si>
  <si>
    <t>Оцинкованный знак нумерации на основных стержнях фиксаторов</t>
  </si>
  <si>
    <t>Смазка высокопроводящая УВС</t>
  </si>
  <si>
    <t>Хомут крепления искрового промежутка</t>
  </si>
  <si>
    <t>Такелажный изолятор ИТО-3</t>
  </si>
  <si>
    <t>Газоразрядный прибор типа ГРПЗ-1У УХЛ1</t>
  </si>
  <si>
    <t>Изолятор подвесной полимерный  птицезащитный  ПСПКр 70-3/0,6-П ГП</t>
  </si>
  <si>
    <t>Изолятор фиксаторный полимерный  птицезащитный ФСПКр 120-3/0,6-П</t>
  </si>
  <si>
    <t>Изолятор натяжной стержневой  НСПК 120-3/0,8-Д</t>
  </si>
  <si>
    <t>Консоли неизолированные ЦНР-1</t>
  </si>
  <si>
    <t>Двухпутная консоль типа ДЦ-VII с одной фиксаторной стойкой</t>
  </si>
  <si>
    <t>Хомут крепления консоли верхний ХТПК-1</t>
  </si>
  <si>
    <t>Хомут крепления консоли нижний ХТПК-2</t>
  </si>
  <si>
    <t>Фиксатор ФП-1</t>
  </si>
  <si>
    <t>Фиксатор ФПЖ-1</t>
  </si>
  <si>
    <t>Строительные работы</t>
  </si>
  <si>
    <t>Установка металл. одиночных раздельных опор и фундаментов трехлучевых с анкерным креплением «с пути» на станции</t>
  </si>
  <si>
    <t>Шурфовка предварительная с откопкой кабеля</t>
  </si>
  <si>
    <t>Разработка лидирующих скважин диаметром не более 400мм, глубиной 4,5м</t>
  </si>
  <si>
    <t>Засыпка с трамбованием</t>
  </si>
  <si>
    <t>Установка хомутов номерных знаков на опоры</t>
  </si>
  <si>
    <t>Установка номерных знаков на опоры</t>
  </si>
  <si>
    <t>Установка знаков «Высокое напряжение</t>
  </si>
  <si>
    <t xml:space="preserve">Очистка поверхностей и обеспыливание перед окраской </t>
  </si>
  <si>
    <t>Окраска фундаментов опор и анкеров в два слоя серой краской</t>
  </si>
  <si>
    <t xml:space="preserve">Разборка фундаментов трехлучевых на станции </t>
  </si>
  <si>
    <t>Разборка опор металлических раздельных «с пути»</t>
  </si>
  <si>
    <t>Разборка опор железобетонных одиночных раздельных «с пути» на станции</t>
  </si>
  <si>
    <t>Утилизация железобетонных опор</t>
  </si>
  <si>
    <t>Засыпка песком с трамбованием после демонтажа фундаментов и анкеров</t>
  </si>
  <si>
    <t>Монтажные работы   (фиксаторы трубчатые)</t>
  </si>
  <si>
    <t>Вынос контактной подвески из зоны работы строительных машин и возврат в рабочее положение проводов в местах установки и разборки опор контактной сети</t>
  </si>
  <si>
    <t xml:space="preserve">Раскатка несущего троса «поверху» </t>
  </si>
  <si>
    <t xml:space="preserve">Демонтаж несущего троса «поверху» </t>
  </si>
  <si>
    <t>Заземление проводов контактной подвески и дополнительных проводов на время производства работ при раскатке несущего троса</t>
  </si>
  <si>
    <t>Раскатка двойного контактного провода</t>
  </si>
  <si>
    <t>Демонтаж двойного контактного провода</t>
  </si>
  <si>
    <t>Заземление проводов контактной подвески и дополнительных проводов на время производства работ при раскатке контактного провода</t>
  </si>
  <si>
    <t xml:space="preserve">Регулировка контактной подвески цепной полукомпенсированной подвески с применением оцинкованных деталей с двойным контактным проводом </t>
  </si>
  <si>
    <t>Заземление проводов контактной подвески и дополнительных проводов на время производства работ при регулировке контактной подвески</t>
  </si>
  <si>
    <t xml:space="preserve">Проверка параметров контактной подвески и доведение их до норм после вытяжки проводов </t>
  </si>
  <si>
    <t>Возврат контактного провода в лом (МФ-100)</t>
  </si>
  <si>
    <t>Возврат несущего троса в лом (М-120)</t>
  </si>
  <si>
    <t>Анкеровка жесткая односторонняя несущего троса или контактного провода с применением оцинкованных изделий</t>
  </si>
  <si>
    <t>Анкеровка компенсированная односторонняя несущего троса или контактного провода с применением оцинкованных изделий</t>
  </si>
  <si>
    <t>Демонтаж анкеровки жесткой односторонней несущего троса или контактного провода с применением оцинкованных изделий</t>
  </si>
  <si>
    <t>Демонтаж анкеровки компенсированной односторонней несущего троса или контактного провода с применением оцинкованных изделий</t>
  </si>
  <si>
    <t>Заземление с применением горячей оцинковки деталей и изделий контактной сети с использованием узлов УКЗ опоры металлической, одиночное</t>
  </si>
  <si>
    <t>Демонтаж заземления с применением горячей оцинковки деталей и изделий контактной сети с использованием узлов УКЗ опоры металлической, одиночное</t>
  </si>
  <si>
    <t>Заземление с применением горячей оцинковки деталей и изделий контактной сети с использованием узлов УКЗ опоры железобетонной, одиночное</t>
  </si>
  <si>
    <t>Демонтаж заземления с применением горячей оцинковки деталей и изделий контактной сети с использованием узлов УКЗ опоры железобетонной, одиночное</t>
  </si>
  <si>
    <t>Врезка такелажных изоляторов ИТО-3</t>
  </si>
  <si>
    <t>Монтаж оцинкованных знаков нумерации на основных стержнях фиксаторов</t>
  </si>
  <si>
    <t>Монтаж газоразрядного прибора типа ГРПЗ-1У УХЛ1</t>
  </si>
  <si>
    <t>Монтаж изолятора подвесного полимерного  птицезащитного ПСПКр 70-3/0,6-П ГП</t>
  </si>
  <si>
    <t>Монтаж изолятора подвесного полимерного  птицезащитного ФСПКр 120-3/0,6-П</t>
  </si>
  <si>
    <t>Монтаж изолятора натяжного стержневого  НСПК 120-3/0,8-Д</t>
  </si>
  <si>
    <t>Установка консолей</t>
  </si>
  <si>
    <t>Установка консолей неизолированных массой до 75 кг</t>
  </si>
  <si>
    <t>Демонтаж консолей неизолированных массой до 75 кг</t>
  </si>
  <si>
    <t>Установка двухпутной консоли типа ДЦ-VII с одной фиксаторной стойкой</t>
  </si>
  <si>
    <t>Установка на опорах хомутов</t>
  </si>
  <si>
    <t>Демонтаж с опор хомутов</t>
  </si>
  <si>
    <t>Возврат консолей в лом</t>
  </si>
  <si>
    <t xml:space="preserve">Окраска метал. опоры в два слоя красной краской (красная полоска на метал. опоре) </t>
  </si>
  <si>
    <t xml:space="preserve">Установка железобетонных оград из панелей </t>
  </si>
  <si>
    <t>сметная стоимость</t>
  </si>
  <si>
    <t>Наименование работ</t>
  </si>
  <si>
    <t>Ед.</t>
  </si>
  <si>
    <t>Формула расчета, расчет объемов работ и расхода материалов</t>
  </si>
  <si>
    <t>п/п</t>
  </si>
  <si>
    <t>изм.</t>
  </si>
  <si>
    <t>Корпус №121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</si>
  <si>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</si>
  <si>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Частичный демонтаж корпуса №121</t>
  </si>
  <si>
    <t xml:space="preserve">в осях А-Д/1-13 (кроме стены по </t>
  </si>
  <si>
    <t>оси Д в осях 1-13) :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</si>
  <si>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</si>
  <si>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Демонтаж покрытия рулонной кровли вручную с погрузкой на автосамосвалы с помощью автокрана и отвозкой к месту утилизации на 30 км и утилизация</t>
  </si>
  <si>
    <r>
      <t>м</t>
    </r>
    <r>
      <rPr>
        <vertAlign val="superscript"/>
        <sz val="12"/>
        <color rgb="FF000000"/>
        <rFont val="Times New Roman"/>
        <family val="1"/>
        <charset val="204"/>
      </rPr>
      <t>2</t>
    </r>
  </si>
  <si>
    <r>
      <t>S=21, 51х72,0=1548,72 м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</si>
  <si>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</si>
  <si>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Демонтаж бетонной стяжки δ=50 мм вручную с погрузкой на автосамосвалы с помощью автокрана и отвозкой к месту утилизации на 30 км и утилизация</t>
  </si>
  <si>
    <r>
      <t>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</si>
  <si>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>V=1548,72х0,05=77,44 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</si>
  <si>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r>
      <t>P=77,44х1,8 (т/м</t>
    </r>
    <r>
      <rPr>
        <vertAlign val="superscript"/>
        <sz val="10"/>
        <color rgb="FF000000"/>
        <rFont val="Times New Roman"/>
        <family val="1"/>
        <charset val="204"/>
      </rPr>
      <t>3</t>
    </r>
    <r>
      <rPr>
        <sz val="10"/>
        <color rgb="FF000000"/>
        <rFont val="Times New Roman"/>
        <family val="1"/>
        <charset val="204"/>
      </rPr>
      <t>)=139,4 т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</si>
  <si>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</si>
  <si>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Демонтаж засыпки из керамзита δ=100 мм вручную с погрузкой на автосамосвалы с помощью автокрана и отвозкой к месту утилизации на 30 км и утилизация</t>
  </si>
  <si>
    <r>
      <t>V=1548,72х0,1=154,87 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</si>
  <si>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r>
      <t>P=154,87х0,4 (т/м</t>
    </r>
    <r>
      <rPr>
        <vertAlign val="superscript"/>
        <sz val="10"/>
        <color rgb="FF000000"/>
        <rFont val="Times New Roman"/>
        <family val="1"/>
        <charset val="204"/>
      </rPr>
      <t>3</t>
    </r>
    <r>
      <rPr>
        <sz val="10"/>
        <color rgb="FF000000"/>
        <rFont val="Times New Roman"/>
        <family val="1"/>
        <charset val="204"/>
      </rPr>
      <t>)=61,95 т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</si>
  <si>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</si>
  <si>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Демонтаж сборных ж/бетонных ребристых плит покрытия размером 1,5х6,0х0,3, весом 1,5 т (бетон-0,615 м3) с погрузкой на автосамосвалы с помощью автокрана и отвозкой к месту утилизации на 30 км и утилизация</t>
  </si>
  <si>
    <r>
      <t>V=0,615х168=103,32 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</si>
  <si>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t>P=1,5х168=252,0 т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</si>
  <si>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</si>
  <si>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Демонтаж сборных ж/бетонных пустотных плит покрытия размером 0,5х6,0х0,22, весом 1,0 т (бетон-0,394 м3) с погрузкой на автосамосвалы с помощью автокрана и отвозкой к месту утилизации на 30 км и утилизация</t>
  </si>
  <si>
    <r>
      <t>V=0,394х12=4,73 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</si>
  <si>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t>P=1,0х12=12,0 т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</si>
  <si>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</si>
  <si>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 xml:space="preserve">Демонтаж сборных ж/бетонных сегментных ферм покрытия длиной 17,940 м, высотой 2,725 м, весом </t>
  </si>
  <si>
    <r>
      <t>V=0,394х13=5,12 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</si>
  <si>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t>7,8 т (бетон марки В45 - 3,11 м3) с погрузкой на автосамосвалы с помощью автокрана и отвозкой к месту утилизации на 30 км и утилизация</t>
  </si>
  <si>
    <t>P=1,0х13=13,0 т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</si>
  <si>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</si>
  <si>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Демонтаж металлических балок покрытия Б-9 длиной 3,940 м из</t>
  </si>
  <si>
    <t>2[20:</t>
  </si>
  <si>
    <t>2[20 с погрузкой на автотранспорт с помощью автокрана и отвозкой к месту утилизации на 30 км и утилизация</t>
  </si>
  <si>
    <t>P=18,4х3,94х2х13=1884,9 кг</t>
  </si>
  <si>
    <t>-δ=8:</t>
  </si>
  <si>
    <t>P=0,8х0,8х62,8х4х13=2089,98 кг</t>
  </si>
  <si>
    <t>ΣP=1884,9+2089,98=3974,88 кг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</si>
  <si>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</si>
  <si>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Демонтаж металлических связей из</t>
  </si>
  <si>
    <t>2[10:</t>
  </si>
  <si>
    <t>2[10 с погрузкой на автотранспорт с помощью автокрана и отвозкой к месту утилизации на 30 км и утилизация</t>
  </si>
  <si>
    <t>P=8,59х13,5х2=231,93 кг</t>
  </si>
  <si>
    <t>Уголок 75х50х5, l=520 мм:</t>
  </si>
  <si>
    <t>P=0,52х4,79х27=67,25 кг</t>
  </si>
  <si>
    <t>ΣP=1231,93 +67,25 =1299,18 кг</t>
  </si>
  <si>
    <r>
      <t>10.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</si>
  <si>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металлических балок перекрытия Б-3, Б-4 с погрузкой на автотранспорт с помощью автокрана и отвозкой к месту утилизации на 30 км и утилизация</t>
  </si>
  <si>
    <t>Б-3 (4 шт.) 2[10, l=5,74 м:</t>
  </si>
  <si>
    <t>P=8,59х5,74х2х4=394,45 кг</t>
  </si>
  <si>
    <r>
      <t xml:space="preserve">Б-4 (2 шт.) </t>
    </r>
    <r>
      <rPr>
        <b/>
        <sz val="8"/>
        <color rgb="FF000000"/>
        <rFont val="Cambria Math"/>
        <family val="1"/>
        <charset val="204"/>
      </rPr>
      <t>⌶</t>
    </r>
    <r>
      <rPr>
        <sz val="10"/>
        <color rgb="FF000000"/>
        <rFont val="Times New Roman"/>
        <family val="1"/>
        <charset val="204"/>
      </rPr>
      <t>40=5,14 м:</t>
    </r>
  </si>
  <si>
    <t>P=56,1х5,14х2=576,71 кг</t>
  </si>
  <si>
    <t>ΣP=394,45 +576,71  =971,16 кг</t>
  </si>
  <si>
    <r>
      <t>11.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</si>
  <si>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металлических балок перекрытия Б-1, Б-2 с погрузкой на автотранспорт с помощью автокрана и отвозкой к месту утилизации на 30 км и утилизация</t>
  </si>
  <si>
    <r>
      <t>Б-1:  2</t>
    </r>
    <r>
      <rPr>
        <sz val="10"/>
        <color rgb="FF000000"/>
        <rFont val="Calibri"/>
        <family val="2"/>
        <charset val="204"/>
      </rPr>
      <t>□</t>
    </r>
    <r>
      <rPr>
        <sz val="10"/>
        <color rgb="FF000000"/>
        <rFont val="Times New Roman"/>
        <family val="1"/>
        <charset val="204"/>
      </rPr>
      <t>100х5, l=96,0 п. м</t>
    </r>
  </si>
  <si>
    <t>P=14,41х96,0х2=2766,72 кг</t>
  </si>
  <si>
    <r>
      <t>Б-2: 4</t>
    </r>
    <r>
      <rPr>
        <sz val="10"/>
        <color rgb="FF000000"/>
        <rFont val="Calibri"/>
        <family val="2"/>
        <charset val="204"/>
      </rPr>
      <t>□</t>
    </r>
    <r>
      <rPr>
        <sz val="10"/>
        <color rgb="FF000000"/>
        <rFont val="Times New Roman"/>
        <family val="1"/>
        <charset val="204"/>
      </rPr>
      <t>100х5, l=48,0 п. м</t>
    </r>
  </si>
  <si>
    <t>P=14,41х48,0х4=2766,72 кг</t>
  </si>
  <si>
    <t>ΣP=2766,72 +2766,72  =5533,44 кг</t>
  </si>
  <si>
    <r>
      <t>12.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</si>
  <si>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монолитных участков перекрытия МУ-1 – МУ-6 с погрузкой на автотранспорт с помощью автокрана и отвозкой к месту утилизации на 30 км и утилизация</t>
  </si>
  <si>
    <t>V=5,7х1,61х0,22+5.8х4,93х0,22+5,6х6,3х0,22+0,8х</t>
  </si>
  <si>
    <r>
      <t>6,0х0,22+0,405х6,0х0,22=17,66 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</si>
  <si>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t>P=17,66х2,6=45,92 т</t>
  </si>
  <si>
    <r>
      <t>13.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</si>
  <si>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 xml:space="preserve">Демонтаж сборных ж/бетонных пустотных плит перекрытия размером 1,5х6,0х0,22 м, весом </t>
  </si>
  <si>
    <r>
      <t>V=0,86х4=4,44 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</si>
  <si>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t>2,15 т (бетон 0,86 м3) с погрузкой на автотранспорт с помощью автокрана и отвозкой к месту утилизации на 30 км и утилизация</t>
  </si>
  <si>
    <t>P=2,15х4=8,6 т</t>
  </si>
  <si>
    <r>
      <t>14.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</si>
  <si>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 xml:space="preserve">Демонтаж сборных ж/бетонных подкрановых балок таврового сечения пролетом 6,0 м, весом 4,68 т </t>
  </si>
  <si>
    <r>
      <t>V=0,3 м2х6,0х22=39,6 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</si>
  <si>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t>с погрузкой на автотранспорт с помощью автокрана и отвозкой к месту утилизации на 30 км и утилизация</t>
  </si>
  <si>
    <t>P=39,6х2,6=102,96 т</t>
  </si>
  <si>
    <r>
      <t>15.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</si>
  <si>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металлических площадок и лестниц в осях А-Д/1-3 с погрузкой на автотранспорт с помощью автокрана и отвозкой к месту утилизации на 30 км и утилизация</t>
  </si>
  <si>
    <r>
      <t>16.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</si>
  <si>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сборных ж/бетонных колонн под крановые балки, весом 7,4 т с погрузкой на автотранспорт с помощью автокрана и отвозкой к месту утилизации на 30 км и утилизация</t>
  </si>
  <si>
    <r>
      <t>17.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</si>
  <si>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сборных ж/бетонных фахверковых колонн , весом 5,8 т с погрузкой на автотранспорт с помощью автокрана и отвозкой к месту утилизации на 30 км и утилизация</t>
  </si>
  <si>
    <r>
      <t>18.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</si>
  <si>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металлического фахверка из 2 [20 , весом до 0,12 т с погрузкой на автотранспорт с помощью автокрана и отвозкой к месту утилизации на 30 км и утилизация</t>
  </si>
  <si>
    <r>
      <t>19.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</si>
  <si>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оконных блоков с погрузкой на автотранспорт с помощью автокрана и отвозкой к месту утилизации на 30 км и утилизация</t>
  </si>
  <si>
    <t>P=112,0х0,024=2,67 т</t>
  </si>
  <si>
    <r>
      <t>20.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</si>
  <si>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металлических ворот с погрузкой на автотранспорт с помощью автокрана и отвозкой к месту утилизации на 30 км и утилизация</t>
  </si>
  <si>
    <t>P=32,0х0,055=1,76 т</t>
  </si>
  <si>
    <r>
      <t>21.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</si>
  <si>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сборных ж/бетонных стеновых панелей толщ. 240 мм весом 3,2 т с погрузкой на автотранспорт с помощью автокрана и отвозкой к месту утилизации на 30 км и утилизация</t>
  </si>
  <si>
    <t>S=1,8х6,0х10+1,2х6,0х57+ 1,2х3,0х18+1,8х3,0х8+1,2х1,5х8+1,8х1,5х4+1,8х5,86х1+1,2х5,86х11+1,2х6,2х7+1,2х</t>
  </si>
  <si>
    <r>
      <t>6,38х10=868,14 м</t>
    </r>
    <r>
      <rPr>
        <vertAlign val="superscript"/>
        <sz val="12"/>
        <color rgb="FF000000"/>
        <rFont val="Times New Roman"/>
        <family val="1"/>
        <charset val="204"/>
      </rPr>
      <t>2</t>
    </r>
  </si>
  <si>
    <r>
      <t>V=868,14х0,24=208,35 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</si>
  <si>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P=208,35х2,1=437,5 т</t>
  </si>
  <si>
    <r>
      <t>22.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</si>
  <si>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монолитных участков заделки оконных проемов с погрузкой на автотранспорт с помощью автокрана и отвозкой к месту утилизации на 30 км и утилизация</t>
  </si>
  <si>
    <t>P=3,4х2,1=7,14 т</t>
  </si>
  <si>
    <r>
      <t>23.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</si>
  <si>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кирпичных участков наружных стен с погрузкой на автотранспорт с помощью автокрана и отвозкой к месту утилизации на 30 км и утилизация</t>
  </si>
  <si>
    <t>P=44,54х1,85=82,4 т</t>
  </si>
  <si>
    <r>
      <t>24.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</si>
  <si>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внутренних кирпичных перегородок δ=0,24 м с погрузкой на автотранспорт с помощью автокрана и отвозкой к месту утилизации на 30 км и утилизация</t>
  </si>
  <si>
    <t>P=49,35х1,85=89,82 т</t>
  </si>
  <si>
    <r>
      <t>25.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</si>
  <si>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внутренних кирпичных стен δ=0,4 м с погрузкой на автотранспорт с помощью автокрана и отвозкой к месту утилизации на 30 км и утилизация</t>
  </si>
  <si>
    <t>P=86,1х1,85=159,3 т</t>
  </si>
  <si>
    <r>
      <t>26.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</si>
  <si>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внутренних металлических оконных блоков с погрузкой на автотранспорт с помощью автокрана и отвозкой к месту утилизации на 30 км и утилизация</t>
  </si>
  <si>
    <t>P=10,54х0,024=0,25 т</t>
  </si>
  <si>
    <r>
      <t>27.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</si>
  <si>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внутренних металлических дверных блоков с погрузкой на автотранспорт с помощью автокрана и отвозкой к месту утилизации на 30 км и утилизация</t>
  </si>
  <si>
    <r>
      <t>28.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</si>
  <si>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перекрытия внутренних помещений из профлиста h=75 мм</t>
  </si>
  <si>
    <r>
      <t>S=18,4х3,91+30,2х3,91=190,0 м</t>
    </r>
    <r>
      <rPr>
        <vertAlign val="superscript"/>
        <sz val="12"/>
        <color rgb="FF000000"/>
        <rFont val="Times New Roman"/>
        <family val="1"/>
        <charset val="204"/>
      </rPr>
      <t>2</t>
    </r>
  </si>
  <si>
    <t>P=5,87х190,0=1115,3 кг</t>
  </si>
  <si>
    <r>
      <t>29.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</si>
  <si>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монолитного бетонного пола δ=0,23 м</t>
  </si>
  <si>
    <t>P=354,0х2,1=743,4 кг</t>
  </si>
  <si>
    <r>
      <t>30.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</si>
  <si>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>Разработка грунта в траншеях экскаватором емк. ковша  0,65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с погрузкой на автомобили и отвозкой на 1 км и привозкой для обратной засыпки</t>
    </r>
  </si>
  <si>
    <t>P=1714,0х1,6=2742,4 т</t>
  </si>
  <si>
    <r>
      <t>31.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</si>
  <si>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Доработка грунта вручную с погрузкой на автомобили и отвозкой на 1 км и привозкой для обратной засыпки</t>
  </si>
  <si>
    <t>P=30,0х1,6=48,0 т</t>
  </si>
  <si>
    <r>
      <t>32.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</si>
  <si>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Привозка грунта для обратной засыпки автосамосвалами с расстояния 1 км</t>
  </si>
  <si>
    <t>P=173,4х1,6=277,4 т</t>
  </si>
  <si>
    <r>
      <t>33.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</si>
  <si>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Обратная засыпка котлована  грунтом с тщательным послойным уплотнением механизированным способом</t>
  </si>
  <si>
    <r>
      <t>V=V</t>
    </r>
    <r>
      <rPr>
        <vertAlign val="subscript"/>
        <sz val="12"/>
        <color rgb="FF000000"/>
        <rFont val="Times New Roman"/>
        <family val="1"/>
        <charset val="204"/>
      </rPr>
      <t>з</t>
    </r>
    <r>
      <rPr>
        <sz val="12"/>
        <color rgb="FF000000"/>
        <rFont val="Times New Roman"/>
        <family val="1"/>
        <charset val="204"/>
      </rPr>
      <t>+V</t>
    </r>
    <r>
      <rPr>
        <vertAlign val="subscript"/>
        <sz val="12"/>
        <color rgb="FF000000"/>
        <rFont val="Times New Roman"/>
        <family val="1"/>
        <charset val="204"/>
      </rPr>
      <t>ф</t>
    </r>
  </si>
  <si>
    <t>V=1714,0+30,0+173,4=1917,4х0,98=</t>
  </si>
  <si>
    <r>
      <t>1879,1 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</si>
  <si>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Р=1879,1х1,6=3006,56 т</t>
  </si>
  <si>
    <r>
      <t>34.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</si>
  <si>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Обратная засыпка котлована  вручную</t>
  </si>
  <si>
    <t>V=1714,0+30,0+173,4=1917,4х0,02=</t>
  </si>
  <si>
    <r>
      <t>38,3 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</si>
  <si>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Р=38,3х1,6=61,3 т</t>
  </si>
  <si>
    <r>
      <t>35.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</si>
  <si>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монолитных ж/бетонных фундаментов под колонны и стены здания механизированным способом с помощью гидромолота с погрузкой на автотранспорт и отвозкой на 30 км и утилизация</t>
  </si>
  <si>
    <t>P=173,39х2,5=433,5 т</t>
  </si>
  <si>
    <t>Демонтаж сетей противопожарного водопровода, отопления, вентиляции</t>
  </si>
  <si>
    <r>
      <t>36.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</si>
  <si>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24</t>
    </r>
  </si>
  <si>
    <t>п.м.</t>
  </si>
  <si>
    <t>Основание: №854-ОБСЛ/Р-2023 лист 15</t>
  </si>
  <si>
    <r>
      <t>37.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</si>
  <si>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27</t>
    </r>
  </si>
  <si>
    <r>
      <t>38.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</si>
  <si>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32</t>
    </r>
  </si>
  <si>
    <r>
      <t>39.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</si>
  <si>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42</t>
    </r>
  </si>
  <si>
    <r>
      <t>40.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</si>
  <si>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44</t>
    </r>
  </si>
  <si>
    <r>
      <t>41.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</si>
  <si>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57</t>
    </r>
  </si>
  <si>
    <r>
      <t>42.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</si>
  <si>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73</t>
    </r>
  </si>
  <si>
    <r>
      <t>43.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</si>
  <si>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89</t>
    </r>
  </si>
  <si>
    <r>
      <t>44.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</si>
  <si>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100</t>
    </r>
  </si>
  <si>
    <r>
      <t>45.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</si>
  <si>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109</t>
    </r>
  </si>
  <si>
    <r>
      <t>46.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</si>
  <si>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120</t>
    </r>
  </si>
  <si>
    <r>
      <t>47.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</si>
  <si>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132</t>
    </r>
  </si>
  <si>
    <r>
      <t>48.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</si>
  <si>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159</t>
    </r>
  </si>
  <si>
    <r>
      <t>49.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</si>
  <si>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160</t>
    </r>
  </si>
  <si>
    <r>
      <t>50.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</si>
  <si>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180</t>
    </r>
  </si>
  <si>
    <r>
      <t>51.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</si>
  <si>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200</t>
    </r>
  </si>
  <si>
    <r>
      <t>52.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</si>
  <si>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 xml:space="preserve"> 220</t>
    </r>
  </si>
  <si>
    <r>
      <t>53.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</si>
  <si>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 xml:space="preserve">Демонтаж труб стальных электросварных </t>
    </r>
    <r>
      <rPr>
        <sz val="12"/>
        <color rgb="FF000000"/>
        <rFont val="Calibri"/>
        <family val="2"/>
        <charset val="204"/>
      </rPr>
      <t>Ø</t>
    </r>
    <r>
      <rPr>
        <sz val="12"/>
        <color rgb="FF000000"/>
        <rFont val="Times New Roman"/>
        <family val="1"/>
        <charset val="204"/>
      </rPr>
      <t>250</t>
    </r>
  </si>
  <si>
    <r>
      <t>54.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</si>
  <si>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Перфорированый лоток 300х50 мм</t>
  </si>
  <si>
    <r>
      <t>55.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</si>
  <si>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запорной арматуры</t>
  </si>
  <si>
    <r>
      <t>56.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</si>
  <si>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пожарного шкафа</t>
  </si>
  <si>
    <r>
      <t>57.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</si>
  <si>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пожарного крана</t>
  </si>
  <si>
    <r>
      <t>58.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</si>
  <si>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Демонтаж вентиляционной установки</t>
  </si>
  <si>
    <t>Разборка зданий методом обрушения: кирпичных, сборного железобетона</t>
  </si>
  <si>
    <t>Разборка: железобетонных фундаментов</t>
  </si>
  <si>
    <t>Демонтаж напольных покрытий</t>
  </si>
  <si>
    <t>комм-ИР-наоборот 60,36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</si>
</sst>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_-* #,##0.0_-;\-* #,##0.0_-;_-* &quot;-&quot;??_-;_-@_-"/>
    <numFmt numFmtId="171" formatCode="#,##0.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1"/>
      <color rgb="FF00B0F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b/>
      <sz val="8"/>
      <color rgb="FF000000"/>
      <name val="Cambria Math"/>
      <family val="1"/>
      <charset val="204"/>
    </font>
    <font>
      <sz val="10"/>
      <color rgb="FF000000"/>
      <name val="Calibri"/>
      <family val="2"/>
      <charset val="204"/>
    </font>
    <font>
      <vertAlign val="subscript"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23" fillId="0" borderId="0"/>
  </cellStyleXfs>
  <cellXfs count="420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0" fontId="0" fillId="7" borderId="0" xfId="0" applyFill="1"/>
    <xf numFmtId="9" fontId="0" fillId="0" borderId="0" xfId="2" applyFont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6" fillId="0" borderId="3" xfId="4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0" fontId="7" fillId="7" borderId="3" xfId="0" applyFont="1" applyFill="1" applyBorder="1" applyAlignment="1">
      <alignment horizontal="left" vertical="center" wrapText="1"/>
    </xf>
    <xf numFmtId="166" fontId="10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5" fontId="12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3" fontId="10" fillId="0" borderId="1" xfId="1" applyNumberFormat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165" fontId="12" fillId="0" borderId="1" xfId="1" applyNumberFormat="1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43" fontId="10" fillId="7" borderId="1" xfId="1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165" fontId="10" fillId="7" borderId="1" xfId="1" applyNumberFormat="1" applyFont="1" applyFill="1" applyBorder="1" applyAlignment="1">
      <alignment horizontal="center"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2" fillId="0" borderId="1" xfId="1" applyFont="1" applyBorder="1" applyAlignment="1">
      <alignment vertical="center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center" vertical="center" wrapText="1"/>
    </xf>
    <xf numFmtId="43" fontId="10" fillId="0" borderId="3" xfId="1" applyFont="1" applyBorder="1" applyAlignment="1">
      <alignment horizontal="left" vertical="center" wrapText="1"/>
    </xf>
    <xf numFmtId="165" fontId="10" fillId="0" borderId="3" xfId="1" applyNumberFormat="1" applyFont="1" applyBorder="1" applyAlignment="1">
      <alignment horizontal="left" vertical="center" wrapText="1"/>
    </xf>
    <xf numFmtId="43" fontId="10" fillId="7" borderId="3" xfId="1" applyFont="1" applyFill="1" applyBorder="1" applyAlignment="1">
      <alignment horizontal="left" vertical="center" wrapText="1"/>
    </xf>
    <xf numFmtId="170" fontId="10" fillId="7" borderId="3" xfId="1" applyNumberFormat="1" applyFont="1" applyFill="1" applyBorder="1" applyAlignment="1">
      <alignment horizontal="left" vertical="center" wrapText="1"/>
    </xf>
    <xf numFmtId="165" fontId="10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3" fillId="8" borderId="1" xfId="0" applyFont="1" applyFill="1" applyBorder="1" applyAlignment="1">
      <alignment vertical="center" wrapText="1"/>
    </xf>
    <xf numFmtId="3" fontId="13" fillId="8" borderId="1" xfId="0" applyNumberFormat="1" applyFont="1" applyFill="1" applyBorder="1" applyAlignment="1">
      <alignment vertical="center" wrapText="1"/>
    </xf>
    <xf numFmtId="0" fontId="13" fillId="8" borderId="3" xfId="0" applyFont="1" applyFill="1" applyBorder="1" applyAlignment="1">
      <alignment vertical="center" wrapText="1"/>
    </xf>
    <xf numFmtId="43" fontId="10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0" fillId="0" borderId="1" xfId="0" applyFont="1" applyBorder="1"/>
    <xf numFmtId="0" fontId="10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0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0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0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vertical="center"/>
    </xf>
    <xf numFmtId="165" fontId="10" fillId="8" borderId="1" xfId="1" applyNumberFormat="1" applyFont="1" applyFill="1" applyBorder="1" applyAlignment="1">
      <alignment vertical="center"/>
    </xf>
    <xf numFmtId="165" fontId="10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4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0" xfId="0" applyFont="1"/>
    <xf numFmtId="0" fontId="12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2" fillId="8" borderId="7" xfId="0" applyFont="1" applyFill="1" applyBorder="1" applyAlignment="1">
      <alignment horizontal="center" vertical="center"/>
    </xf>
    <xf numFmtId="4" fontId="12" fillId="8" borderId="1" xfId="0" applyNumberFormat="1" applyFont="1" applyFill="1" applyBorder="1" applyAlignment="1">
      <alignment horizontal="left" vertical="center" wrapText="1"/>
    </xf>
    <xf numFmtId="166" fontId="10" fillId="8" borderId="1" xfId="0" applyNumberFormat="1" applyFont="1" applyFill="1" applyBorder="1" applyAlignment="1">
      <alignment horizontal="left" vertical="center"/>
    </xf>
    <xf numFmtId="166" fontId="10" fillId="8" borderId="1" xfId="0" applyNumberFormat="1" applyFont="1" applyFill="1" applyBorder="1"/>
    <xf numFmtId="43" fontId="12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2" fillId="7" borderId="1" xfId="0" applyNumberFormat="1" applyFont="1" applyFill="1" applyBorder="1" applyAlignment="1">
      <alignment horizontal="left" vertical="center" wrapText="1"/>
    </xf>
    <xf numFmtId="1" fontId="10" fillId="7" borderId="1" xfId="0" applyNumberFormat="1" applyFont="1" applyFill="1" applyBorder="1" applyAlignment="1">
      <alignment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6" fontId="10" fillId="8" borderId="1" xfId="0" applyNumberFormat="1" applyFont="1" applyFill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43" fontId="10" fillId="11" borderId="1" xfId="1" applyFont="1" applyFill="1" applyBorder="1" applyAlignment="1">
      <alignment vertical="center"/>
    </xf>
    <xf numFmtId="43" fontId="12" fillId="11" borderId="1" xfId="1" applyFont="1" applyFill="1" applyBorder="1"/>
    <xf numFmtId="43" fontId="10" fillId="11" borderId="1" xfId="1" applyFont="1" applyFill="1" applyBorder="1" applyAlignment="1">
      <alignment horizontal="right" vertical="center"/>
    </xf>
    <xf numFmtId="43" fontId="12" fillId="11" borderId="1" xfId="1" applyFont="1" applyFill="1" applyBorder="1" applyAlignment="1">
      <alignment horizontal="center" vertical="center"/>
    </xf>
    <xf numFmtId="43" fontId="10" fillId="10" borderId="1" xfId="1" applyFont="1" applyFill="1" applyBorder="1" applyAlignment="1">
      <alignment vertical="center"/>
    </xf>
    <xf numFmtId="43" fontId="10" fillId="10" borderId="1" xfId="1" applyFont="1" applyFill="1" applyBorder="1" applyAlignment="1">
      <alignment horizontal="right" vertical="center"/>
    </xf>
    <xf numFmtId="43" fontId="12" fillId="10" borderId="1" xfId="1" applyFont="1" applyFill="1" applyBorder="1" applyAlignment="1">
      <alignment horizontal="center" vertical="center"/>
    </xf>
    <xf numFmtId="43" fontId="12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0" fillId="7" borderId="1" xfId="1" applyFont="1" applyFill="1" applyBorder="1" applyAlignment="1">
      <alignment horizontal="right" vertical="center" wrapText="1"/>
    </xf>
    <xf numFmtId="170" fontId="10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0" xfId="0" applyFont="1"/>
    <xf numFmtId="0" fontId="16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0" fontId="6" fillId="7" borderId="1" xfId="4" applyFont="1" applyFill="1" applyBorder="1" applyAlignment="1">
      <alignment horizontal="left" vertical="center" wrapText="1"/>
    </xf>
    <xf numFmtId="43" fontId="10" fillId="7" borderId="1" xfId="1" applyNumberFormat="1" applyFont="1" applyFill="1" applyBorder="1" applyAlignment="1">
      <alignment vertical="center"/>
    </xf>
    <xf numFmtId="0" fontId="16" fillId="7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0" fillId="0" borderId="1" xfId="1" applyFont="1" applyFill="1" applyBorder="1" applyAlignment="1">
      <alignment vertical="center"/>
    </xf>
    <xf numFmtId="0" fontId="6" fillId="0" borderId="1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vertical="center" wrapText="1"/>
    </xf>
    <xf numFmtId="4" fontId="12" fillId="11" borderId="1" xfId="0" applyNumberFormat="1" applyFont="1" applyFill="1" applyBorder="1" applyAlignment="1">
      <alignment horizontal="left" vertical="center" wrapText="1"/>
    </xf>
    <xf numFmtId="166" fontId="10" fillId="11" borderId="1" xfId="0" applyNumberFormat="1" applyFont="1" applyFill="1" applyBorder="1" applyAlignment="1">
      <alignment horizontal="left" vertical="center"/>
    </xf>
    <xf numFmtId="166" fontId="10" fillId="11" borderId="1" xfId="0" applyNumberFormat="1" applyFont="1" applyFill="1" applyBorder="1" applyAlignment="1">
      <alignment vertical="center"/>
    </xf>
    <xf numFmtId="0" fontId="7" fillId="11" borderId="8" xfId="0" applyFont="1" applyFill="1" applyBorder="1" applyAlignment="1">
      <alignment horizontal="left" vertical="center" wrapText="1"/>
    </xf>
    <xf numFmtId="166" fontId="10" fillId="11" borderId="1" xfId="0" applyNumberFormat="1" applyFont="1" applyFill="1" applyBorder="1"/>
    <xf numFmtId="0" fontId="10" fillId="11" borderId="1" xfId="0" applyFont="1" applyFill="1" applyBorder="1"/>
    <xf numFmtId="0" fontId="6" fillId="11" borderId="1" xfId="0" applyFont="1" applyFill="1" applyBorder="1" applyAlignment="1">
      <alignment horizontal="center" vertical="center" wrapText="1"/>
    </xf>
    <xf numFmtId="3" fontId="6" fillId="11" borderId="1" xfId="0" applyNumberFormat="1" applyFont="1" applyFill="1" applyBorder="1" applyAlignment="1">
      <alignment horizontal="center" vertical="center"/>
    </xf>
    <xf numFmtId="2" fontId="6" fillId="11" borderId="1" xfId="0" applyNumberFormat="1" applyFont="1" applyFill="1" applyBorder="1" applyAlignment="1">
      <alignment vertical="center" wrapText="1"/>
    </xf>
    <xf numFmtId="3" fontId="10" fillId="11" borderId="1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left" vertical="center" wrapText="1"/>
    </xf>
    <xf numFmtId="165" fontId="10" fillId="11" borderId="1" xfId="1" applyNumberFormat="1" applyFont="1" applyFill="1" applyBorder="1" applyAlignment="1">
      <alignment horizontal="center" vertical="center" wrapText="1"/>
    </xf>
    <xf numFmtId="43" fontId="10" fillId="11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3" fontId="15" fillId="11" borderId="1" xfId="1" applyNumberFormat="1" applyFont="1" applyFill="1" applyBorder="1" applyAlignment="1">
      <alignment vertical="center"/>
    </xf>
    <xf numFmtId="0" fontId="17" fillId="7" borderId="0" xfId="0" applyFont="1" applyFill="1"/>
    <xf numFmtId="1" fontId="6" fillId="10" borderId="1" xfId="0" applyNumberFormat="1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4" applyFont="1" applyFill="1" applyBorder="1" applyAlignment="1">
      <alignment horizontal="left" vertical="center" wrapText="1"/>
    </xf>
    <xf numFmtId="43" fontId="9" fillId="10" borderId="1" xfId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right" vertical="center" wrapText="1"/>
    </xf>
    <xf numFmtId="165" fontId="19" fillId="0" borderId="0" xfId="1" applyNumberFormat="1" applyFont="1" applyAlignment="1">
      <alignment vertical="center"/>
    </xf>
    <xf numFmtId="2" fontId="6" fillId="10" borderId="1" xfId="0" applyNumberFormat="1" applyFont="1" applyFill="1" applyBorder="1" applyAlignment="1">
      <alignment vertical="center" wrapText="1"/>
    </xf>
    <xf numFmtId="167" fontId="6" fillId="10" borderId="1" xfId="0" applyNumberFormat="1" applyFont="1" applyFill="1" applyBorder="1" applyAlignment="1">
      <alignment vertical="center" wrapText="1"/>
    </xf>
    <xf numFmtId="0" fontId="7" fillId="10" borderId="3" xfId="0" applyFont="1" applyFill="1" applyBorder="1" applyAlignment="1">
      <alignment horizontal="left" vertical="center" wrapText="1"/>
    </xf>
    <xf numFmtId="0" fontId="0" fillId="0" borderId="0" xfId="0" applyFill="1"/>
    <xf numFmtId="43" fontId="10" fillId="10" borderId="1" xfId="1" applyNumberFormat="1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wrapText="1"/>
    </xf>
    <xf numFmtId="49" fontId="6" fillId="10" borderId="1" xfId="3" applyNumberFormat="1" applyFont="1" applyFill="1" applyBorder="1" applyAlignment="1">
      <alignment horizontal="right" vertical="center"/>
    </xf>
    <xf numFmtId="2" fontId="6" fillId="10" borderId="1" xfId="3" applyNumberFormat="1" applyFont="1" applyFill="1" applyBorder="1" applyAlignment="1">
      <alignment horizontal="right" vertical="center"/>
    </xf>
    <xf numFmtId="43" fontId="10" fillId="0" borderId="0" xfId="1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43" fontId="12" fillId="0" borderId="0" xfId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43" fontId="18" fillId="10" borderId="1" xfId="1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left" vertical="center" wrapText="1"/>
    </xf>
    <xf numFmtId="0" fontId="15" fillId="10" borderId="1" xfId="4" applyFont="1" applyFill="1" applyBorder="1" applyAlignment="1">
      <alignment horizontal="left" vertical="center" wrapText="1"/>
    </xf>
    <xf numFmtId="168" fontId="6" fillId="10" borderId="1" xfId="0" applyNumberFormat="1" applyFont="1" applyFill="1" applyBorder="1" applyAlignment="1">
      <alignment vertical="center" wrapText="1"/>
    </xf>
    <xf numFmtId="0" fontId="7" fillId="10" borderId="1" xfId="4" applyFont="1" applyFill="1" applyBorder="1" applyAlignment="1">
      <alignment horizontal="left" vertical="center" wrapText="1"/>
    </xf>
    <xf numFmtId="168" fontId="6" fillId="1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left" vertical="center" wrapText="1"/>
    </xf>
    <xf numFmtId="2" fontId="6" fillId="4" borderId="1" xfId="0" applyNumberFormat="1" applyFont="1" applyFill="1" applyBorder="1" applyAlignment="1">
      <alignment vertical="center" wrapText="1"/>
    </xf>
    <xf numFmtId="43" fontId="9" fillId="4" borderId="1" xfId="1" applyFont="1" applyFill="1" applyBorder="1" applyAlignment="1">
      <alignment horizontal="center" vertical="center" wrapText="1"/>
    </xf>
    <xf numFmtId="43" fontId="10" fillId="4" borderId="1" xfId="1" applyFont="1" applyFill="1" applyBorder="1" applyAlignment="1">
      <alignment vertical="center"/>
    </xf>
    <xf numFmtId="168" fontId="6" fillId="4" borderId="1" xfId="0" applyNumberFormat="1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vertical="center" wrapText="1"/>
    </xf>
    <xf numFmtId="0" fontId="6" fillId="4" borderId="3" xfId="4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167" fontId="6" fillId="4" borderId="1" xfId="0" applyNumberFormat="1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165" fontId="10" fillId="4" borderId="1" xfId="1" applyNumberFormat="1" applyFont="1" applyFill="1" applyBorder="1" applyAlignment="1">
      <alignment horizontal="center" vertical="center" wrapText="1"/>
    </xf>
    <xf numFmtId="43" fontId="10" fillId="4" borderId="1" xfId="1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166" fontId="10" fillId="4" borderId="1" xfId="0" applyNumberFormat="1" applyFont="1" applyFill="1" applyBorder="1" applyAlignment="1">
      <alignment horizontal="left" vertical="center"/>
    </xf>
    <xf numFmtId="166" fontId="10" fillId="4" borderId="1" xfId="0" applyNumberFormat="1" applyFont="1" applyFill="1" applyBorder="1"/>
    <xf numFmtId="0" fontId="10" fillId="4" borderId="1" xfId="0" applyFont="1" applyFill="1" applyBorder="1"/>
    <xf numFmtId="43" fontId="18" fillId="4" borderId="1" xfId="1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166" fontId="10" fillId="4" borderId="1" xfId="0" applyNumberFormat="1" applyFont="1" applyFill="1" applyBorder="1" applyAlignment="1">
      <alignment vertical="center"/>
    </xf>
    <xf numFmtId="3" fontId="9" fillId="4" borderId="1" xfId="0" applyNumberFormat="1" applyFont="1" applyFill="1" applyBorder="1" applyAlignment="1">
      <alignment horizontal="center" vertical="center" wrapText="1"/>
    </xf>
    <xf numFmtId="49" fontId="7" fillId="4" borderId="1" xfId="3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165" fontId="10" fillId="4" borderId="1" xfId="1" applyNumberFormat="1" applyFont="1" applyFill="1" applyBorder="1"/>
    <xf numFmtId="0" fontId="14" fillId="4" borderId="1" xfId="0" applyFont="1" applyFill="1" applyBorder="1" applyAlignment="1">
      <alignment vertical="center" wrapText="1"/>
    </xf>
    <xf numFmtId="1" fontId="6" fillId="4" borderId="1" xfId="3" applyNumberFormat="1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left" vertical="center" wrapText="1"/>
    </xf>
    <xf numFmtId="0" fontId="6" fillId="4" borderId="1" xfId="3" applyFont="1" applyFill="1" applyBorder="1" applyAlignment="1">
      <alignment horizontal="center" vertical="center" wrapText="1"/>
    </xf>
    <xf numFmtId="171" fontId="6" fillId="4" borderId="1" xfId="3" applyNumberFormat="1" applyFont="1" applyFill="1" applyBorder="1" applyAlignment="1">
      <alignment horizontal="center" vertical="center"/>
    </xf>
    <xf numFmtId="43" fontId="6" fillId="4" borderId="1" xfId="1" applyFont="1" applyFill="1" applyBorder="1" applyAlignment="1">
      <alignment horizontal="right" vertical="center"/>
    </xf>
    <xf numFmtId="3" fontId="6" fillId="4" borderId="1" xfId="3" applyNumberFormat="1" applyFont="1" applyFill="1" applyBorder="1" applyAlignment="1">
      <alignment horizontal="center" vertical="center"/>
    </xf>
    <xf numFmtId="0" fontId="6" fillId="4" borderId="1" xfId="3" applyFont="1" applyFill="1" applyBorder="1" applyAlignment="1">
      <alignment vertical="center" wrapText="1"/>
    </xf>
    <xf numFmtId="167" fontId="6" fillId="4" borderId="1" xfId="3" applyNumberFormat="1" applyFont="1" applyFill="1" applyBorder="1" applyAlignment="1">
      <alignment horizontal="center" vertical="center"/>
    </xf>
    <xf numFmtId="165" fontId="6" fillId="4" borderId="1" xfId="1" applyNumberFormat="1" applyFont="1" applyFill="1" applyBorder="1" applyAlignment="1">
      <alignment horizontal="right" vertical="center"/>
    </xf>
    <xf numFmtId="43" fontId="6" fillId="4" borderId="1" xfId="1" applyFont="1" applyFill="1" applyBorder="1" applyAlignment="1">
      <alignment horizontal="center" vertical="center" wrapText="1"/>
    </xf>
    <xf numFmtId="2" fontId="6" fillId="4" borderId="1" xfId="3" applyNumberFormat="1" applyFont="1" applyFill="1" applyBorder="1" applyAlignment="1">
      <alignment horizontal="center" vertical="center"/>
    </xf>
    <xf numFmtId="2" fontId="6" fillId="4" borderId="1" xfId="3" applyNumberFormat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vertical="center"/>
    </xf>
    <xf numFmtId="49" fontId="6" fillId="4" borderId="1" xfId="3" applyNumberFormat="1" applyFont="1" applyFill="1" applyBorder="1" applyAlignment="1">
      <alignment horizontal="center" vertical="center" wrapText="1"/>
    </xf>
    <xf numFmtId="0" fontId="6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vertical="center" wrapText="1"/>
    </xf>
    <xf numFmtId="165" fontId="6" fillId="4" borderId="1" xfId="1" applyNumberFormat="1" applyFont="1" applyFill="1" applyBorder="1"/>
    <xf numFmtId="1" fontId="6" fillId="4" borderId="1" xfId="3" applyNumberFormat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right" vertical="center"/>
    </xf>
    <xf numFmtId="43" fontId="10" fillId="4" borderId="1" xfId="1" applyNumberFormat="1" applyFont="1" applyFill="1" applyBorder="1" applyAlignment="1">
      <alignment vertical="center"/>
    </xf>
    <xf numFmtId="1" fontId="6" fillId="4" borderId="1" xfId="0" applyNumberFormat="1" applyFont="1" applyFill="1" applyBorder="1" applyAlignment="1">
      <alignment horizontal="right" vertical="center" wrapText="1"/>
    </xf>
    <xf numFmtId="43" fontId="15" fillId="4" borderId="1" xfId="1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wrapText="1"/>
    </xf>
    <xf numFmtId="167" fontId="11" fillId="4" borderId="1" xfId="0" applyNumberFormat="1" applyFont="1" applyFill="1" applyBorder="1" applyAlignment="1">
      <alignment vertical="center" wrapText="1"/>
    </xf>
    <xf numFmtId="2" fontId="11" fillId="4" borderId="1" xfId="0" applyNumberFormat="1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/>
    </xf>
    <xf numFmtId="43" fontId="10" fillId="4" borderId="1" xfId="1" applyFont="1" applyFill="1" applyBorder="1" applyAlignment="1">
      <alignment horizontal="center" vertical="center"/>
    </xf>
    <xf numFmtId="1" fontId="10" fillId="4" borderId="1" xfId="1" applyNumberFormat="1" applyFont="1" applyFill="1" applyBorder="1" applyAlignment="1">
      <alignment horizontal="center" vertical="center"/>
    </xf>
    <xf numFmtId="0" fontId="6" fillId="4" borderId="3" xfId="3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wrapText="1"/>
    </xf>
    <xf numFmtId="43" fontId="12" fillId="4" borderId="1" xfId="1" applyFont="1" applyFill="1" applyBorder="1"/>
    <xf numFmtId="0" fontId="20" fillId="7" borderId="1" xfId="0" applyFont="1" applyFill="1" applyBorder="1" applyAlignment="1">
      <alignment horizontal="center" vertical="center" wrapText="1"/>
    </xf>
    <xf numFmtId="0" fontId="20" fillId="0" borderId="1" xfId="4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vertical="center" wrapText="1"/>
    </xf>
    <xf numFmtId="43" fontId="21" fillId="7" borderId="1" xfId="1" applyFont="1" applyFill="1" applyBorder="1" applyAlignment="1">
      <alignment horizontal="center" vertical="center" wrapText="1"/>
    </xf>
    <xf numFmtId="43" fontId="20" fillId="0" borderId="1" xfId="1" applyFont="1" applyBorder="1" applyAlignment="1">
      <alignment vertical="center"/>
    </xf>
    <xf numFmtId="0" fontId="22" fillId="0" borderId="0" xfId="0" applyFont="1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165" fontId="0" fillId="0" borderId="0" xfId="1" applyNumberFormat="1" applyFont="1" applyAlignment="1">
      <alignment horizontal="left"/>
    </xf>
    <xf numFmtId="0" fontId="0" fillId="7" borderId="0" xfId="0" applyFill="1" applyAlignment="1">
      <alignment horizontal="left"/>
    </xf>
    <xf numFmtId="0" fontId="16" fillId="7" borderId="0" xfId="0" applyFont="1" applyFill="1" applyAlignment="1">
      <alignment horizontal="left"/>
    </xf>
    <xf numFmtId="0" fontId="17" fillId="7" borderId="0" xfId="0" applyFont="1" applyFill="1" applyAlignment="1">
      <alignment horizontal="left"/>
    </xf>
    <xf numFmtId="0" fontId="24" fillId="0" borderId="14" xfId="5" applyFont="1" applyBorder="1" applyAlignment="1">
      <alignment horizontal="center" vertical="center" wrapText="1"/>
    </xf>
    <xf numFmtId="0" fontId="24" fillId="0" borderId="15" xfId="5" applyFont="1" applyBorder="1" applyAlignment="1">
      <alignment horizontal="center" vertical="center" wrapText="1"/>
    </xf>
    <xf numFmtId="0" fontId="23" fillId="0" borderId="0" xfId="5"/>
    <xf numFmtId="0" fontId="24" fillId="0" borderId="16" xfId="5" applyFont="1" applyBorder="1" applyAlignment="1">
      <alignment horizontal="center" vertical="center" wrapText="1"/>
    </xf>
    <xf numFmtId="0" fontId="24" fillId="0" borderId="17" xfId="5" applyFont="1" applyBorder="1" applyAlignment="1">
      <alignment horizontal="center" vertical="center" wrapText="1"/>
    </xf>
    <xf numFmtId="0" fontId="26" fillId="0" borderId="18" xfId="5" applyFont="1" applyBorder="1" applyAlignment="1">
      <alignment horizontal="center" vertical="center" wrapText="1"/>
    </xf>
    <xf numFmtId="0" fontId="26" fillId="0" borderId="17" xfId="5" applyFont="1" applyBorder="1" applyAlignment="1">
      <alignment horizontal="center" vertical="center" wrapText="1"/>
    </xf>
    <xf numFmtId="0" fontId="27" fillId="0" borderId="18" xfId="5" applyFont="1" applyBorder="1" applyAlignment="1">
      <alignment horizontal="left" vertical="center" wrapText="1"/>
    </xf>
    <xf numFmtId="0" fontId="27" fillId="0" borderId="17" xfId="5" applyFont="1" applyBorder="1" applyAlignment="1">
      <alignment horizontal="center" vertical="center" wrapText="1"/>
    </xf>
    <xf numFmtId="0" fontId="25" fillId="4" borderId="16" xfId="5" applyFont="1" applyFill="1" applyBorder="1" applyAlignment="1">
      <alignment horizontal="center" vertical="center" wrapText="1"/>
    </xf>
    <xf numFmtId="0" fontId="27" fillId="4" borderId="17" xfId="5" applyFont="1" applyFill="1" applyBorder="1" applyAlignment="1">
      <alignment horizontal="left" vertical="center" wrapText="1"/>
    </xf>
    <xf numFmtId="0" fontId="27" fillId="4" borderId="17" xfId="5" applyFont="1" applyFill="1" applyBorder="1" applyAlignment="1">
      <alignment horizontal="center" vertical="center" wrapText="1"/>
    </xf>
    <xf numFmtId="0" fontId="25" fillId="4" borderId="17" xfId="5" applyFont="1" applyFill="1" applyBorder="1" applyAlignment="1">
      <alignment horizontal="left" vertical="center" wrapText="1"/>
    </xf>
    <xf numFmtId="0" fontId="27" fillId="4" borderId="18" xfId="5" applyFont="1" applyFill="1" applyBorder="1" applyAlignment="1">
      <alignment horizontal="center" vertical="center" wrapText="1"/>
    </xf>
    <xf numFmtId="0" fontId="25" fillId="4" borderId="18" xfId="5" applyFont="1" applyFill="1" applyBorder="1" applyAlignment="1">
      <alignment horizontal="left" vertical="center" wrapText="1"/>
    </xf>
    <xf numFmtId="0" fontId="23" fillId="4" borderId="18" xfId="5" applyFill="1" applyBorder="1" applyAlignment="1">
      <alignment vertical="center" wrapText="1"/>
    </xf>
    <xf numFmtId="0" fontId="23" fillId="4" borderId="17" xfId="5" applyFill="1" applyBorder="1" applyAlignment="1">
      <alignment vertical="center" wrapText="1"/>
    </xf>
    <xf numFmtId="0" fontId="27" fillId="4" borderId="18" xfId="5" applyFont="1" applyFill="1" applyBorder="1" applyAlignment="1">
      <alignment horizontal="left" vertical="center" wrapText="1"/>
    </xf>
    <xf numFmtId="0" fontId="25" fillId="0" borderId="18" xfId="5" applyFont="1" applyBorder="1" applyAlignment="1">
      <alignment horizontal="left" vertical="center" wrapText="1"/>
    </xf>
    <xf numFmtId="0" fontId="23" fillId="0" borderId="18" xfId="5" applyBorder="1" applyAlignment="1">
      <alignment vertical="center" wrapText="1"/>
    </xf>
    <xf numFmtId="0" fontId="23" fillId="0" borderId="17" xfId="5" applyBorder="1" applyAlignment="1">
      <alignment vertical="center" wrapText="1"/>
    </xf>
    <xf numFmtId="0" fontId="25" fillId="0" borderId="17" xfId="5" applyFont="1" applyBorder="1" applyAlignment="1">
      <alignment horizontal="left" vertical="center" wrapText="1"/>
    </xf>
    <xf numFmtId="0" fontId="27" fillId="0" borderId="18" xfId="5" applyFont="1" applyBorder="1" applyAlignment="1">
      <alignment horizontal="center" vertical="center" wrapText="1"/>
    </xf>
    <xf numFmtId="0" fontId="25" fillId="0" borderId="16" xfId="5" applyFont="1" applyBorder="1" applyAlignment="1">
      <alignment horizontal="center" vertical="center" wrapText="1"/>
    </xf>
    <xf numFmtId="0" fontId="27" fillId="0" borderId="17" xfId="5" applyFont="1" applyBorder="1" applyAlignment="1">
      <alignment horizontal="left" vertical="center" wrapText="1"/>
    </xf>
    <xf numFmtId="0" fontId="27" fillId="0" borderId="0" xfId="5" applyFont="1" applyAlignment="1">
      <alignment horizontal="justify" vertical="center"/>
    </xf>
    <xf numFmtId="0" fontId="23" fillId="0" borderId="0" xfId="5" applyAlignment="1">
      <alignment horizontal="center" vertical="center" wrapText="1"/>
    </xf>
    <xf numFmtId="0" fontId="23" fillId="0" borderId="1" xfId="5" applyBorder="1" applyAlignment="1">
      <alignment horizontal="center" vertical="center" wrapText="1"/>
    </xf>
    <xf numFmtId="0" fontId="23" fillId="0" borderId="1" xfId="5" applyBorder="1" applyAlignment="1">
      <alignment horizontal="left" vertical="center" wrapText="1"/>
    </xf>
    <xf numFmtId="0" fontId="2" fillId="4" borderId="1" xfId="5" applyFont="1" applyFill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27" fillId="0" borderId="14" xfId="5" applyFont="1" applyBorder="1" applyAlignment="1">
      <alignment horizontal="center" vertical="center" wrapText="1"/>
    </xf>
    <xf numFmtId="0" fontId="27" fillId="0" borderId="16" xfId="5" applyFont="1" applyBorder="1" applyAlignment="1">
      <alignment horizontal="center" vertical="center" wrapText="1"/>
    </xf>
    <xf numFmtId="0" fontId="25" fillId="0" borderId="14" xfId="5" applyFont="1" applyBorder="1" applyAlignment="1">
      <alignment horizontal="center" vertical="center" wrapText="1"/>
    </xf>
    <xf numFmtId="0" fontId="25" fillId="0" borderId="16" xfId="5" applyFont="1" applyBorder="1" applyAlignment="1">
      <alignment horizontal="center" vertical="center" wrapText="1"/>
    </xf>
    <xf numFmtId="0" fontId="27" fillId="0" borderId="14" xfId="5" applyFont="1" applyBorder="1" applyAlignment="1">
      <alignment horizontal="left" vertical="center" wrapText="1"/>
    </xf>
    <xf numFmtId="0" fontId="27" fillId="0" borderId="16" xfId="5" applyFont="1" applyBorder="1" applyAlignment="1">
      <alignment horizontal="left" vertical="center" wrapText="1"/>
    </xf>
    <xf numFmtId="0" fontId="25" fillId="0" borderId="19" xfId="5" applyFont="1" applyBorder="1" applyAlignment="1">
      <alignment horizontal="center" vertical="center" wrapText="1"/>
    </xf>
    <xf numFmtId="0" fontId="27" fillId="0" borderId="19" xfId="5" applyFont="1" applyBorder="1" applyAlignment="1">
      <alignment horizontal="left" vertical="center" wrapText="1"/>
    </xf>
    <xf numFmtId="0" fontId="25" fillId="0" borderId="14" xfId="5" applyFont="1" applyBorder="1" applyAlignment="1">
      <alignment horizontal="left" vertical="center" wrapText="1"/>
    </xf>
    <xf numFmtId="0" fontId="25" fillId="0" borderId="19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7" fillId="0" borderId="19" xfId="5" applyFont="1" applyBorder="1" applyAlignment="1">
      <alignment horizontal="center" vertical="center" wrapText="1"/>
    </xf>
    <xf numFmtId="0" fontId="25" fillId="4" borderId="14" xfId="5" applyFont="1" applyFill="1" applyBorder="1" applyAlignment="1">
      <alignment horizontal="center" vertical="center" wrapText="1"/>
    </xf>
    <xf numFmtId="0" fontId="25" fillId="4" borderId="19" xfId="5" applyFont="1" applyFill="1" applyBorder="1" applyAlignment="1">
      <alignment horizontal="center" vertical="center" wrapText="1"/>
    </xf>
    <xf numFmtId="0" fontId="25" fillId="4" borderId="16" xfId="5" applyFont="1" applyFill="1" applyBorder="1" applyAlignment="1">
      <alignment horizontal="center" vertical="center" wrapText="1"/>
    </xf>
    <xf numFmtId="0" fontId="27" fillId="4" borderId="14" xfId="5" applyFont="1" applyFill="1" applyBorder="1" applyAlignment="1">
      <alignment horizontal="left" vertical="center" wrapText="1"/>
    </xf>
    <xf numFmtId="0" fontId="27" fillId="4" borderId="16" xfId="5" applyFont="1" applyFill="1" applyBorder="1" applyAlignment="1">
      <alignment horizontal="left" vertical="center" wrapText="1"/>
    </xf>
    <xf numFmtId="0" fontId="27" fillId="4" borderId="19" xfId="5" applyFont="1" applyFill="1" applyBorder="1" applyAlignment="1">
      <alignment horizontal="left" vertical="center" wrapText="1"/>
    </xf>
    <xf numFmtId="0" fontId="24" fillId="0" borderId="14" xfId="5" applyFont="1" applyBorder="1" applyAlignment="1">
      <alignment horizontal="center" vertical="center" wrapText="1"/>
    </xf>
    <xf numFmtId="0" fontId="24" fillId="0" borderId="16" xfId="5" applyFont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10" borderId="1" xfId="0" applyFont="1" applyFill="1" applyBorder="1" applyAlignment="1">
      <alignment horizontal="center"/>
    </xf>
    <xf numFmtId="0" fontId="12" fillId="0" borderId="3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2" xfId="4" applyFont="1" applyBorder="1" applyAlignment="1">
      <alignment horizontal="right" vertical="center" wrapText="1"/>
    </xf>
    <xf numFmtId="0" fontId="7" fillId="0" borderId="13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49" fontId="7" fillId="4" borderId="1" xfId="3" applyNumberFormat="1" applyFont="1" applyFill="1" applyBorder="1" applyAlignment="1">
      <alignment horizontal="center" vertical="center" wrapText="1"/>
    </xf>
    <xf numFmtId="49" fontId="8" fillId="4" borderId="1" xfId="3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7" fillId="4" borderId="8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righ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</cellXfs>
  <cellStyles count="6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3" xfId="5" xr:uid="{8332074E-30FC-490F-8B59-AC0699904E41}"/>
    <cellStyle name="Процентный" xfId="2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7" customWidth="1"/>
    <col min="8" max="8" width="26.5546875" style="28" customWidth="1"/>
    <col min="9" max="9" width="15.33203125" bestFit="1" customWidth="1"/>
  </cols>
  <sheetData>
    <row r="1" spans="1:8" ht="28.8" x14ac:dyDescent="0.3">
      <c r="A1" s="11" t="s">
        <v>0</v>
      </c>
      <c r="B1" s="11" t="s">
        <v>3</v>
      </c>
      <c r="C1" s="11" t="s">
        <v>2</v>
      </c>
      <c r="D1" s="11" t="s">
        <v>20</v>
      </c>
      <c r="E1" s="11" t="s">
        <v>1</v>
      </c>
      <c r="F1" s="11" t="s">
        <v>4</v>
      </c>
      <c r="G1" s="13" t="s">
        <v>143</v>
      </c>
      <c r="H1" s="11" t="s">
        <v>167</v>
      </c>
    </row>
    <row r="2" spans="1:8" s="1" customFormat="1" ht="18" x14ac:dyDescent="0.35">
      <c r="A2" s="344" t="s">
        <v>5</v>
      </c>
      <c r="B2" s="345"/>
      <c r="C2" s="8"/>
      <c r="D2" s="8"/>
      <c r="E2" s="8"/>
      <c r="F2" s="8"/>
      <c r="G2" s="15"/>
      <c r="H2" s="15"/>
    </row>
    <row r="3" spans="1:8" x14ac:dyDescent="0.3">
      <c r="A3" s="3" t="s">
        <v>6</v>
      </c>
      <c r="B3" s="3" t="s">
        <v>7</v>
      </c>
      <c r="C3" s="2"/>
      <c r="D3" s="2"/>
      <c r="E3" s="2"/>
      <c r="F3" s="2"/>
      <c r="G3" s="12"/>
      <c r="H3" s="18"/>
    </row>
    <row r="4" spans="1:8" x14ac:dyDescent="0.3">
      <c r="A4" s="2" t="s">
        <v>8</v>
      </c>
      <c r="B4" s="2" t="s">
        <v>136</v>
      </c>
      <c r="C4" s="2"/>
      <c r="D4" s="2"/>
      <c r="E4" s="2"/>
      <c r="F4" s="2"/>
      <c r="G4" s="12"/>
      <c r="H4" s="18"/>
    </row>
    <row r="5" spans="1:8" x14ac:dyDescent="0.3">
      <c r="A5" s="2" t="s">
        <v>10</v>
      </c>
      <c r="B5" s="2" t="s">
        <v>134</v>
      </c>
      <c r="C5" s="2" t="s">
        <v>9</v>
      </c>
      <c r="D5" s="2"/>
      <c r="E5" s="2"/>
      <c r="F5" s="2"/>
      <c r="G5" s="12"/>
      <c r="H5" s="18"/>
    </row>
    <row r="6" spans="1:8" x14ac:dyDescent="0.3">
      <c r="A6" s="2" t="s">
        <v>22</v>
      </c>
      <c r="B6" s="2" t="s">
        <v>135</v>
      </c>
      <c r="C6" s="2"/>
      <c r="D6" s="2"/>
      <c r="E6" s="2"/>
      <c r="F6" s="2"/>
      <c r="G6" s="12"/>
      <c r="H6" s="18"/>
    </row>
    <row r="7" spans="1:8" x14ac:dyDescent="0.3">
      <c r="A7" s="2" t="s">
        <v>23</v>
      </c>
      <c r="B7" s="2" t="s">
        <v>131</v>
      </c>
      <c r="C7" s="2"/>
      <c r="D7" s="2"/>
      <c r="E7" s="2"/>
      <c r="F7" s="2"/>
      <c r="G7" s="12"/>
      <c r="H7" s="18"/>
    </row>
    <row r="8" spans="1:8" x14ac:dyDescent="0.3">
      <c r="A8" s="2" t="s">
        <v>132</v>
      </c>
      <c r="B8" s="2" t="s">
        <v>133</v>
      </c>
      <c r="C8" s="2"/>
      <c r="D8" s="2"/>
      <c r="E8" s="2"/>
      <c r="F8" s="2"/>
      <c r="G8" s="12"/>
      <c r="H8" s="18"/>
    </row>
    <row r="9" spans="1:8" x14ac:dyDescent="0.3">
      <c r="A9" s="2" t="s">
        <v>24</v>
      </c>
      <c r="B9" s="2" t="s">
        <v>11</v>
      </c>
      <c r="C9" s="2"/>
      <c r="D9" s="2"/>
      <c r="E9" s="2"/>
      <c r="F9" s="2"/>
      <c r="G9" s="12"/>
      <c r="H9" s="18"/>
    </row>
    <row r="10" spans="1:8" x14ac:dyDescent="0.3">
      <c r="A10" s="2" t="s">
        <v>25</v>
      </c>
      <c r="B10" s="2" t="s">
        <v>12</v>
      </c>
      <c r="C10" s="2"/>
      <c r="D10" s="2"/>
      <c r="E10" s="2"/>
      <c r="F10" s="2"/>
      <c r="G10" s="12"/>
      <c r="H10" s="18"/>
    </row>
    <row r="11" spans="1:8" x14ac:dyDescent="0.3">
      <c r="A11" s="2" t="s">
        <v>26</v>
      </c>
      <c r="B11" s="2" t="s">
        <v>13</v>
      </c>
      <c r="C11" s="2"/>
      <c r="D11" s="2"/>
      <c r="E11" s="2"/>
      <c r="F11" s="2"/>
      <c r="G11" s="12"/>
      <c r="H11" s="18"/>
    </row>
    <row r="12" spans="1:8" x14ac:dyDescent="0.3">
      <c r="A12" s="2" t="s">
        <v>27</v>
      </c>
      <c r="B12" s="2" t="s">
        <v>137</v>
      </c>
      <c r="C12" s="2"/>
      <c r="D12" s="2"/>
      <c r="E12" s="2"/>
      <c r="F12" s="2"/>
      <c r="G12" s="12"/>
      <c r="H12" s="18"/>
    </row>
    <row r="13" spans="1:8" x14ac:dyDescent="0.3">
      <c r="A13" s="2" t="s">
        <v>28</v>
      </c>
      <c r="B13" s="2" t="s">
        <v>14</v>
      </c>
      <c r="C13" s="2" t="s">
        <v>15</v>
      </c>
      <c r="D13" s="2"/>
      <c r="E13" s="2"/>
      <c r="F13" s="2"/>
      <c r="G13" s="12"/>
      <c r="H13" s="18"/>
    </row>
    <row r="14" spans="1:8" x14ac:dyDescent="0.3">
      <c r="A14" s="2" t="s">
        <v>29</v>
      </c>
      <c r="B14" s="2" t="s">
        <v>16</v>
      </c>
      <c r="C14" s="2" t="s">
        <v>17</v>
      </c>
      <c r="D14" s="2"/>
      <c r="E14" s="2"/>
      <c r="F14" s="2"/>
      <c r="G14" s="12"/>
      <c r="H14" s="18"/>
    </row>
    <row r="15" spans="1:8" x14ac:dyDescent="0.3">
      <c r="A15" s="2" t="s">
        <v>30</v>
      </c>
      <c r="B15" s="2" t="s">
        <v>18</v>
      </c>
      <c r="C15" s="2" t="s">
        <v>130</v>
      </c>
      <c r="D15" s="2"/>
      <c r="E15" s="2"/>
      <c r="F15" s="2"/>
      <c r="G15" s="12"/>
      <c r="H15" s="18"/>
    </row>
    <row r="16" spans="1:8" x14ac:dyDescent="0.3">
      <c r="A16" s="2" t="s">
        <v>138</v>
      </c>
      <c r="B16" s="2" t="s">
        <v>19</v>
      </c>
      <c r="C16" s="2"/>
      <c r="D16" s="2" t="s">
        <v>21</v>
      </c>
      <c r="E16" s="2"/>
      <c r="F16" s="2"/>
      <c r="G16" s="12"/>
      <c r="H16" s="18"/>
    </row>
    <row r="17" spans="1:8" ht="72" x14ac:dyDescent="0.3">
      <c r="A17" s="18" t="s">
        <v>139</v>
      </c>
      <c r="B17" s="5" t="s">
        <v>140</v>
      </c>
      <c r="C17" s="4" t="s">
        <v>141</v>
      </c>
      <c r="D17" s="2" t="s">
        <v>142</v>
      </c>
      <c r="E17" s="2"/>
      <c r="F17" s="4" t="s">
        <v>168</v>
      </c>
      <c r="G17" s="17">
        <f>H17/1.35</f>
        <v>3343784</v>
      </c>
      <c r="H17" s="12">
        <f>1677527.55+2836580.85</f>
        <v>4514108.4000000004</v>
      </c>
    </row>
    <row r="18" spans="1:8" s="1" customFormat="1" x14ac:dyDescent="0.3">
      <c r="A18" s="3" t="s">
        <v>31</v>
      </c>
      <c r="B18" s="3" t="s">
        <v>32</v>
      </c>
      <c r="C18" s="3"/>
      <c r="D18" s="3"/>
      <c r="E18" s="3"/>
      <c r="F18" s="3"/>
      <c r="G18" s="16"/>
      <c r="H18" s="10"/>
    </row>
    <row r="19" spans="1:8" ht="28.8" x14ac:dyDescent="0.3">
      <c r="A19" s="2" t="s">
        <v>35</v>
      </c>
      <c r="B19" s="4" t="s">
        <v>33</v>
      </c>
      <c r="C19" s="2" t="s">
        <v>34</v>
      </c>
      <c r="D19" s="2"/>
      <c r="E19" s="2"/>
      <c r="F19" s="2"/>
      <c r="G19" s="12"/>
      <c r="H19" s="18"/>
    </row>
    <row r="20" spans="1:8" x14ac:dyDescent="0.3">
      <c r="A20" s="2" t="s">
        <v>36</v>
      </c>
      <c r="B20" s="2" t="s">
        <v>37</v>
      </c>
      <c r="C20" s="2"/>
      <c r="D20" s="2"/>
      <c r="E20" s="2"/>
      <c r="F20" s="2"/>
      <c r="G20" s="12"/>
      <c r="H20" s="18"/>
    </row>
    <row r="21" spans="1:8" x14ac:dyDescent="0.3">
      <c r="A21" s="2" t="s">
        <v>43</v>
      </c>
      <c r="B21" s="2" t="s">
        <v>38</v>
      </c>
      <c r="C21" s="2"/>
      <c r="D21" s="2"/>
      <c r="E21" s="2"/>
      <c r="F21" s="2"/>
      <c r="G21" s="12"/>
      <c r="H21" s="18"/>
    </row>
    <row r="22" spans="1:8" x14ac:dyDescent="0.3">
      <c r="A22" s="2" t="s">
        <v>44</v>
      </c>
      <c r="B22" s="5" t="s">
        <v>39</v>
      </c>
      <c r="C22" s="2"/>
      <c r="D22" s="2"/>
      <c r="E22" s="2"/>
      <c r="F22" s="2"/>
      <c r="G22" s="12"/>
      <c r="H22" s="18"/>
    </row>
    <row r="23" spans="1:8" ht="28.8" x14ac:dyDescent="0.3">
      <c r="A23" s="2" t="s">
        <v>45</v>
      </c>
      <c r="B23" s="4" t="s">
        <v>40</v>
      </c>
      <c r="C23" s="2"/>
      <c r="D23" s="2"/>
      <c r="E23" s="2"/>
      <c r="F23" s="2"/>
      <c r="G23" s="12"/>
      <c r="H23" s="18"/>
    </row>
    <row r="24" spans="1:8" x14ac:dyDescent="0.3">
      <c r="A24" s="2" t="s">
        <v>46</v>
      </c>
      <c r="B24" s="2" t="s">
        <v>41</v>
      </c>
      <c r="C24" s="2"/>
      <c r="D24" s="2"/>
      <c r="E24" s="2"/>
      <c r="F24" s="2"/>
      <c r="G24" s="12"/>
      <c r="H24" s="18"/>
    </row>
    <row r="25" spans="1:8" x14ac:dyDescent="0.3">
      <c r="A25" s="2" t="s">
        <v>47</v>
      </c>
      <c r="B25" s="2" t="s">
        <v>42</v>
      </c>
      <c r="C25" s="2"/>
      <c r="D25" s="2"/>
      <c r="E25" s="2"/>
      <c r="F25" s="2"/>
      <c r="G25" s="12"/>
      <c r="H25" s="18"/>
    </row>
    <row r="26" spans="1:8" x14ac:dyDescent="0.3">
      <c r="A26" s="2" t="s">
        <v>48</v>
      </c>
      <c r="B26" s="2" t="s">
        <v>49</v>
      </c>
      <c r="C26" s="2"/>
      <c r="D26" s="2"/>
      <c r="E26" s="2"/>
      <c r="F26" s="2" t="s">
        <v>50</v>
      </c>
      <c r="G26" s="12"/>
      <c r="H26" s="18"/>
    </row>
    <row r="27" spans="1:8" x14ac:dyDescent="0.3">
      <c r="A27" s="3" t="s">
        <v>52</v>
      </c>
      <c r="B27" s="3" t="s">
        <v>51</v>
      </c>
      <c r="C27" s="2"/>
      <c r="D27" s="2"/>
      <c r="E27" s="2"/>
      <c r="F27" s="2"/>
      <c r="G27" s="12"/>
      <c r="H27" s="18"/>
    </row>
    <row r="28" spans="1:8" ht="28.8" x14ac:dyDescent="0.3">
      <c r="A28" s="2" t="s">
        <v>57</v>
      </c>
      <c r="B28" s="6" t="s">
        <v>56</v>
      </c>
      <c r="C28" s="2"/>
      <c r="D28" s="2"/>
      <c r="E28" s="2"/>
      <c r="F28" s="2"/>
      <c r="G28" s="12"/>
      <c r="H28" s="18"/>
    </row>
    <row r="29" spans="1:8" x14ac:dyDescent="0.3">
      <c r="A29" s="2" t="s">
        <v>58</v>
      </c>
      <c r="B29" s="6" t="s">
        <v>53</v>
      </c>
      <c r="C29" s="2"/>
      <c r="D29" s="2"/>
      <c r="E29" s="2"/>
      <c r="F29" s="2"/>
      <c r="G29" s="12"/>
      <c r="H29" s="18"/>
    </row>
    <row r="30" spans="1:8" x14ac:dyDescent="0.3">
      <c r="A30" s="2" t="s">
        <v>59</v>
      </c>
      <c r="B30" s="6" t="s">
        <v>54</v>
      </c>
      <c r="C30" s="2"/>
      <c r="D30" s="2"/>
      <c r="E30" s="2"/>
      <c r="F30" s="2"/>
      <c r="G30" s="12"/>
      <c r="H30" s="18"/>
    </row>
    <row r="31" spans="1:8" ht="28.8" x14ac:dyDescent="0.3">
      <c r="A31" s="2" t="s">
        <v>60</v>
      </c>
      <c r="B31" s="6" t="s">
        <v>55</v>
      </c>
      <c r="C31" s="2"/>
      <c r="D31" s="2"/>
      <c r="E31" s="2"/>
      <c r="F31" s="2"/>
      <c r="G31" s="12"/>
      <c r="H31" s="18"/>
    </row>
    <row r="32" spans="1:8" x14ac:dyDescent="0.3">
      <c r="A32" s="3" t="s">
        <v>65</v>
      </c>
      <c r="B32" s="7" t="s">
        <v>64</v>
      </c>
      <c r="C32" s="2"/>
      <c r="D32" s="2"/>
      <c r="E32" s="2"/>
      <c r="F32" s="2"/>
      <c r="G32" s="12"/>
      <c r="H32" s="18"/>
    </row>
    <row r="33" spans="1:10" ht="57.6" x14ac:dyDescent="0.3">
      <c r="A33" s="2" t="s">
        <v>66</v>
      </c>
      <c r="B33" s="6" t="s">
        <v>71</v>
      </c>
      <c r="C33" s="2" t="s">
        <v>70</v>
      </c>
      <c r="D33" s="2" t="s">
        <v>72</v>
      </c>
      <c r="E33" s="2" t="s">
        <v>73</v>
      </c>
      <c r="F33" s="4" t="s">
        <v>165</v>
      </c>
      <c r="G33" s="342">
        <f>H33/2</f>
        <v>7942400</v>
      </c>
      <c r="H33" s="342">
        <f>7942400*2</f>
        <v>15884800</v>
      </c>
      <c r="I33" s="29"/>
      <c r="J33" s="25"/>
    </row>
    <row r="34" spans="1:10" ht="43.2" x14ac:dyDescent="0.3">
      <c r="A34" s="2" t="s">
        <v>67</v>
      </c>
      <c r="B34" s="6" t="s">
        <v>61</v>
      </c>
      <c r="C34" s="2"/>
      <c r="D34" s="2" t="s">
        <v>72</v>
      </c>
      <c r="E34" s="2" t="s">
        <v>73</v>
      </c>
      <c r="F34" s="4" t="s">
        <v>166</v>
      </c>
      <c r="G34" s="343"/>
      <c r="H34" s="343"/>
    </row>
    <row r="35" spans="1:10" x14ac:dyDescent="0.3">
      <c r="A35" s="2" t="s">
        <v>68</v>
      </c>
      <c r="B35" s="6" t="s">
        <v>62</v>
      </c>
      <c r="C35" s="2"/>
      <c r="D35" s="2"/>
      <c r="E35" s="2"/>
      <c r="F35" s="2"/>
      <c r="G35" s="12"/>
      <c r="H35" s="18"/>
    </row>
    <row r="36" spans="1:10" x14ac:dyDescent="0.3">
      <c r="A36" s="2" t="s">
        <v>69</v>
      </c>
      <c r="B36" s="4" t="s">
        <v>63</v>
      </c>
      <c r="C36" s="2"/>
      <c r="D36" s="2"/>
      <c r="E36" s="2"/>
      <c r="F36" s="2"/>
      <c r="G36" s="12"/>
      <c r="H36" s="18"/>
    </row>
    <row r="37" spans="1:10" x14ac:dyDescent="0.3">
      <c r="A37" s="3" t="s">
        <v>78</v>
      </c>
      <c r="B37" s="7" t="s">
        <v>77</v>
      </c>
      <c r="C37" s="2"/>
      <c r="D37" s="2"/>
      <c r="E37" s="2"/>
      <c r="F37" s="2"/>
      <c r="G37" s="12"/>
      <c r="H37" s="18"/>
    </row>
    <row r="38" spans="1:10" x14ac:dyDescent="0.3">
      <c r="A38" s="2" t="s">
        <v>79</v>
      </c>
      <c r="B38" s="5" t="s">
        <v>74</v>
      </c>
      <c r="C38" s="2"/>
      <c r="D38" s="2"/>
      <c r="E38" s="2"/>
      <c r="F38" s="2"/>
      <c r="G38" s="12"/>
      <c r="H38" s="18"/>
    </row>
    <row r="39" spans="1:10" x14ac:dyDescent="0.3">
      <c r="A39" s="2" t="s">
        <v>80</v>
      </c>
      <c r="B39" s="5" t="s">
        <v>75</v>
      </c>
      <c r="C39" s="2"/>
      <c r="D39" s="2"/>
      <c r="E39" s="2"/>
      <c r="F39" s="2"/>
      <c r="G39" s="12"/>
      <c r="H39" s="18"/>
    </row>
    <row r="40" spans="1:10" x14ac:dyDescent="0.3">
      <c r="A40" s="2" t="s">
        <v>81</v>
      </c>
      <c r="B40" s="5" t="s">
        <v>76</v>
      </c>
      <c r="C40" s="2"/>
      <c r="D40" s="2"/>
      <c r="E40" s="2"/>
      <c r="F40" s="2"/>
      <c r="G40" s="12"/>
      <c r="H40" s="18"/>
    </row>
    <row r="41" spans="1:10" x14ac:dyDescent="0.3">
      <c r="A41" s="2" t="s">
        <v>99</v>
      </c>
      <c r="B41" s="7" t="s">
        <v>96</v>
      </c>
      <c r="C41" s="2"/>
      <c r="D41" s="2"/>
      <c r="E41" s="2"/>
      <c r="F41" s="2"/>
      <c r="G41" s="12"/>
      <c r="H41" s="18"/>
    </row>
    <row r="42" spans="1:10" x14ac:dyDescent="0.3">
      <c r="A42" s="2" t="s">
        <v>102</v>
      </c>
      <c r="B42" s="5" t="s">
        <v>82</v>
      </c>
      <c r="C42" s="2"/>
      <c r="D42" s="2"/>
      <c r="E42" s="2"/>
      <c r="F42" s="2"/>
      <c r="G42" s="12"/>
      <c r="H42" s="18"/>
    </row>
    <row r="43" spans="1:10" x14ac:dyDescent="0.3">
      <c r="A43" s="2" t="s">
        <v>103</v>
      </c>
      <c r="B43" s="5" t="s">
        <v>83</v>
      </c>
      <c r="C43" s="2"/>
      <c r="D43" s="2"/>
      <c r="E43" s="2"/>
      <c r="F43" s="2"/>
      <c r="G43" s="12"/>
      <c r="H43" s="18"/>
    </row>
    <row r="44" spans="1:10" x14ac:dyDescent="0.3">
      <c r="A44" s="2" t="s">
        <v>100</v>
      </c>
      <c r="B44" s="7" t="s">
        <v>97</v>
      </c>
      <c r="C44" s="2"/>
      <c r="D44" s="2"/>
      <c r="E44" s="2"/>
      <c r="F44" s="2"/>
      <c r="G44" s="12"/>
      <c r="H44" s="18"/>
    </row>
    <row r="45" spans="1:10" x14ac:dyDescent="0.3">
      <c r="A45" s="2" t="s">
        <v>104</v>
      </c>
      <c r="B45" s="5" t="s">
        <v>84</v>
      </c>
      <c r="C45" s="2"/>
      <c r="D45" s="2"/>
      <c r="E45" s="2"/>
      <c r="F45" s="2"/>
      <c r="G45" s="12"/>
      <c r="H45" s="18"/>
    </row>
    <row r="46" spans="1:10" x14ac:dyDescent="0.3">
      <c r="A46" s="2" t="s">
        <v>105</v>
      </c>
      <c r="B46" s="5" t="s">
        <v>85</v>
      </c>
      <c r="C46" s="2"/>
      <c r="D46" s="2"/>
      <c r="E46" s="2"/>
      <c r="F46" s="2"/>
      <c r="G46" s="12"/>
      <c r="H46" s="18"/>
    </row>
    <row r="47" spans="1:10" x14ac:dyDescent="0.3">
      <c r="A47" s="2" t="s">
        <v>106</v>
      </c>
      <c r="B47" s="5" t="s">
        <v>86</v>
      </c>
      <c r="C47" s="2"/>
      <c r="D47" s="2"/>
      <c r="E47" s="2"/>
      <c r="F47" s="2"/>
      <c r="G47" s="12"/>
      <c r="H47" s="18"/>
    </row>
    <row r="48" spans="1:10" x14ac:dyDescent="0.3">
      <c r="A48" s="2" t="s">
        <v>107</v>
      </c>
      <c r="B48" s="5" t="s">
        <v>87</v>
      </c>
      <c r="C48" s="2"/>
      <c r="D48" s="2"/>
      <c r="E48" s="2"/>
      <c r="F48" s="2"/>
      <c r="G48" s="12"/>
      <c r="H48" s="18"/>
    </row>
    <row r="49" spans="1:9" x14ac:dyDescent="0.3">
      <c r="A49" s="2" t="s">
        <v>108</v>
      </c>
      <c r="B49" s="5" t="s">
        <v>88</v>
      </c>
      <c r="C49" s="2"/>
      <c r="D49" s="2"/>
      <c r="E49" s="2"/>
      <c r="F49" s="2"/>
      <c r="G49" s="12"/>
      <c r="H49" s="18"/>
    </row>
    <row r="50" spans="1:9" x14ac:dyDescent="0.3">
      <c r="A50" s="2" t="s">
        <v>109</v>
      </c>
      <c r="B50" s="5" t="s">
        <v>89</v>
      </c>
      <c r="C50" s="2"/>
      <c r="D50" s="2"/>
      <c r="E50" s="2"/>
      <c r="F50" s="2"/>
      <c r="G50" s="12"/>
      <c r="H50" s="18"/>
    </row>
    <row r="51" spans="1:9" x14ac:dyDescent="0.3">
      <c r="A51" s="2" t="s">
        <v>110</v>
      </c>
      <c r="B51" s="5" t="s">
        <v>76</v>
      </c>
      <c r="C51" s="2"/>
      <c r="D51" s="2"/>
      <c r="E51" s="2"/>
      <c r="F51" s="2"/>
      <c r="G51" s="12"/>
      <c r="H51" s="18"/>
    </row>
    <row r="52" spans="1:9" x14ac:dyDescent="0.3">
      <c r="A52" s="2" t="s">
        <v>111</v>
      </c>
      <c r="B52" s="5" t="s">
        <v>90</v>
      </c>
      <c r="C52" s="2"/>
      <c r="D52" s="2"/>
      <c r="E52" s="2"/>
      <c r="F52" s="2"/>
      <c r="G52" s="12"/>
      <c r="H52" s="18"/>
    </row>
    <row r="53" spans="1:9" x14ac:dyDescent="0.3">
      <c r="A53" s="2" t="s">
        <v>112</v>
      </c>
      <c r="B53" s="5" t="s">
        <v>91</v>
      </c>
      <c r="C53" s="2"/>
      <c r="D53" s="2"/>
      <c r="E53" s="2"/>
      <c r="F53" s="2"/>
      <c r="G53" s="12"/>
      <c r="H53" s="18"/>
    </row>
    <row r="54" spans="1:9" x14ac:dyDescent="0.3">
      <c r="A54" s="2" t="s">
        <v>113</v>
      </c>
      <c r="B54" s="5" t="s">
        <v>92</v>
      </c>
      <c r="C54" s="2"/>
      <c r="D54" s="2"/>
      <c r="E54" s="2"/>
      <c r="F54" s="2"/>
      <c r="G54" s="12"/>
      <c r="H54" s="18"/>
    </row>
    <row r="55" spans="1:9" x14ac:dyDescent="0.3">
      <c r="A55" s="2" t="s">
        <v>101</v>
      </c>
      <c r="B55" s="7" t="s">
        <v>98</v>
      </c>
      <c r="C55" s="2"/>
      <c r="D55" s="2"/>
      <c r="E55" s="2"/>
      <c r="F55" s="2"/>
      <c r="G55" s="12"/>
      <c r="H55" s="18"/>
    </row>
    <row r="56" spans="1:9" x14ac:dyDescent="0.3">
      <c r="A56" s="2" t="s">
        <v>114</v>
      </c>
      <c r="B56" s="5" t="s">
        <v>93</v>
      </c>
      <c r="C56" s="2"/>
      <c r="D56" s="2"/>
      <c r="E56" s="2"/>
      <c r="F56" s="2"/>
      <c r="G56" s="12"/>
      <c r="H56" s="18"/>
    </row>
    <row r="57" spans="1:9" x14ac:dyDescent="0.3">
      <c r="A57" s="2" t="s">
        <v>115</v>
      </c>
      <c r="B57" s="5" t="s">
        <v>94</v>
      </c>
      <c r="C57" s="2"/>
      <c r="D57" s="2"/>
      <c r="E57" s="2"/>
      <c r="F57" s="2"/>
      <c r="G57" s="12"/>
      <c r="H57" s="18"/>
    </row>
    <row r="58" spans="1:9" x14ac:dyDescent="0.3">
      <c r="A58" s="2" t="s">
        <v>116</v>
      </c>
      <c r="B58" s="2" t="s">
        <v>95</v>
      </c>
      <c r="C58" s="2"/>
      <c r="D58" s="2"/>
      <c r="E58" s="2"/>
      <c r="F58" s="2"/>
      <c r="G58" s="12"/>
      <c r="H58" s="18"/>
    </row>
    <row r="59" spans="1:9" ht="18" x14ac:dyDescent="0.3">
      <c r="A59" s="346" t="s">
        <v>117</v>
      </c>
      <c r="B59" s="346"/>
      <c r="C59" s="9"/>
      <c r="D59" s="9"/>
      <c r="E59" s="9"/>
      <c r="F59" s="9"/>
      <c r="G59" s="9"/>
      <c r="H59" s="18"/>
    </row>
    <row r="60" spans="1:9" ht="43.2" x14ac:dyDescent="0.3">
      <c r="A60" s="18">
        <v>1</v>
      </c>
      <c r="B60" s="6" t="s">
        <v>118</v>
      </c>
      <c r="C60" s="5"/>
      <c r="D60" s="5">
        <v>2.863</v>
      </c>
      <c r="E60" s="2"/>
      <c r="F60" s="2"/>
      <c r="G60" s="12"/>
      <c r="H60" s="18"/>
    </row>
    <row r="61" spans="1:9" ht="57.6" x14ac:dyDescent="0.3">
      <c r="A61" s="19" t="s">
        <v>8</v>
      </c>
      <c r="B61" s="20" t="s">
        <v>155</v>
      </c>
      <c r="C61" s="20" t="s">
        <v>129</v>
      </c>
      <c r="D61" s="21">
        <v>468</v>
      </c>
      <c r="E61" s="2" t="s">
        <v>147</v>
      </c>
      <c r="F61" s="4" t="s">
        <v>145</v>
      </c>
      <c r="G61" s="12">
        <f>137900*468*12.5*0.065</f>
        <v>52436475</v>
      </c>
      <c r="H61" s="26">
        <f>G61*1.35</f>
        <v>70789241.25</v>
      </c>
      <c r="I61" s="29"/>
    </row>
    <row r="62" spans="1:9" x14ac:dyDescent="0.3">
      <c r="A62" s="19" t="s">
        <v>10</v>
      </c>
      <c r="B62" s="20" t="s">
        <v>154</v>
      </c>
      <c r="C62" s="21" t="s">
        <v>144</v>
      </c>
      <c r="D62" s="21">
        <v>3870</v>
      </c>
      <c r="E62" s="2" t="s">
        <v>147</v>
      </c>
      <c r="F62" s="2" t="s">
        <v>146</v>
      </c>
      <c r="G62" s="12">
        <f>2890*D62</f>
        <v>11184300</v>
      </c>
      <c r="H62" s="26">
        <f t="shared" ref="H62:H74" si="0">G62*1.35</f>
        <v>15098805.000000002</v>
      </c>
    </row>
    <row r="63" spans="1:9" ht="28.8" x14ac:dyDescent="0.3">
      <c r="A63" s="19" t="s">
        <v>22</v>
      </c>
      <c r="B63" s="20" t="s">
        <v>153</v>
      </c>
      <c r="C63" s="21" t="s">
        <v>128</v>
      </c>
      <c r="D63" s="21">
        <v>30960</v>
      </c>
      <c r="E63" s="2" t="s">
        <v>147</v>
      </c>
      <c r="F63" s="4" t="s">
        <v>149</v>
      </c>
      <c r="G63" s="12">
        <f>11.765*126500</f>
        <v>1488272.5</v>
      </c>
      <c r="H63" s="26">
        <f t="shared" si="0"/>
        <v>2009167.8750000002</v>
      </c>
    </row>
    <row r="64" spans="1:9" ht="28.8" x14ac:dyDescent="0.3">
      <c r="A64" s="19" t="s">
        <v>23</v>
      </c>
      <c r="B64" s="20" t="s">
        <v>152</v>
      </c>
      <c r="C64" s="21"/>
      <c r="D64" s="21">
        <v>7740</v>
      </c>
      <c r="E64" s="2" t="s">
        <v>147</v>
      </c>
      <c r="F64" s="4" t="s">
        <v>148</v>
      </c>
      <c r="G64" s="12">
        <f>59.5*229200</f>
        <v>13637400</v>
      </c>
      <c r="H64" s="26">
        <f t="shared" si="0"/>
        <v>18410490</v>
      </c>
    </row>
    <row r="65" spans="1:8" ht="28.8" x14ac:dyDescent="0.3">
      <c r="A65" s="19" t="s">
        <v>24</v>
      </c>
      <c r="B65" s="20" t="s">
        <v>151</v>
      </c>
      <c r="C65" s="21"/>
      <c r="D65" s="21">
        <v>936</v>
      </c>
      <c r="E65" s="2" t="s">
        <v>147</v>
      </c>
      <c r="F65" s="4" t="s">
        <v>150</v>
      </c>
      <c r="G65" s="12">
        <f>189500*27.612</f>
        <v>5232474</v>
      </c>
      <c r="H65" s="26">
        <f t="shared" si="0"/>
        <v>7063839.9000000004</v>
      </c>
    </row>
    <row r="66" spans="1:8" ht="28.8" x14ac:dyDescent="0.3">
      <c r="A66" s="19" t="s">
        <v>25</v>
      </c>
      <c r="B66" s="20" t="s">
        <v>157</v>
      </c>
      <c r="C66" s="21"/>
      <c r="D66" s="21">
        <v>7740</v>
      </c>
      <c r="E66" s="2" t="s">
        <v>147</v>
      </c>
      <c r="F66" s="4" t="s">
        <v>156</v>
      </c>
      <c r="G66" s="12">
        <f>10.5264*139800</f>
        <v>1471590.7200000002</v>
      </c>
      <c r="H66" s="26">
        <f t="shared" si="0"/>
        <v>1986647.4720000003</v>
      </c>
    </row>
    <row r="67" spans="1:8" x14ac:dyDescent="0.3">
      <c r="A67" s="18" t="s">
        <v>26</v>
      </c>
      <c r="B67" s="6" t="s">
        <v>158</v>
      </c>
      <c r="C67" s="5"/>
      <c r="D67" s="5">
        <v>7740</v>
      </c>
      <c r="E67" s="2" t="s">
        <v>147</v>
      </c>
      <c r="F67" s="2"/>
      <c r="G67" s="12">
        <f>7740*96</f>
        <v>743040</v>
      </c>
      <c r="H67" s="26">
        <f t="shared" si="0"/>
        <v>1003104.0000000001</v>
      </c>
    </row>
    <row r="68" spans="1:8" x14ac:dyDescent="0.3">
      <c r="A68" s="18">
        <v>2</v>
      </c>
      <c r="B68" s="6" t="s">
        <v>127</v>
      </c>
      <c r="C68" s="5" t="s">
        <v>126</v>
      </c>
      <c r="D68" s="5">
        <v>1</v>
      </c>
      <c r="E68" s="2"/>
      <c r="F68" s="2"/>
      <c r="G68" s="12"/>
      <c r="H68" s="26">
        <f t="shared" si="0"/>
        <v>0</v>
      </c>
    </row>
    <row r="69" spans="1:8" ht="43.2" x14ac:dyDescent="0.3">
      <c r="A69" s="18">
        <v>3</v>
      </c>
      <c r="B69" s="6" t="s">
        <v>119</v>
      </c>
      <c r="C69" s="6" t="s">
        <v>120</v>
      </c>
      <c r="D69" s="5">
        <v>1</v>
      </c>
      <c r="E69" s="2" t="s">
        <v>147</v>
      </c>
      <c r="F69" s="2"/>
      <c r="G69" s="12">
        <f>3096000*D69</f>
        <v>3096000</v>
      </c>
      <c r="H69" s="26">
        <f t="shared" si="0"/>
        <v>4179600.0000000005</v>
      </c>
    </row>
    <row r="70" spans="1:8" ht="28.8" x14ac:dyDescent="0.3">
      <c r="A70" s="18">
        <v>4</v>
      </c>
      <c r="B70" s="6" t="s">
        <v>121</v>
      </c>
      <c r="C70" s="6" t="s">
        <v>120</v>
      </c>
      <c r="D70" s="5">
        <v>3</v>
      </c>
      <c r="E70" s="2" t="s">
        <v>147</v>
      </c>
      <c r="F70" s="2"/>
      <c r="G70" s="12">
        <f t="shared" ref="G70:G71" si="1">3096000*D70</f>
        <v>9288000</v>
      </c>
      <c r="H70" s="26">
        <f t="shared" si="0"/>
        <v>12538800</v>
      </c>
    </row>
    <row r="71" spans="1:8" ht="28.8" x14ac:dyDescent="0.3">
      <c r="A71" s="18">
        <v>5</v>
      </c>
      <c r="B71" s="6" t="s">
        <v>122</v>
      </c>
      <c r="C71" s="6" t="s">
        <v>120</v>
      </c>
      <c r="D71" s="5">
        <v>2</v>
      </c>
      <c r="E71" s="2" t="s">
        <v>147</v>
      </c>
      <c r="F71" s="2"/>
      <c r="G71" s="12">
        <f t="shared" si="1"/>
        <v>6192000</v>
      </c>
      <c r="H71" s="26">
        <f t="shared" si="0"/>
        <v>8359200.0000000009</v>
      </c>
    </row>
    <row r="72" spans="1:8" ht="28.8" x14ac:dyDescent="0.3">
      <c r="A72" s="18">
        <v>6</v>
      </c>
      <c r="B72" s="6" t="s">
        <v>121</v>
      </c>
      <c r="C72" s="6" t="s">
        <v>123</v>
      </c>
      <c r="D72" s="5">
        <v>1</v>
      </c>
      <c r="E72" s="2" t="s">
        <v>147</v>
      </c>
      <c r="F72" s="2"/>
      <c r="G72" s="12">
        <v>2470000</v>
      </c>
      <c r="H72" s="26">
        <f t="shared" si="0"/>
        <v>3334500</v>
      </c>
    </row>
    <row r="73" spans="1:8" ht="28.8" x14ac:dyDescent="0.3">
      <c r="A73" s="18">
        <v>7</v>
      </c>
      <c r="B73" s="6" t="s">
        <v>122</v>
      </c>
      <c r="C73" s="6" t="s">
        <v>123</v>
      </c>
      <c r="D73" s="5">
        <v>1</v>
      </c>
      <c r="E73" s="2" t="s">
        <v>147</v>
      </c>
      <c r="F73" s="2"/>
      <c r="G73" s="12">
        <v>2470000</v>
      </c>
      <c r="H73" s="26">
        <f t="shared" si="0"/>
        <v>3334500</v>
      </c>
    </row>
    <row r="74" spans="1:8" x14ac:dyDescent="0.3">
      <c r="A74" s="18">
        <v>8</v>
      </c>
      <c r="B74" s="6" t="s">
        <v>124</v>
      </c>
      <c r="C74" s="5" t="s">
        <v>125</v>
      </c>
      <c r="D74" s="5">
        <v>4</v>
      </c>
      <c r="E74" s="2" t="s">
        <v>147</v>
      </c>
      <c r="F74" s="2"/>
      <c r="G74" s="12">
        <f>168000*D74</f>
        <v>672000</v>
      </c>
      <c r="H74" s="26">
        <f t="shared" si="0"/>
        <v>907200.00000000012</v>
      </c>
    </row>
    <row r="75" spans="1:8" x14ac:dyDescent="0.3">
      <c r="A75" s="18">
        <v>9</v>
      </c>
      <c r="B75" s="6" t="s">
        <v>159</v>
      </c>
      <c r="C75" s="2"/>
      <c r="D75" s="2"/>
      <c r="E75" s="2"/>
      <c r="F75" s="2"/>
      <c r="G75" s="12"/>
      <c r="H75" s="18"/>
    </row>
    <row r="76" spans="1:8" x14ac:dyDescent="0.3">
      <c r="A76" s="19" t="s">
        <v>162</v>
      </c>
      <c r="B76" s="20" t="s">
        <v>160</v>
      </c>
      <c r="C76" s="22" t="s">
        <v>164</v>
      </c>
      <c r="D76" s="22"/>
      <c r="E76" s="22"/>
      <c r="F76" s="2"/>
      <c r="G76" s="12"/>
      <c r="H76" s="18"/>
    </row>
    <row r="77" spans="1:8" x14ac:dyDescent="0.3">
      <c r="A77" s="19" t="s">
        <v>163</v>
      </c>
      <c r="B77" s="20" t="s">
        <v>161</v>
      </c>
      <c r="C77" s="22"/>
      <c r="D77" s="22"/>
      <c r="E77" s="22"/>
      <c r="F77" s="2"/>
      <c r="G77" s="12"/>
      <c r="H77" s="18"/>
    </row>
    <row r="78" spans="1:8" s="1" customFormat="1" x14ac:dyDescent="0.3">
      <c r="B78" s="23" t="s">
        <v>169</v>
      </c>
      <c r="G78" s="24">
        <f>SUM(G2:G77)</f>
        <v>121667736.22</v>
      </c>
      <c r="H78" s="24">
        <f>SUM(H2:H77)</f>
        <v>169414003.89700001</v>
      </c>
    </row>
    <row r="79" spans="1:8" s="1" customFormat="1" x14ac:dyDescent="0.3">
      <c r="B79" s="1" t="s">
        <v>170</v>
      </c>
      <c r="G79" s="24"/>
      <c r="H79" s="27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2559D-0104-4DE3-B5F9-65FACDD6F817}">
  <dimension ref="A1:M28"/>
  <sheetViews>
    <sheetView view="pageBreakPreview" zoomScale="80" zoomScaleNormal="100" zoomScaleSheetLayoutView="80" workbookViewId="0">
      <selection activeCell="E21" sqref="E21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9" max="9" width="28.44140625" customWidth="1"/>
    <col min="10" max="10" width="14.6640625" customWidth="1"/>
    <col min="12" max="12" width="18.109375" customWidth="1"/>
  </cols>
  <sheetData>
    <row r="1" spans="1:13" x14ac:dyDescent="0.3">
      <c r="A1" s="384" t="s">
        <v>213</v>
      </c>
      <c r="B1" s="383" t="s">
        <v>188</v>
      </c>
      <c r="C1" s="383" t="s">
        <v>217</v>
      </c>
      <c r="D1" s="383" t="s">
        <v>189</v>
      </c>
      <c r="E1" s="383" t="s">
        <v>273</v>
      </c>
      <c r="F1" s="383"/>
      <c r="G1" s="383"/>
    </row>
    <row r="2" spans="1:13" ht="27.6" x14ac:dyDescent="0.3">
      <c r="A2" s="384"/>
      <c r="B2" s="383"/>
      <c r="C2" s="383"/>
      <c r="D2" s="383"/>
      <c r="E2" s="209" t="s">
        <v>244</v>
      </c>
      <c r="F2" s="209" t="s">
        <v>236</v>
      </c>
      <c r="G2" s="81" t="s">
        <v>223</v>
      </c>
    </row>
    <row r="3" spans="1:13" ht="17.25" customHeight="1" x14ac:dyDescent="0.3">
      <c r="A3" s="129">
        <v>1</v>
      </c>
      <c r="B3" s="130">
        <v>2</v>
      </c>
      <c r="C3" s="130">
        <v>3</v>
      </c>
      <c r="D3" s="130">
        <v>4</v>
      </c>
      <c r="E3" s="130">
        <v>5</v>
      </c>
      <c r="F3" s="130">
        <v>6</v>
      </c>
      <c r="G3" s="130">
        <v>7</v>
      </c>
    </row>
    <row r="4" spans="1:13" ht="24.75" customHeight="1" x14ac:dyDescent="0.3">
      <c r="A4" s="134"/>
      <c r="B4" s="208" t="s">
        <v>646</v>
      </c>
      <c r="C4" s="142"/>
      <c r="D4" s="142"/>
      <c r="E4" s="135"/>
      <c r="F4" s="136"/>
      <c r="G4" s="147"/>
    </row>
    <row r="5" spans="1:13" s="221" customFormat="1" ht="19.5" customHeight="1" x14ac:dyDescent="0.3">
      <c r="A5" s="213"/>
      <c r="B5" s="220" t="s">
        <v>248</v>
      </c>
      <c r="C5" s="213"/>
      <c r="D5" s="212"/>
      <c r="E5" s="215"/>
      <c r="F5" s="161"/>
      <c r="G5" s="161"/>
      <c r="H5" s="217"/>
      <c r="J5" s="226"/>
      <c r="K5" s="227"/>
      <c r="L5" s="227"/>
      <c r="M5" s="227"/>
    </row>
    <row r="6" spans="1:13" ht="15.6" x14ac:dyDescent="0.3">
      <c r="A6" s="213">
        <v>1</v>
      </c>
      <c r="B6" s="214" t="s">
        <v>622</v>
      </c>
      <c r="C6" s="213" t="s">
        <v>181</v>
      </c>
      <c r="D6" s="219">
        <v>25.1</v>
      </c>
      <c r="E6" s="215">
        <v>325</v>
      </c>
      <c r="F6" s="161">
        <f t="shared" ref="F6:F12" si="0">ROUND(E6*D6,2)</f>
        <v>8157.5</v>
      </c>
      <c r="G6" s="161">
        <f t="shared" ref="G6:G12" si="1">ROUND(F6*1.2,2)</f>
        <v>9789</v>
      </c>
      <c r="J6" s="226"/>
      <c r="K6" s="228"/>
      <c r="L6" s="228"/>
      <c r="M6" s="228"/>
    </row>
    <row r="7" spans="1:13" ht="15.6" x14ac:dyDescent="0.3">
      <c r="A7" s="213">
        <f>A6+1</f>
        <v>2</v>
      </c>
      <c r="B7" s="214" t="s">
        <v>623</v>
      </c>
      <c r="C7" s="213" t="s">
        <v>181</v>
      </c>
      <c r="D7" s="219">
        <v>0.5</v>
      </c>
      <c r="E7" s="215">
        <v>1777</v>
      </c>
      <c r="F7" s="161">
        <f t="shared" si="0"/>
        <v>888.5</v>
      </c>
      <c r="G7" s="161">
        <f t="shared" si="1"/>
        <v>1066.2</v>
      </c>
      <c r="J7" s="226"/>
      <c r="K7" s="228"/>
      <c r="L7" s="228"/>
      <c r="M7" s="228"/>
    </row>
    <row r="8" spans="1:13" ht="15.6" x14ac:dyDescent="0.3">
      <c r="A8" s="213">
        <f t="shared" ref="A8:A12" si="2">A7+1</f>
        <v>3</v>
      </c>
      <c r="B8" s="214" t="s">
        <v>624</v>
      </c>
      <c r="C8" s="213" t="s">
        <v>181</v>
      </c>
      <c r="D8" s="219">
        <v>10.6</v>
      </c>
      <c r="E8" s="215">
        <v>125</v>
      </c>
      <c r="F8" s="161">
        <f t="shared" si="0"/>
        <v>1325</v>
      </c>
      <c r="G8" s="161">
        <f t="shared" si="1"/>
        <v>1590</v>
      </c>
      <c r="J8" s="226"/>
      <c r="K8" s="228"/>
      <c r="L8" s="228"/>
      <c r="M8" s="228"/>
    </row>
    <row r="9" spans="1:13" ht="15.6" x14ac:dyDescent="0.3">
      <c r="A9" s="213">
        <f t="shared" si="2"/>
        <v>4</v>
      </c>
      <c r="B9" s="214" t="s">
        <v>625</v>
      </c>
      <c r="C9" s="213" t="s">
        <v>181</v>
      </c>
      <c r="D9" s="219">
        <v>2.7</v>
      </c>
      <c r="E9" s="215">
        <v>899</v>
      </c>
      <c r="F9" s="161">
        <f t="shared" si="0"/>
        <v>2427.3000000000002</v>
      </c>
      <c r="G9" s="161">
        <f t="shared" si="1"/>
        <v>2912.76</v>
      </c>
      <c r="J9" s="226"/>
      <c r="K9" s="228"/>
      <c r="L9" s="228"/>
      <c r="M9" s="228"/>
    </row>
    <row r="10" spans="1:13" ht="15.6" x14ac:dyDescent="0.3">
      <c r="A10" s="213">
        <f t="shared" si="2"/>
        <v>5</v>
      </c>
      <c r="B10" s="214" t="s">
        <v>245</v>
      </c>
      <c r="C10" s="213" t="s">
        <v>181</v>
      </c>
      <c r="D10" s="219">
        <v>10.6</v>
      </c>
      <c r="E10" s="215">
        <v>198</v>
      </c>
      <c r="F10" s="161">
        <f t="shared" si="0"/>
        <v>2098.8000000000002</v>
      </c>
      <c r="G10" s="161">
        <f t="shared" si="1"/>
        <v>2518.56</v>
      </c>
      <c r="H10" s="173"/>
      <c r="J10" s="226"/>
      <c r="K10" s="228"/>
      <c r="L10" s="228"/>
      <c r="M10" s="228"/>
    </row>
    <row r="11" spans="1:13" ht="15.6" x14ac:dyDescent="0.3">
      <c r="A11" s="213">
        <f t="shared" si="2"/>
        <v>6</v>
      </c>
      <c r="B11" s="214" t="s">
        <v>251</v>
      </c>
      <c r="C11" s="213" t="s">
        <v>219</v>
      </c>
      <c r="D11" s="219">
        <v>19.7</v>
      </c>
      <c r="E11" s="215">
        <v>325</v>
      </c>
      <c r="F11" s="161">
        <f t="shared" si="0"/>
        <v>6402.5</v>
      </c>
      <c r="G11" s="161">
        <f t="shared" si="1"/>
        <v>7683</v>
      </c>
      <c r="H11" s="173"/>
      <c r="J11" s="226"/>
      <c r="K11" s="228"/>
      <c r="L11" s="228"/>
      <c r="M11" s="228"/>
    </row>
    <row r="12" spans="1:13" ht="15.6" x14ac:dyDescent="0.3">
      <c r="A12" s="213">
        <f t="shared" si="2"/>
        <v>7</v>
      </c>
      <c r="B12" s="214" t="s">
        <v>247</v>
      </c>
      <c r="C12" s="213" t="s">
        <v>219</v>
      </c>
      <c r="D12" s="219">
        <f>D11</f>
        <v>19.7</v>
      </c>
      <c r="E12" s="215">
        <v>3460</v>
      </c>
      <c r="F12" s="161">
        <f t="shared" si="0"/>
        <v>68162</v>
      </c>
      <c r="G12" s="161">
        <f t="shared" si="1"/>
        <v>81794.399999999994</v>
      </c>
      <c r="H12" s="173"/>
      <c r="J12" s="226"/>
      <c r="K12" s="228"/>
      <c r="L12" s="228"/>
      <c r="M12" s="228"/>
    </row>
    <row r="13" spans="1:13" s="221" customFormat="1" ht="27.6" x14ac:dyDescent="0.3">
      <c r="A13" s="213"/>
      <c r="B13" s="220" t="s">
        <v>626</v>
      </c>
      <c r="C13" s="213"/>
      <c r="D13" s="213"/>
      <c r="E13" s="215"/>
      <c r="F13" s="161"/>
      <c r="G13" s="161"/>
      <c r="J13" s="226"/>
      <c r="K13" s="227"/>
      <c r="L13" s="227"/>
      <c r="M13" s="227"/>
    </row>
    <row r="14" spans="1:13" s="221" customFormat="1" ht="15.6" x14ac:dyDescent="0.3">
      <c r="A14" s="213">
        <f>A12+1</f>
        <v>8</v>
      </c>
      <c r="B14" s="214" t="s">
        <v>738</v>
      </c>
      <c r="C14" s="213" t="s">
        <v>182</v>
      </c>
      <c r="D14" s="216">
        <f>4*2.5</f>
        <v>10</v>
      </c>
      <c r="E14" s="215">
        <v>2455</v>
      </c>
      <c r="F14" s="161">
        <f t="shared" ref="F14:F23" si="3">ROUND(E14*D14,2)</f>
        <v>24550</v>
      </c>
      <c r="G14" s="161">
        <f t="shared" ref="G14:G23" si="4">ROUND(F14*1.2,2)</f>
        <v>29460</v>
      </c>
      <c r="J14" s="226"/>
      <c r="K14" s="227"/>
      <c r="L14" s="227"/>
      <c r="M14" s="227"/>
    </row>
    <row r="15" spans="1:13" s="221" customFormat="1" ht="27.6" x14ac:dyDescent="0.3">
      <c r="A15" s="213">
        <f t="shared" ref="A15:A23" si="5">A14+1</f>
        <v>9</v>
      </c>
      <c r="B15" s="214" t="s">
        <v>627</v>
      </c>
      <c r="C15" s="213" t="s">
        <v>181</v>
      </c>
      <c r="D15" s="216">
        <v>1.9</v>
      </c>
      <c r="E15" s="215">
        <v>6799</v>
      </c>
      <c r="F15" s="161">
        <f t="shared" si="3"/>
        <v>12918.1</v>
      </c>
      <c r="G15" s="161">
        <f t="shared" si="4"/>
        <v>15501.72</v>
      </c>
      <c r="J15" s="226"/>
      <c r="K15" s="227"/>
      <c r="L15" s="227"/>
      <c r="M15" s="227"/>
    </row>
    <row r="16" spans="1:13" s="221" customFormat="1" ht="22.5" customHeight="1" x14ac:dyDescent="0.3">
      <c r="A16" s="213">
        <f t="shared" si="5"/>
        <v>10</v>
      </c>
      <c r="B16" s="214" t="s">
        <v>628</v>
      </c>
      <c r="C16" s="213" t="s">
        <v>181</v>
      </c>
      <c r="D16" s="216">
        <v>1.1000000000000001</v>
      </c>
      <c r="E16" s="215">
        <v>6056</v>
      </c>
      <c r="F16" s="161">
        <f t="shared" si="3"/>
        <v>6661.6</v>
      </c>
      <c r="G16" s="161">
        <f t="shared" si="4"/>
        <v>7993.92</v>
      </c>
      <c r="J16" s="226"/>
      <c r="K16" s="227"/>
      <c r="L16" s="227"/>
      <c r="M16" s="227"/>
    </row>
    <row r="17" spans="1:13" s="221" customFormat="1" ht="27.6" x14ac:dyDescent="0.3">
      <c r="A17" s="213">
        <f t="shared" si="5"/>
        <v>11</v>
      </c>
      <c r="B17" s="214" t="s">
        <v>629</v>
      </c>
      <c r="C17" s="213" t="s">
        <v>181</v>
      </c>
      <c r="D17" s="216">
        <v>2.7</v>
      </c>
      <c r="E17" s="215">
        <v>1240</v>
      </c>
      <c r="F17" s="161">
        <f t="shared" si="3"/>
        <v>3348</v>
      </c>
      <c r="G17" s="161">
        <f t="shared" si="4"/>
        <v>4017.6</v>
      </c>
      <c r="J17" s="226"/>
      <c r="K17" s="227"/>
      <c r="L17" s="227"/>
      <c r="M17" s="227"/>
    </row>
    <row r="18" spans="1:13" s="221" customFormat="1" ht="27.6" x14ac:dyDescent="0.3">
      <c r="A18" s="213">
        <f t="shared" si="5"/>
        <v>12</v>
      </c>
      <c r="B18" s="214" t="s">
        <v>630</v>
      </c>
      <c r="C18" s="213" t="s">
        <v>234</v>
      </c>
      <c r="D18" s="216">
        <v>0.8</v>
      </c>
      <c r="E18" s="215">
        <v>334</v>
      </c>
      <c r="F18" s="161">
        <f t="shared" si="3"/>
        <v>267.2</v>
      </c>
      <c r="G18" s="161">
        <f t="shared" si="4"/>
        <v>320.64</v>
      </c>
      <c r="J18" s="226"/>
      <c r="K18" s="227"/>
      <c r="L18" s="227"/>
      <c r="M18" s="227"/>
    </row>
    <row r="19" spans="1:13" s="221" customFormat="1" ht="20.25" customHeight="1" x14ac:dyDescent="0.3">
      <c r="A19" s="213">
        <f t="shared" si="5"/>
        <v>13</v>
      </c>
      <c r="B19" s="214" t="s">
        <v>631</v>
      </c>
      <c r="C19" s="213" t="s">
        <v>234</v>
      </c>
      <c r="D19" s="216">
        <v>10.7</v>
      </c>
      <c r="E19" s="215"/>
      <c r="F19" s="161">
        <f t="shared" si="3"/>
        <v>0</v>
      </c>
      <c r="G19" s="161">
        <f t="shared" si="4"/>
        <v>0</v>
      </c>
      <c r="J19" s="226"/>
      <c r="K19" s="227"/>
      <c r="L19" s="227"/>
      <c r="M19" s="227"/>
    </row>
    <row r="20" spans="1:13" s="221" customFormat="1" ht="27.6" x14ac:dyDescent="0.3">
      <c r="A20" s="213">
        <f t="shared" si="5"/>
        <v>14</v>
      </c>
      <c r="B20" s="214" t="s">
        <v>632</v>
      </c>
      <c r="C20" s="213" t="s">
        <v>234</v>
      </c>
      <c r="D20" s="216">
        <v>10.7</v>
      </c>
      <c r="E20" s="215"/>
      <c r="F20" s="161">
        <f t="shared" si="3"/>
        <v>0</v>
      </c>
      <c r="G20" s="161">
        <f t="shared" si="4"/>
        <v>0</v>
      </c>
      <c r="J20" s="226"/>
      <c r="K20" s="227"/>
      <c r="L20" s="227"/>
      <c r="M20" s="227"/>
    </row>
    <row r="21" spans="1:13" s="221" customFormat="1" ht="27.6" x14ac:dyDescent="0.3">
      <c r="A21" s="213">
        <f t="shared" si="5"/>
        <v>15</v>
      </c>
      <c r="B21" s="214" t="s">
        <v>633</v>
      </c>
      <c r="C21" s="213" t="s">
        <v>234</v>
      </c>
      <c r="D21" s="216">
        <v>17.3</v>
      </c>
      <c r="E21" s="215">
        <v>1007.7</v>
      </c>
      <c r="F21" s="161">
        <f t="shared" si="3"/>
        <v>17433.21</v>
      </c>
      <c r="G21" s="161">
        <f t="shared" si="4"/>
        <v>20919.849999999999</v>
      </c>
      <c r="J21" s="226"/>
      <c r="K21" s="227"/>
      <c r="L21" s="229"/>
      <c r="M21" s="228"/>
    </row>
    <row r="22" spans="1:13" s="221" customFormat="1" ht="27.6" x14ac:dyDescent="0.3">
      <c r="A22" s="213">
        <f t="shared" si="5"/>
        <v>16</v>
      </c>
      <c r="B22" s="214" t="s">
        <v>634</v>
      </c>
      <c r="C22" s="213" t="s">
        <v>234</v>
      </c>
      <c r="D22" s="216">
        <v>17.3</v>
      </c>
      <c r="E22" s="215">
        <v>152</v>
      </c>
      <c r="F22" s="161">
        <f t="shared" si="3"/>
        <v>2629.6</v>
      </c>
      <c r="G22" s="161">
        <f t="shared" si="4"/>
        <v>3155.52</v>
      </c>
      <c r="J22" s="226"/>
      <c r="K22" s="227"/>
      <c r="L22" s="230"/>
      <c r="M22" s="228"/>
    </row>
    <row r="23" spans="1:13" s="221" customFormat="1" ht="27.6" x14ac:dyDescent="0.3">
      <c r="A23" s="213">
        <f t="shared" si="5"/>
        <v>17</v>
      </c>
      <c r="B23" s="214" t="s">
        <v>635</v>
      </c>
      <c r="C23" s="213" t="s">
        <v>234</v>
      </c>
      <c r="D23" s="216">
        <v>17.3</v>
      </c>
      <c r="E23" s="215">
        <v>315.54000000000002</v>
      </c>
      <c r="F23" s="161">
        <f t="shared" si="3"/>
        <v>5458.84</v>
      </c>
      <c r="G23" s="161">
        <f t="shared" si="4"/>
        <v>6550.61</v>
      </c>
      <c r="J23" s="226"/>
      <c r="K23" s="227"/>
      <c r="L23" s="230"/>
      <c r="M23" s="231"/>
    </row>
    <row r="24" spans="1:13" x14ac:dyDescent="0.3">
      <c r="A24" s="146"/>
      <c r="B24" s="387" t="s">
        <v>284</v>
      </c>
      <c r="C24" s="388"/>
      <c r="D24" s="388"/>
      <c r="E24" s="389"/>
      <c r="F24" s="138">
        <f>SUM(F4:F23)</f>
        <v>162728.15000000002</v>
      </c>
      <c r="G24" s="138">
        <f>SUM(G4:G23)</f>
        <v>195273.78</v>
      </c>
      <c r="J24" s="228"/>
      <c r="K24" s="228"/>
      <c r="L24" s="228"/>
      <c r="M24" s="228"/>
    </row>
    <row r="25" spans="1:13" x14ac:dyDescent="0.3">
      <c r="A25" s="375" t="s">
        <v>285</v>
      </c>
      <c r="B25" s="376"/>
      <c r="C25" s="376"/>
      <c r="D25" s="376"/>
      <c r="E25" s="377"/>
      <c r="F25" s="175">
        <f>ROUND(F24*0.03,2)</f>
        <v>4881.84</v>
      </c>
      <c r="G25" s="175">
        <f>ROUND(G24*0.03,2)</f>
        <v>5858.21</v>
      </c>
      <c r="H25" s="51"/>
      <c r="J25" s="228"/>
      <c r="K25" s="228"/>
      <c r="L25" s="228"/>
      <c r="M25" s="228"/>
    </row>
    <row r="26" spans="1:13" x14ac:dyDescent="0.3">
      <c r="A26" s="375" t="s">
        <v>286</v>
      </c>
      <c r="B26" s="376"/>
      <c r="C26" s="376"/>
      <c r="D26" s="376"/>
      <c r="E26" s="377"/>
      <c r="F26" s="175">
        <f>F24+F25</f>
        <v>167609.99000000002</v>
      </c>
      <c r="G26" s="175">
        <f>G24+G25</f>
        <v>201131.99</v>
      </c>
      <c r="H26" s="51"/>
      <c r="J26" s="228"/>
      <c r="K26" s="228"/>
      <c r="L26" s="228"/>
      <c r="M26" s="228"/>
    </row>
    <row r="27" spans="1:13" x14ac:dyDescent="0.3">
      <c r="J27" s="228"/>
      <c r="K27" s="228"/>
      <c r="L27" s="228"/>
      <c r="M27" s="228"/>
    </row>
    <row r="28" spans="1:13" x14ac:dyDescent="0.3">
      <c r="J28" s="228"/>
      <c r="K28" s="228"/>
      <c r="L28" s="228"/>
      <c r="M28" s="228"/>
    </row>
  </sheetData>
  <mergeCells count="8">
    <mergeCell ref="A26:E26"/>
    <mergeCell ref="B24:E24"/>
    <mergeCell ref="A25:E25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4150-41F7-4DE0-9B06-9925703E993E}">
  <dimension ref="A1:P16"/>
  <sheetViews>
    <sheetView view="pageBreakPreview" zoomScale="80" zoomScaleNormal="100" zoomScaleSheetLayoutView="80" workbookViewId="0">
      <selection activeCell="B10" sqref="B10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  <col min="9" max="9" width="18.44140625" customWidth="1"/>
    <col min="10" max="10" width="13.88671875" customWidth="1"/>
    <col min="11" max="11" width="12.6640625" customWidth="1"/>
    <col min="12" max="12" width="16.109375" customWidth="1"/>
    <col min="13" max="13" width="14.44140625" customWidth="1"/>
  </cols>
  <sheetData>
    <row r="1" spans="1:16" ht="19.5" customHeight="1" x14ac:dyDescent="0.3">
      <c r="A1" s="370" t="s">
        <v>213</v>
      </c>
      <c r="B1" s="382" t="s">
        <v>188</v>
      </c>
      <c r="C1" s="370" t="s">
        <v>275</v>
      </c>
      <c r="D1" s="370" t="s">
        <v>189</v>
      </c>
      <c r="E1" s="381" t="s">
        <v>273</v>
      </c>
      <c r="F1" s="381"/>
      <c r="G1" s="381"/>
    </row>
    <row r="2" spans="1:16" s="53" customFormat="1" ht="27.6" x14ac:dyDescent="0.3">
      <c r="A2" s="370"/>
      <c r="B2" s="382"/>
      <c r="C2" s="370"/>
      <c r="D2" s="370"/>
      <c r="E2" s="73" t="s">
        <v>274</v>
      </c>
      <c r="F2" s="207" t="s">
        <v>184</v>
      </c>
      <c r="G2" s="207" t="s">
        <v>185</v>
      </c>
    </row>
    <row r="3" spans="1:16" ht="13.5" customHeight="1" x14ac:dyDescent="0.3">
      <c r="A3" s="129">
        <v>1</v>
      </c>
      <c r="B3" s="130">
        <v>2</v>
      </c>
      <c r="C3" s="130">
        <v>3</v>
      </c>
      <c r="D3" s="130">
        <v>4</v>
      </c>
      <c r="E3" s="130">
        <v>5</v>
      </c>
      <c r="F3" s="130">
        <v>6</v>
      </c>
      <c r="G3" s="130">
        <v>7</v>
      </c>
    </row>
    <row r="4" spans="1:16" x14ac:dyDescent="0.3">
      <c r="A4" s="134"/>
      <c r="B4" s="385" t="s">
        <v>646</v>
      </c>
      <c r="C4" s="394"/>
      <c r="D4" s="394"/>
      <c r="E4" s="136"/>
      <c r="F4" s="137"/>
      <c r="G4" s="107"/>
    </row>
    <row r="5" spans="1:16" ht="30" customHeight="1" x14ac:dyDescent="0.3">
      <c r="A5" s="213"/>
      <c r="B5" s="220" t="s">
        <v>626</v>
      </c>
      <c r="C5" s="223"/>
      <c r="D5" s="218"/>
      <c r="E5" s="215"/>
      <c r="F5" s="161"/>
      <c r="G5" s="161"/>
      <c r="J5" s="226"/>
      <c r="K5" s="228"/>
      <c r="L5" s="228"/>
      <c r="M5" s="228"/>
      <c r="N5" s="228"/>
      <c r="O5" s="228"/>
      <c r="P5" s="228"/>
    </row>
    <row r="6" spans="1:16" ht="21" customHeight="1" x14ac:dyDescent="0.3">
      <c r="A6" s="213">
        <v>1</v>
      </c>
      <c r="B6" s="214" t="s">
        <v>638</v>
      </c>
      <c r="C6" s="223" t="s">
        <v>181</v>
      </c>
      <c r="D6" s="219">
        <v>1.1000000000000001</v>
      </c>
      <c r="E6" s="215">
        <v>5587</v>
      </c>
      <c r="F6" s="161">
        <f t="shared" ref="F6:F14" si="0">ROUND(E6*D6,2)</f>
        <v>6145.7</v>
      </c>
      <c r="G6" s="161">
        <f t="shared" ref="G6:G14" si="1">ROUND(F6*1.2,2)</f>
        <v>7374.84</v>
      </c>
      <c r="J6" s="226"/>
      <c r="K6" s="228"/>
      <c r="L6" s="228"/>
      <c r="M6" s="228"/>
      <c r="N6" s="228"/>
      <c r="O6" s="228"/>
      <c r="P6" s="228"/>
    </row>
    <row r="7" spans="1:16" ht="18.75" customHeight="1" x14ac:dyDescent="0.3">
      <c r="A7" s="213">
        <f>A6+1</f>
        <v>2</v>
      </c>
      <c r="B7" s="214" t="s">
        <v>639</v>
      </c>
      <c r="C7" s="223" t="s">
        <v>181</v>
      </c>
      <c r="D7" s="219">
        <v>1.9</v>
      </c>
      <c r="E7" s="215">
        <v>2635</v>
      </c>
      <c r="F7" s="161">
        <f t="shared" si="0"/>
        <v>5006.5</v>
      </c>
      <c r="G7" s="161">
        <f t="shared" si="1"/>
        <v>6007.8</v>
      </c>
      <c r="J7" s="226"/>
      <c r="K7" s="228"/>
      <c r="L7" s="228"/>
      <c r="M7" s="228"/>
      <c r="N7" s="228"/>
      <c r="O7" s="228"/>
      <c r="P7" s="228"/>
    </row>
    <row r="8" spans="1:16" ht="18.75" customHeight="1" x14ac:dyDescent="0.3">
      <c r="A8" s="213">
        <f>A7+1</f>
        <v>3</v>
      </c>
      <c r="B8" s="214" t="s">
        <v>640</v>
      </c>
      <c r="C8" s="213" t="s">
        <v>207</v>
      </c>
      <c r="D8" s="212">
        <v>580</v>
      </c>
      <c r="E8" s="215">
        <v>15</v>
      </c>
      <c r="F8" s="161">
        <f t="shared" si="0"/>
        <v>8700</v>
      </c>
      <c r="G8" s="161">
        <f t="shared" si="1"/>
        <v>10440</v>
      </c>
      <c r="J8" s="226"/>
      <c r="K8" s="228"/>
      <c r="L8" s="228"/>
      <c r="M8" s="228"/>
      <c r="N8" s="228"/>
      <c r="O8" s="228"/>
      <c r="P8" s="228"/>
    </row>
    <row r="9" spans="1:16" ht="18.75" customHeight="1" x14ac:dyDescent="0.3">
      <c r="A9" s="213">
        <f t="shared" ref="A9:A14" si="2">A8+1</f>
        <v>4</v>
      </c>
      <c r="B9" s="214" t="s">
        <v>641</v>
      </c>
      <c r="C9" s="213" t="s">
        <v>207</v>
      </c>
      <c r="D9" s="212">
        <v>5</v>
      </c>
      <c r="E9" s="215">
        <v>4006</v>
      </c>
      <c r="F9" s="161">
        <f t="shared" si="0"/>
        <v>20030</v>
      </c>
      <c r="G9" s="161">
        <f t="shared" si="1"/>
        <v>24036</v>
      </c>
      <c r="J9" s="226"/>
      <c r="K9" s="228"/>
      <c r="L9" s="228"/>
      <c r="M9" s="228"/>
      <c r="N9" s="228"/>
      <c r="O9" s="228"/>
      <c r="P9" s="228"/>
    </row>
    <row r="10" spans="1:16" ht="18.75" customHeight="1" x14ac:dyDescent="0.3">
      <c r="A10" s="213">
        <f t="shared" si="2"/>
        <v>5</v>
      </c>
      <c r="B10" s="214" t="s">
        <v>642</v>
      </c>
      <c r="C10" s="213" t="s">
        <v>207</v>
      </c>
      <c r="D10" s="212">
        <v>4</v>
      </c>
      <c r="E10" s="215">
        <v>12650</v>
      </c>
      <c r="F10" s="161">
        <f t="shared" si="0"/>
        <v>50600</v>
      </c>
      <c r="G10" s="161">
        <f t="shared" si="1"/>
        <v>60720</v>
      </c>
      <c r="J10" s="226"/>
      <c r="K10" s="228"/>
      <c r="L10" s="228"/>
      <c r="M10" s="228"/>
      <c r="N10" s="228"/>
      <c r="O10" s="228"/>
      <c r="P10" s="228"/>
    </row>
    <row r="11" spans="1:16" ht="18.75" customHeight="1" x14ac:dyDescent="0.3">
      <c r="A11" s="213">
        <f t="shared" si="2"/>
        <v>6</v>
      </c>
      <c r="B11" s="214" t="s">
        <v>643</v>
      </c>
      <c r="C11" s="223" t="s">
        <v>181</v>
      </c>
      <c r="D11" s="218">
        <v>0.54</v>
      </c>
      <c r="E11" s="222">
        <v>3850</v>
      </c>
      <c r="F11" s="161">
        <f t="shared" si="0"/>
        <v>2079</v>
      </c>
      <c r="G11" s="161">
        <f t="shared" si="1"/>
        <v>2494.8000000000002</v>
      </c>
      <c r="J11" s="226"/>
      <c r="K11" s="228"/>
      <c r="L11" s="228"/>
      <c r="M11" s="228"/>
      <c r="N11" s="228"/>
      <c r="O11" s="228"/>
      <c r="P11" s="228"/>
    </row>
    <row r="12" spans="1:16" ht="18.75" customHeight="1" x14ac:dyDescent="0.3">
      <c r="A12" s="213">
        <f t="shared" si="2"/>
        <v>7</v>
      </c>
      <c r="B12" s="214" t="s">
        <v>644</v>
      </c>
      <c r="C12" s="223" t="s">
        <v>220</v>
      </c>
      <c r="D12" s="218">
        <v>0.4</v>
      </c>
      <c r="E12" s="232">
        <v>182</v>
      </c>
      <c r="F12" s="161">
        <f t="shared" si="0"/>
        <v>72.8</v>
      </c>
      <c r="G12" s="161">
        <f t="shared" si="1"/>
        <v>87.36</v>
      </c>
      <c r="H12" s="173" t="s">
        <v>647</v>
      </c>
      <c r="J12" s="226"/>
      <c r="K12" s="228"/>
      <c r="L12" s="229"/>
      <c r="M12" s="228"/>
      <c r="N12" s="228"/>
      <c r="O12" s="228"/>
      <c r="P12" s="228"/>
    </row>
    <row r="13" spans="1:16" ht="18.75" customHeight="1" x14ac:dyDescent="0.3">
      <c r="A13" s="213">
        <f t="shared" si="2"/>
        <v>8</v>
      </c>
      <c r="B13" s="214" t="s">
        <v>637</v>
      </c>
      <c r="C13" s="213" t="s">
        <v>636</v>
      </c>
      <c r="D13" s="225">
        <f>5.2*20/16</f>
        <v>6.5</v>
      </c>
      <c r="E13" s="222">
        <v>250</v>
      </c>
      <c r="F13" s="161">
        <f t="shared" si="0"/>
        <v>1625</v>
      </c>
      <c r="G13" s="161">
        <f t="shared" si="1"/>
        <v>1950</v>
      </c>
      <c r="J13" s="226"/>
      <c r="K13" s="228"/>
      <c r="L13" s="230"/>
      <c r="M13" s="228"/>
      <c r="N13" s="228"/>
      <c r="O13" s="228"/>
      <c r="P13" s="228"/>
    </row>
    <row r="14" spans="1:16" ht="18.75" customHeight="1" x14ac:dyDescent="0.3">
      <c r="A14" s="213">
        <f t="shared" si="2"/>
        <v>9</v>
      </c>
      <c r="B14" s="214" t="s">
        <v>221</v>
      </c>
      <c r="C14" s="213" t="s">
        <v>220</v>
      </c>
      <c r="D14" s="224" t="s">
        <v>645</v>
      </c>
      <c r="E14" s="222">
        <v>312</v>
      </c>
      <c r="F14" s="161">
        <f t="shared" si="0"/>
        <v>2652</v>
      </c>
      <c r="G14" s="161">
        <f t="shared" si="1"/>
        <v>3182.4</v>
      </c>
      <c r="J14" s="226"/>
      <c r="K14" s="228"/>
      <c r="L14" s="230"/>
      <c r="M14" s="228"/>
      <c r="N14" s="228"/>
      <c r="O14" s="228"/>
      <c r="P14" s="228"/>
    </row>
    <row r="15" spans="1:16" x14ac:dyDescent="0.3">
      <c r="A15" s="139"/>
      <c r="B15" s="400" t="s">
        <v>284</v>
      </c>
      <c r="C15" s="401"/>
      <c r="D15" s="401"/>
      <c r="E15" s="402"/>
      <c r="F15" s="138">
        <f>SUM(F4:F14)</f>
        <v>96911</v>
      </c>
      <c r="G15" s="138">
        <f>SUM(G4:G14)</f>
        <v>116293.2</v>
      </c>
      <c r="J15" s="228"/>
      <c r="K15" s="228"/>
      <c r="L15" s="228"/>
      <c r="M15" s="228"/>
      <c r="N15" s="228"/>
      <c r="O15" s="228"/>
      <c r="P15" s="228"/>
    </row>
    <row r="16" spans="1:16" x14ac:dyDescent="0.3">
      <c r="J16" s="228"/>
      <c r="K16" s="228"/>
      <c r="L16" s="228"/>
      <c r="M16" s="228"/>
      <c r="N16" s="228"/>
      <c r="O16" s="228"/>
      <c r="P16" s="228"/>
    </row>
  </sheetData>
  <mergeCells count="7">
    <mergeCell ref="B4:D4"/>
    <mergeCell ref="B15:E15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B49B-C23A-48F4-B30B-EBCB7E3F75A7}">
  <dimension ref="A1:M60"/>
  <sheetViews>
    <sheetView view="pageBreakPreview" zoomScale="80" zoomScaleNormal="100" zoomScaleSheetLayoutView="80" workbookViewId="0">
      <selection activeCell="E25" sqref="E2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9" max="9" width="28.44140625" customWidth="1"/>
    <col min="10" max="10" width="14.6640625" customWidth="1"/>
    <col min="12" max="12" width="18.109375" customWidth="1"/>
  </cols>
  <sheetData>
    <row r="1" spans="1:13" x14ac:dyDescent="0.3">
      <c r="A1" s="384" t="s">
        <v>213</v>
      </c>
      <c r="B1" s="383" t="s">
        <v>188</v>
      </c>
      <c r="C1" s="383" t="s">
        <v>217</v>
      </c>
      <c r="D1" s="383" t="s">
        <v>189</v>
      </c>
      <c r="E1" s="383" t="s">
        <v>273</v>
      </c>
      <c r="F1" s="383"/>
      <c r="G1" s="383"/>
    </row>
    <row r="2" spans="1:13" ht="27.6" x14ac:dyDescent="0.3">
      <c r="A2" s="384"/>
      <c r="B2" s="383"/>
      <c r="C2" s="383"/>
      <c r="D2" s="383"/>
      <c r="E2" s="209" t="s">
        <v>244</v>
      </c>
      <c r="F2" s="209" t="s">
        <v>236</v>
      </c>
      <c r="G2" s="81" t="s">
        <v>223</v>
      </c>
    </row>
    <row r="3" spans="1:13" ht="17.25" customHeight="1" x14ac:dyDescent="0.3">
      <c r="A3" s="129">
        <v>1</v>
      </c>
      <c r="B3" s="130">
        <v>2</v>
      </c>
      <c r="C3" s="130">
        <v>3</v>
      </c>
      <c r="D3" s="130">
        <v>4</v>
      </c>
      <c r="E3" s="130">
        <v>5</v>
      </c>
      <c r="F3" s="130">
        <v>6</v>
      </c>
      <c r="G3" s="130">
        <v>7</v>
      </c>
    </row>
    <row r="4" spans="1:13" ht="24.75" customHeight="1" x14ac:dyDescent="0.3">
      <c r="A4" s="134"/>
      <c r="B4" s="385" t="s">
        <v>648</v>
      </c>
      <c r="C4" s="394"/>
      <c r="D4" s="394"/>
      <c r="E4" s="135"/>
      <c r="F4" s="136"/>
      <c r="G4" s="147"/>
    </row>
    <row r="5" spans="1:13" s="221" customFormat="1" ht="19.5" customHeight="1" x14ac:dyDescent="0.3">
      <c r="A5" s="213"/>
      <c r="B5" s="220" t="s">
        <v>688</v>
      </c>
      <c r="C5" s="213"/>
      <c r="D5" s="212"/>
      <c r="E5" s="215"/>
      <c r="F5" s="161"/>
      <c r="G5" s="161"/>
      <c r="H5" s="217"/>
      <c r="J5" s="226"/>
      <c r="K5" s="227"/>
      <c r="L5" s="227"/>
      <c r="M5" s="227"/>
    </row>
    <row r="6" spans="1:13" ht="27.6" x14ac:dyDescent="0.3">
      <c r="A6" s="213">
        <v>1</v>
      </c>
      <c r="B6" s="214" t="s">
        <v>689</v>
      </c>
      <c r="C6" s="213" t="s">
        <v>207</v>
      </c>
      <c r="D6" s="212">
        <v>6</v>
      </c>
      <c r="E6" s="232">
        <v>146104.19</v>
      </c>
      <c r="F6" s="161">
        <f t="shared" ref="F6:F13" si="0">ROUND(E6*D6,2)</f>
        <v>876625.14</v>
      </c>
      <c r="G6" s="161">
        <f t="shared" ref="G6:G13" si="1">ROUND(F6*1.2,2)</f>
        <v>1051950.17</v>
      </c>
      <c r="J6" s="226"/>
      <c r="K6" s="228"/>
      <c r="L6" s="228"/>
      <c r="M6" s="228"/>
    </row>
    <row r="7" spans="1:13" ht="15.6" x14ac:dyDescent="0.3">
      <c r="A7" s="213">
        <f>A6+1</f>
        <v>2</v>
      </c>
      <c r="B7" s="214" t="s">
        <v>690</v>
      </c>
      <c r="C7" s="213" t="s">
        <v>207</v>
      </c>
      <c r="D7" s="212">
        <v>6</v>
      </c>
      <c r="E7" s="232">
        <v>5468.2883333333339</v>
      </c>
      <c r="F7" s="161">
        <f t="shared" si="0"/>
        <v>32809.730000000003</v>
      </c>
      <c r="G7" s="161">
        <f t="shared" si="1"/>
        <v>39371.68</v>
      </c>
      <c r="H7" t="s">
        <v>739</v>
      </c>
      <c r="J7" s="226"/>
      <c r="K7" s="228"/>
      <c r="L7" s="228"/>
      <c r="M7" s="228"/>
    </row>
    <row r="8" spans="1:13" ht="27.6" x14ac:dyDescent="0.3">
      <c r="A8" s="213">
        <f t="shared" ref="A8:A14" si="2">A7+1</f>
        <v>3</v>
      </c>
      <c r="B8" s="214" t="s">
        <v>691</v>
      </c>
      <c r="C8" s="213" t="s">
        <v>207</v>
      </c>
      <c r="D8" s="212">
        <v>6</v>
      </c>
      <c r="E8" s="215"/>
      <c r="F8" s="161">
        <f t="shared" si="0"/>
        <v>0</v>
      </c>
      <c r="G8" s="161">
        <f t="shared" si="1"/>
        <v>0</v>
      </c>
      <c r="J8" s="226"/>
      <c r="K8" s="228"/>
      <c r="L8" s="228"/>
      <c r="M8" s="228"/>
    </row>
    <row r="9" spans="1:13" ht="15.6" x14ac:dyDescent="0.3">
      <c r="A9" s="213">
        <f t="shared" si="2"/>
        <v>4</v>
      </c>
      <c r="B9" s="214" t="s">
        <v>692</v>
      </c>
      <c r="C9" s="213" t="s">
        <v>207</v>
      </c>
      <c r="D9" s="212">
        <v>6</v>
      </c>
      <c r="E9" s="232">
        <v>1068.3716666666667</v>
      </c>
      <c r="F9" s="161">
        <f t="shared" si="0"/>
        <v>6410.23</v>
      </c>
      <c r="G9" s="161">
        <f t="shared" si="1"/>
        <v>7692.28</v>
      </c>
      <c r="J9" s="226"/>
      <c r="K9" s="228"/>
      <c r="L9" s="228"/>
      <c r="M9" s="228"/>
    </row>
    <row r="10" spans="1:13" ht="15.6" x14ac:dyDescent="0.3">
      <c r="A10" s="213">
        <f t="shared" si="2"/>
        <v>5</v>
      </c>
      <c r="B10" s="214" t="s">
        <v>693</v>
      </c>
      <c r="C10" s="213" t="s">
        <v>207</v>
      </c>
      <c r="D10" s="212">
        <v>5</v>
      </c>
      <c r="E10" s="215"/>
      <c r="F10" s="161">
        <f t="shared" si="0"/>
        <v>0</v>
      </c>
      <c r="G10" s="161">
        <f t="shared" si="1"/>
        <v>0</v>
      </c>
      <c r="H10" s="173"/>
      <c r="J10" s="226"/>
      <c r="K10" s="228"/>
      <c r="L10" s="228"/>
      <c r="M10" s="228"/>
    </row>
    <row r="11" spans="1:13" ht="15.6" x14ac:dyDescent="0.3">
      <c r="A11" s="213">
        <f t="shared" si="2"/>
        <v>6</v>
      </c>
      <c r="B11" s="214" t="s">
        <v>694</v>
      </c>
      <c r="C11" s="213" t="s">
        <v>207</v>
      </c>
      <c r="D11" s="212">
        <v>5</v>
      </c>
      <c r="E11" s="215"/>
      <c r="F11" s="161">
        <f t="shared" si="0"/>
        <v>0</v>
      </c>
      <c r="G11" s="161">
        <f t="shared" si="1"/>
        <v>0</v>
      </c>
      <c r="H11" s="173"/>
      <c r="J11" s="226"/>
      <c r="K11" s="228"/>
      <c r="L11" s="228"/>
      <c r="M11" s="228"/>
    </row>
    <row r="12" spans="1:13" ht="15.6" x14ac:dyDescent="0.3">
      <c r="A12" s="213">
        <f t="shared" si="2"/>
        <v>7</v>
      </c>
      <c r="B12" s="214" t="s">
        <v>695</v>
      </c>
      <c r="C12" s="213" t="s">
        <v>207</v>
      </c>
      <c r="D12" s="212">
        <v>5</v>
      </c>
      <c r="E12" s="215"/>
      <c r="F12" s="161">
        <f t="shared" si="0"/>
        <v>0</v>
      </c>
      <c r="G12" s="161">
        <f t="shared" si="1"/>
        <v>0</v>
      </c>
      <c r="H12" s="173"/>
      <c r="J12" s="226"/>
      <c r="K12" s="228"/>
      <c r="L12" s="228"/>
      <c r="M12" s="228"/>
    </row>
    <row r="13" spans="1:13" s="221" customFormat="1" ht="15.6" x14ac:dyDescent="0.3">
      <c r="A13" s="213">
        <f t="shared" si="2"/>
        <v>8</v>
      </c>
      <c r="B13" s="214" t="s">
        <v>696</v>
      </c>
      <c r="C13" s="213" t="s">
        <v>234</v>
      </c>
      <c r="D13" s="216">
        <v>6.25</v>
      </c>
      <c r="E13" s="215"/>
      <c r="F13" s="161">
        <f t="shared" si="0"/>
        <v>0</v>
      </c>
      <c r="G13" s="161">
        <f t="shared" si="1"/>
        <v>0</v>
      </c>
      <c r="J13" s="226"/>
      <c r="K13" s="227"/>
      <c r="L13" s="227"/>
      <c r="M13" s="227"/>
    </row>
    <row r="14" spans="1:13" s="221" customFormat="1" ht="15.6" x14ac:dyDescent="0.3">
      <c r="A14" s="213">
        <f t="shared" si="2"/>
        <v>9</v>
      </c>
      <c r="B14" s="214" t="s">
        <v>697</v>
      </c>
      <c r="C14" s="213" t="s">
        <v>234</v>
      </c>
      <c r="D14" s="216">
        <v>12.5</v>
      </c>
      <c r="E14" s="215"/>
      <c r="F14" s="161">
        <f t="shared" ref="F14:F20" si="3">ROUND(E14*D14,2)</f>
        <v>0</v>
      </c>
      <c r="G14" s="161">
        <f t="shared" ref="G14:G20" si="4">ROUND(F14*1.2,2)</f>
        <v>0</v>
      </c>
      <c r="J14" s="226"/>
      <c r="K14" s="227"/>
      <c r="L14" s="227"/>
      <c r="M14" s="227"/>
    </row>
    <row r="15" spans="1:13" s="221" customFormat="1" ht="27.6" x14ac:dyDescent="0.3">
      <c r="A15" s="213">
        <f>A14+1</f>
        <v>10</v>
      </c>
      <c r="B15" s="214" t="s">
        <v>737</v>
      </c>
      <c r="C15" s="213" t="s">
        <v>234</v>
      </c>
      <c r="D15" s="216">
        <v>0.625</v>
      </c>
      <c r="E15" s="215"/>
      <c r="F15" s="161">
        <f t="shared" si="3"/>
        <v>0</v>
      </c>
      <c r="G15" s="161">
        <f t="shared" si="4"/>
        <v>0</v>
      </c>
      <c r="J15" s="226"/>
      <c r="K15" s="227"/>
      <c r="L15" s="227"/>
      <c r="M15" s="227"/>
    </row>
    <row r="16" spans="1:13" s="221" customFormat="1" ht="15.6" x14ac:dyDescent="0.3">
      <c r="A16" s="213">
        <f t="shared" ref="A16:A20" si="5">A15+1</f>
        <v>11</v>
      </c>
      <c r="B16" s="214" t="s">
        <v>698</v>
      </c>
      <c r="C16" s="213" t="s">
        <v>207</v>
      </c>
      <c r="D16" s="216">
        <v>4</v>
      </c>
      <c r="E16" s="215"/>
      <c r="F16" s="161">
        <f t="shared" si="3"/>
        <v>0</v>
      </c>
      <c r="G16" s="161">
        <f t="shared" si="4"/>
        <v>0</v>
      </c>
      <c r="J16" s="226"/>
      <c r="K16" s="227"/>
      <c r="L16" s="227"/>
      <c r="M16" s="227"/>
    </row>
    <row r="17" spans="1:13" s="221" customFormat="1" ht="22.5" customHeight="1" x14ac:dyDescent="0.3">
      <c r="A17" s="213">
        <f t="shared" si="5"/>
        <v>12</v>
      </c>
      <c r="B17" s="214" t="s">
        <v>699</v>
      </c>
      <c r="C17" s="213" t="s">
        <v>207</v>
      </c>
      <c r="D17" s="216">
        <v>3</v>
      </c>
      <c r="E17" s="215"/>
      <c r="F17" s="161">
        <f t="shared" si="3"/>
        <v>0</v>
      </c>
      <c r="G17" s="161">
        <f t="shared" si="4"/>
        <v>0</v>
      </c>
      <c r="J17" s="226"/>
      <c r="K17" s="227"/>
      <c r="L17" s="227"/>
      <c r="M17" s="227"/>
    </row>
    <row r="18" spans="1:13" s="221" customFormat="1" ht="27.6" x14ac:dyDescent="0.3">
      <c r="A18" s="213">
        <f t="shared" si="5"/>
        <v>13</v>
      </c>
      <c r="B18" s="214" t="s">
        <v>700</v>
      </c>
      <c r="C18" s="213" t="s">
        <v>207</v>
      </c>
      <c r="D18" s="216">
        <v>1</v>
      </c>
      <c r="E18" s="232">
        <v>69237.45</v>
      </c>
      <c r="F18" s="161">
        <f t="shared" si="3"/>
        <v>69237.45</v>
      </c>
      <c r="G18" s="161">
        <f t="shared" si="4"/>
        <v>83084.94</v>
      </c>
      <c r="J18" s="226"/>
      <c r="K18" s="227"/>
      <c r="L18" s="227"/>
      <c r="M18" s="227"/>
    </row>
    <row r="19" spans="1:13" s="221" customFormat="1" ht="33" customHeight="1" x14ac:dyDescent="0.3">
      <c r="A19" s="213">
        <f t="shared" si="5"/>
        <v>14</v>
      </c>
      <c r="B19" s="214" t="s">
        <v>702</v>
      </c>
      <c r="C19" s="213" t="s">
        <v>181</v>
      </c>
      <c r="D19" s="216">
        <v>3.6</v>
      </c>
      <c r="E19" s="215"/>
      <c r="F19" s="161">
        <f t="shared" si="3"/>
        <v>0</v>
      </c>
      <c r="G19" s="161">
        <f t="shared" si="4"/>
        <v>0</v>
      </c>
      <c r="J19" s="226"/>
      <c r="K19" s="227"/>
      <c r="L19" s="227"/>
      <c r="M19" s="227"/>
    </row>
    <row r="20" spans="1:13" s="221" customFormat="1" ht="20.25" customHeight="1" x14ac:dyDescent="0.3">
      <c r="A20" s="213">
        <f t="shared" si="5"/>
        <v>15</v>
      </c>
      <c r="B20" s="214" t="s">
        <v>701</v>
      </c>
      <c r="C20" s="213" t="s">
        <v>207</v>
      </c>
      <c r="D20" s="216">
        <v>1</v>
      </c>
      <c r="E20" s="215"/>
      <c r="F20" s="161">
        <f t="shared" si="3"/>
        <v>0</v>
      </c>
      <c r="G20" s="161">
        <f t="shared" si="4"/>
        <v>0</v>
      </c>
      <c r="J20" s="226"/>
      <c r="K20" s="227"/>
      <c r="L20" s="227"/>
      <c r="M20" s="227"/>
    </row>
    <row r="21" spans="1:13" s="221" customFormat="1" ht="16.5" customHeight="1" x14ac:dyDescent="0.3">
      <c r="A21" s="213"/>
      <c r="B21" s="236" t="s">
        <v>703</v>
      </c>
      <c r="C21" s="213"/>
      <c r="D21" s="216"/>
      <c r="E21" s="215"/>
      <c r="F21" s="161"/>
      <c r="G21" s="161"/>
      <c r="J21" s="226"/>
      <c r="K21" s="227"/>
      <c r="L21" s="227"/>
      <c r="M21" s="227"/>
    </row>
    <row r="22" spans="1:13" s="221" customFormat="1" ht="41.4" x14ac:dyDescent="0.3">
      <c r="A22" s="213">
        <f>A20+1</f>
        <v>16</v>
      </c>
      <c r="B22" s="214" t="s">
        <v>704</v>
      </c>
      <c r="C22" s="213" t="s">
        <v>669</v>
      </c>
      <c r="D22" s="237">
        <v>0.35</v>
      </c>
      <c r="E22" s="215"/>
      <c r="F22" s="161">
        <f t="shared" ref="F22:F34" si="6">ROUND(E22*D22,2)</f>
        <v>0</v>
      </c>
      <c r="G22" s="161">
        <f t="shared" ref="G22:G34" si="7">ROUND(F22*1.2,2)</f>
        <v>0</v>
      </c>
      <c r="J22" s="226"/>
      <c r="K22" s="227"/>
      <c r="L22" s="227"/>
      <c r="M22" s="227"/>
    </row>
    <row r="23" spans="1:13" s="221" customFormat="1" ht="15.6" x14ac:dyDescent="0.3">
      <c r="A23" s="213">
        <f>A22+1</f>
        <v>17</v>
      </c>
      <c r="B23" s="214" t="s">
        <v>705</v>
      </c>
      <c r="C23" s="213" t="s">
        <v>669</v>
      </c>
      <c r="D23" s="237">
        <v>0.32</v>
      </c>
      <c r="E23" s="232">
        <v>257959.19999999998</v>
      </c>
      <c r="F23" s="161">
        <f t="shared" si="6"/>
        <v>82546.94</v>
      </c>
      <c r="G23" s="161">
        <f t="shared" si="7"/>
        <v>99056.33</v>
      </c>
      <c r="J23" s="226"/>
      <c r="K23" s="227"/>
      <c r="L23" s="227"/>
      <c r="M23" s="227"/>
    </row>
    <row r="24" spans="1:13" s="221" customFormat="1" ht="15.6" x14ac:dyDescent="0.3">
      <c r="A24" s="213">
        <f t="shared" ref="A24:A43" si="8">A23+1</f>
        <v>18</v>
      </c>
      <c r="B24" s="214" t="s">
        <v>706</v>
      </c>
      <c r="C24" s="213" t="s">
        <v>669</v>
      </c>
      <c r="D24" s="237">
        <v>0.32</v>
      </c>
      <c r="E24" s="232">
        <v>83784.45</v>
      </c>
      <c r="F24" s="161">
        <f t="shared" si="6"/>
        <v>26811.02</v>
      </c>
      <c r="G24" s="161">
        <f t="shared" si="7"/>
        <v>32173.22</v>
      </c>
      <c r="J24" s="226"/>
      <c r="K24" s="227"/>
      <c r="L24" s="227"/>
      <c r="M24" s="227"/>
    </row>
    <row r="25" spans="1:13" s="221" customFormat="1" ht="41.4" x14ac:dyDescent="0.3">
      <c r="A25" s="213">
        <f t="shared" si="8"/>
        <v>19</v>
      </c>
      <c r="B25" s="214" t="s">
        <v>707</v>
      </c>
      <c r="C25" s="213" t="s">
        <v>669</v>
      </c>
      <c r="D25" s="237">
        <v>0.32</v>
      </c>
      <c r="E25" s="215"/>
      <c r="F25" s="161">
        <f t="shared" si="6"/>
        <v>0</v>
      </c>
      <c r="G25" s="161">
        <f t="shared" si="7"/>
        <v>0</v>
      </c>
      <c r="J25" s="226"/>
      <c r="K25" s="227"/>
      <c r="L25" s="227"/>
      <c r="M25" s="227"/>
    </row>
    <row r="26" spans="1:13" s="221" customFormat="1" ht="15.6" x14ac:dyDescent="0.3">
      <c r="A26" s="213">
        <f t="shared" si="8"/>
        <v>20</v>
      </c>
      <c r="B26" s="214" t="s">
        <v>708</v>
      </c>
      <c r="C26" s="213" t="s">
        <v>669</v>
      </c>
      <c r="D26" s="237">
        <v>0.32</v>
      </c>
      <c r="E26" s="232">
        <v>59310.85</v>
      </c>
      <c r="F26" s="161">
        <f t="shared" si="6"/>
        <v>18979.47</v>
      </c>
      <c r="G26" s="161">
        <f t="shared" si="7"/>
        <v>22775.360000000001</v>
      </c>
      <c r="J26" s="226"/>
      <c r="K26" s="227"/>
      <c r="L26" s="227"/>
      <c r="M26" s="227"/>
    </row>
    <row r="27" spans="1:13" s="221" customFormat="1" ht="15.6" x14ac:dyDescent="0.3">
      <c r="A27" s="213">
        <f t="shared" si="8"/>
        <v>21</v>
      </c>
      <c r="B27" s="214" t="s">
        <v>709</v>
      </c>
      <c r="C27" s="213" t="s">
        <v>669</v>
      </c>
      <c r="D27" s="237">
        <v>0.32</v>
      </c>
      <c r="E27" s="232">
        <v>28246.05</v>
      </c>
      <c r="F27" s="161">
        <f t="shared" si="6"/>
        <v>9038.74</v>
      </c>
      <c r="G27" s="161">
        <f t="shared" si="7"/>
        <v>10846.49</v>
      </c>
      <c r="J27" s="226"/>
      <c r="K27" s="227"/>
      <c r="L27" s="227"/>
      <c r="M27" s="227"/>
    </row>
    <row r="28" spans="1:13" s="221" customFormat="1" ht="41.4" x14ac:dyDescent="0.3">
      <c r="A28" s="213">
        <f t="shared" si="8"/>
        <v>22</v>
      </c>
      <c r="B28" s="214" t="s">
        <v>710</v>
      </c>
      <c r="C28" s="213" t="s">
        <v>669</v>
      </c>
      <c r="D28" s="237">
        <v>0.32</v>
      </c>
      <c r="E28" s="215"/>
      <c r="F28" s="161">
        <f t="shared" si="6"/>
        <v>0</v>
      </c>
      <c r="G28" s="161">
        <f t="shared" si="7"/>
        <v>0</v>
      </c>
      <c r="J28" s="226"/>
      <c r="K28" s="227"/>
      <c r="L28" s="227"/>
      <c r="M28" s="227"/>
    </row>
    <row r="29" spans="1:13" s="221" customFormat="1" ht="41.4" x14ac:dyDescent="0.3">
      <c r="A29" s="213">
        <f t="shared" si="8"/>
        <v>23</v>
      </c>
      <c r="B29" s="214" t="s">
        <v>711</v>
      </c>
      <c r="C29" s="213" t="s">
        <v>669</v>
      </c>
      <c r="D29" s="237">
        <v>0.32</v>
      </c>
      <c r="E29" s="232">
        <v>1235192.95</v>
      </c>
      <c r="F29" s="161">
        <f t="shared" si="6"/>
        <v>395261.74</v>
      </c>
      <c r="G29" s="161">
        <f t="shared" si="7"/>
        <v>474314.09</v>
      </c>
      <c r="J29" s="226"/>
      <c r="K29" s="227"/>
      <c r="L29" s="227"/>
      <c r="M29" s="227"/>
    </row>
    <row r="30" spans="1:13" s="221" customFormat="1" ht="41.4" x14ac:dyDescent="0.3">
      <c r="A30" s="213">
        <f t="shared" si="8"/>
        <v>24</v>
      </c>
      <c r="B30" s="214" t="s">
        <v>712</v>
      </c>
      <c r="C30" s="213" t="s">
        <v>669</v>
      </c>
      <c r="D30" s="237">
        <v>0.32</v>
      </c>
      <c r="E30" s="215"/>
      <c r="F30" s="161">
        <f t="shared" si="6"/>
        <v>0</v>
      </c>
      <c r="G30" s="161">
        <f t="shared" si="7"/>
        <v>0</v>
      </c>
      <c r="J30" s="226"/>
      <c r="K30" s="227"/>
      <c r="L30" s="227"/>
      <c r="M30" s="227"/>
    </row>
    <row r="31" spans="1:13" s="221" customFormat="1" ht="27.6" x14ac:dyDescent="0.3">
      <c r="A31" s="213">
        <f t="shared" si="8"/>
        <v>25</v>
      </c>
      <c r="B31" s="214" t="s">
        <v>713</v>
      </c>
      <c r="C31" s="213" t="s">
        <v>669</v>
      </c>
      <c r="D31" s="237">
        <v>0.32</v>
      </c>
      <c r="E31" s="215"/>
      <c r="F31" s="161">
        <f t="shared" si="6"/>
        <v>0</v>
      </c>
      <c r="G31" s="161">
        <f t="shared" si="7"/>
        <v>0</v>
      </c>
      <c r="J31" s="226"/>
      <c r="K31" s="227"/>
      <c r="L31" s="227"/>
      <c r="M31" s="227"/>
    </row>
    <row r="32" spans="1:13" s="221" customFormat="1" ht="18.75" customHeight="1" x14ac:dyDescent="0.3">
      <c r="A32" s="213">
        <f t="shared" si="8"/>
        <v>26</v>
      </c>
      <c r="B32" s="234" t="s">
        <v>714</v>
      </c>
      <c r="C32" s="213" t="s">
        <v>669</v>
      </c>
      <c r="D32" s="216">
        <v>0.64</v>
      </c>
      <c r="E32" s="215"/>
      <c r="F32" s="161">
        <f t="shared" si="6"/>
        <v>0</v>
      </c>
      <c r="G32" s="161">
        <f t="shared" si="7"/>
        <v>0</v>
      </c>
      <c r="J32" s="226"/>
      <c r="K32" s="227"/>
      <c r="L32" s="227"/>
      <c r="M32" s="227"/>
    </row>
    <row r="33" spans="1:13" s="221" customFormat="1" ht="18" customHeight="1" x14ac:dyDescent="0.3">
      <c r="A33" s="213">
        <f t="shared" si="8"/>
        <v>27</v>
      </c>
      <c r="B33" s="234" t="s">
        <v>715</v>
      </c>
      <c r="C33" s="213" t="s">
        <v>669</v>
      </c>
      <c r="D33" s="237">
        <v>0.32</v>
      </c>
      <c r="E33" s="215"/>
      <c r="F33" s="161">
        <f t="shared" si="6"/>
        <v>0</v>
      </c>
      <c r="G33" s="161">
        <f t="shared" si="7"/>
        <v>0</v>
      </c>
      <c r="J33" s="226"/>
      <c r="K33" s="227"/>
      <c r="L33" s="227"/>
      <c r="M33" s="227"/>
    </row>
    <row r="34" spans="1:13" s="221" customFormat="1" ht="27.6" x14ac:dyDescent="0.3">
      <c r="A34" s="213">
        <f t="shared" si="8"/>
        <v>28</v>
      </c>
      <c r="B34" s="214" t="s">
        <v>716</v>
      </c>
      <c r="C34" s="213" t="s">
        <v>207</v>
      </c>
      <c r="D34" s="216">
        <v>1</v>
      </c>
      <c r="E34" s="232">
        <v>30874.625</v>
      </c>
      <c r="F34" s="161">
        <f t="shared" si="6"/>
        <v>30874.63</v>
      </c>
      <c r="G34" s="161">
        <f t="shared" si="7"/>
        <v>37049.56</v>
      </c>
      <c r="J34" s="226"/>
      <c r="K34" s="227"/>
      <c r="L34" s="227"/>
      <c r="M34" s="227"/>
    </row>
    <row r="35" spans="1:13" s="221" customFormat="1" ht="27.6" x14ac:dyDescent="0.3">
      <c r="A35" s="213">
        <f t="shared" si="8"/>
        <v>29</v>
      </c>
      <c r="B35" s="214" t="s">
        <v>717</v>
      </c>
      <c r="C35" s="213" t="s">
        <v>207</v>
      </c>
      <c r="D35" s="216">
        <v>1</v>
      </c>
      <c r="E35" s="232">
        <v>47548.99</v>
      </c>
      <c r="F35" s="161">
        <f t="shared" ref="F35:F43" si="9">ROUND(E35*D35,2)</f>
        <v>47548.99</v>
      </c>
      <c r="G35" s="161">
        <f t="shared" ref="G35:G43" si="10">ROUND(F35*1.2,2)</f>
        <v>57058.79</v>
      </c>
      <c r="J35" s="226"/>
      <c r="K35" s="227"/>
      <c r="L35" s="227"/>
      <c r="M35" s="227"/>
    </row>
    <row r="36" spans="1:13" s="221" customFormat="1" ht="27.6" x14ac:dyDescent="0.3">
      <c r="A36" s="213">
        <f t="shared" si="8"/>
        <v>30</v>
      </c>
      <c r="B36" s="214" t="s">
        <v>718</v>
      </c>
      <c r="C36" s="213" t="s">
        <v>207</v>
      </c>
      <c r="D36" s="216">
        <v>1</v>
      </c>
      <c r="E36" s="215"/>
      <c r="F36" s="161">
        <f t="shared" si="9"/>
        <v>0</v>
      </c>
      <c r="G36" s="161">
        <f t="shared" si="10"/>
        <v>0</v>
      </c>
      <c r="J36" s="226"/>
      <c r="K36" s="227"/>
      <c r="L36" s="227"/>
      <c r="M36" s="227"/>
    </row>
    <row r="37" spans="1:13" s="221" customFormat="1" ht="41.4" x14ac:dyDescent="0.3">
      <c r="A37" s="213">
        <f t="shared" si="8"/>
        <v>31</v>
      </c>
      <c r="B37" s="214" t="s">
        <v>719</v>
      </c>
      <c r="C37" s="213" t="s">
        <v>207</v>
      </c>
      <c r="D37" s="216">
        <v>1</v>
      </c>
      <c r="E37" s="215"/>
      <c r="F37" s="161">
        <f t="shared" si="9"/>
        <v>0</v>
      </c>
      <c r="G37" s="161">
        <f t="shared" si="10"/>
        <v>0</v>
      </c>
      <c r="J37" s="226"/>
      <c r="K37" s="227"/>
      <c r="L37" s="227"/>
      <c r="M37" s="227"/>
    </row>
    <row r="38" spans="1:13" s="221" customFormat="1" ht="41.4" x14ac:dyDescent="0.3">
      <c r="A38" s="213">
        <f t="shared" si="8"/>
        <v>32</v>
      </c>
      <c r="B38" s="214" t="s">
        <v>720</v>
      </c>
      <c r="C38" s="213" t="s">
        <v>207</v>
      </c>
      <c r="D38" s="216">
        <v>5</v>
      </c>
      <c r="E38" s="232">
        <v>3192.9625000000001</v>
      </c>
      <c r="F38" s="161">
        <f t="shared" si="9"/>
        <v>15964.81</v>
      </c>
      <c r="G38" s="161">
        <f t="shared" si="10"/>
        <v>19157.77</v>
      </c>
      <c r="J38" s="226"/>
      <c r="K38" s="227"/>
      <c r="L38" s="227"/>
      <c r="M38" s="227"/>
    </row>
    <row r="39" spans="1:13" s="221" customFormat="1" ht="41.4" x14ac:dyDescent="0.3">
      <c r="A39" s="213">
        <f t="shared" si="8"/>
        <v>33</v>
      </c>
      <c r="B39" s="214" t="s">
        <v>721</v>
      </c>
      <c r="C39" s="213" t="s">
        <v>207</v>
      </c>
      <c r="D39" s="216">
        <v>3</v>
      </c>
      <c r="E39" s="215"/>
      <c r="F39" s="161">
        <f t="shared" si="9"/>
        <v>0</v>
      </c>
      <c r="G39" s="161">
        <f t="shared" si="10"/>
        <v>0</v>
      </c>
      <c r="J39" s="226"/>
      <c r="K39" s="227"/>
      <c r="L39" s="227"/>
      <c r="M39" s="227"/>
    </row>
    <row r="40" spans="1:13" s="221" customFormat="1" ht="41.4" x14ac:dyDescent="0.3">
      <c r="A40" s="213">
        <f t="shared" si="8"/>
        <v>34</v>
      </c>
      <c r="B40" s="214" t="s">
        <v>722</v>
      </c>
      <c r="C40" s="213" t="s">
        <v>207</v>
      </c>
      <c r="D40" s="216">
        <v>0</v>
      </c>
      <c r="E40" s="232">
        <v>8400.48</v>
      </c>
      <c r="F40" s="161">
        <f t="shared" si="9"/>
        <v>0</v>
      </c>
      <c r="G40" s="161">
        <f t="shared" si="10"/>
        <v>0</v>
      </c>
      <c r="J40" s="226"/>
      <c r="K40" s="227"/>
      <c r="L40" s="227"/>
      <c r="M40" s="227"/>
    </row>
    <row r="41" spans="1:13" s="221" customFormat="1" ht="41.4" x14ac:dyDescent="0.3">
      <c r="A41" s="213">
        <f t="shared" si="8"/>
        <v>35</v>
      </c>
      <c r="B41" s="214" t="s">
        <v>723</v>
      </c>
      <c r="C41" s="213" t="s">
        <v>207</v>
      </c>
      <c r="D41" s="216">
        <v>1</v>
      </c>
      <c r="E41" s="215"/>
      <c r="F41" s="161">
        <f t="shared" si="9"/>
        <v>0</v>
      </c>
      <c r="G41" s="161">
        <f t="shared" si="10"/>
        <v>0</v>
      </c>
      <c r="J41" s="226"/>
      <c r="K41" s="227"/>
      <c r="L41" s="227"/>
      <c r="M41" s="227"/>
    </row>
    <row r="42" spans="1:13" s="221" customFormat="1" ht="15.6" x14ac:dyDescent="0.3">
      <c r="A42" s="213">
        <f t="shared" si="8"/>
        <v>36</v>
      </c>
      <c r="B42" s="214" t="s">
        <v>724</v>
      </c>
      <c r="C42" s="213" t="s">
        <v>207</v>
      </c>
      <c r="D42" s="216">
        <v>10</v>
      </c>
      <c r="E42" s="215"/>
      <c r="F42" s="161">
        <f t="shared" si="9"/>
        <v>0</v>
      </c>
      <c r="G42" s="161">
        <f t="shared" si="10"/>
        <v>0</v>
      </c>
      <c r="J42" s="226"/>
      <c r="K42" s="227"/>
      <c r="L42" s="227"/>
      <c r="M42" s="227"/>
    </row>
    <row r="43" spans="1:13" s="221" customFormat="1" ht="27.6" x14ac:dyDescent="0.3">
      <c r="A43" s="213">
        <f t="shared" si="8"/>
        <v>37</v>
      </c>
      <c r="B43" s="214" t="s">
        <v>725</v>
      </c>
      <c r="C43" s="213" t="s">
        <v>207</v>
      </c>
      <c r="D43" s="216">
        <v>5</v>
      </c>
      <c r="E43" s="215"/>
      <c r="F43" s="161">
        <f t="shared" si="9"/>
        <v>0</v>
      </c>
      <c r="G43" s="161">
        <f t="shared" si="10"/>
        <v>0</v>
      </c>
      <c r="J43" s="226"/>
      <c r="K43" s="227"/>
      <c r="L43" s="227"/>
      <c r="M43" s="227"/>
    </row>
    <row r="44" spans="1:13" s="221" customFormat="1" ht="19.5" customHeight="1" x14ac:dyDescent="0.3">
      <c r="A44" s="213"/>
      <c r="B44" s="236" t="s">
        <v>492</v>
      </c>
      <c r="C44" s="213"/>
      <c r="D44" s="216"/>
      <c r="E44" s="215"/>
      <c r="F44" s="161"/>
      <c r="G44" s="161"/>
      <c r="J44" s="226"/>
      <c r="K44" s="227"/>
      <c r="L44" s="227"/>
      <c r="M44" s="227"/>
    </row>
    <row r="45" spans="1:13" s="221" customFormat="1" ht="15.6" x14ac:dyDescent="0.3">
      <c r="A45" s="213">
        <f>A43+1</f>
        <v>38</v>
      </c>
      <c r="B45" s="214" t="s">
        <v>726</v>
      </c>
      <c r="C45" s="213" t="s">
        <v>207</v>
      </c>
      <c r="D45" s="216">
        <v>5</v>
      </c>
      <c r="E45" s="215"/>
      <c r="F45" s="161">
        <f t="shared" ref="F45:F48" si="11">ROUND(E45*D45,2)</f>
        <v>0</v>
      </c>
      <c r="G45" s="161">
        <f t="shared" ref="G45:G48" si="12">ROUND(F45*1.2,2)</f>
        <v>0</v>
      </c>
      <c r="J45" s="226"/>
      <c r="K45" s="227"/>
      <c r="L45" s="227"/>
      <c r="M45" s="227"/>
    </row>
    <row r="46" spans="1:13" s="221" customFormat="1" ht="27.6" x14ac:dyDescent="0.3">
      <c r="A46" s="213">
        <f t="shared" ref="A46:A48" si="13">A45+1</f>
        <v>39</v>
      </c>
      <c r="B46" s="214" t="s">
        <v>727</v>
      </c>
      <c r="C46" s="213" t="s">
        <v>207</v>
      </c>
      <c r="D46" s="216">
        <v>5</v>
      </c>
      <c r="E46" s="232">
        <v>4545.51</v>
      </c>
      <c r="F46" s="161">
        <f t="shared" si="11"/>
        <v>22727.55</v>
      </c>
      <c r="G46" s="161">
        <f t="shared" si="12"/>
        <v>27273.06</v>
      </c>
      <c r="J46" s="226"/>
      <c r="K46" s="227"/>
      <c r="L46" s="227"/>
      <c r="M46" s="227"/>
    </row>
    <row r="47" spans="1:13" s="221" customFormat="1" ht="27.6" x14ac:dyDescent="0.3">
      <c r="A47" s="213">
        <f t="shared" si="13"/>
        <v>40</v>
      </c>
      <c r="B47" s="214" t="s">
        <v>728</v>
      </c>
      <c r="C47" s="213" t="s">
        <v>207</v>
      </c>
      <c r="D47" s="216">
        <v>5</v>
      </c>
      <c r="E47" s="232">
        <v>4545.51</v>
      </c>
      <c r="F47" s="161">
        <f t="shared" si="11"/>
        <v>22727.55</v>
      </c>
      <c r="G47" s="161">
        <f t="shared" si="12"/>
        <v>27273.06</v>
      </c>
      <c r="J47" s="226"/>
      <c r="K47" s="227"/>
      <c r="L47" s="227"/>
      <c r="M47" s="227"/>
    </row>
    <row r="48" spans="1:13" s="221" customFormat="1" ht="15.6" x14ac:dyDescent="0.3">
      <c r="A48" s="213">
        <f t="shared" si="13"/>
        <v>41</v>
      </c>
      <c r="B48" s="214" t="s">
        <v>729</v>
      </c>
      <c r="C48" s="213" t="s">
        <v>207</v>
      </c>
      <c r="D48" s="216">
        <v>4</v>
      </c>
      <c r="E48" s="215"/>
      <c r="F48" s="161">
        <f t="shared" si="11"/>
        <v>0</v>
      </c>
      <c r="G48" s="161">
        <f t="shared" si="12"/>
        <v>0</v>
      </c>
      <c r="J48" s="226"/>
      <c r="K48" s="227"/>
      <c r="L48" s="229"/>
      <c r="M48" s="228"/>
    </row>
    <row r="49" spans="1:13" s="221" customFormat="1" ht="20.25" customHeight="1" x14ac:dyDescent="0.3">
      <c r="A49" s="213"/>
      <c r="B49" s="236" t="s">
        <v>730</v>
      </c>
      <c r="C49" s="213"/>
      <c r="D49" s="216"/>
      <c r="E49" s="215"/>
      <c r="F49" s="161"/>
      <c r="G49" s="161"/>
      <c r="J49" s="226"/>
      <c r="K49" s="227"/>
      <c r="L49" s="230"/>
      <c r="M49" s="228"/>
    </row>
    <row r="50" spans="1:13" s="221" customFormat="1" ht="15.6" x14ac:dyDescent="0.3">
      <c r="A50" s="213">
        <f>A48+1</f>
        <v>42</v>
      </c>
      <c r="B50" s="214" t="s">
        <v>731</v>
      </c>
      <c r="C50" s="213" t="s">
        <v>207</v>
      </c>
      <c r="D50" s="216">
        <v>4</v>
      </c>
      <c r="E50" s="232">
        <v>17796.689999999999</v>
      </c>
      <c r="F50" s="161">
        <f t="shared" ref="F50" si="14">ROUND(E50*D50,2)</f>
        <v>71186.759999999995</v>
      </c>
      <c r="G50" s="161">
        <f t="shared" ref="G50" si="15">ROUND(F50*1.2,2)</f>
        <v>85424.11</v>
      </c>
      <c r="J50" s="226"/>
      <c r="K50" s="227"/>
      <c r="L50" s="230"/>
      <c r="M50" s="228"/>
    </row>
    <row r="51" spans="1:13" s="221" customFormat="1" ht="15.6" x14ac:dyDescent="0.3">
      <c r="A51" s="213">
        <f>A50+1</f>
        <v>43</v>
      </c>
      <c r="B51" s="214" t="s">
        <v>732</v>
      </c>
      <c r="C51" s="213" t="s">
        <v>207</v>
      </c>
      <c r="D51" s="216">
        <v>4</v>
      </c>
      <c r="E51" s="232">
        <v>10421.450000000001</v>
      </c>
      <c r="F51" s="161">
        <f t="shared" ref="F51:F55" si="16">ROUND(E51*D51,2)</f>
        <v>41685.800000000003</v>
      </c>
      <c r="G51" s="161">
        <f t="shared" ref="G51:G55" si="17">ROUND(F51*1.2,2)</f>
        <v>50022.96</v>
      </c>
      <c r="J51" s="226"/>
      <c r="K51" s="227"/>
      <c r="L51" s="230"/>
      <c r="M51" s="228"/>
    </row>
    <row r="52" spans="1:13" s="221" customFormat="1" ht="27.6" x14ac:dyDescent="0.3">
      <c r="A52" s="213">
        <f t="shared" ref="A52:A55" si="18">A51+1</f>
        <v>44</v>
      </c>
      <c r="B52" s="214" t="s">
        <v>733</v>
      </c>
      <c r="C52" s="213" t="s">
        <v>207</v>
      </c>
      <c r="D52" s="216">
        <v>1</v>
      </c>
      <c r="E52" s="215"/>
      <c r="F52" s="161">
        <f t="shared" si="16"/>
        <v>0</v>
      </c>
      <c r="G52" s="161">
        <f t="shared" si="17"/>
        <v>0</v>
      </c>
      <c r="J52" s="226"/>
      <c r="K52" s="227"/>
      <c r="L52" s="230"/>
      <c r="M52" s="228"/>
    </row>
    <row r="53" spans="1:13" s="221" customFormat="1" ht="15.6" x14ac:dyDescent="0.3">
      <c r="A53" s="213">
        <f t="shared" si="18"/>
        <v>45</v>
      </c>
      <c r="B53" s="214" t="s">
        <v>734</v>
      </c>
      <c r="C53" s="213" t="s">
        <v>207</v>
      </c>
      <c r="D53" s="216">
        <v>8</v>
      </c>
      <c r="E53" s="232">
        <v>5294</v>
      </c>
      <c r="F53" s="161">
        <f t="shared" si="16"/>
        <v>42352</v>
      </c>
      <c r="G53" s="161">
        <f t="shared" si="17"/>
        <v>50822.400000000001</v>
      </c>
      <c r="J53" s="226"/>
      <c r="K53" s="227"/>
      <c r="L53" s="230"/>
      <c r="M53" s="228"/>
    </row>
    <row r="54" spans="1:13" s="221" customFormat="1" ht="15.6" x14ac:dyDescent="0.3">
      <c r="A54" s="213">
        <f t="shared" si="18"/>
        <v>46</v>
      </c>
      <c r="B54" s="214" t="s">
        <v>735</v>
      </c>
      <c r="C54" s="213" t="s">
        <v>207</v>
      </c>
      <c r="D54" s="216">
        <v>8</v>
      </c>
      <c r="E54" s="232">
        <f>29634.24/8</f>
        <v>3704.28</v>
      </c>
      <c r="F54" s="161">
        <f t="shared" si="16"/>
        <v>29634.240000000002</v>
      </c>
      <c r="G54" s="161">
        <f t="shared" si="17"/>
        <v>35561.089999999997</v>
      </c>
      <c r="J54" s="226"/>
      <c r="K54" s="227"/>
      <c r="L54" s="230"/>
      <c r="M54" s="228"/>
    </row>
    <row r="55" spans="1:13" s="221" customFormat="1" ht="15.6" x14ac:dyDescent="0.3">
      <c r="A55" s="213">
        <f t="shared" si="18"/>
        <v>47</v>
      </c>
      <c r="B55" s="234" t="s">
        <v>736</v>
      </c>
      <c r="C55" s="213" t="s">
        <v>219</v>
      </c>
      <c r="D55" s="216">
        <v>0.28000000000000003</v>
      </c>
      <c r="E55" s="215"/>
      <c r="F55" s="161">
        <f t="shared" si="16"/>
        <v>0</v>
      </c>
      <c r="G55" s="161">
        <f t="shared" si="17"/>
        <v>0</v>
      </c>
      <c r="J55" s="226"/>
      <c r="K55" s="227"/>
      <c r="L55" s="230"/>
      <c r="M55" s="228"/>
    </row>
    <row r="56" spans="1:13" x14ac:dyDescent="0.3">
      <c r="A56" s="146"/>
      <c r="B56" s="387" t="s">
        <v>284</v>
      </c>
      <c r="C56" s="388"/>
      <c r="D56" s="388"/>
      <c r="E56" s="389"/>
      <c r="F56" s="138">
        <f>SUM(F4:F55)</f>
        <v>1842422.79</v>
      </c>
      <c r="G56" s="138">
        <f>SUM(G4:G55)</f>
        <v>2210907.3600000003</v>
      </c>
      <c r="J56" s="228"/>
      <c r="K56" s="228"/>
      <c r="L56" s="228"/>
      <c r="M56" s="228"/>
    </row>
    <row r="57" spans="1:13" x14ac:dyDescent="0.3">
      <c r="A57" s="375" t="s">
        <v>285</v>
      </c>
      <c r="B57" s="376"/>
      <c r="C57" s="376"/>
      <c r="D57" s="376"/>
      <c r="E57" s="377"/>
      <c r="F57" s="175">
        <f>ROUND(F56*0.03,2)</f>
        <v>55272.68</v>
      </c>
      <c r="G57" s="175">
        <f>ROUND(G56*0.03,2)</f>
        <v>66327.22</v>
      </c>
      <c r="H57" s="51"/>
      <c r="J57" s="228"/>
      <c r="K57" s="228"/>
      <c r="L57" s="228"/>
      <c r="M57" s="228"/>
    </row>
    <row r="58" spans="1:13" x14ac:dyDescent="0.3">
      <c r="A58" s="375" t="s">
        <v>286</v>
      </c>
      <c r="B58" s="376"/>
      <c r="C58" s="376"/>
      <c r="D58" s="376"/>
      <c r="E58" s="377"/>
      <c r="F58" s="175">
        <f>F56+F57</f>
        <v>1897695.47</v>
      </c>
      <c r="G58" s="175">
        <f>G56+G57</f>
        <v>2277234.5800000005</v>
      </c>
      <c r="H58" s="51"/>
      <c r="J58" s="228"/>
      <c r="K58" s="228"/>
      <c r="L58" s="228"/>
      <c r="M58" s="228"/>
    </row>
    <row r="59" spans="1:13" x14ac:dyDescent="0.3">
      <c r="J59" s="228"/>
      <c r="K59" s="228"/>
      <c r="L59" s="228"/>
      <c r="M59" s="228"/>
    </row>
    <row r="60" spans="1:13" x14ac:dyDescent="0.3">
      <c r="J60" s="228"/>
      <c r="K60" s="228"/>
      <c r="L60" s="228"/>
      <c r="M60" s="228"/>
    </row>
  </sheetData>
  <mergeCells count="9">
    <mergeCell ref="A57:E57"/>
    <mergeCell ref="A58:E58"/>
    <mergeCell ref="B4:D4"/>
    <mergeCell ref="A1:A2"/>
    <mergeCell ref="B1:B2"/>
    <mergeCell ref="C1:C2"/>
    <mergeCell ref="D1:D2"/>
    <mergeCell ref="E1:G1"/>
    <mergeCell ref="B56:E56"/>
  </mergeCells>
  <pageMargins left="0.7" right="0.7" top="0.75" bottom="0.75" header="0.3" footer="0.3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8A2B-DEFE-414B-89F2-2BF28426C9BA}">
  <dimension ref="A1:P46"/>
  <sheetViews>
    <sheetView view="pageBreakPreview" zoomScale="80" zoomScaleNormal="100" zoomScaleSheetLayoutView="80" workbookViewId="0">
      <selection activeCell="D32" sqref="D32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  <col min="9" max="9" width="18.44140625" customWidth="1"/>
    <col min="10" max="10" width="13.88671875" customWidth="1"/>
    <col min="11" max="11" width="12.6640625" customWidth="1"/>
    <col min="12" max="12" width="16.109375" customWidth="1"/>
    <col min="13" max="13" width="14.44140625" customWidth="1"/>
  </cols>
  <sheetData>
    <row r="1" spans="1:16" ht="19.5" customHeight="1" x14ac:dyDescent="0.3">
      <c r="A1" s="370" t="s">
        <v>213</v>
      </c>
      <c r="B1" s="382" t="s">
        <v>188</v>
      </c>
      <c r="C1" s="370" t="s">
        <v>275</v>
      </c>
      <c r="D1" s="370" t="s">
        <v>189</v>
      </c>
      <c r="E1" s="381" t="s">
        <v>273</v>
      </c>
      <c r="F1" s="381"/>
      <c r="G1" s="381"/>
    </row>
    <row r="2" spans="1:16" s="53" customFormat="1" ht="27.6" x14ac:dyDescent="0.3">
      <c r="A2" s="370"/>
      <c r="B2" s="382"/>
      <c r="C2" s="370"/>
      <c r="D2" s="370"/>
      <c r="E2" s="73" t="s">
        <v>274</v>
      </c>
      <c r="F2" s="207" t="s">
        <v>184</v>
      </c>
      <c r="G2" s="207" t="s">
        <v>185</v>
      </c>
    </row>
    <row r="3" spans="1:16" ht="13.5" customHeight="1" x14ac:dyDescent="0.3">
      <c r="A3" s="129">
        <v>1</v>
      </c>
      <c r="B3" s="130">
        <v>2</v>
      </c>
      <c r="C3" s="130">
        <v>3</v>
      </c>
      <c r="D3" s="130">
        <v>4</v>
      </c>
      <c r="E3" s="130">
        <v>5</v>
      </c>
      <c r="F3" s="130">
        <v>6</v>
      </c>
      <c r="G3" s="130">
        <v>7</v>
      </c>
    </row>
    <row r="4" spans="1:16" x14ac:dyDescent="0.3">
      <c r="A4" s="134"/>
      <c r="B4" s="385" t="s">
        <v>648</v>
      </c>
      <c r="C4" s="394"/>
      <c r="D4" s="394"/>
      <c r="E4" s="136"/>
      <c r="F4" s="137"/>
      <c r="G4" s="107"/>
    </row>
    <row r="5" spans="1:16" ht="22.5" customHeight="1" x14ac:dyDescent="0.3">
      <c r="A5" s="213">
        <v>1</v>
      </c>
      <c r="B5" s="233" t="s">
        <v>649</v>
      </c>
      <c r="C5" s="213" t="s">
        <v>207</v>
      </c>
      <c r="D5" s="212">
        <v>1</v>
      </c>
      <c r="E5" s="215"/>
      <c r="F5" s="161"/>
      <c r="G5" s="161"/>
      <c r="J5" s="226"/>
      <c r="K5" s="228"/>
      <c r="L5" s="228"/>
      <c r="M5" s="228"/>
      <c r="N5" s="228"/>
      <c r="O5" s="228"/>
      <c r="P5" s="228"/>
    </row>
    <row r="6" spans="1:16" ht="21" customHeight="1" x14ac:dyDescent="0.3">
      <c r="A6" s="213">
        <f>A5+1</f>
        <v>2</v>
      </c>
      <c r="B6" s="233" t="s">
        <v>650</v>
      </c>
      <c r="C6" s="213" t="s">
        <v>207</v>
      </c>
      <c r="D6" s="212">
        <v>4</v>
      </c>
      <c r="E6" s="215"/>
      <c r="F6" s="161">
        <f t="shared" ref="F6:F27" si="0">ROUND(E6*D6,2)</f>
        <v>0</v>
      </c>
      <c r="G6" s="161">
        <f t="shared" ref="G6:G27" si="1">ROUND(F6*1.2,2)</f>
        <v>0</v>
      </c>
      <c r="J6" s="226"/>
      <c r="K6" s="228"/>
      <c r="L6" s="228"/>
      <c r="M6" s="228"/>
      <c r="N6" s="228"/>
      <c r="O6" s="228"/>
      <c r="P6" s="228"/>
    </row>
    <row r="7" spans="1:16" ht="18.75" customHeight="1" x14ac:dyDescent="0.3">
      <c r="A7" s="213">
        <f t="shared" ref="A7:A44" si="2">A6+1</f>
        <v>3</v>
      </c>
      <c r="B7" s="214" t="s">
        <v>651</v>
      </c>
      <c r="C7" s="213" t="s">
        <v>207</v>
      </c>
      <c r="D7" s="212">
        <v>4</v>
      </c>
      <c r="E7" s="215"/>
      <c r="F7" s="161">
        <f t="shared" si="0"/>
        <v>0</v>
      </c>
      <c r="G7" s="161">
        <f t="shared" si="1"/>
        <v>0</v>
      </c>
      <c r="J7" s="226"/>
      <c r="K7" s="228"/>
      <c r="L7" s="228"/>
      <c r="M7" s="228"/>
      <c r="N7" s="228"/>
      <c r="O7" s="228"/>
      <c r="P7" s="228"/>
    </row>
    <row r="8" spans="1:16" ht="18.75" customHeight="1" x14ac:dyDescent="0.3">
      <c r="A8" s="213">
        <f t="shared" si="2"/>
        <v>4</v>
      </c>
      <c r="B8" s="214" t="s">
        <v>652</v>
      </c>
      <c r="C8" s="213" t="s">
        <v>207</v>
      </c>
      <c r="D8" s="212">
        <v>1</v>
      </c>
      <c r="E8" s="215"/>
      <c r="F8" s="161">
        <f t="shared" si="0"/>
        <v>0</v>
      </c>
      <c r="G8" s="161">
        <f t="shared" si="1"/>
        <v>0</v>
      </c>
      <c r="J8" s="226"/>
      <c r="K8" s="228"/>
      <c r="L8" s="228"/>
      <c r="M8" s="228"/>
      <c r="N8" s="228"/>
      <c r="O8" s="228"/>
      <c r="P8" s="228"/>
    </row>
    <row r="9" spans="1:16" ht="18.75" customHeight="1" x14ac:dyDescent="0.3">
      <c r="A9" s="213">
        <f t="shared" si="2"/>
        <v>5</v>
      </c>
      <c r="B9" s="214" t="s">
        <v>653</v>
      </c>
      <c r="C9" s="213" t="s">
        <v>207</v>
      </c>
      <c r="D9" s="212">
        <v>20</v>
      </c>
      <c r="E9" s="215"/>
      <c r="F9" s="161">
        <f t="shared" si="0"/>
        <v>0</v>
      </c>
      <c r="G9" s="161">
        <f t="shared" si="1"/>
        <v>0</v>
      </c>
      <c r="J9" s="226"/>
      <c r="K9" s="228"/>
      <c r="L9" s="228"/>
      <c r="M9" s="228"/>
      <c r="N9" s="228"/>
      <c r="O9" s="228"/>
      <c r="P9" s="228"/>
    </row>
    <row r="10" spans="1:16" ht="18.75" customHeight="1" x14ac:dyDescent="0.3">
      <c r="A10" s="213">
        <f t="shared" si="2"/>
        <v>6</v>
      </c>
      <c r="B10" s="214" t="s">
        <v>654</v>
      </c>
      <c r="C10" s="213" t="s">
        <v>207</v>
      </c>
      <c r="D10" s="212">
        <v>20</v>
      </c>
      <c r="E10" s="215"/>
      <c r="F10" s="161">
        <f t="shared" si="0"/>
        <v>0</v>
      </c>
      <c r="G10" s="161">
        <f t="shared" si="1"/>
        <v>0</v>
      </c>
      <c r="J10" s="226"/>
      <c r="K10" s="228"/>
      <c r="L10" s="228"/>
      <c r="M10" s="228"/>
      <c r="N10" s="228"/>
      <c r="O10" s="228"/>
      <c r="P10" s="228"/>
    </row>
    <row r="11" spans="1:16" ht="18.75" customHeight="1" x14ac:dyDescent="0.3">
      <c r="A11" s="213">
        <f t="shared" si="2"/>
        <v>7</v>
      </c>
      <c r="B11" s="214" t="s">
        <v>655</v>
      </c>
      <c r="C11" s="213" t="s">
        <v>207</v>
      </c>
      <c r="D11" s="212">
        <v>5</v>
      </c>
      <c r="E11" s="222"/>
      <c r="F11" s="161">
        <f t="shared" si="0"/>
        <v>0</v>
      </c>
      <c r="G11" s="161">
        <f t="shared" si="1"/>
        <v>0</v>
      </c>
      <c r="J11" s="226"/>
      <c r="K11" s="228"/>
      <c r="L11" s="228"/>
      <c r="M11" s="228"/>
      <c r="N11" s="228"/>
      <c r="O11" s="228"/>
      <c r="P11" s="228"/>
    </row>
    <row r="12" spans="1:16" ht="18.75" customHeight="1" x14ac:dyDescent="0.3">
      <c r="A12" s="213">
        <f t="shared" si="2"/>
        <v>8</v>
      </c>
      <c r="B12" s="214" t="s">
        <v>656</v>
      </c>
      <c r="C12" s="213" t="s">
        <v>207</v>
      </c>
      <c r="D12" s="212">
        <v>20</v>
      </c>
      <c r="E12" s="222"/>
      <c r="F12" s="161">
        <f t="shared" si="0"/>
        <v>0</v>
      </c>
      <c r="G12" s="161">
        <f t="shared" si="1"/>
        <v>0</v>
      </c>
      <c r="J12" s="226"/>
      <c r="K12" s="228"/>
      <c r="L12" s="228"/>
      <c r="M12" s="228"/>
      <c r="N12" s="228"/>
      <c r="O12" s="228"/>
      <c r="P12" s="228"/>
    </row>
    <row r="13" spans="1:16" ht="18.75" customHeight="1" x14ac:dyDescent="0.3">
      <c r="A13" s="213">
        <f t="shared" si="2"/>
        <v>9</v>
      </c>
      <c r="B13" s="214" t="s">
        <v>653</v>
      </c>
      <c r="C13" s="213" t="s">
        <v>207</v>
      </c>
      <c r="D13" s="212">
        <v>20</v>
      </c>
      <c r="E13" s="222"/>
      <c r="F13" s="161">
        <f t="shared" si="0"/>
        <v>0</v>
      </c>
      <c r="G13" s="161">
        <f t="shared" si="1"/>
        <v>0</v>
      </c>
      <c r="J13" s="226"/>
      <c r="K13" s="228"/>
      <c r="L13" s="228"/>
      <c r="M13" s="228"/>
      <c r="N13" s="228"/>
      <c r="O13" s="228"/>
      <c r="P13" s="228"/>
    </row>
    <row r="14" spans="1:16" ht="18.75" customHeight="1" x14ac:dyDescent="0.3">
      <c r="A14" s="213">
        <f t="shared" si="2"/>
        <v>10</v>
      </c>
      <c r="B14" s="214" t="s">
        <v>654</v>
      </c>
      <c r="C14" s="213" t="s">
        <v>207</v>
      </c>
      <c r="D14" s="212">
        <v>20</v>
      </c>
      <c r="E14" s="222"/>
      <c r="F14" s="161">
        <f t="shared" si="0"/>
        <v>0</v>
      </c>
      <c r="G14" s="161">
        <f t="shared" si="1"/>
        <v>0</v>
      </c>
      <c r="J14" s="226"/>
      <c r="K14" s="228"/>
      <c r="L14" s="228"/>
      <c r="M14" s="228"/>
      <c r="N14" s="228"/>
      <c r="O14" s="228"/>
      <c r="P14" s="228"/>
    </row>
    <row r="15" spans="1:16" ht="18.75" customHeight="1" x14ac:dyDescent="0.3">
      <c r="A15" s="213">
        <f t="shared" si="2"/>
        <v>11</v>
      </c>
      <c r="B15" s="214" t="s">
        <v>657</v>
      </c>
      <c r="C15" s="213" t="s">
        <v>207</v>
      </c>
      <c r="D15" s="212">
        <v>40</v>
      </c>
      <c r="E15" s="222"/>
      <c r="F15" s="161">
        <f t="shared" si="0"/>
        <v>0</v>
      </c>
      <c r="G15" s="161">
        <f t="shared" si="1"/>
        <v>0</v>
      </c>
      <c r="J15" s="226"/>
      <c r="K15" s="228"/>
      <c r="L15" s="228"/>
      <c r="M15" s="228"/>
      <c r="N15" s="228"/>
      <c r="O15" s="228"/>
      <c r="P15" s="228"/>
    </row>
    <row r="16" spans="1:16" ht="18.75" customHeight="1" x14ac:dyDescent="0.3">
      <c r="A16" s="213">
        <f t="shared" si="2"/>
        <v>12</v>
      </c>
      <c r="B16" s="214" t="s">
        <v>658</v>
      </c>
      <c r="C16" s="213" t="s">
        <v>207</v>
      </c>
      <c r="D16" s="212">
        <v>20</v>
      </c>
      <c r="E16" s="222"/>
      <c r="F16" s="161">
        <f t="shared" si="0"/>
        <v>0</v>
      </c>
      <c r="G16" s="161">
        <f t="shared" si="1"/>
        <v>0</v>
      </c>
      <c r="J16" s="226"/>
      <c r="K16" s="228"/>
      <c r="L16" s="228"/>
      <c r="M16" s="228"/>
      <c r="N16" s="228"/>
      <c r="O16" s="228"/>
      <c r="P16" s="228"/>
    </row>
    <row r="17" spans="1:16" ht="18.75" customHeight="1" x14ac:dyDescent="0.3">
      <c r="A17" s="213">
        <f t="shared" si="2"/>
        <v>13</v>
      </c>
      <c r="B17" s="214" t="s">
        <v>659</v>
      </c>
      <c r="C17" s="213" t="s">
        <v>207</v>
      </c>
      <c r="D17" s="212">
        <v>20</v>
      </c>
      <c r="E17" s="222"/>
      <c r="F17" s="161">
        <f t="shared" si="0"/>
        <v>0</v>
      </c>
      <c r="G17" s="161">
        <f t="shared" si="1"/>
        <v>0</v>
      </c>
      <c r="J17" s="226"/>
      <c r="K17" s="228"/>
      <c r="L17" s="228"/>
      <c r="M17" s="228"/>
      <c r="N17" s="228"/>
      <c r="O17" s="228"/>
      <c r="P17" s="228"/>
    </row>
    <row r="18" spans="1:16" ht="18.75" customHeight="1" x14ac:dyDescent="0.3">
      <c r="A18" s="213">
        <f t="shared" si="2"/>
        <v>14</v>
      </c>
      <c r="B18" s="214" t="s">
        <v>660</v>
      </c>
      <c r="C18" s="213" t="s">
        <v>207</v>
      </c>
      <c r="D18" s="212">
        <v>5</v>
      </c>
      <c r="E18" s="222"/>
      <c r="F18" s="161">
        <f t="shared" si="0"/>
        <v>0</v>
      </c>
      <c r="G18" s="161">
        <f t="shared" si="1"/>
        <v>0</v>
      </c>
      <c r="J18" s="226"/>
      <c r="K18" s="228"/>
      <c r="L18" s="228"/>
      <c r="M18" s="228"/>
      <c r="N18" s="228"/>
      <c r="O18" s="228"/>
      <c r="P18" s="228"/>
    </row>
    <row r="19" spans="1:16" ht="18.75" customHeight="1" x14ac:dyDescent="0.3">
      <c r="A19" s="213">
        <f t="shared" si="2"/>
        <v>15</v>
      </c>
      <c r="B19" s="214" t="s">
        <v>661</v>
      </c>
      <c r="C19" s="213" t="s">
        <v>207</v>
      </c>
      <c r="D19" s="212">
        <v>5</v>
      </c>
      <c r="E19" s="222"/>
      <c r="F19" s="161">
        <f t="shared" si="0"/>
        <v>0</v>
      </c>
      <c r="G19" s="161">
        <f t="shared" si="1"/>
        <v>0</v>
      </c>
      <c r="J19" s="226"/>
      <c r="K19" s="228"/>
      <c r="L19" s="228"/>
      <c r="M19" s="228"/>
      <c r="N19" s="228"/>
      <c r="O19" s="228"/>
      <c r="P19" s="228"/>
    </row>
    <row r="20" spans="1:16" ht="18.75" customHeight="1" x14ac:dyDescent="0.3">
      <c r="A20" s="213">
        <f t="shared" si="2"/>
        <v>16</v>
      </c>
      <c r="B20" s="214" t="s">
        <v>662</v>
      </c>
      <c r="C20" s="213" t="s">
        <v>207</v>
      </c>
      <c r="D20" s="212">
        <v>5</v>
      </c>
      <c r="E20" s="222"/>
      <c r="F20" s="161">
        <f t="shared" si="0"/>
        <v>0</v>
      </c>
      <c r="G20" s="161">
        <f t="shared" si="1"/>
        <v>0</v>
      </c>
      <c r="J20" s="226"/>
      <c r="K20" s="228"/>
      <c r="L20" s="228"/>
      <c r="M20" s="228"/>
      <c r="N20" s="228"/>
      <c r="O20" s="228"/>
      <c r="P20" s="228"/>
    </row>
    <row r="21" spans="1:16" ht="18.75" customHeight="1" x14ac:dyDescent="0.3">
      <c r="A21" s="213">
        <f t="shared" si="2"/>
        <v>17</v>
      </c>
      <c r="B21" s="234" t="s">
        <v>663</v>
      </c>
      <c r="C21" s="213" t="s">
        <v>220</v>
      </c>
      <c r="D21" s="219">
        <v>1.29</v>
      </c>
      <c r="E21" s="222"/>
      <c r="F21" s="161">
        <f t="shared" si="0"/>
        <v>0</v>
      </c>
      <c r="G21" s="161">
        <f t="shared" si="1"/>
        <v>0</v>
      </c>
      <c r="J21" s="226"/>
      <c r="K21" s="228"/>
      <c r="L21" s="228"/>
      <c r="M21" s="228"/>
      <c r="N21" s="228"/>
      <c r="O21" s="228"/>
      <c r="P21" s="228"/>
    </row>
    <row r="22" spans="1:16" ht="18.75" customHeight="1" x14ac:dyDescent="0.3">
      <c r="A22" s="213">
        <f t="shared" si="2"/>
        <v>18</v>
      </c>
      <c r="B22" s="214" t="s">
        <v>664</v>
      </c>
      <c r="C22" s="213" t="s">
        <v>220</v>
      </c>
      <c r="D22" s="219">
        <v>2.25</v>
      </c>
      <c r="E22" s="222"/>
      <c r="F22" s="161">
        <f t="shared" si="0"/>
        <v>0</v>
      </c>
      <c r="G22" s="161">
        <f t="shared" si="1"/>
        <v>0</v>
      </c>
      <c r="J22" s="226"/>
      <c r="K22" s="228"/>
      <c r="L22" s="228"/>
      <c r="M22" s="228"/>
      <c r="N22" s="228"/>
      <c r="O22" s="228"/>
      <c r="P22" s="228"/>
    </row>
    <row r="23" spans="1:16" ht="18.75" customHeight="1" x14ac:dyDescent="0.3">
      <c r="A23" s="213">
        <f t="shared" si="2"/>
        <v>19</v>
      </c>
      <c r="B23" s="214" t="s">
        <v>665</v>
      </c>
      <c r="C23" s="213" t="s">
        <v>220</v>
      </c>
      <c r="D23" s="219">
        <v>0.11</v>
      </c>
      <c r="E23" s="222"/>
      <c r="F23" s="161">
        <f t="shared" si="0"/>
        <v>0</v>
      </c>
      <c r="G23" s="161">
        <f t="shared" si="1"/>
        <v>0</v>
      </c>
      <c r="J23" s="226"/>
      <c r="K23" s="228"/>
      <c r="L23" s="228"/>
      <c r="M23" s="228"/>
      <c r="N23" s="228"/>
      <c r="O23" s="228"/>
      <c r="P23" s="228"/>
    </row>
    <row r="24" spans="1:16" ht="18.75" customHeight="1" x14ac:dyDescent="0.3">
      <c r="A24" s="213">
        <f t="shared" si="2"/>
        <v>20</v>
      </c>
      <c r="B24" s="214" t="s">
        <v>666</v>
      </c>
      <c r="C24" s="213" t="s">
        <v>220</v>
      </c>
      <c r="D24" s="219">
        <v>3.6</v>
      </c>
      <c r="E24" s="232"/>
      <c r="F24" s="161">
        <f t="shared" si="0"/>
        <v>0</v>
      </c>
      <c r="G24" s="161">
        <f t="shared" si="1"/>
        <v>0</v>
      </c>
      <c r="H24" s="173"/>
      <c r="J24" s="226"/>
      <c r="K24" s="228"/>
      <c r="L24" s="229"/>
      <c r="M24" s="228"/>
      <c r="N24" s="228"/>
      <c r="O24" s="228"/>
      <c r="P24" s="228"/>
    </row>
    <row r="25" spans="1:16" ht="18.75" customHeight="1" x14ac:dyDescent="0.3">
      <c r="A25" s="213">
        <f t="shared" si="2"/>
        <v>21</v>
      </c>
      <c r="B25" s="214" t="s">
        <v>667</v>
      </c>
      <c r="C25" s="213" t="s">
        <v>669</v>
      </c>
      <c r="D25" s="235">
        <v>0.32600000000000001</v>
      </c>
      <c r="E25" s="232"/>
      <c r="F25" s="161">
        <f t="shared" si="0"/>
        <v>0</v>
      </c>
      <c r="G25" s="161">
        <f t="shared" si="1"/>
        <v>0</v>
      </c>
      <c r="H25" s="173"/>
      <c r="J25" s="226"/>
      <c r="K25" s="228"/>
      <c r="L25" s="229"/>
      <c r="M25" s="228"/>
      <c r="N25" s="228"/>
      <c r="O25" s="228"/>
      <c r="P25" s="228"/>
    </row>
    <row r="26" spans="1:16" ht="18.75" customHeight="1" x14ac:dyDescent="0.3">
      <c r="A26" s="213">
        <f t="shared" si="2"/>
        <v>22</v>
      </c>
      <c r="B26" s="214" t="s">
        <v>668</v>
      </c>
      <c r="C26" s="213" t="s">
        <v>669</v>
      </c>
      <c r="D26" s="235">
        <v>0.65200000000000002</v>
      </c>
      <c r="E26" s="232"/>
      <c r="F26" s="161">
        <f t="shared" si="0"/>
        <v>0</v>
      </c>
      <c r="G26" s="161">
        <f t="shared" si="1"/>
        <v>0</v>
      </c>
      <c r="H26" s="173"/>
      <c r="J26" s="226"/>
      <c r="K26" s="228"/>
      <c r="L26" s="229"/>
      <c r="M26" s="228"/>
      <c r="N26" s="228"/>
      <c r="O26" s="228"/>
      <c r="P26" s="228"/>
    </row>
    <row r="27" spans="1:16" ht="18.75" customHeight="1" x14ac:dyDescent="0.3">
      <c r="A27" s="213">
        <f t="shared" si="2"/>
        <v>23</v>
      </c>
      <c r="B27" s="214" t="s">
        <v>670</v>
      </c>
      <c r="C27" s="213" t="s">
        <v>182</v>
      </c>
      <c r="D27" s="212">
        <v>15</v>
      </c>
      <c r="E27" s="232"/>
      <c r="F27" s="161">
        <f t="shared" si="0"/>
        <v>0</v>
      </c>
      <c r="G27" s="161">
        <f t="shared" si="1"/>
        <v>0</v>
      </c>
      <c r="H27" s="173"/>
      <c r="J27" s="226"/>
      <c r="K27" s="228"/>
      <c r="L27" s="229"/>
      <c r="M27" s="228"/>
      <c r="N27" s="228"/>
      <c r="O27" s="228"/>
      <c r="P27" s="228"/>
    </row>
    <row r="28" spans="1:16" ht="18.75" customHeight="1" x14ac:dyDescent="0.3">
      <c r="A28" s="213">
        <f t="shared" si="2"/>
        <v>24</v>
      </c>
      <c r="B28" s="214" t="s">
        <v>671</v>
      </c>
      <c r="C28" s="213" t="s">
        <v>669</v>
      </c>
      <c r="D28" s="219">
        <v>0.2</v>
      </c>
      <c r="E28" s="232"/>
      <c r="F28" s="161">
        <f t="shared" ref="F28:F44" si="3">ROUND(E28*D28,2)</f>
        <v>0</v>
      </c>
      <c r="G28" s="161">
        <f t="shared" ref="G28:G44" si="4">ROUND(F28*1.2,2)</f>
        <v>0</v>
      </c>
      <c r="H28" s="173"/>
      <c r="J28" s="226"/>
      <c r="K28" s="228"/>
      <c r="L28" s="229"/>
      <c r="M28" s="228"/>
      <c r="N28" s="228"/>
      <c r="O28" s="228"/>
      <c r="P28" s="228"/>
    </row>
    <row r="29" spans="1:16" ht="30" customHeight="1" x14ac:dyDescent="0.3">
      <c r="A29" s="213">
        <f t="shared" si="2"/>
        <v>25</v>
      </c>
      <c r="B29" s="214" t="s">
        <v>672</v>
      </c>
      <c r="C29" s="213" t="s">
        <v>207</v>
      </c>
      <c r="D29" s="212">
        <v>5</v>
      </c>
      <c r="E29" s="232">
        <v>3926</v>
      </c>
      <c r="F29" s="161">
        <f t="shared" si="3"/>
        <v>19630</v>
      </c>
      <c r="G29" s="161">
        <f t="shared" si="4"/>
        <v>23556</v>
      </c>
      <c r="H29" s="173" t="s">
        <v>647</v>
      </c>
      <c r="J29" s="226"/>
      <c r="K29" s="228"/>
      <c r="L29" s="229"/>
      <c r="M29" s="228"/>
      <c r="N29" s="228"/>
      <c r="O29" s="228"/>
      <c r="P29" s="228"/>
    </row>
    <row r="30" spans="1:16" ht="18.75" customHeight="1" x14ac:dyDescent="0.3">
      <c r="A30" s="213">
        <f t="shared" si="2"/>
        <v>26</v>
      </c>
      <c r="B30" s="214" t="s">
        <v>673</v>
      </c>
      <c r="C30" s="213" t="s">
        <v>207</v>
      </c>
      <c r="D30" s="212">
        <v>5</v>
      </c>
      <c r="E30" s="232">
        <v>563</v>
      </c>
      <c r="F30" s="161">
        <f t="shared" si="3"/>
        <v>2815</v>
      </c>
      <c r="G30" s="161">
        <f t="shared" si="4"/>
        <v>3378</v>
      </c>
      <c r="H30" s="173" t="s">
        <v>647</v>
      </c>
      <c r="J30" s="226"/>
      <c r="K30" s="228"/>
      <c r="L30" s="229"/>
      <c r="M30" s="228"/>
      <c r="N30" s="228"/>
      <c r="O30" s="228"/>
      <c r="P30" s="228"/>
    </row>
    <row r="31" spans="1:16" ht="18.75" customHeight="1" x14ac:dyDescent="0.3">
      <c r="A31" s="213">
        <f t="shared" si="2"/>
        <v>27</v>
      </c>
      <c r="B31" s="214" t="s">
        <v>674</v>
      </c>
      <c r="C31" s="213" t="s">
        <v>207</v>
      </c>
      <c r="D31" s="212">
        <v>5</v>
      </c>
      <c r="E31" s="232"/>
      <c r="F31" s="161">
        <f t="shared" si="3"/>
        <v>0</v>
      </c>
      <c r="G31" s="161">
        <f t="shared" si="4"/>
        <v>0</v>
      </c>
      <c r="H31" s="173"/>
      <c r="J31" s="226"/>
      <c r="K31" s="228"/>
      <c r="L31" s="229"/>
      <c r="M31" s="228"/>
      <c r="N31" s="228"/>
      <c r="O31" s="228"/>
      <c r="P31" s="228"/>
    </row>
    <row r="32" spans="1:16" ht="18.75" customHeight="1" x14ac:dyDescent="0.3">
      <c r="A32" s="213">
        <f t="shared" si="2"/>
        <v>28</v>
      </c>
      <c r="B32" s="214" t="s">
        <v>675</v>
      </c>
      <c r="C32" s="223"/>
      <c r="D32" s="218">
        <v>0.8</v>
      </c>
      <c r="E32" s="232"/>
      <c r="F32" s="161">
        <f t="shared" si="3"/>
        <v>0</v>
      </c>
      <c r="G32" s="161">
        <f t="shared" si="4"/>
        <v>0</v>
      </c>
      <c r="H32" s="173"/>
      <c r="J32" s="226"/>
      <c r="K32" s="228"/>
      <c r="L32" s="229"/>
      <c r="M32" s="228"/>
      <c r="N32" s="228"/>
      <c r="O32" s="228"/>
      <c r="P32" s="228"/>
    </row>
    <row r="33" spans="1:16" ht="18.75" customHeight="1" x14ac:dyDescent="0.3">
      <c r="A33" s="213">
        <f t="shared" si="2"/>
        <v>29</v>
      </c>
      <c r="B33" s="214" t="s">
        <v>676</v>
      </c>
      <c r="C33" s="213" t="s">
        <v>207</v>
      </c>
      <c r="D33" s="212">
        <v>5</v>
      </c>
      <c r="E33" s="232"/>
      <c r="F33" s="161">
        <f t="shared" si="3"/>
        <v>0</v>
      </c>
      <c r="G33" s="161">
        <f t="shared" si="4"/>
        <v>0</v>
      </c>
      <c r="H33" s="173"/>
      <c r="J33" s="226"/>
      <c r="K33" s="228"/>
      <c r="L33" s="229"/>
      <c r="M33" s="228"/>
      <c r="N33" s="228"/>
      <c r="O33" s="228"/>
      <c r="P33" s="228"/>
    </row>
    <row r="34" spans="1:16" ht="18.75" customHeight="1" x14ac:dyDescent="0.3">
      <c r="A34" s="213">
        <f t="shared" si="2"/>
        <v>30</v>
      </c>
      <c r="B34" s="214" t="s">
        <v>677</v>
      </c>
      <c r="C34" s="213" t="s">
        <v>207</v>
      </c>
      <c r="D34" s="212">
        <v>10</v>
      </c>
      <c r="E34" s="232"/>
      <c r="F34" s="161">
        <f t="shared" si="3"/>
        <v>0</v>
      </c>
      <c r="G34" s="161">
        <f t="shared" si="4"/>
        <v>0</v>
      </c>
      <c r="H34" s="173"/>
      <c r="J34" s="226"/>
      <c r="K34" s="228"/>
      <c r="L34" s="229"/>
      <c r="M34" s="228"/>
      <c r="N34" s="228"/>
      <c r="O34" s="228"/>
      <c r="P34" s="228"/>
    </row>
    <row r="35" spans="1:16" ht="18.75" customHeight="1" x14ac:dyDescent="0.3">
      <c r="A35" s="213">
        <f t="shared" si="2"/>
        <v>31</v>
      </c>
      <c r="B35" s="214" t="s">
        <v>678</v>
      </c>
      <c r="C35" s="213" t="s">
        <v>207</v>
      </c>
      <c r="D35" s="212">
        <v>10</v>
      </c>
      <c r="E35" s="232"/>
      <c r="F35" s="161">
        <f t="shared" si="3"/>
        <v>0</v>
      </c>
      <c r="G35" s="161">
        <f t="shared" si="4"/>
        <v>0</v>
      </c>
      <c r="H35" s="173"/>
      <c r="J35" s="226"/>
      <c r="K35" s="228"/>
      <c r="L35" s="229"/>
      <c r="M35" s="228"/>
      <c r="N35" s="228"/>
      <c r="O35" s="228"/>
      <c r="P35" s="228"/>
    </row>
    <row r="36" spans="1:16" ht="30.75" customHeight="1" x14ac:dyDescent="0.3">
      <c r="A36" s="213">
        <f t="shared" si="2"/>
        <v>32</v>
      </c>
      <c r="B36" s="214" t="s">
        <v>679</v>
      </c>
      <c r="C36" s="213" t="s">
        <v>207</v>
      </c>
      <c r="D36" s="212">
        <v>5</v>
      </c>
      <c r="E36" s="232"/>
      <c r="F36" s="161">
        <f t="shared" si="3"/>
        <v>0</v>
      </c>
      <c r="G36" s="161">
        <f t="shared" si="4"/>
        <v>0</v>
      </c>
      <c r="H36" s="173"/>
      <c r="J36" s="226"/>
      <c r="K36" s="228"/>
      <c r="L36" s="229"/>
      <c r="M36" s="228"/>
      <c r="N36" s="228"/>
      <c r="O36" s="228"/>
      <c r="P36" s="228"/>
    </row>
    <row r="37" spans="1:16" ht="30.75" customHeight="1" x14ac:dyDescent="0.3">
      <c r="A37" s="213">
        <f t="shared" si="2"/>
        <v>33</v>
      </c>
      <c r="B37" s="214" t="s">
        <v>680</v>
      </c>
      <c r="C37" s="213" t="s">
        <v>207</v>
      </c>
      <c r="D37" s="212">
        <v>5</v>
      </c>
      <c r="E37" s="232"/>
      <c r="F37" s="161">
        <f t="shared" si="3"/>
        <v>0</v>
      </c>
      <c r="G37" s="161">
        <f t="shared" si="4"/>
        <v>0</v>
      </c>
      <c r="H37" s="173"/>
      <c r="J37" s="226"/>
      <c r="K37" s="228"/>
      <c r="L37" s="229"/>
      <c r="M37" s="228"/>
      <c r="N37" s="228"/>
      <c r="O37" s="228"/>
      <c r="P37" s="228"/>
    </row>
    <row r="38" spans="1:16" ht="18.75" customHeight="1" x14ac:dyDescent="0.3">
      <c r="A38" s="213">
        <f t="shared" si="2"/>
        <v>34</v>
      </c>
      <c r="B38" s="214" t="s">
        <v>681</v>
      </c>
      <c r="C38" s="213" t="s">
        <v>207</v>
      </c>
      <c r="D38" s="212">
        <v>4</v>
      </c>
      <c r="E38" s="232"/>
      <c r="F38" s="161">
        <f t="shared" si="3"/>
        <v>0</v>
      </c>
      <c r="G38" s="161">
        <f t="shared" si="4"/>
        <v>0</v>
      </c>
      <c r="H38" s="173"/>
      <c r="J38" s="226"/>
      <c r="K38" s="228"/>
      <c r="L38" s="229"/>
      <c r="M38" s="228"/>
      <c r="N38" s="228"/>
      <c r="O38" s="228"/>
      <c r="P38" s="228"/>
    </row>
    <row r="39" spans="1:16" ht="18.75" customHeight="1" x14ac:dyDescent="0.3">
      <c r="A39" s="213">
        <f t="shared" si="2"/>
        <v>35</v>
      </c>
      <c r="B39" s="214" t="s">
        <v>682</v>
      </c>
      <c r="C39" s="213" t="s">
        <v>207</v>
      </c>
      <c r="D39" s="212">
        <v>4</v>
      </c>
      <c r="E39" s="232"/>
      <c r="F39" s="161">
        <f t="shared" si="3"/>
        <v>0</v>
      </c>
      <c r="G39" s="161">
        <f t="shared" si="4"/>
        <v>0</v>
      </c>
      <c r="H39" s="173"/>
      <c r="J39" s="226"/>
      <c r="K39" s="228"/>
      <c r="L39" s="229"/>
      <c r="M39" s="228"/>
      <c r="N39" s="228"/>
      <c r="O39" s="228"/>
      <c r="P39" s="228"/>
    </row>
    <row r="40" spans="1:16" ht="18.75" customHeight="1" x14ac:dyDescent="0.3">
      <c r="A40" s="213">
        <f t="shared" si="2"/>
        <v>36</v>
      </c>
      <c r="B40" s="214" t="s">
        <v>683</v>
      </c>
      <c r="C40" s="213" t="s">
        <v>207</v>
      </c>
      <c r="D40" s="212">
        <v>1</v>
      </c>
      <c r="E40" s="232"/>
      <c r="F40" s="161">
        <f t="shared" si="3"/>
        <v>0</v>
      </c>
      <c r="G40" s="161">
        <f t="shared" si="4"/>
        <v>0</v>
      </c>
      <c r="H40" s="173"/>
      <c r="J40" s="226"/>
      <c r="K40" s="228"/>
      <c r="L40" s="229"/>
      <c r="M40" s="228"/>
      <c r="N40" s="228"/>
      <c r="O40" s="228"/>
      <c r="P40" s="228"/>
    </row>
    <row r="41" spans="1:16" ht="18.75" customHeight="1" x14ac:dyDescent="0.3">
      <c r="A41" s="213">
        <f t="shared" si="2"/>
        <v>37</v>
      </c>
      <c r="B41" s="214" t="s">
        <v>684</v>
      </c>
      <c r="C41" s="213" t="s">
        <v>207</v>
      </c>
      <c r="D41" s="212">
        <v>4</v>
      </c>
      <c r="E41" s="232"/>
      <c r="F41" s="161">
        <f t="shared" si="3"/>
        <v>0</v>
      </c>
      <c r="G41" s="161">
        <f t="shared" si="4"/>
        <v>0</v>
      </c>
      <c r="H41" s="173"/>
      <c r="J41" s="226"/>
      <c r="K41" s="228"/>
      <c r="L41" s="229"/>
      <c r="M41" s="228"/>
      <c r="N41" s="228"/>
      <c r="O41" s="228"/>
      <c r="P41" s="228"/>
    </row>
    <row r="42" spans="1:16" ht="18.75" customHeight="1" x14ac:dyDescent="0.3">
      <c r="A42" s="213">
        <f t="shared" si="2"/>
        <v>38</v>
      </c>
      <c r="B42" s="214" t="s">
        <v>685</v>
      </c>
      <c r="C42" s="213" t="s">
        <v>207</v>
      </c>
      <c r="D42" s="212">
        <v>4</v>
      </c>
      <c r="E42" s="232"/>
      <c r="F42" s="161">
        <f t="shared" si="3"/>
        <v>0</v>
      </c>
      <c r="G42" s="161">
        <f t="shared" si="4"/>
        <v>0</v>
      </c>
      <c r="H42" s="173"/>
      <c r="J42" s="226"/>
      <c r="K42" s="228"/>
      <c r="L42" s="229"/>
      <c r="M42" s="228"/>
      <c r="N42" s="228"/>
      <c r="O42" s="228"/>
      <c r="P42" s="228"/>
    </row>
    <row r="43" spans="1:16" ht="18.75" customHeight="1" x14ac:dyDescent="0.3">
      <c r="A43" s="213">
        <f t="shared" si="2"/>
        <v>39</v>
      </c>
      <c r="B43" s="214" t="s">
        <v>686</v>
      </c>
      <c r="C43" s="213" t="s">
        <v>207</v>
      </c>
      <c r="D43" s="212">
        <v>4</v>
      </c>
      <c r="E43" s="232"/>
      <c r="F43" s="161">
        <f t="shared" si="3"/>
        <v>0</v>
      </c>
      <c r="G43" s="161">
        <f t="shared" si="4"/>
        <v>0</v>
      </c>
      <c r="H43" s="173"/>
      <c r="J43" s="226"/>
      <c r="K43" s="228"/>
      <c r="L43" s="229"/>
      <c r="M43" s="228"/>
      <c r="N43" s="228"/>
      <c r="O43" s="228"/>
      <c r="P43" s="228"/>
    </row>
    <row r="44" spans="1:16" ht="18.75" customHeight="1" x14ac:dyDescent="0.3">
      <c r="A44" s="213">
        <f t="shared" si="2"/>
        <v>40</v>
      </c>
      <c r="B44" s="214" t="s">
        <v>687</v>
      </c>
      <c r="C44" s="213" t="s">
        <v>207</v>
      </c>
      <c r="D44" s="212">
        <v>1</v>
      </c>
      <c r="E44" s="232"/>
      <c r="F44" s="161">
        <f t="shared" si="3"/>
        <v>0</v>
      </c>
      <c r="G44" s="161">
        <f t="shared" si="4"/>
        <v>0</v>
      </c>
      <c r="H44" s="173"/>
      <c r="J44" s="226"/>
      <c r="K44" s="228"/>
      <c r="L44" s="229"/>
      <c r="M44" s="228"/>
      <c r="N44" s="228"/>
      <c r="O44" s="228"/>
      <c r="P44" s="228"/>
    </row>
    <row r="45" spans="1:16" x14ac:dyDescent="0.3">
      <c r="A45" s="139"/>
      <c r="B45" s="400" t="s">
        <v>284</v>
      </c>
      <c r="C45" s="401"/>
      <c r="D45" s="401"/>
      <c r="E45" s="402"/>
      <c r="F45" s="138">
        <f>SUM(F4:F44)</f>
        <v>22445</v>
      </c>
      <c r="G45" s="138">
        <f>SUM(G4:G44)</f>
        <v>26934</v>
      </c>
      <c r="J45" s="228"/>
      <c r="K45" s="228"/>
      <c r="L45" s="228"/>
      <c r="M45" s="228"/>
      <c r="N45" s="228"/>
      <c r="O45" s="228"/>
      <c r="P45" s="228"/>
    </row>
    <row r="46" spans="1:16" x14ac:dyDescent="0.3">
      <c r="J46" s="228"/>
      <c r="K46" s="228"/>
      <c r="L46" s="228"/>
      <c r="M46" s="228"/>
      <c r="N46" s="228"/>
      <c r="O46" s="228"/>
      <c r="P46" s="228"/>
    </row>
  </sheetData>
  <mergeCells count="7">
    <mergeCell ref="B45:E4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12.33203125" hidden="1" customWidth="1"/>
    <col min="9" max="9" width="0" hidden="1" customWidth="1"/>
  </cols>
  <sheetData>
    <row r="1" spans="1:9" x14ac:dyDescent="0.3">
      <c r="A1" s="384" t="s">
        <v>213</v>
      </c>
      <c r="B1" s="383" t="s">
        <v>188</v>
      </c>
      <c r="C1" s="383" t="s">
        <v>217</v>
      </c>
      <c r="D1" s="383" t="s">
        <v>189</v>
      </c>
      <c r="E1" s="383" t="s">
        <v>273</v>
      </c>
      <c r="F1" s="383"/>
      <c r="G1" s="383"/>
    </row>
    <row r="2" spans="1:9" ht="27.6" x14ac:dyDescent="0.3">
      <c r="A2" s="384"/>
      <c r="B2" s="383"/>
      <c r="C2" s="383"/>
      <c r="D2" s="383"/>
      <c r="E2" s="71" t="s">
        <v>244</v>
      </c>
      <c r="F2" s="71" t="s">
        <v>236</v>
      </c>
      <c r="G2" s="81" t="s">
        <v>223</v>
      </c>
    </row>
    <row r="3" spans="1:9" ht="17.25" customHeight="1" x14ac:dyDescent="0.3">
      <c r="A3" s="129">
        <v>1</v>
      </c>
      <c r="B3" s="130">
        <v>2</v>
      </c>
      <c r="C3" s="130">
        <v>3</v>
      </c>
      <c r="D3" s="130">
        <v>4</v>
      </c>
      <c r="E3" s="130">
        <v>5</v>
      </c>
      <c r="F3" s="130">
        <v>6</v>
      </c>
      <c r="G3" s="130">
        <v>7</v>
      </c>
    </row>
    <row r="4" spans="1:9" ht="28.5" customHeight="1" x14ac:dyDescent="0.3">
      <c r="A4" s="134"/>
      <c r="B4" s="398" t="s">
        <v>295</v>
      </c>
      <c r="C4" s="399"/>
      <c r="D4" s="403"/>
      <c r="E4" s="135"/>
      <c r="F4" s="136"/>
      <c r="G4" s="147"/>
    </row>
    <row r="5" spans="1:9" ht="18" customHeight="1" x14ac:dyDescent="0.3">
      <c r="A5" s="132"/>
      <c r="B5" s="67" t="s">
        <v>248</v>
      </c>
      <c r="C5" s="140"/>
      <c r="D5" s="140"/>
      <c r="E5" s="143"/>
      <c r="F5" s="68"/>
      <c r="G5" s="148"/>
      <c r="H5" s="173" t="s">
        <v>481</v>
      </c>
    </row>
    <row r="6" spans="1:9" ht="35.25" customHeight="1" x14ac:dyDescent="0.3">
      <c r="A6" s="69">
        <v>1</v>
      </c>
      <c r="B6" s="58" t="s">
        <v>388</v>
      </c>
      <c r="C6" s="89" t="s">
        <v>181</v>
      </c>
      <c r="D6" s="144">
        <v>322</v>
      </c>
      <c r="E6" s="150">
        <v>90.47</v>
      </c>
      <c r="F6" s="82">
        <f t="shared" ref="F6:F40" si="0">ROUND(E6*D6,2)</f>
        <v>29131.34</v>
      </c>
      <c r="G6" s="82">
        <f>ROUND(F6*1.2,2)</f>
        <v>34957.61</v>
      </c>
      <c r="H6">
        <v>325</v>
      </c>
    </row>
    <row r="7" spans="1:9" ht="15.6" x14ac:dyDescent="0.3">
      <c r="A7" s="69">
        <f>A6+1</f>
        <v>2</v>
      </c>
      <c r="B7" s="58" t="s">
        <v>389</v>
      </c>
      <c r="C7" s="89" t="s">
        <v>181</v>
      </c>
      <c r="D7" s="170" t="s">
        <v>257</v>
      </c>
      <c r="E7" s="150">
        <v>1860.11</v>
      </c>
      <c r="F7" s="82">
        <f t="shared" si="0"/>
        <v>18601.099999999999</v>
      </c>
      <c r="G7" s="82">
        <f t="shared" ref="G7:G32" si="1">ROUND(F7*1.2,2)</f>
        <v>22321.32</v>
      </c>
      <c r="H7">
        <v>1777</v>
      </c>
    </row>
    <row r="8" spans="1:9" ht="15.6" x14ac:dyDescent="0.3">
      <c r="A8" s="69">
        <f>A7+1</f>
        <v>3</v>
      </c>
      <c r="B8" s="58" t="s">
        <v>390</v>
      </c>
      <c r="C8" s="89" t="s">
        <v>181</v>
      </c>
      <c r="D8" s="170" t="s">
        <v>354</v>
      </c>
      <c r="E8" s="150">
        <v>1155.67</v>
      </c>
      <c r="F8" s="82">
        <f t="shared" si="0"/>
        <v>13868.04</v>
      </c>
      <c r="G8" s="82">
        <f t="shared" si="1"/>
        <v>16641.650000000001</v>
      </c>
    </row>
    <row r="9" spans="1:9" ht="15.6" x14ac:dyDescent="0.3">
      <c r="A9" s="69">
        <f t="shared" ref="A9:A15" si="2">A8+1</f>
        <v>4</v>
      </c>
      <c r="B9" s="58" t="s">
        <v>252</v>
      </c>
      <c r="C9" s="89" t="s">
        <v>181</v>
      </c>
      <c r="D9" s="170" t="s">
        <v>394</v>
      </c>
      <c r="E9" s="150">
        <v>1456.66</v>
      </c>
      <c r="F9" s="82">
        <f t="shared" si="0"/>
        <v>3350.32</v>
      </c>
      <c r="G9" s="82">
        <f t="shared" si="1"/>
        <v>4020.38</v>
      </c>
      <c r="H9">
        <v>1379</v>
      </c>
    </row>
    <row r="10" spans="1:9" ht="15.6" x14ac:dyDescent="0.3">
      <c r="A10" s="69">
        <f t="shared" si="2"/>
        <v>5</v>
      </c>
      <c r="B10" s="58" t="s">
        <v>391</v>
      </c>
      <c r="C10" s="89" t="s">
        <v>181</v>
      </c>
      <c r="D10" s="170" t="s">
        <v>354</v>
      </c>
      <c r="E10" s="150">
        <v>856.54</v>
      </c>
      <c r="F10" s="82">
        <f t="shared" si="0"/>
        <v>10278.48</v>
      </c>
      <c r="G10" s="82">
        <f t="shared" si="1"/>
        <v>12334.18</v>
      </c>
      <c r="H10">
        <v>1379</v>
      </c>
    </row>
    <row r="11" spans="1:9" ht="15.6" x14ac:dyDescent="0.3">
      <c r="A11" s="69">
        <f t="shared" si="2"/>
        <v>6</v>
      </c>
      <c r="B11" s="58" t="s">
        <v>249</v>
      </c>
      <c r="C11" s="89" t="s">
        <v>181</v>
      </c>
      <c r="D11" s="170" t="s">
        <v>395</v>
      </c>
      <c r="E11" s="150">
        <v>9.73</v>
      </c>
      <c r="F11" s="82">
        <f t="shared" si="0"/>
        <v>2860.62</v>
      </c>
      <c r="G11" s="82">
        <f t="shared" si="1"/>
        <v>3432.74</v>
      </c>
      <c r="H11">
        <v>125</v>
      </c>
    </row>
    <row r="12" spans="1:9" ht="15.6" x14ac:dyDescent="0.3">
      <c r="A12" s="69">
        <f t="shared" si="2"/>
        <v>7</v>
      </c>
      <c r="B12" s="58" t="s">
        <v>245</v>
      </c>
      <c r="C12" s="89" t="s">
        <v>181</v>
      </c>
      <c r="D12" s="170" t="s">
        <v>395</v>
      </c>
      <c r="E12" s="150">
        <v>197.58</v>
      </c>
      <c r="F12" s="82">
        <f t="shared" si="0"/>
        <v>58088.52</v>
      </c>
      <c r="G12" s="82">
        <f t="shared" si="1"/>
        <v>69706.22</v>
      </c>
      <c r="H12">
        <v>198</v>
      </c>
    </row>
    <row r="13" spans="1:9" ht="15.6" x14ac:dyDescent="0.3">
      <c r="A13" s="69">
        <f t="shared" si="2"/>
        <v>8</v>
      </c>
      <c r="B13" s="58" t="s">
        <v>250</v>
      </c>
      <c r="C13" s="89" t="s">
        <v>181</v>
      </c>
      <c r="D13" s="170" t="s">
        <v>396</v>
      </c>
      <c r="E13" s="150">
        <v>856.54</v>
      </c>
      <c r="F13" s="82">
        <f t="shared" si="0"/>
        <v>12848.1</v>
      </c>
      <c r="G13" s="82">
        <f t="shared" si="1"/>
        <v>15417.72</v>
      </c>
      <c r="H13">
        <v>899</v>
      </c>
    </row>
    <row r="14" spans="1:9" ht="27.6" x14ac:dyDescent="0.3">
      <c r="A14" s="69">
        <f t="shared" si="2"/>
        <v>9</v>
      </c>
      <c r="B14" s="58" t="s">
        <v>392</v>
      </c>
      <c r="C14" s="89" t="s">
        <v>219</v>
      </c>
      <c r="D14" s="171">
        <v>36.799999999999997</v>
      </c>
      <c r="E14" s="150">
        <v>67.760000000000005</v>
      </c>
      <c r="F14" s="82">
        <f t="shared" si="0"/>
        <v>2493.5700000000002</v>
      </c>
      <c r="G14" s="82">
        <f t="shared" si="1"/>
        <v>2992.28</v>
      </c>
      <c r="H14">
        <v>325</v>
      </c>
    </row>
    <row r="15" spans="1:9" ht="27.6" x14ac:dyDescent="0.3">
      <c r="A15" s="69">
        <f t="shared" si="2"/>
        <v>10</v>
      </c>
      <c r="B15" s="58" t="s">
        <v>393</v>
      </c>
      <c r="C15" s="57" t="s">
        <v>219</v>
      </c>
      <c r="D15" s="171">
        <v>36.799999999999997</v>
      </c>
      <c r="E15" s="150">
        <v>312.27999999999997</v>
      </c>
      <c r="F15" s="82">
        <f t="shared" si="0"/>
        <v>11491.9</v>
      </c>
      <c r="G15" s="82">
        <f t="shared" si="1"/>
        <v>13790.28</v>
      </c>
      <c r="H15">
        <v>3460</v>
      </c>
      <c r="I15" s="173" t="s">
        <v>480</v>
      </c>
    </row>
    <row r="16" spans="1:9" ht="15.6" x14ac:dyDescent="0.3">
      <c r="A16" s="69"/>
      <c r="B16" s="56" t="s">
        <v>254</v>
      </c>
      <c r="C16" s="57"/>
      <c r="D16" s="60"/>
      <c r="E16" s="150"/>
      <c r="F16" s="82"/>
      <c r="G16" s="82"/>
    </row>
    <row r="17" spans="1:8" ht="27.6" x14ac:dyDescent="0.3">
      <c r="A17" s="69">
        <f>A15+1</f>
        <v>11</v>
      </c>
      <c r="B17" s="58" t="s">
        <v>397</v>
      </c>
      <c r="C17" s="57" t="s">
        <v>182</v>
      </c>
      <c r="D17" s="60">
        <v>31</v>
      </c>
      <c r="E17" s="150">
        <v>1223.9000000000001</v>
      </c>
      <c r="F17" s="82">
        <f t="shared" si="0"/>
        <v>37940.9</v>
      </c>
      <c r="G17" s="82">
        <f t="shared" si="1"/>
        <v>45529.08</v>
      </c>
    </row>
    <row r="18" spans="1:8" ht="41.4" x14ac:dyDescent="0.3">
      <c r="A18" s="69">
        <f>A17+1</f>
        <v>12</v>
      </c>
      <c r="B18" s="58" t="s">
        <v>398</v>
      </c>
      <c r="C18" s="57" t="s">
        <v>182</v>
      </c>
      <c r="D18" s="60">
        <v>6</v>
      </c>
      <c r="E18" s="150">
        <v>10557.31</v>
      </c>
      <c r="F18" s="82">
        <f t="shared" si="0"/>
        <v>63343.86</v>
      </c>
      <c r="G18" s="82">
        <f t="shared" si="1"/>
        <v>76012.63</v>
      </c>
    </row>
    <row r="19" spans="1:8" ht="27.6" x14ac:dyDescent="0.3">
      <c r="A19" s="69">
        <f t="shared" ref="A19:A29" si="3">A18+1</f>
        <v>13</v>
      </c>
      <c r="B19" s="58" t="s">
        <v>399</v>
      </c>
      <c r="C19" s="57" t="s">
        <v>207</v>
      </c>
      <c r="D19" s="60">
        <v>2</v>
      </c>
      <c r="E19" s="150">
        <v>10242.23</v>
      </c>
      <c r="F19" s="82">
        <f t="shared" si="0"/>
        <v>20484.46</v>
      </c>
      <c r="G19" s="82">
        <f t="shared" si="1"/>
        <v>24581.35</v>
      </c>
    </row>
    <row r="20" spans="1:8" ht="27.6" x14ac:dyDescent="0.3">
      <c r="A20" s="69">
        <f t="shared" si="3"/>
        <v>14</v>
      </c>
      <c r="B20" s="58" t="s">
        <v>400</v>
      </c>
      <c r="C20" s="57" t="s">
        <v>207</v>
      </c>
      <c r="D20" s="60">
        <v>2</v>
      </c>
      <c r="E20" s="150">
        <v>6691.94</v>
      </c>
      <c r="F20" s="82">
        <f t="shared" si="0"/>
        <v>13383.88</v>
      </c>
      <c r="G20" s="82">
        <f t="shared" si="1"/>
        <v>16060.66</v>
      </c>
    </row>
    <row r="21" spans="1:8" ht="15.6" x14ac:dyDescent="0.3">
      <c r="A21" s="69">
        <f t="shared" si="3"/>
        <v>15</v>
      </c>
      <c r="B21" s="58" t="s">
        <v>423</v>
      </c>
      <c r="C21" s="57" t="s">
        <v>207</v>
      </c>
      <c r="D21" s="60">
        <v>36</v>
      </c>
      <c r="E21" s="150">
        <v>592.5</v>
      </c>
      <c r="F21" s="82">
        <f t="shared" si="0"/>
        <v>21330</v>
      </c>
      <c r="G21" s="82">
        <f t="shared" si="1"/>
        <v>25596</v>
      </c>
    </row>
    <row r="22" spans="1:8" ht="27.6" x14ac:dyDescent="0.3">
      <c r="A22" s="69">
        <f t="shared" si="3"/>
        <v>16</v>
      </c>
      <c r="B22" s="58" t="s">
        <v>401</v>
      </c>
      <c r="C22" s="57" t="s">
        <v>207</v>
      </c>
      <c r="D22" s="60">
        <v>36</v>
      </c>
      <c r="E22" s="150">
        <v>210.41</v>
      </c>
      <c r="F22" s="82">
        <f t="shared" si="0"/>
        <v>7574.76</v>
      </c>
      <c r="G22" s="82">
        <f t="shared" si="1"/>
        <v>9089.7099999999991</v>
      </c>
    </row>
    <row r="23" spans="1:8" ht="41.4" x14ac:dyDescent="0.3">
      <c r="A23" s="69">
        <f t="shared" si="3"/>
        <v>17</v>
      </c>
      <c r="B23" s="58" t="s">
        <v>402</v>
      </c>
      <c r="C23" s="57" t="s">
        <v>207</v>
      </c>
      <c r="D23" s="60">
        <v>2</v>
      </c>
      <c r="E23" s="150">
        <v>1207.4100000000001</v>
      </c>
      <c r="F23" s="82">
        <f t="shared" si="0"/>
        <v>2414.8200000000002</v>
      </c>
      <c r="G23" s="82">
        <f t="shared" si="1"/>
        <v>2897.78</v>
      </c>
    </row>
    <row r="24" spans="1:8" ht="41.4" x14ac:dyDescent="0.3">
      <c r="A24" s="69">
        <f t="shared" si="3"/>
        <v>18</v>
      </c>
      <c r="B24" s="58" t="s">
        <v>403</v>
      </c>
      <c r="C24" s="57" t="s">
        <v>207</v>
      </c>
      <c r="D24" s="60">
        <v>2</v>
      </c>
      <c r="E24" s="150">
        <v>7231.84</v>
      </c>
      <c r="F24" s="82">
        <f t="shared" si="0"/>
        <v>14463.68</v>
      </c>
      <c r="G24" s="82">
        <f t="shared" si="1"/>
        <v>17356.419999999998</v>
      </c>
    </row>
    <row r="25" spans="1:8" ht="41.4" x14ac:dyDescent="0.3">
      <c r="A25" s="69">
        <f t="shared" si="3"/>
        <v>19</v>
      </c>
      <c r="B25" s="58" t="s">
        <v>404</v>
      </c>
      <c r="C25" s="57" t="s">
        <v>207</v>
      </c>
      <c r="D25" s="60">
        <v>1</v>
      </c>
      <c r="E25" s="150">
        <v>12816.51</v>
      </c>
      <c r="F25" s="82">
        <f t="shared" si="0"/>
        <v>12816.51</v>
      </c>
      <c r="G25" s="82">
        <f t="shared" si="1"/>
        <v>15379.81</v>
      </c>
    </row>
    <row r="26" spans="1:8" ht="15.6" x14ac:dyDescent="0.3">
      <c r="A26" s="69">
        <f t="shared" si="3"/>
        <v>20</v>
      </c>
      <c r="B26" s="58" t="s">
        <v>405</v>
      </c>
      <c r="C26" s="57" t="s">
        <v>207</v>
      </c>
      <c r="D26" s="60">
        <v>1</v>
      </c>
      <c r="E26" s="150">
        <v>3933.74</v>
      </c>
      <c r="F26" s="82">
        <f t="shared" si="0"/>
        <v>3933.74</v>
      </c>
      <c r="G26" s="82">
        <f t="shared" si="1"/>
        <v>4720.49</v>
      </c>
    </row>
    <row r="27" spans="1:8" ht="15.6" x14ac:dyDescent="0.3">
      <c r="A27" s="69">
        <f t="shared" si="3"/>
        <v>21</v>
      </c>
      <c r="B27" s="58" t="s">
        <v>406</v>
      </c>
      <c r="C27" s="57" t="s">
        <v>207</v>
      </c>
      <c r="D27" s="60">
        <v>1</v>
      </c>
      <c r="E27" s="150">
        <v>10242.219999999999</v>
      </c>
      <c r="F27" s="82">
        <f t="shared" si="0"/>
        <v>10242.219999999999</v>
      </c>
      <c r="G27" s="82">
        <f t="shared" si="1"/>
        <v>12290.66</v>
      </c>
    </row>
    <row r="28" spans="1:8" ht="27.6" x14ac:dyDescent="0.3">
      <c r="A28" s="69">
        <f t="shared" si="3"/>
        <v>22</v>
      </c>
      <c r="B28" s="58" t="s">
        <v>407</v>
      </c>
      <c r="C28" s="57" t="s">
        <v>207</v>
      </c>
      <c r="D28" s="60">
        <v>1</v>
      </c>
      <c r="E28" s="150">
        <v>3397.31</v>
      </c>
      <c r="F28" s="82">
        <f t="shared" si="0"/>
        <v>3397.31</v>
      </c>
      <c r="G28" s="82">
        <f t="shared" si="1"/>
        <v>4076.77</v>
      </c>
    </row>
    <row r="29" spans="1:8" ht="27.6" x14ac:dyDescent="0.3">
      <c r="A29" s="69">
        <f t="shared" si="3"/>
        <v>23</v>
      </c>
      <c r="B29" s="58" t="s">
        <v>408</v>
      </c>
      <c r="C29" s="57" t="s">
        <v>482</v>
      </c>
      <c r="D29" s="60">
        <v>1</v>
      </c>
      <c r="E29" s="150">
        <v>35713.949999999997</v>
      </c>
      <c r="F29" s="82">
        <f t="shared" si="0"/>
        <v>35713.949999999997</v>
      </c>
      <c r="G29" s="82">
        <f t="shared" si="1"/>
        <v>42856.74</v>
      </c>
    </row>
    <row r="30" spans="1:8" ht="15.6" x14ac:dyDescent="0.3">
      <c r="A30" s="69"/>
      <c r="B30" s="56" t="s">
        <v>409</v>
      </c>
      <c r="C30" s="57"/>
      <c r="D30" s="60"/>
      <c r="E30" s="150"/>
      <c r="F30" s="82"/>
      <c r="G30" s="82"/>
    </row>
    <row r="31" spans="1:8" ht="15.6" x14ac:dyDescent="0.3">
      <c r="A31" s="69">
        <f>A29+1</f>
        <v>24</v>
      </c>
      <c r="B31" s="58" t="s">
        <v>478</v>
      </c>
      <c r="C31" s="57" t="s">
        <v>181</v>
      </c>
      <c r="D31" s="61">
        <v>0.7</v>
      </c>
      <c r="E31" s="150">
        <v>4259.21</v>
      </c>
      <c r="F31" s="82">
        <f t="shared" si="0"/>
        <v>2981.45</v>
      </c>
      <c r="G31" s="82">
        <f t="shared" si="1"/>
        <v>3577.74</v>
      </c>
    </row>
    <row r="32" spans="1:8" ht="27.6" x14ac:dyDescent="0.3">
      <c r="A32" s="69">
        <f>A31+1</f>
        <v>25</v>
      </c>
      <c r="B32" s="58" t="s">
        <v>410</v>
      </c>
      <c r="C32" s="57" t="s">
        <v>181</v>
      </c>
      <c r="D32" s="63">
        <v>1.7350000000000001</v>
      </c>
      <c r="E32" s="150">
        <v>32605.8</v>
      </c>
      <c r="F32" s="82">
        <f t="shared" si="0"/>
        <v>56571.06</v>
      </c>
      <c r="G32" s="82">
        <f t="shared" si="1"/>
        <v>67885.27</v>
      </c>
      <c r="H32">
        <v>18174</v>
      </c>
    </row>
    <row r="33" spans="1:8" ht="15.6" x14ac:dyDescent="0.3">
      <c r="A33" s="69"/>
      <c r="B33" s="56" t="s">
        <v>411</v>
      </c>
      <c r="C33" s="57"/>
      <c r="D33" s="60"/>
      <c r="E33" s="150"/>
      <c r="F33" s="82"/>
      <c r="G33" s="82"/>
    </row>
    <row r="34" spans="1:8" ht="27.6" x14ac:dyDescent="0.3">
      <c r="A34" s="69">
        <f>A32+1</f>
        <v>26</v>
      </c>
      <c r="B34" s="58" t="s">
        <v>412</v>
      </c>
      <c r="C34" s="57" t="s">
        <v>181</v>
      </c>
      <c r="D34" s="60">
        <v>2</v>
      </c>
      <c r="E34" s="150">
        <v>26084.63</v>
      </c>
      <c r="F34" s="82">
        <f t="shared" si="0"/>
        <v>52169.26</v>
      </c>
      <c r="G34" s="82">
        <f t="shared" ref="G34:G36" si="4">ROUND(F34*1.2,2)</f>
        <v>62603.11</v>
      </c>
    </row>
    <row r="35" spans="1:8" ht="15.6" x14ac:dyDescent="0.3">
      <c r="A35" s="69"/>
      <c r="B35" s="58" t="s">
        <v>479</v>
      </c>
      <c r="C35" s="57" t="s">
        <v>219</v>
      </c>
      <c r="D35" s="61">
        <v>4.4000000000000004</v>
      </c>
      <c r="E35" s="150">
        <v>436.23</v>
      </c>
      <c r="F35" s="82">
        <f t="shared" si="0"/>
        <v>1919.41</v>
      </c>
      <c r="G35" s="82">
        <f t="shared" si="4"/>
        <v>2303.29</v>
      </c>
    </row>
    <row r="36" spans="1:8" ht="27.6" x14ac:dyDescent="0.3">
      <c r="A36" s="69">
        <f>A34+1</f>
        <v>27</v>
      </c>
      <c r="B36" s="58" t="s">
        <v>413</v>
      </c>
      <c r="C36" s="57" t="s">
        <v>219</v>
      </c>
      <c r="D36" s="61">
        <v>4.4000000000000004</v>
      </c>
      <c r="E36" s="150">
        <v>312.27999999999997</v>
      </c>
      <c r="F36" s="82">
        <f t="shared" si="0"/>
        <v>1374.03</v>
      </c>
      <c r="G36" s="82">
        <f t="shared" si="4"/>
        <v>1648.84</v>
      </c>
    </row>
    <row r="37" spans="1:8" ht="15.6" x14ac:dyDescent="0.3">
      <c r="A37" s="69"/>
      <c r="B37" s="56" t="s">
        <v>414</v>
      </c>
      <c r="C37" s="57"/>
      <c r="D37" s="59"/>
      <c r="E37" s="150"/>
      <c r="F37" s="82"/>
      <c r="G37" s="82"/>
    </row>
    <row r="38" spans="1:8" ht="15.6" x14ac:dyDescent="0.3">
      <c r="A38" s="69">
        <f>A36+1</f>
        <v>28</v>
      </c>
      <c r="B38" s="58" t="s">
        <v>415</v>
      </c>
      <c r="C38" s="57" t="s">
        <v>182</v>
      </c>
      <c r="D38" s="60">
        <v>31</v>
      </c>
      <c r="E38" s="150">
        <v>769.25</v>
      </c>
      <c r="F38" s="82">
        <f t="shared" si="0"/>
        <v>23846.75</v>
      </c>
      <c r="G38" s="82">
        <f t="shared" ref="G38:G40" si="5">ROUND(F38*1.2,2)</f>
        <v>28616.1</v>
      </c>
    </row>
    <row r="39" spans="1:8" ht="15.6" x14ac:dyDescent="0.3">
      <c r="A39" s="69">
        <f>A38+1</f>
        <v>29</v>
      </c>
      <c r="B39" s="58" t="s">
        <v>416</v>
      </c>
      <c r="C39" s="57" t="s">
        <v>219</v>
      </c>
      <c r="D39" s="59">
        <v>1.23</v>
      </c>
      <c r="E39" s="150">
        <v>433.62</v>
      </c>
      <c r="F39" s="82">
        <f t="shared" si="0"/>
        <v>533.35</v>
      </c>
      <c r="G39" s="82">
        <f t="shared" si="5"/>
        <v>640.02</v>
      </c>
    </row>
    <row r="40" spans="1:8" ht="27.6" x14ac:dyDescent="0.3">
      <c r="A40" s="69">
        <f>A39+1</f>
        <v>30</v>
      </c>
      <c r="B40" s="58" t="s">
        <v>417</v>
      </c>
      <c r="C40" s="57" t="s">
        <v>219</v>
      </c>
      <c r="D40" s="59">
        <v>1.23</v>
      </c>
      <c r="E40" s="150">
        <v>312.27999999999997</v>
      </c>
      <c r="F40" s="82">
        <f t="shared" si="0"/>
        <v>384.1</v>
      </c>
      <c r="G40" s="82">
        <f t="shared" si="5"/>
        <v>460.92</v>
      </c>
      <c r="H40" s="172"/>
    </row>
    <row r="41" spans="1:8" ht="28.5" customHeight="1" x14ac:dyDescent="0.3">
      <c r="A41" s="134"/>
      <c r="B41" s="398" t="s">
        <v>296</v>
      </c>
      <c r="C41" s="399"/>
      <c r="D41" s="403"/>
      <c r="E41" s="135"/>
      <c r="F41" s="136"/>
      <c r="G41" s="147"/>
    </row>
    <row r="42" spans="1:8" ht="16.5" customHeight="1" x14ac:dyDescent="0.3">
      <c r="A42" s="57"/>
      <c r="B42" s="56" t="s">
        <v>248</v>
      </c>
      <c r="C42" s="57"/>
      <c r="D42" s="149"/>
      <c r="E42" s="145"/>
      <c r="F42" s="141"/>
      <c r="G42" s="148"/>
    </row>
    <row r="43" spans="1:8" ht="27.6" x14ac:dyDescent="0.3">
      <c r="A43" s="57">
        <f>A40+1</f>
        <v>31</v>
      </c>
      <c r="B43" s="58" t="s">
        <v>418</v>
      </c>
      <c r="C43" s="89" t="s">
        <v>181</v>
      </c>
      <c r="D43" s="60">
        <v>759</v>
      </c>
      <c r="E43" s="150">
        <v>90.47</v>
      </c>
      <c r="F43" s="82">
        <f t="shared" ref="F43:F68" si="6">ROUND(E43*D43,2)</f>
        <v>68666.73</v>
      </c>
      <c r="G43" s="82">
        <f t="shared" ref="G43:G68" si="7">ROUND(F43*1.2,2)</f>
        <v>82400.08</v>
      </c>
      <c r="H43">
        <v>325</v>
      </c>
    </row>
    <row r="44" spans="1:8" ht="15.6" x14ac:dyDescent="0.3">
      <c r="A44" s="57">
        <f t="shared" ref="A44:A64" si="8">A43+1</f>
        <v>32</v>
      </c>
      <c r="B44" s="58" t="s">
        <v>389</v>
      </c>
      <c r="C44" s="89" t="s">
        <v>181</v>
      </c>
      <c r="D44" s="60">
        <v>23</v>
      </c>
      <c r="E44" s="150">
        <v>1860.11</v>
      </c>
      <c r="F44" s="82">
        <f t="shared" si="6"/>
        <v>42782.53</v>
      </c>
      <c r="G44" s="82">
        <f t="shared" si="7"/>
        <v>51339.040000000001</v>
      </c>
      <c r="H44">
        <v>1777</v>
      </c>
    </row>
    <row r="45" spans="1:8" ht="15.6" x14ac:dyDescent="0.3">
      <c r="A45" s="57">
        <f t="shared" si="8"/>
        <v>33</v>
      </c>
      <c r="B45" s="58" t="s">
        <v>390</v>
      </c>
      <c r="C45" s="89" t="s">
        <v>181</v>
      </c>
      <c r="D45" s="60">
        <v>39</v>
      </c>
      <c r="E45" s="150">
        <v>1155.67</v>
      </c>
      <c r="F45" s="82">
        <f t="shared" si="6"/>
        <v>45071.13</v>
      </c>
      <c r="G45" s="82">
        <f t="shared" si="7"/>
        <v>54085.36</v>
      </c>
    </row>
    <row r="46" spans="1:8" ht="15.6" x14ac:dyDescent="0.3">
      <c r="A46" s="57">
        <f t="shared" si="8"/>
        <v>34</v>
      </c>
      <c r="B46" s="58" t="s">
        <v>252</v>
      </c>
      <c r="C46" s="89" t="s">
        <v>181</v>
      </c>
      <c r="D46" s="60">
        <v>8</v>
      </c>
      <c r="E46" s="150">
        <v>1456.66</v>
      </c>
      <c r="F46" s="82">
        <f t="shared" si="6"/>
        <v>11653.28</v>
      </c>
      <c r="G46" s="82">
        <f t="shared" si="7"/>
        <v>13983.94</v>
      </c>
      <c r="H46">
        <v>1379</v>
      </c>
    </row>
    <row r="47" spans="1:8" ht="15.6" x14ac:dyDescent="0.3">
      <c r="A47" s="57">
        <f t="shared" si="8"/>
        <v>35</v>
      </c>
      <c r="B47" s="58" t="s">
        <v>391</v>
      </c>
      <c r="C47" s="89" t="s">
        <v>181</v>
      </c>
      <c r="D47" s="60">
        <v>39</v>
      </c>
      <c r="E47" s="150">
        <v>856.54</v>
      </c>
      <c r="F47" s="82">
        <f t="shared" si="6"/>
        <v>33405.06</v>
      </c>
      <c r="G47" s="82">
        <f t="shared" si="7"/>
        <v>40086.07</v>
      </c>
      <c r="H47">
        <v>1379</v>
      </c>
    </row>
    <row r="48" spans="1:8" ht="15.6" x14ac:dyDescent="0.3">
      <c r="A48" s="57">
        <f t="shared" si="8"/>
        <v>36</v>
      </c>
      <c r="B48" s="58" t="s">
        <v>249</v>
      </c>
      <c r="C48" s="89" t="s">
        <v>181</v>
      </c>
      <c r="D48" s="60">
        <v>694</v>
      </c>
      <c r="E48" s="150">
        <v>9.73</v>
      </c>
      <c r="F48" s="82">
        <f t="shared" si="6"/>
        <v>6752.62</v>
      </c>
      <c r="G48" s="82">
        <f t="shared" si="7"/>
        <v>8103.14</v>
      </c>
      <c r="H48">
        <v>125</v>
      </c>
    </row>
    <row r="49" spans="1:9" ht="15.6" x14ac:dyDescent="0.3">
      <c r="A49" s="57">
        <f t="shared" si="8"/>
        <v>37</v>
      </c>
      <c r="B49" s="58" t="s">
        <v>245</v>
      </c>
      <c r="C49" s="89" t="s">
        <v>181</v>
      </c>
      <c r="D49" s="60">
        <v>694</v>
      </c>
      <c r="E49" s="150">
        <v>197.58</v>
      </c>
      <c r="F49" s="82">
        <f t="shared" si="6"/>
        <v>137120.51999999999</v>
      </c>
      <c r="G49" s="82">
        <f t="shared" si="7"/>
        <v>164544.62</v>
      </c>
      <c r="H49">
        <v>198</v>
      </c>
    </row>
    <row r="50" spans="1:9" ht="15.6" x14ac:dyDescent="0.3">
      <c r="A50" s="57">
        <f t="shared" si="8"/>
        <v>38</v>
      </c>
      <c r="B50" s="58" t="s">
        <v>250</v>
      </c>
      <c r="C50" s="89" t="s">
        <v>181</v>
      </c>
      <c r="D50" s="60">
        <v>37</v>
      </c>
      <c r="E50" s="150">
        <v>856.54</v>
      </c>
      <c r="F50" s="82">
        <f t="shared" si="6"/>
        <v>31691.98</v>
      </c>
      <c r="G50" s="82">
        <f t="shared" si="7"/>
        <v>38030.379999999997</v>
      </c>
      <c r="H50">
        <v>899</v>
      </c>
    </row>
    <row r="51" spans="1:9" ht="27.6" x14ac:dyDescent="0.3">
      <c r="A51" s="57">
        <f t="shared" si="8"/>
        <v>39</v>
      </c>
      <c r="B51" s="58" t="s">
        <v>392</v>
      </c>
      <c r="C51" s="89" t="s">
        <v>219</v>
      </c>
      <c r="D51" s="61">
        <v>81.599999999999994</v>
      </c>
      <c r="E51" s="150">
        <v>67.760000000000005</v>
      </c>
      <c r="F51" s="82">
        <f t="shared" si="6"/>
        <v>5529.22</v>
      </c>
      <c r="G51" s="82">
        <f t="shared" si="7"/>
        <v>6635.06</v>
      </c>
      <c r="H51">
        <v>325</v>
      </c>
    </row>
    <row r="52" spans="1:9" ht="27.6" x14ac:dyDescent="0.3">
      <c r="A52" s="57">
        <f t="shared" si="8"/>
        <v>40</v>
      </c>
      <c r="B52" s="58" t="s">
        <v>393</v>
      </c>
      <c r="C52" s="57" t="s">
        <v>219</v>
      </c>
      <c r="D52" s="61">
        <v>81.599999999999994</v>
      </c>
      <c r="E52" s="150">
        <v>312.27999999999997</v>
      </c>
      <c r="F52" s="82">
        <f t="shared" si="6"/>
        <v>25482.05</v>
      </c>
      <c r="G52" s="82">
        <f t="shared" si="7"/>
        <v>30578.46</v>
      </c>
      <c r="H52">
        <v>3460</v>
      </c>
      <c r="I52" s="173" t="s">
        <v>480</v>
      </c>
    </row>
    <row r="53" spans="1:9" ht="15.6" x14ac:dyDescent="0.3">
      <c r="A53" s="57"/>
      <c r="B53" s="56" t="s">
        <v>254</v>
      </c>
      <c r="C53" s="57"/>
      <c r="D53" s="59"/>
      <c r="E53" s="150"/>
      <c r="F53" s="82"/>
      <c r="G53" s="82"/>
    </row>
    <row r="54" spans="1:9" ht="27.6" x14ac:dyDescent="0.3">
      <c r="A54" s="57">
        <f>A52+1</f>
        <v>41</v>
      </c>
      <c r="B54" s="58" t="s">
        <v>419</v>
      </c>
      <c r="C54" s="57" t="s">
        <v>182</v>
      </c>
      <c r="D54" s="60">
        <v>97</v>
      </c>
      <c r="E54" s="150">
        <v>1045.03</v>
      </c>
      <c r="F54" s="82">
        <f t="shared" si="6"/>
        <v>101367.91</v>
      </c>
      <c r="G54" s="82">
        <f t="shared" si="7"/>
        <v>121641.49</v>
      </c>
    </row>
    <row r="55" spans="1:9" ht="41.4" x14ac:dyDescent="0.3">
      <c r="A55" s="57">
        <f t="shared" si="8"/>
        <v>42</v>
      </c>
      <c r="B55" s="58" t="s">
        <v>420</v>
      </c>
      <c r="C55" s="57" t="s">
        <v>182</v>
      </c>
      <c r="D55" s="60">
        <v>6</v>
      </c>
      <c r="E55" s="150">
        <v>1960.07</v>
      </c>
      <c r="F55" s="82">
        <f t="shared" si="6"/>
        <v>11760.42</v>
      </c>
      <c r="G55" s="82">
        <f t="shared" si="7"/>
        <v>14112.5</v>
      </c>
    </row>
    <row r="56" spans="1:9" ht="27.6" x14ac:dyDescent="0.3">
      <c r="A56" s="57">
        <f t="shared" si="8"/>
        <v>43</v>
      </c>
      <c r="B56" s="58" t="s">
        <v>421</v>
      </c>
      <c r="C56" s="57" t="s">
        <v>207</v>
      </c>
      <c r="D56" s="60">
        <v>1</v>
      </c>
      <c r="E56" s="150">
        <v>8983.23</v>
      </c>
      <c r="F56" s="82">
        <f t="shared" si="6"/>
        <v>8983.23</v>
      </c>
      <c r="G56" s="82">
        <f t="shared" si="7"/>
        <v>10779.88</v>
      </c>
    </row>
    <row r="57" spans="1:9" ht="27.6" x14ac:dyDescent="0.3">
      <c r="A57" s="57">
        <f t="shared" si="8"/>
        <v>44</v>
      </c>
      <c r="B57" s="58" t="s">
        <v>422</v>
      </c>
      <c r="C57" s="57" t="s">
        <v>207</v>
      </c>
      <c r="D57" s="60">
        <v>1</v>
      </c>
      <c r="E57" s="150">
        <v>4477.97</v>
      </c>
      <c r="F57" s="82">
        <f t="shared" si="6"/>
        <v>4477.97</v>
      </c>
      <c r="G57" s="82">
        <f t="shared" si="7"/>
        <v>5373.56</v>
      </c>
    </row>
    <row r="58" spans="1:9" ht="15.6" x14ac:dyDescent="0.3">
      <c r="A58" s="57">
        <f t="shared" si="8"/>
        <v>45</v>
      </c>
      <c r="B58" s="58" t="s">
        <v>423</v>
      </c>
      <c r="C58" s="57" t="s">
        <v>207</v>
      </c>
      <c r="D58" s="60">
        <v>8</v>
      </c>
      <c r="E58" s="150">
        <v>592.5</v>
      </c>
      <c r="F58" s="82">
        <f t="shared" si="6"/>
        <v>4740</v>
      </c>
      <c r="G58" s="82">
        <f t="shared" si="7"/>
        <v>5688</v>
      </c>
    </row>
    <row r="59" spans="1:9" ht="27.6" x14ac:dyDescent="0.3">
      <c r="A59" s="57">
        <f t="shared" si="8"/>
        <v>46</v>
      </c>
      <c r="B59" s="58" t="s">
        <v>401</v>
      </c>
      <c r="C59" s="57" t="s">
        <v>207</v>
      </c>
      <c r="D59" s="60">
        <v>8</v>
      </c>
      <c r="E59" s="150">
        <v>210.41</v>
      </c>
      <c r="F59" s="82">
        <f t="shared" si="6"/>
        <v>1683.28</v>
      </c>
      <c r="G59" s="82">
        <f t="shared" si="7"/>
        <v>2019.94</v>
      </c>
    </row>
    <row r="60" spans="1:9" ht="41.4" x14ac:dyDescent="0.3">
      <c r="A60" s="57">
        <f t="shared" si="8"/>
        <v>47</v>
      </c>
      <c r="B60" s="58" t="s">
        <v>424</v>
      </c>
      <c r="C60" s="57" t="s">
        <v>207</v>
      </c>
      <c r="D60" s="60">
        <v>1</v>
      </c>
      <c r="E60" s="150">
        <v>2066.3000000000002</v>
      </c>
      <c r="F60" s="82">
        <f t="shared" si="6"/>
        <v>2066.3000000000002</v>
      </c>
      <c r="G60" s="82">
        <f t="shared" si="7"/>
        <v>2479.56</v>
      </c>
    </row>
    <row r="61" spans="1:9" ht="41.4" x14ac:dyDescent="0.3">
      <c r="A61" s="57">
        <f t="shared" si="8"/>
        <v>48</v>
      </c>
      <c r="B61" s="58" t="s">
        <v>425</v>
      </c>
      <c r="C61" s="57" t="s">
        <v>207</v>
      </c>
      <c r="D61" s="60">
        <v>1</v>
      </c>
      <c r="E61" s="150">
        <v>3397.31</v>
      </c>
      <c r="F61" s="82">
        <f t="shared" si="6"/>
        <v>3397.31</v>
      </c>
      <c r="G61" s="82">
        <f t="shared" si="7"/>
        <v>4076.77</v>
      </c>
    </row>
    <row r="62" spans="1:9" ht="27.6" x14ac:dyDescent="0.3">
      <c r="A62" s="57">
        <f t="shared" si="8"/>
        <v>49</v>
      </c>
      <c r="B62" s="58" t="s">
        <v>426</v>
      </c>
      <c r="C62" s="57" t="s">
        <v>207</v>
      </c>
      <c r="D62" s="60">
        <v>1</v>
      </c>
      <c r="E62" s="150">
        <v>3317.02</v>
      </c>
      <c r="F62" s="82">
        <f t="shared" si="6"/>
        <v>3317.02</v>
      </c>
      <c r="G62" s="82">
        <f t="shared" si="7"/>
        <v>3980.42</v>
      </c>
    </row>
    <row r="63" spans="1:9" ht="27.6" x14ac:dyDescent="0.3">
      <c r="A63" s="57">
        <f t="shared" si="8"/>
        <v>50</v>
      </c>
      <c r="B63" s="58" t="s">
        <v>427</v>
      </c>
      <c r="C63" s="57" t="s">
        <v>207</v>
      </c>
      <c r="D63" s="60">
        <v>1</v>
      </c>
      <c r="E63" s="150">
        <v>3397.31</v>
      </c>
      <c r="F63" s="82">
        <f t="shared" si="6"/>
        <v>3397.31</v>
      </c>
      <c r="G63" s="82">
        <f t="shared" si="7"/>
        <v>4076.77</v>
      </c>
    </row>
    <row r="64" spans="1:9" ht="27.6" x14ac:dyDescent="0.3">
      <c r="A64" s="57">
        <f t="shared" si="8"/>
        <v>51</v>
      </c>
      <c r="B64" s="58" t="s">
        <v>408</v>
      </c>
      <c r="C64" s="57" t="s">
        <v>482</v>
      </c>
      <c r="D64" s="60">
        <v>1</v>
      </c>
      <c r="E64" s="150">
        <v>30624.26</v>
      </c>
      <c r="F64" s="82">
        <f t="shared" si="6"/>
        <v>30624.26</v>
      </c>
      <c r="G64" s="82">
        <f t="shared" si="7"/>
        <v>36749.11</v>
      </c>
    </row>
    <row r="65" spans="1:9" ht="15.6" x14ac:dyDescent="0.3">
      <c r="A65" s="57"/>
      <c r="B65" s="56" t="s">
        <v>414</v>
      </c>
      <c r="C65" s="57"/>
      <c r="D65" s="60"/>
      <c r="E65" s="150"/>
      <c r="F65" s="82"/>
      <c r="G65" s="82"/>
    </row>
    <row r="66" spans="1:9" ht="15.6" x14ac:dyDescent="0.3">
      <c r="A66" s="57">
        <f>A64+1</f>
        <v>52</v>
      </c>
      <c r="B66" s="58" t="s">
        <v>428</v>
      </c>
      <c r="C66" s="57" t="s">
        <v>182</v>
      </c>
      <c r="D66" s="60">
        <v>97</v>
      </c>
      <c r="E66" s="150">
        <v>728.8</v>
      </c>
      <c r="F66" s="82">
        <f t="shared" si="6"/>
        <v>70693.600000000006</v>
      </c>
      <c r="G66" s="82">
        <f t="shared" ref="G66:G67" si="9">ROUND(F66*1.2,2)</f>
        <v>84832.320000000007</v>
      </c>
    </row>
    <row r="67" spans="1:9" ht="15.6" x14ac:dyDescent="0.3">
      <c r="A67" s="57">
        <f>A66+1</f>
        <v>53</v>
      </c>
      <c r="B67" s="58" t="s">
        <v>416</v>
      </c>
      <c r="C67" s="57" t="s">
        <v>219</v>
      </c>
      <c r="D67" s="60">
        <v>3</v>
      </c>
      <c r="E67" s="150">
        <v>433.62</v>
      </c>
      <c r="F67" s="82">
        <f t="shared" si="6"/>
        <v>1300.8599999999999</v>
      </c>
      <c r="G67" s="82">
        <f t="shared" si="9"/>
        <v>1561.03</v>
      </c>
    </row>
    <row r="68" spans="1:9" ht="27.6" x14ac:dyDescent="0.3">
      <c r="A68" s="57">
        <f>A67+1</f>
        <v>54</v>
      </c>
      <c r="B68" s="58" t="s">
        <v>417</v>
      </c>
      <c r="C68" s="57" t="s">
        <v>219</v>
      </c>
      <c r="D68" s="60">
        <v>3</v>
      </c>
      <c r="E68" s="150">
        <v>312.27999999999997</v>
      </c>
      <c r="F68" s="82">
        <f t="shared" si="6"/>
        <v>936.84</v>
      </c>
      <c r="G68" s="82">
        <f t="shared" si="7"/>
        <v>1124.21</v>
      </c>
    </row>
    <row r="69" spans="1:9" ht="34.5" customHeight="1" x14ac:dyDescent="0.3">
      <c r="A69" s="134"/>
      <c r="B69" s="398" t="s">
        <v>297</v>
      </c>
      <c r="C69" s="399"/>
      <c r="D69" s="403"/>
      <c r="E69" s="135"/>
      <c r="F69" s="136"/>
      <c r="G69" s="147"/>
    </row>
    <row r="70" spans="1:9" x14ac:dyDescent="0.3">
      <c r="A70" s="57"/>
      <c r="B70" s="56" t="s">
        <v>248</v>
      </c>
      <c r="C70" s="57"/>
      <c r="D70" s="149"/>
      <c r="E70" s="145"/>
      <c r="F70" s="141"/>
      <c r="G70" s="148"/>
    </row>
    <row r="71" spans="1:9" ht="27.6" x14ac:dyDescent="0.3">
      <c r="A71" s="57">
        <f>A68+1</f>
        <v>55</v>
      </c>
      <c r="B71" s="58" t="s">
        <v>388</v>
      </c>
      <c r="C71" s="57" t="s">
        <v>181</v>
      </c>
      <c r="D71" s="60">
        <v>1202</v>
      </c>
      <c r="E71" s="150">
        <v>90.47</v>
      </c>
      <c r="F71" s="82">
        <f t="shared" ref="F71:F96" si="10">ROUND(E71*D71,2)</f>
        <v>108744.94</v>
      </c>
      <c r="G71" s="82">
        <f t="shared" ref="G71:G88" si="11">ROUND(F71*1.2,2)</f>
        <v>130493.93</v>
      </c>
      <c r="H71">
        <v>325</v>
      </c>
    </row>
    <row r="72" spans="1:9" ht="15.6" x14ac:dyDescent="0.3">
      <c r="A72" s="57">
        <f>A71+1</f>
        <v>56</v>
      </c>
      <c r="B72" s="58" t="s">
        <v>389</v>
      </c>
      <c r="C72" s="57" t="s">
        <v>181</v>
      </c>
      <c r="D72" s="60">
        <v>36</v>
      </c>
      <c r="E72" s="150">
        <v>1860.11</v>
      </c>
      <c r="F72" s="82">
        <f t="shared" si="10"/>
        <v>66963.960000000006</v>
      </c>
      <c r="G72" s="82">
        <f t="shared" si="11"/>
        <v>80356.75</v>
      </c>
      <c r="H72">
        <v>1777</v>
      </c>
    </row>
    <row r="73" spans="1:9" ht="15.6" x14ac:dyDescent="0.3">
      <c r="A73" s="57">
        <f t="shared" ref="A73:A80" si="12">A72+1</f>
        <v>57</v>
      </c>
      <c r="B73" s="58" t="s">
        <v>390</v>
      </c>
      <c r="C73" s="57" t="s">
        <v>181</v>
      </c>
      <c r="D73" s="60">
        <v>46</v>
      </c>
      <c r="E73" s="150">
        <v>1205.9100000000001</v>
      </c>
      <c r="F73" s="82">
        <f t="shared" si="10"/>
        <v>55471.86</v>
      </c>
      <c r="G73" s="82">
        <f t="shared" si="11"/>
        <v>66566.23</v>
      </c>
    </row>
    <row r="74" spans="1:9" ht="15.6" x14ac:dyDescent="0.3">
      <c r="A74" s="57">
        <f t="shared" si="12"/>
        <v>58</v>
      </c>
      <c r="B74" s="58" t="s">
        <v>252</v>
      </c>
      <c r="C74" s="57" t="s">
        <v>181</v>
      </c>
      <c r="D74" s="60">
        <v>8</v>
      </c>
      <c r="E74" s="150">
        <v>1456.66</v>
      </c>
      <c r="F74" s="82">
        <f t="shared" si="10"/>
        <v>11653.28</v>
      </c>
      <c r="G74" s="82">
        <f t="shared" si="11"/>
        <v>13983.94</v>
      </c>
      <c r="H74">
        <v>1379</v>
      </c>
    </row>
    <row r="75" spans="1:9" ht="15.6" x14ac:dyDescent="0.3">
      <c r="A75" s="57">
        <f t="shared" si="12"/>
        <v>59</v>
      </c>
      <c r="B75" s="58" t="s">
        <v>391</v>
      </c>
      <c r="C75" s="57" t="s">
        <v>181</v>
      </c>
      <c r="D75" s="60">
        <v>48</v>
      </c>
      <c r="E75" s="150">
        <v>856.54</v>
      </c>
      <c r="F75" s="82">
        <f t="shared" si="10"/>
        <v>41113.919999999998</v>
      </c>
      <c r="G75" s="82">
        <f t="shared" si="11"/>
        <v>49336.7</v>
      </c>
      <c r="H75">
        <v>1379</v>
      </c>
    </row>
    <row r="76" spans="1:9" ht="15.6" x14ac:dyDescent="0.3">
      <c r="A76" s="57">
        <f t="shared" si="12"/>
        <v>60</v>
      </c>
      <c r="B76" s="58" t="s">
        <v>429</v>
      </c>
      <c r="C76" s="57" t="s">
        <v>181</v>
      </c>
      <c r="D76" s="60">
        <v>1116</v>
      </c>
      <c r="E76" s="150">
        <v>9.73</v>
      </c>
      <c r="F76" s="82">
        <f t="shared" si="10"/>
        <v>10858.68</v>
      </c>
      <c r="G76" s="82">
        <f t="shared" si="11"/>
        <v>13030.42</v>
      </c>
      <c r="H76">
        <v>125</v>
      </c>
    </row>
    <row r="77" spans="1:9" ht="15.6" x14ac:dyDescent="0.3">
      <c r="A77" s="57">
        <f t="shared" si="12"/>
        <v>61</v>
      </c>
      <c r="B77" s="58" t="s">
        <v>245</v>
      </c>
      <c r="C77" s="57" t="s">
        <v>181</v>
      </c>
      <c r="D77" s="60">
        <v>1116</v>
      </c>
      <c r="E77" s="150">
        <v>197.58</v>
      </c>
      <c r="F77" s="82">
        <f t="shared" si="10"/>
        <v>220499.28</v>
      </c>
      <c r="G77" s="82">
        <f t="shared" si="11"/>
        <v>264599.14</v>
      </c>
      <c r="H77">
        <v>198</v>
      </c>
    </row>
    <row r="78" spans="1:9" ht="15.6" x14ac:dyDescent="0.3">
      <c r="A78" s="57">
        <f t="shared" si="12"/>
        <v>62</v>
      </c>
      <c r="B78" s="58" t="s">
        <v>430</v>
      </c>
      <c r="C78" s="57" t="s">
        <v>181</v>
      </c>
      <c r="D78" s="60">
        <v>59</v>
      </c>
      <c r="E78" s="150">
        <v>856.54</v>
      </c>
      <c r="F78" s="82">
        <f t="shared" si="10"/>
        <v>50535.86</v>
      </c>
      <c r="G78" s="82">
        <f t="shared" si="11"/>
        <v>60643.03</v>
      </c>
      <c r="H78">
        <v>899</v>
      </c>
    </row>
    <row r="79" spans="1:9" ht="27.6" x14ac:dyDescent="0.3">
      <c r="A79" s="57">
        <f t="shared" si="12"/>
        <v>63</v>
      </c>
      <c r="B79" s="58" t="s">
        <v>431</v>
      </c>
      <c r="C79" s="57" t="s">
        <v>219</v>
      </c>
      <c r="D79" s="61">
        <v>100.8</v>
      </c>
      <c r="E79" s="150">
        <v>67.760000000000005</v>
      </c>
      <c r="F79" s="82">
        <f t="shared" si="10"/>
        <v>6830.21</v>
      </c>
      <c r="G79" s="82">
        <f t="shared" si="11"/>
        <v>8196.25</v>
      </c>
      <c r="H79">
        <v>325</v>
      </c>
    </row>
    <row r="80" spans="1:9" ht="27.6" x14ac:dyDescent="0.3">
      <c r="A80" s="57">
        <f t="shared" si="12"/>
        <v>64</v>
      </c>
      <c r="B80" s="58" t="s">
        <v>393</v>
      </c>
      <c r="C80" s="57" t="s">
        <v>219</v>
      </c>
      <c r="D80" s="61">
        <v>100.8</v>
      </c>
      <c r="E80" s="150">
        <v>312.27999999999997</v>
      </c>
      <c r="F80" s="82">
        <f t="shared" si="10"/>
        <v>31477.82</v>
      </c>
      <c r="G80" s="82">
        <f t="shared" si="11"/>
        <v>37773.379999999997</v>
      </c>
      <c r="H80">
        <v>3460</v>
      </c>
      <c r="I80" s="173" t="s">
        <v>480</v>
      </c>
    </row>
    <row r="81" spans="1:7" ht="15.6" x14ac:dyDescent="0.3">
      <c r="A81" s="57"/>
      <c r="B81" s="56" t="s">
        <v>254</v>
      </c>
      <c r="C81" s="57"/>
      <c r="D81" s="59"/>
      <c r="E81" s="150"/>
      <c r="F81" s="82"/>
      <c r="G81" s="82"/>
    </row>
    <row r="82" spans="1:7" ht="27.6" x14ac:dyDescent="0.3">
      <c r="A82" s="57">
        <f>A80+1</f>
        <v>65</v>
      </c>
      <c r="B82" s="58" t="s">
        <v>432</v>
      </c>
      <c r="C82" s="57" t="s">
        <v>182</v>
      </c>
      <c r="D82" s="60">
        <v>82</v>
      </c>
      <c r="E82" s="150">
        <v>1494.21</v>
      </c>
      <c r="F82" s="82">
        <f t="shared" si="10"/>
        <v>122525.22</v>
      </c>
      <c r="G82" s="82">
        <f t="shared" si="11"/>
        <v>147030.26</v>
      </c>
    </row>
    <row r="83" spans="1:7" ht="27.6" x14ac:dyDescent="0.3">
      <c r="A83" s="57">
        <f>A82+1</f>
        <v>66</v>
      </c>
      <c r="B83" s="58" t="s">
        <v>433</v>
      </c>
      <c r="C83" s="57" t="s">
        <v>182</v>
      </c>
      <c r="D83" s="60">
        <v>41</v>
      </c>
      <c r="E83" s="150">
        <v>2559.31</v>
      </c>
      <c r="F83" s="82">
        <f t="shared" si="10"/>
        <v>104931.71</v>
      </c>
      <c r="G83" s="82">
        <f t="shared" si="11"/>
        <v>125918.05</v>
      </c>
    </row>
    <row r="84" spans="1:7" ht="15.6" x14ac:dyDescent="0.3">
      <c r="A84" s="57">
        <f t="shared" ref="A84:A92" si="13">A83+1</f>
        <v>67</v>
      </c>
      <c r="B84" s="58" t="s">
        <v>434</v>
      </c>
      <c r="C84" s="57"/>
      <c r="D84" s="60">
        <v>1</v>
      </c>
      <c r="E84" s="150">
        <v>1504.77</v>
      </c>
      <c r="F84" s="82">
        <f t="shared" si="10"/>
        <v>1504.77</v>
      </c>
      <c r="G84" s="82">
        <f t="shared" si="11"/>
        <v>1805.72</v>
      </c>
    </row>
    <row r="85" spans="1:7" ht="27.6" x14ac:dyDescent="0.3">
      <c r="A85" s="57">
        <f t="shared" si="13"/>
        <v>68</v>
      </c>
      <c r="B85" s="58" t="s">
        <v>435</v>
      </c>
      <c r="C85" s="57" t="s">
        <v>207</v>
      </c>
      <c r="D85" s="60">
        <v>2</v>
      </c>
      <c r="E85" s="150">
        <v>7253.94</v>
      </c>
      <c r="F85" s="82">
        <f t="shared" si="10"/>
        <v>14507.88</v>
      </c>
      <c r="G85" s="82">
        <f t="shared" si="11"/>
        <v>17409.46</v>
      </c>
    </row>
    <row r="86" spans="1:7" ht="27.6" x14ac:dyDescent="0.3">
      <c r="A86" s="57">
        <f t="shared" si="13"/>
        <v>69</v>
      </c>
      <c r="B86" s="58" t="s">
        <v>436</v>
      </c>
      <c r="C86" s="57" t="s">
        <v>207</v>
      </c>
      <c r="D86" s="60">
        <v>2</v>
      </c>
      <c r="E86" s="150">
        <v>6691.94</v>
      </c>
      <c r="F86" s="82">
        <f t="shared" si="10"/>
        <v>13383.88</v>
      </c>
      <c r="G86" s="82">
        <f t="shared" si="11"/>
        <v>16060.66</v>
      </c>
    </row>
    <row r="87" spans="1:7" ht="15.6" x14ac:dyDescent="0.3">
      <c r="A87" s="57">
        <f t="shared" si="13"/>
        <v>70</v>
      </c>
      <c r="B87" s="58" t="s">
        <v>423</v>
      </c>
      <c r="C87" s="57" t="s">
        <v>207</v>
      </c>
      <c r="D87" s="60">
        <v>24</v>
      </c>
      <c r="E87" s="150">
        <v>592.5</v>
      </c>
      <c r="F87" s="82">
        <f t="shared" si="10"/>
        <v>14220</v>
      </c>
      <c r="G87" s="82">
        <f t="shared" si="11"/>
        <v>17064</v>
      </c>
    </row>
    <row r="88" spans="1:7" ht="27.6" x14ac:dyDescent="0.3">
      <c r="A88" s="57">
        <f t="shared" si="13"/>
        <v>71</v>
      </c>
      <c r="B88" s="58" t="s">
        <v>401</v>
      </c>
      <c r="C88" s="57" t="s">
        <v>207</v>
      </c>
      <c r="D88" s="60">
        <v>24</v>
      </c>
      <c r="E88" s="150">
        <v>210.41</v>
      </c>
      <c r="F88" s="82">
        <f t="shared" si="10"/>
        <v>5049.84</v>
      </c>
      <c r="G88" s="82">
        <f t="shared" si="11"/>
        <v>6059.81</v>
      </c>
    </row>
    <row r="89" spans="1:7" ht="41.4" x14ac:dyDescent="0.3">
      <c r="A89" s="57">
        <f t="shared" si="13"/>
        <v>72</v>
      </c>
      <c r="B89" s="58" t="s">
        <v>437</v>
      </c>
      <c r="C89" s="57" t="s">
        <v>207</v>
      </c>
      <c r="D89" s="60">
        <v>2</v>
      </c>
      <c r="E89" s="150">
        <v>2752.92</v>
      </c>
      <c r="F89" s="82">
        <f t="shared" si="10"/>
        <v>5505.84</v>
      </c>
      <c r="G89" s="82">
        <f t="shared" ref="G89:G96" si="14">ROUND(F89*1.2,2)</f>
        <v>6607.01</v>
      </c>
    </row>
    <row r="90" spans="1:7" ht="41.4" x14ac:dyDescent="0.3">
      <c r="A90" s="57">
        <f t="shared" si="13"/>
        <v>73</v>
      </c>
      <c r="B90" s="58" t="s">
        <v>438</v>
      </c>
      <c r="C90" s="57" t="s">
        <v>207</v>
      </c>
      <c r="D90" s="60">
        <v>2</v>
      </c>
      <c r="E90" s="150">
        <v>5356.92</v>
      </c>
      <c r="F90" s="82">
        <f t="shared" si="10"/>
        <v>10713.84</v>
      </c>
      <c r="G90" s="82">
        <f t="shared" si="14"/>
        <v>12856.61</v>
      </c>
    </row>
    <row r="91" spans="1:7" ht="27.6" x14ac:dyDescent="0.3">
      <c r="A91" s="57">
        <f t="shared" si="13"/>
        <v>74</v>
      </c>
      <c r="B91" s="58" t="s">
        <v>439</v>
      </c>
      <c r="C91" s="57" t="s">
        <v>207</v>
      </c>
      <c r="D91" s="60">
        <v>6</v>
      </c>
      <c r="E91" s="150">
        <v>3397.3</v>
      </c>
      <c r="F91" s="82">
        <f t="shared" si="10"/>
        <v>20383.8</v>
      </c>
      <c r="G91" s="82">
        <f t="shared" si="14"/>
        <v>24460.560000000001</v>
      </c>
    </row>
    <row r="92" spans="1:7" ht="27.6" x14ac:dyDescent="0.3">
      <c r="A92" s="57">
        <f t="shared" si="13"/>
        <v>75</v>
      </c>
      <c r="B92" s="58" t="s">
        <v>408</v>
      </c>
      <c r="C92" s="57" t="s">
        <v>482</v>
      </c>
      <c r="D92" s="60">
        <v>1</v>
      </c>
      <c r="E92" s="150">
        <v>42094.04</v>
      </c>
      <c r="F92" s="82">
        <f t="shared" si="10"/>
        <v>42094.04</v>
      </c>
      <c r="G92" s="82">
        <f t="shared" si="14"/>
        <v>50512.85</v>
      </c>
    </row>
    <row r="93" spans="1:7" ht="15.6" x14ac:dyDescent="0.3">
      <c r="A93" s="57"/>
      <c r="B93" s="56" t="s">
        <v>414</v>
      </c>
      <c r="C93" s="57"/>
      <c r="D93" s="60"/>
      <c r="E93" s="150"/>
      <c r="F93" s="82"/>
      <c r="G93" s="82"/>
    </row>
    <row r="94" spans="1:7" ht="23.25" customHeight="1" x14ac:dyDescent="0.3">
      <c r="A94" s="57">
        <f>A92+1</f>
        <v>76</v>
      </c>
      <c r="B94" s="58" t="s">
        <v>440</v>
      </c>
      <c r="C94" s="57" t="s">
        <v>182</v>
      </c>
      <c r="D94" s="60">
        <v>85</v>
      </c>
      <c r="E94" s="150">
        <v>915.99</v>
      </c>
      <c r="F94" s="82">
        <f t="shared" si="10"/>
        <v>77859.149999999994</v>
      </c>
      <c r="G94" s="82">
        <f t="shared" si="14"/>
        <v>93430.98</v>
      </c>
    </row>
    <row r="95" spans="1:7" ht="15.6" x14ac:dyDescent="0.3">
      <c r="A95" s="57">
        <f>A94+1</f>
        <v>77</v>
      </c>
      <c r="B95" s="58" t="s">
        <v>416</v>
      </c>
      <c r="C95" s="57" t="s">
        <v>219</v>
      </c>
      <c r="D95" s="60">
        <v>4</v>
      </c>
      <c r="E95" s="150">
        <v>433.62</v>
      </c>
      <c r="F95" s="82">
        <f t="shared" si="10"/>
        <v>1734.48</v>
      </c>
      <c r="G95" s="82">
        <f t="shared" si="14"/>
        <v>2081.38</v>
      </c>
    </row>
    <row r="96" spans="1:7" ht="15.6" x14ac:dyDescent="0.3">
      <c r="A96" s="57">
        <f>A95+1</f>
        <v>78</v>
      </c>
      <c r="B96" s="58" t="s">
        <v>441</v>
      </c>
      <c r="C96" s="57" t="s">
        <v>219</v>
      </c>
      <c r="D96" s="60">
        <v>4</v>
      </c>
      <c r="E96" s="150">
        <v>312.27999999999997</v>
      </c>
      <c r="F96" s="82">
        <f t="shared" si="10"/>
        <v>1249.1199999999999</v>
      </c>
      <c r="G96" s="82">
        <f t="shared" si="14"/>
        <v>1498.94</v>
      </c>
    </row>
    <row r="97" spans="1:9" ht="32.25" customHeight="1" x14ac:dyDescent="0.3">
      <c r="A97" s="134"/>
      <c r="B97" s="398" t="s">
        <v>298</v>
      </c>
      <c r="C97" s="399"/>
      <c r="D97" s="403"/>
      <c r="E97" s="135"/>
      <c r="F97" s="136"/>
      <c r="G97" s="147"/>
    </row>
    <row r="98" spans="1:9" x14ac:dyDescent="0.3">
      <c r="A98" s="57"/>
      <c r="B98" s="56" t="s">
        <v>248</v>
      </c>
      <c r="C98" s="57"/>
      <c r="D98" s="60"/>
      <c r="E98" s="145"/>
      <c r="F98" s="141"/>
      <c r="G98" s="148"/>
    </row>
    <row r="99" spans="1:9" ht="27.6" x14ac:dyDescent="0.3">
      <c r="A99" s="57">
        <f>A96+1</f>
        <v>79</v>
      </c>
      <c r="B99" s="58" t="s">
        <v>388</v>
      </c>
      <c r="C99" s="57" t="s">
        <v>181</v>
      </c>
      <c r="D99" s="60">
        <v>1328</v>
      </c>
      <c r="E99" s="150">
        <v>90.47</v>
      </c>
      <c r="F99" s="82">
        <f t="shared" ref="F99:F120" si="15">ROUND(E99*D99,2)</f>
        <v>120144.16</v>
      </c>
      <c r="G99" s="82">
        <f t="shared" ref="G99:G120" si="16">ROUND(F99*1.2,2)</f>
        <v>144172.99</v>
      </c>
      <c r="H99">
        <v>325</v>
      </c>
    </row>
    <row r="100" spans="1:9" ht="15.6" x14ac:dyDescent="0.3">
      <c r="A100" s="57">
        <f>A99+1</f>
        <v>80</v>
      </c>
      <c r="B100" s="58" t="s">
        <v>389</v>
      </c>
      <c r="C100" s="57" t="s">
        <v>181</v>
      </c>
      <c r="D100" s="60">
        <v>40</v>
      </c>
      <c r="E100" s="150">
        <v>1860.11</v>
      </c>
      <c r="F100" s="82">
        <f t="shared" si="15"/>
        <v>74404.399999999994</v>
      </c>
      <c r="G100" s="82">
        <f t="shared" si="16"/>
        <v>89285.28</v>
      </c>
      <c r="H100">
        <v>1777</v>
      </c>
    </row>
    <row r="101" spans="1:9" ht="15.6" x14ac:dyDescent="0.3">
      <c r="A101" s="57">
        <f t="shared" ref="A101:A109" si="17">A100+1</f>
        <v>81</v>
      </c>
      <c r="B101" s="58" t="s">
        <v>390</v>
      </c>
      <c r="C101" s="57" t="s">
        <v>181</v>
      </c>
      <c r="D101" s="60">
        <v>15</v>
      </c>
      <c r="E101" s="150">
        <v>1155.67</v>
      </c>
      <c r="F101" s="82">
        <f t="shared" si="15"/>
        <v>17335.05</v>
      </c>
      <c r="G101" s="82">
        <f t="shared" si="16"/>
        <v>20802.060000000001</v>
      </c>
    </row>
    <row r="102" spans="1:9" ht="15.6" x14ac:dyDescent="0.3">
      <c r="A102" s="57">
        <f t="shared" si="17"/>
        <v>82</v>
      </c>
      <c r="B102" s="58" t="s">
        <v>252</v>
      </c>
      <c r="C102" s="57" t="s">
        <v>181</v>
      </c>
      <c r="D102" s="60">
        <v>4</v>
      </c>
      <c r="E102" s="150">
        <v>1456.66</v>
      </c>
      <c r="F102" s="82">
        <f t="shared" si="15"/>
        <v>5826.64</v>
      </c>
      <c r="G102" s="82">
        <f t="shared" si="16"/>
        <v>6991.97</v>
      </c>
      <c r="H102">
        <v>1379</v>
      </c>
    </row>
    <row r="103" spans="1:9" ht="15.6" x14ac:dyDescent="0.3">
      <c r="A103" s="57">
        <f t="shared" si="17"/>
        <v>83</v>
      </c>
      <c r="B103" s="58" t="s">
        <v>391</v>
      </c>
      <c r="C103" s="57" t="s">
        <v>181</v>
      </c>
      <c r="D103" s="60">
        <v>15</v>
      </c>
      <c r="E103" s="150">
        <v>856.54</v>
      </c>
      <c r="F103" s="82">
        <f t="shared" si="15"/>
        <v>12848.1</v>
      </c>
      <c r="G103" s="82">
        <f t="shared" si="16"/>
        <v>15417.72</v>
      </c>
      <c r="H103">
        <v>1379</v>
      </c>
    </row>
    <row r="104" spans="1:9" ht="15.6" x14ac:dyDescent="0.3">
      <c r="A104" s="57">
        <f t="shared" si="17"/>
        <v>84</v>
      </c>
      <c r="B104" s="58" t="s">
        <v>429</v>
      </c>
      <c r="C104" s="57" t="s">
        <v>181</v>
      </c>
      <c r="D104" s="60">
        <v>1280</v>
      </c>
      <c r="E104" s="150">
        <v>9.73</v>
      </c>
      <c r="F104" s="82">
        <f t="shared" si="15"/>
        <v>12454.4</v>
      </c>
      <c r="G104" s="82">
        <f t="shared" si="16"/>
        <v>14945.28</v>
      </c>
      <c r="H104">
        <v>125</v>
      </c>
    </row>
    <row r="105" spans="1:9" ht="15.6" x14ac:dyDescent="0.3">
      <c r="A105" s="57">
        <f t="shared" si="17"/>
        <v>85</v>
      </c>
      <c r="B105" s="58" t="s">
        <v>245</v>
      </c>
      <c r="C105" s="57" t="s">
        <v>181</v>
      </c>
      <c r="D105" s="60">
        <v>1280</v>
      </c>
      <c r="E105" s="150">
        <v>197.58</v>
      </c>
      <c r="F105" s="82">
        <f t="shared" si="15"/>
        <v>252902.39999999999</v>
      </c>
      <c r="G105" s="82">
        <f t="shared" si="16"/>
        <v>303482.88</v>
      </c>
      <c r="H105">
        <v>198</v>
      </c>
    </row>
    <row r="106" spans="1:9" ht="15.6" x14ac:dyDescent="0.3">
      <c r="A106" s="57">
        <f t="shared" si="17"/>
        <v>86</v>
      </c>
      <c r="B106" s="58" t="s">
        <v>430</v>
      </c>
      <c r="C106" s="57" t="s">
        <v>181</v>
      </c>
      <c r="D106" s="60">
        <v>67</v>
      </c>
      <c r="E106" s="150">
        <v>856.54</v>
      </c>
      <c r="F106" s="82">
        <f t="shared" si="15"/>
        <v>57388.18</v>
      </c>
      <c r="G106" s="82">
        <f t="shared" si="16"/>
        <v>68865.820000000007</v>
      </c>
      <c r="H106">
        <v>899</v>
      </c>
    </row>
    <row r="107" spans="1:9" ht="27.6" x14ac:dyDescent="0.3">
      <c r="A107" s="57">
        <f t="shared" si="17"/>
        <v>87</v>
      </c>
      <c r="B107" s="58" t="s">
        <v>431</v>
      </c>
      <c r="C107" s="57" t="s">
        <v>219</v>
      </c>
      <c r="D107" s="61">
        <v>33.6</v>
      </c>
      <c r="E107" s="150">
        <v>67.760000000000005</v>
      </c>
      <c r="F107" s="82">
        <f t="shared" si="15"/>
        <v>2276.7399999999998</v>
      </c>
      <c r="G107" s="82">
        <f t="shared" si="16"/>
        <v>2732.09</v>
      </c>
      <c r="H107">
        <v>325</v>
      </c>
    </row>
    <row r="108" spans="1:9" ht="27.6" x14ac:dyDescent="0.3">
      <c r="A108" s="57">
        <f t="shared" si="17"/>
        <v>88</v>
      </c>
      <c r="B108" s="58" t="s">
        <v>393</v>
      </c>
      <c r="C108" s="57" t="s">
        <v>219</v>
      </c>
      <c r="D108" s="61">
        <v>33.6</v>
      </c>
      <c r="E108" s="150">
        <v>312.27999999999997</v>
      </c>
      <c r="F108" s="82">
        <f t="shared" si="15"/>
        <v>10492.61</v>
      </c>
      <c r="G108" s="82">
        <f t="shared" si="16"/>
        <v>12591.13</v>
      </c>
      <c r="H108">
        <v>3460</v>
      </c>
      <c r="I108" s="173" t="s">
        <v>480</v>
      </c>
    </row>
    <row r="109" spans="1:9" ht="27.6" x14ac:dyDescent="0.3">
      <c r="A109" s="57">
        <f t="shared" si="17"/>
        <v>89</v>
      </c>
      <c r="B109" s="58" t="s">
        <v>442</v>
      </c>
      <c r="C109" s="57" t="s">
        <v>234</v>
      </c>
      <c r="D109" s="60">
        <v>127</v>
      </c>
      <c r="E109" s="150">
        <v>306.77</v>
      </c>
      <c r="F109" s="82">
        <f t="shared" si="15"/>
        <v>38959.79</v>
      </c>
      <c r="G109" s="82">
        <f t="shared" si="16"/>
        <v>46751.75</v>
      </c>
    </row>
    <row r="110" spans="1:9" ht="21.75" customHeight="1" x14ac:dyDescent="0.3">
      <c r="A110" s="57"/>
      <c r="B110" s="56" t="s">
        <v>254</v>
      </c>
      <c r="C110" s="57"/>
      <c r="D110" s="60"/>
      <c r="E110" s="150"/>
      <c r="F110" s="82"/>
      <c r="G110" s="82"/>
    </row>
    <row r="111" spans="1:9" ht="27.6" x14ac:dyDescent="0.3">
      <c r="A111" s="57">
        <f>A109+1</f>
        <v>90</v>
      </c>
      <c r="B111" s="58" t="s">
        <v>443</v>
      </c>
      <c r="C111" s="57" t="s">
        <v>182</v>
      </c>
      <c r="D111" s="60">
        <v>42</v>
      </c>
      <c r="E111" s="150">
        <v>1045.03</v>
      </c>
      <c r="F111" s="82">
        <f t="shared" si="15"/>
        <v>43891.26</v>
      </c>
      <c r="G111" s="82">
        <f t="shared" si="16"/>
        <v>52669.51</v>
      </c>
    </row>
    <row r="112" spans="1:9" ht="41.4" x14ac:dyDescent="0.3">
      <c r="A112" s="57">
        <f>A111+1</f>
        <v>91</v>
      </c>
      <c r="B112" s="58" t="s">
        <v>444</v>
      </c>
      <c r="C112" s="57" t="s">
        <v>182</v>
      </c>
      <c r="D112" s="60">
        <v>6</v>
      </c>
      <c r="E112" s="150">
        <v>1960.07</v>
      </c>
      <c r="F112" s="82">
        <f t="shared" si="15"/>
        <v>11760.42</v>
      </c>
      <c r="G112" s="82">
        <f t="shared" si="16"/>
        <v>14112.5</v>
      </c>
    </row>
    <row r="113" spans="1:8" ht="41.4" x14ac:dyDescent="0.3">
      <c r="A113" s="57">
        <f t="shared" ref="A113:A116" si="18">A112+1</f>
        <v>92</v>
      </c>
      <c r="B113" s="58" t="s">
        <v>445</v>
      </c>
      <c r="C113" s="57" t="s">
        <v>207</v>
      </c>
      <c r="D113" s="60">
        <v>2</v>
      </c>
      <c r="E113" s="150">
        <v>1871.48</v>
      </c>
      <c r="F113" s="82">
        <f t="shared" si="15"/>
        <v>3742.96</v>
      </c>
      <c r="G113" s="82">
        <f t="shared" si="16"/>
        <v>4491.55</v>
      </c>
    </row>
    <row r="114" spans="1:8" ht="41.4" x14ac:dyDescent="0.3">
      <c r="A114" s="57">
        <f t="shared" si="18"/>
        <v>93</v>
      </c>
      <c r="B114" s="58" t="s">
        <v>446</v>
      </c>
      <c r="C114" s="57" t="s">
        <v>207</v>
      </c>
      <c r="D114" s="60">
        <v>2</v>
      </c>
      <c r="E114" s="150">
        <v>6085.16</v>
      </c>
      <c r="F114" s="82">
        <f t="shared" si="15"/>
        <v>12170.32</v>
      </c>
      <c r="G114" s="82">
        <f t="shared" si="16"/>
        <v>14604.38</v>
      </c>
    </row>
    <row r="115" spans="1:8" ht="27.6" x14ac:dyDescent="0.3">
      <c r="A115" s="57">
        <f t="shared" si="18"/>
        <v>94</v>
      </c>
      <c r="B115" s="58" t="s">
        <v>407</v>
      </c>
      <c r="C115" s="57" t="s">
        <v>207</v>
      </c>
      <c r="D115" s="60">
        <v>1</v>
      </c>
      <c r="E115" s="150">
        <v>3397.31</v>
      </c>
      <c r="F115" s="82">
        <f t="shared" si="15"/>
        <v>3397.31</v>
      </c>
      <c r="G115" s="82">
        <f t="shared" si="16"/>
        <v>4076.77</v>
      </c>
    </row>
    <row r="116" spans="1:8" ht="30" customHeight="1" x14ac:dyDescent="0.3">
      <c r="A116" s="57">
        <f t="shared" si="18"/>
        <v>95</v>
      </c>
      <c r="B116" s="58" t="s">
        <v>408</v>
      </c>
      <c r="C116" s="57" t="s">
        <v>482</v>
      </c>
      <c r="D116" s="60">
        <v>1</v>
      </c>
      <c r="E116" s="150">
        <v>30624.26</v>
      </c>
      <c r="F116" s="82">
        <f t="shared" si="15"/>
        <v>30624.26</v>
      </c>
      <c r="G116" s="82">
        <f t="shared" si="16"/>
        <v>36749.11</v>
      </c>
    </row>
    <row r="117" spans="1:8" ht="22.5" customHeight="1" x14ac:dyDescent="0.3">
      <c r="A117" s="57"/>
      <c r="B117" s="56" t="s">
        <v>414</v>
      </c>
      <c r="C117" s="57"/>
      <c r="D117" s="60"/>
      <c r="E117" s="150"/>
      <c r="F117" s="82"/>
      <c r="G117" s="82"/>
    </row>
    <row r="118" spans="1:8" ht="15.6" x14ac:dyDescent="0.3">
      <c r="A118" s="57">
        <f>A116+1</f>
        <v>96</v>
      </c>
      <c r="B118" s="58" t="s">
        <v>447</v>
      </c>
      <c r="C118" s="57" t="s">
        <v>182</v>
      </c>
      <c r="D118" s="60">
        <v>42</v>
      </c>
      <c r="E118" s="150">
        <v>728.05</v>
      </c>
      <c r="F118" s="82">
        <f t="shared" si="15"/>
        <v>30578.1</v>
      </c>
      <c r="G118" s="82">
        <f t="shared" si="16"/>
        <v>36693.72</v>
      </c>
    </row>
    <row r="119" spans="1:8" ht="15.6" x14ac:dyDescent="0.3">
      <c r="A119" s="57">
        <f>A118+1</f>
        <v>97</v>
      </c>
      <c r="B119" s="58" t="s">
        <v>449</v>
      </c>
      <c r="C119" s="57" t="s">
        <v>219</v>
      </c>
      <c r="D119" s="61">
        <v>0.6</v>
      </c>
      <c r="E119" s="150">
        <v>436.17</v>
      </c>
      <c r="F119" s="82">
        <f t="shared" si="15"/>
        <v>261.7</v>
      </c>
      <c r="G119" s="82">
        <f t="shared" si="16"/>
        <v>314.04000000000002</v>
      </c>
    </row>
    <row r="120" spans="1:8" ht="15.6" x14ac:dyDescent="0.3">
      <c r="A120" s="57">
        <f>A119+1</f>
        <v>98</v>
      </c>
      <c r="B120" s="58" t="s">
        <v>448</v>
      </c>
      <c r="C120" s="57" t="s">
        <v>219</v>
      </c>
      <c r="D120" s="61">
        <v>0.6</v>
      </c>
      <c r="E120" s="150">
        <v>312.27999999999997</v>
      </c>
      <c r="F120" s="82">
        <f t="shared" si="15"/>
        <v>187.37</v>
      </c>
      <c r="G120" s="82">
        <f t="shared" si="16"/>
        <v>224.84</v>
      </c>
    </row>
    <row r="121" spans="1:8" ht="33.75" customHeight="1" x14ac:dyDescent="0.3">
      <c r="A121" s="134"/>
      <c r="B121" s="398" t="s">
        <v>299</v>
      </c>
      <c r="C121" s="399"/>
      <c r="D121" s="403"/>
      <c r="E121" s="135"/>
      <c r="F121" s="136"/>
      <c r="G121" s="147"/>
    </row>
    <row r="122" spans="1:8" x14ac:dyDescent="0.3">
      <c r="A122" s="57"/>
      <c r="B122" s="56" t="s">
        <v>248</v>
      </c>
      <c r="C122" s="57"/>
      <c r="D122" s="60"/>
      <c r="E122" s="145"/>
      <c r="F122" s="141"/>
      <c r="G122" s="148"/>
    </row>
    <row r="123" spans="1:8" ht="27.6" x14ac:dyDescent="0.3">
      <c r="A123" s="57">
        <f>A120+1</f>
        <v>99</v>
      </c>
      <c r="B123" s="58" t="s">
        <v>388</v>
      </c>
      <c r="C123" s="57" t="s">
        <v>181</v>
      </c>
      <c r="D123" s="60">
        <v>835</v>
      </c>
      <c r="E123" s="150">
        <v>90.47</v>
      </c>
      <c r="F123" s="82">
        <f t="shared" ref="F123:F139" si="19">ROUND(E123*D123,2)</f>
        <v>75542.45</v>
      </c>
      <c r="G123" s="82">
        <f t="shared" ref="G123:G139" si="20">ROUND(F123*1.2,2)</f>
        <v>90650.94</v>
      </c>
      <c r="H123">
        <v>325</v>
      </c>
    </row>
    <row r="124" spans="1:8" ht="15.6" x14ac:dyDescent="0.3">
      <c r="A124" s="57">
        <f>A123+1</f>
        <v>100</v>
      </c>
      <c r="B124" s="58" t="s">
        <v>389</v>
      </c>
      <c r="C124" s="57" t="s">
        <v>181</v>
      </c>
      <c r="D124" s="60">
        <v>25</v>
      </c>
      <c r="E124" s="150">
        <v>1860.11</v>
      </c>
      <c r="F124" s="82">
        <f t="shared" si="19"/>
        <v>46502.75</v>
      </c>
      <c r="G124" s="82">
        <f t="shared" si="20"/>
        <v>55803.3</v>
      </c>
      <c r="H124">
        <v>1777</v>
      </c>
    </row>
    <row r="125" spans="1:8" ht="15.6" x14ac:dyDescent="0.3">
      <c r="A125" s="57">
        <f>A124+1</f>
        <v>101</v>
      </c>
      <c r="B125" s="58" t="s">
        <v>390</v>
      </c>
      <c r="C125" s="57" t="s">
        <v>181</v>
      </c>
      <c r="D125" s="60">
        <v>9</v>
      </c>
      <c r="E125" s="150">
        <v>1155.67</v>
      </c>
      <c r="F125" s="82">
        <f t="shared" si="19"/>
        <v>10401.030000000001</v>
      </c>
      <c r="G125" s="82">
        <f t="shared" si="20"/>
        <v>12481.24</v>
      </c>
    </row>
    <row r="126" spans="1:8" ht="15.6" x14ac:dyDescent="0.3">
      <c r="A126" s="57">
        <f t="shared" ref="A126:A132" si="21">A125+1</f>
        <v>102</v>
      </c>
      <c r="B126" s="58" t="s">
        <v>252</v>
      </c>
      <c r="C126" s="57" t="s">
        <v>181</v>
      </c>
      <c r="D126" s="60">
        <v>2</v>
      </c>
      <c r="E126" s="150">
        <v>1456.66</v>
      </c>
      <c r="F126" s="82">
        <f t="shared" si="19"/>
        <v>2913.32</v>
      </c>
      <c r="G126" s="82">
        <f t="shared" si="20"/>
        <v>3495.98</v>
      </c>
      <c r="H126">
        <v>1379</v>
      </c>
    </row>
    <row r="127" spans="1:8" ht="15.6" x14ac:dyDescent="0.3">
      <c r="A127" s="57">
        <f t="shared" si="21"/>
        <v>103</v>
      </c>
      <c r="B127" s="58" t="s">
        <v>391</v>
      </c>
      <c r="C127" s="57" t="s">
        <v>181</v>
      </c>
      <c r="D127" s="60">
        <v>9</v>
      </c>
      <c r="E127" s="150">
        <v>856.54</v>
      </c>
      <c r="F127" s="82">
        <f t="shared" si="19"/>
        <v>7708.86</v>
      </c>
      <c r="G127" s="82">
        <f t="shared" si="20"/>
        <v>9250.6299999999992</v>
      </c>
      <c r="H127">
        <v>1379</v>
      </c>
    </row>
    <row r="128" spans="1:8" ht="15.6" x14ac:dyDescent="0.3">
      <c r="A128" s="57">
        <f t="shared" si="21"/>
        <v>104</v>
      </c>
      <c r="B128" s="58" t="s">
        <v>429</v>
      </c>
      <c r="C128" s="57" t="s">
        <v>181</v>
      </c>
      <c r="D128" s="60">
        <v>805</v>
      </c>
      <c r="E128" s="150">
        <v>9.73</v>
      </c>
      <c r="F128" s="82">
        <f t="shared" si="19"/>
        <v>7832.65</v>
      </c>
      <c r="G128" s="82">
        <f t="shared" si="20"/>
        <v>9399.18</v>
      </c>
      <c r="H128">
        <v>125</v>
      </c>
    </row>
    <row r="129" spans="1:9" ht="15.6" x14ac:dyDescent="0.3">
      <c r="A129" s="57">
        <f t="shared" si="21"/>
        <v>105</v>
      </c>
      <c r="B129" s="58" t="s">
        <v>245</v>
      </c>
      <c r="C129" s="57" t="s">
        <v>181</v>
      </c>
      <c r="D129" s="60">
        <v>805</v>
      </c>
      <c r="E129" s="150">
        <v>197.58</v>
      </c>
      <c r="F129" s="82">
        <f t="shared" si="19"/>
        <v>159051.9</v>
      </c>
      <c r="G129" s="82">
        <f t="shared" si="20"/>
        <v>190862.28</v>
      </c>
      <c r="H129">
        <v>198</v>
      </c>
    </row>
    <row r="130" spans="1:9" ht="15.6" x14ac:dyDescent="0.3">
      <c r="A130" s="57">
        <f t="shared" si="21"/>
        <v>106</v>
      </c>
      <c r="B130" s="58" t="s">
        <v>430</v>
      </c>
      <c r="C130" s="57" t="s">
        <v>181</v>
      </c>
      <c r="D130" s="60">
        <v>42</v>
      </c>
      <c r="E130" s="150">
        <v>856.54</v>
      </c>
      <c r="F130" s="82">
        <f t="shared" si="19"/>
        <v>35974.68</v>
      </c>
      <c r="G130" s="82">
        <f t="shared" si="20"/>
        <v>43169.62</v>
      </c>
      <c r="H130">
        <v>899</v>
      </c>
    </row>
    <row r="131" spans="1:9" ht="27.6" x14ac:dyDescent="0.3">
      <c r="A131" s="57">
        <f t="shared" si="21"/>
        <v>107</v>
      </c>
      <c r="B131" s="58" t="s">
        <v>431</v>
      </c>
      <c r="C131" s="57" t="s">
        <v>219</v>
      </c>
      <c r="D131" s="61">
        <v>20.8</v>
      </c>
      <c r="E131" s="150">
        <v>67.760000000000005</v>
      </c>
      <c r="F131" s="82">
        <f t="shared" si="19"/>
        <v>1409.41</v>
      </c>
      <c r="G131" s="82">
        <f t="shared" si="20"/>
        <v>1691.29</v>
      </c>
      <c r="H131">
        <v>325</v>
      </c>
    </row>
    <row r="132" spans="1:9" ht="27.6" x14ac:dyDescent="0.3">
      <c r="A132" s="57">
        <f t="shared" si="21"/>
        <v>108</v>
      </c>
      <c r="B132" s="58" t="s">
        <v>393</v>
      </c>
      <c r="C132" s="57" t="s">
        <v>219</v>
      </c>
      <c r="D132" s="61">
        <v>20.8</v>
      </c>
      <c r="E132" s="150">
        <v>312.27999999999997</v>
      </c>
      <c r="F132" s="82">
        <f t="shared" si="19"/>
        <v>6495.42</v>
      </c>
      <c r="G132" s="82">
        <f t="shared" si="20"/>
        <v>7794.5</v>
      </c>
      <c r="H132">
        <v>3460</v>
      </c>
      <c r="I132" s="173" t="s">
        <v>480</v>
      </c>
    </row>
    <row r="133" spans="1:9" ht="22.5" customHeight="1" x14ac:dyDescent="0.3">
      <c r="A133" s="57"/>
      <c r="B133" s="56" t="s">
        <v>254</v>
      </c>
      <c r="C133" s="57"/>
      <c r="D133" s="61"/>
      <c r="E133" s="150"/>
      <c r="F133" s="82"/>
      <c r="G133" s="82"/>
    </row>
    <row r="134" spans="1:9" ht="27.6" x14ac:dyDescent="0.3">
      <c r="A134" s="57">
        <f>A132+1</f>
        <v>109</v>
      </c>
      <c r="B134" s="58" t="s">
        <v>443</v>
      </c>
      <c r="C134" s="57" t="s">
        <v>182</v>
      </c>
      <c r="D134" s="60">
        <v>23</v>
      </c>
      <c r="E134" s="150">
        <v>1045.03</v>
      </c>
      <c r="F134" s="82">
        <f t="shared" si="19"/>
        <v>24035.69</v>
      </c>
      <c r="G134" s="82">
        <f t="shared" si="20"/>
        <v>28842.83</v>
      </c>
    </row>
    <row r="135" spans="1:9" ht="41.4" x14ac:dyDescent="0.3">
      <c r="A135" s="57">
        <f>A134+1</f>
        <v>110</v>
      </c>
      <c r="B135" s="58" t="s">
        <v>450</v>
      </c>
      <c r="C135" s="57" t="s">
        <v>182</v>
      </c>
      <c r="D135" s="60">
        <v>6</v>
      </c>
      <c r="E135" s="150">
        <v>1960.07</v>
      </c>
      <c r="F135" s="82">
        <f t="shared" si="19"/>
        <v>11760.42</v>
      </c>
      <c r="G135" s="82">
        <f t="shared" si="20"/>
        <v>14112.5</v>
      </c>
    </row>
    <row r="136" spans="1:9" ht="41.4" x14ac:dyDescent="0.3">
      <c r="A136" s="57">
        <f t="shared" ref="A136:A139" si="22">A135+1</f>
        <v>111</v>
      </c>
      <c r="B136" s="58" t="s">
        <v>445</v>
      </c>
      <c r="C136" s="57" t="s">
        <v>207</v>
      </c>
      <c r="D136" s="60">
        <v>4</v>
      </c>
      <c r="E136" s="150">
        <v>1871.49</v>
      </c>
      <c r="F136" s="82">
        <f t="shared" si="19"/>
        <v>7485.96</v>
      </c>
      <c r="G136" s="82">
        <f t="shared" si="20"/>
        <v>8983.15</v>
      </c>
    </row>
    <row r="137" spans="1:9" ht="41.4" x14ac:dyDescent="0.3">
      <c r="A137" s="57">
        <f t="shared" si="22"/>
        <v>112</v>
      </c>
      <c r="B137" s="58" t="s">
        <v>446</v>
      </c>
      <c r="C137" s="57" t="s">
        <v>207</v>
      </c>
      <c r="D137" s="60">
        <v>4</v>
      </c>
      <c r="E137" s="150">
        <v>6085.15</v>
      </c>
      <c r="F137" s="82">
        <f t="shared" si="19"/>
        <v>24340.6</v>
      </c>
      <c r="G137" s="82">
        <f t="shared" si="20"/>
        <v>29208.720000000001</v>
      </c>
    </row>
    <row r="138" spans="1:9" ht="27.6" x14ac:dyDescent="0.3">
      <c r="A138" s="57">
        <f t="shared" si="22"/>
        <v>113</v>
      </c>
      <c r="B138" s="58" t="s">
        <v>407</v>
      </c>
      <c r="C138" s="57" t="s">
        <v>207</v>
      </c>
      <c r="D138" s="60">
        <v>1</v>
      </c>
      <c r="E138" s="150">
        <v>3397.31</v>
      </c>
      <c r="F138" s="82">
        <f t="shared" si="19"/>
        <v>3397.31</v>
      </c>
      <c r="G138" s="82">
        <f t="shared" si="20"/>
        <v>4076.77</v>
      </c>
    </row>
    <row r="139" spans="1:9" ht="27.6" x14ac:dyDescent="0.3">
      <c r="A139" s="57">
        <f t="shared" si="22"/>
        <v>114</v>
      </c>
      <c r="B139" s="58" t="s">
        <v>408</v>
      </c>
      <c r="C139" s="57" t="s">
        <v>482</v>
      </c>
      <c r="D139" s="60">
        <v>1</v>
      </c>
      <c r="E139" s="150">
        <v>30624.26</v>
      </c>
      <c r="F139" s="82">
        <f t="shared" si="19"/>
        <v>30624.26</v>
      </c>
      <c r="G139" s="82">
        <f t="shared" si="20"/>
        <v>36749.11</v>
      </c>
    </row>
    <row r="140" spans="1:9" ht="34.5" customHeight="1" x14ac:dyDescent="0.3">
      <c r="A140" s="134"/>
      <c r="B140" s="398" t="s">
        <v>300</v>
      </c>
      <c r="C140" s="399"/>
      <c r="D140" s="403"/>
      <c r="E140" s="135"/>
      <c r="F140" s="136"/>
      <c r="G140" s="147"/>
    </row>
    <row r="141" spans="1:9" ht="25.5" customHeight="1" x14ac:dyDescent="0.3">
      <c r="A141" s="57"/>
      <c r="B141" s="56" t="s">
        <v>248</v>
      </c>
      <c r="C141" s="57"/>
      <c r="D141" s="60"/>
      <c r="E141" s="70"/>
      <c r="F141" s="141"/>
      <c r="G141" s="148"/>
    </row>
    <row r="142" spans="1:9" ht="27.6" x14ac:dyDescent="0.3">
      <c r="A142" s="57">
        <f>A139+1</f>
        <v>115</v>
      </c>
      <c r="B142" s="58" t="s">
        <v>388</v>
      </c>
      <c r="C142" s="57" t="s">
        <v>181</v>
      </c>
      <c r="D142" s="60">
        <v>845</v>
      </c>
      <c r="E142" s="150">
        <v>90.47</v>
      </c>
      <c r="F142" s="82">
        <f t="shared" ref="F142:F162" si="23">ROUND(E142*D142,2)</f>
        <v>76447.149999999994</v>
      </c>
      <c r="G142" s="82">
        <f t="shared" ref="G142:G162" si="24">ROUND(F142*1.2,2)</f>
        <v>91736.58</v>
      </c>
      <c r="H142">
        <v>325</v>
      </c>
    </row>
    <row r="143" spans="1:9" ht="15.6" x14ac:dyDescent="0.3">
      <c r="A143" s="57">
        <f>A142+1</f>
        <v>116</v>
      </c>
      <c r="B143" s="58" t="s">
        <v>389</v>
      </c>
      <c r="C143" s="57" t="s">
        <v>181</v>
      </c>
      <c r="D143" s="60">
        <v>25</v>
      </c>
      <c r="E143" s="150">
        <v>1860.11</v>
      </c>
      <c r="F143" s="82">
        <f t="shared" si="23"/>
        <v>46502.75</v>
      </c>
      <c r="G143" s="82">
        <f t="shared" si="24"/>
        <v>55803.3</v>
      </c>
      <c r="H143">
        <v>1777</v>
      </c>
    </row>
    <row r="144" spans="1:9" ht="15.6" x14ac:dyDescent="0.3">
      <c r="A144" s="57">
        <f>A143+1</f>
        <v>117</v>
      </c>
      <c r="B144" s="58" t="s">
        <v>390</v>
      </c>
      <c r="C144" s="57" t="s">
        <v>181</v>
      </c>
      <c r="D144" s="60">
        <v>37</v>
      </c>
      <c r="E144" s="150">
        <v>1155.67</v>
      </c>
      <c r="F144" s="82">
        <f t="shared" si="23"/>
        <v>42759.79</v>
      </c>
      <c r="G144" s="82">
        <f t="shared" si="24"/>
        <v>51311.75</v>
      </c>
    </row>
    <row r="145" spans="1:9" ht="15.6" x14ac:dyDescent="0.3">
      <c r="A145" s="57">
        <f t="shared" ref="A145:A151" si="25">A144+1</f>
        <v>118</v>
      </c>
      <c r="B145" s="58" t="s">
        <v>252</v>
      </c>
      <c r="C145" s="57" t="s">
        <v>181</v>
      </c>
      <c r="D145" s="60">
        <v>5</v>
      </c>
      <c r="E145" s="150">
        <v>1456.65</v>
      </c>
      <c r="F145" s="82">
        <f t="shared" si="23"/>
        <v>7283.25</v>
      </c>
      <c r="G145" s="82">
        <f t="shared" si="24"/>
        <v>8739.9</v>
      </c>
      <c r="H145">
        <v>1379</v>
      </c>
    </row>
    <row r="146" spans="1:9" ht="15.6" x14ac:dyDescent="0.3">
      <c r="A146" s="57">
        <f t="shared" si="25"/>
        <v>119</v>
      </c>
      <c r="B146" s="58" t="s">
        <v>391</v>
      </c>
      <c r="C146" s="57" t="s">
        <v>181</v>
      </c>
      <c r="D146" s="60">
        <v>37</v>
      </c>
      <c r="E146" s="150">
        <v>856.54</v>
      </c>
      <c r="F146" s="82">
        <f t="shared" si="23"/>
        <v>31691.98</v>
      </c>
      <c r="G146" s="82">
        <f t="shared" si="24"/>
        <v>38030.379999999997</v>
      </c>
      <c r="H146">
        <v>1379</v>
      </c>
    </row>
    <row r="147" spans="1:9" ht="15.6" x14ac:dyDescent="0.3">
      <c r="A147" s="57">
        <f t="shared" si="25"/>
        <v>120</v>
      </c>
      <c r="B147" s="58" t="s">
        <v>429</v>
      </c>
      <c r="C147" s="57" t="s">
        <v>181</v>
      </c>
      <c r="D147" s="60">
        <v>761</v>
      </c>
      <c r="E147" s="150">
        <v>9.73</v>
      </c>
      <c r="F147" s="82">
        <f t="shared" si="23"/>
        <v>7404.53</v>
      </c>
      <c r="G147" s="82">
        <f t="shared" si="24"/>
        <v>8885.44</v>
      </c>
      <c r="H147">
        <v>125</v>
      </c>
    </row>
    <row r="148" spans="1:9" ht="15.6" x14ac:dyDescent="0.3">
      <c r="A148" s="57">
        <f t="shared" si="25"/>
        <v>121</v>
      </c>
      <c r="B148" s="58" t="s">
        <v>245</v>
      </c>
      <c r="C148" s="57" t="s">
        <v>181</v>
      </c>
      <c r="D148" s="60">
        <v>761</v>
      </c>
      <c r="E148" s="150">
        <v>197.58</v>
      </c>
      <c r="F148" s="82">
        <f t="shared" si="23"/>
        <v>150358.38</v>
      </c>
      <c r="G148" s="82">
        <f t="shared" si="24"/>
        <v>180430.06</v>
      </c>
      <c r="H148">
        <v>198</v>
      </c>
    </row>
    <row r="149" spans="1:9" ht="15.6" x14ac:dyDescent="0.3">
      <c r="A149" s="57">
        <f t="shared" si="25"/>
        <v>122</v>
      </c>
      <c r="B149" s="58" t="s">
        <v>430</v>
      </c>
      <c r="C149" s="57" t="s">
        <v>181</v>
      </c>
      <c r="D149" s="60">
        <v>40</v>
      </c>
      <c r="E149" s="150">
        <v>856.54</v>
      </c>
      <c r="F149" s="82">
        <f t="shared" si="23"/>
        <v>34261.599999999999</v>
      </c>
      <c r="G149" s="82">
        <f t="shared" si="24"/>
        <v>41113.919999999998</v>
      </c>
      <c r="H149">
        <v>899</v>
      </c>
    </row>
    <row r="150" spans="1:9" ht="27.6" x14ac:dyDescent="0.3">
      <c r="A150" s="57">
        <f t="shared" si="25"/>
        <v>123</v>
      </c>
      <c r="B150" s="58" t="s">
        <v>431</v>
      </c>
      <c r="C150" s="57" t="s">
        <v>219</v>
      </c>
      <c r="D150" s="61">
        <v>110.4</v>
      </c>
      <c r="E150" s="150">
        <v>67.760000000000005</v>
      </c>
      <c r="F150" s="82">
        <f t="shared" si="23"/>
        <v>7480.7</v>
      </c>
      <c r="G150" s="82">
        <f t="shared" si="24"/>
        <v>8976.84</v>
      </c>
      <c r="H150">
        <v>325</v>
      </c>
    </row>
    <row r="151" spans="1:9" ht="27.6" x14ac:dyDescent="0.3">
      <c r="A151" s="57">
        <f t="shared" si="25"/>
        <v>124</v>
      </c>
      <c r="B151" s="58" t="s">
        <v>393</v>
      </c>
      <c r="C151" s="57" t="s">
        <v>219</v>
      </c>
      <c r="D151" s="61">
        <v>110.4</v>
      </c>
      <c r="E151" s="150">
        <v>312.27999999999997</v>
      </c>
      <c r="F151" s="82">
        <f t="shared" si="23"/>
        <v>34475.71</v>
      </c>
      <c r="G151" s="82">
        <f t="shared" si="24"/>
        <v>41370.85</v>
      </c>
      <c r="H151">
        <v>3460</v>
      </c>
      <c r="I151" s="173" t="s">
        <v>480</v>
      </c>
    </row>
    <row r="152" spans="1:9" ht="22.5" customHeight="1" x14ac:dyDescent="0.3">
      <c r="A152" s="57"/>
      <c r="B152" s="56" t="s">
        <v>254</v>
      </c>
      <c r="C152" s="57"/>
      <c r="D152" s="60"/>
      <c r="E152" s="150"/>
      <c r="F152" s="82"/>
      <c r="G152" s="82"/>
    </row>
    <row r="153" spans="1:9" ht="27.6" x14ac:dyDescent="0.3">
      <c r="A153" s="57">
        <f>A151+1</f>
        <v>125</v>
      </c>
      <c r="B153" s="58" t="s">
        <v>451</v>
      </c>
      <c r="C153" s="57" t="s">
        <v>182</v>
      </c>
      <c r="D153" s="60">
        <v>31</v>
      </c>
      <c r="E153" s="150">
        <v>4746.51</v>
      </c>
      <c r="F153" s="82">
        <f t="shared" si="23"/>
        <v>147141.81</v>
      </c>
      <c r="G153" s="82">
        <f t="shared" si="24"/>
        <v>176570.17</v>
      </c>
    </row>
    <row r="154" spans="1:9" ht="41.4" x14ac:dyDescent="0.3">
      <c r="A154" s="57">
        <f t="shared" ref="A154:A162" si="26">A153+1</f>
        <v>126</v>
      </c>
      <c r="B154" s="58" t="s">
        <v>452</v>
      </c>
      <c r="C154" s="57" t="s">
        <v>182</v>
      </c>
      <c r="D154" s="60">
        <v>6</v>
      </c>
      <c r="E154" s="150">
        <v>8366.0300000000007</v>
      </c>
      <c r="F154" s="82">
        <f t="shared" si="23"/>
        <v>50196.18</v>
      </c>
      <c r="G154" s="82">
        <f t="shared" si="24"/>
        <v>60235.42</v>
      </c>
    </row>
    <row r="155" spans="1:9" ht="41.4" x14ac:dyDescent="0.3">
      <c r="A155" s="57">
        <f t="shared" si="26"/>
        <v>127</v>
      </c>
      <c r="B155" s="58" t="s">
        <v>453</v>
      </c>
      <c r="C155" s="57" t="s">
        <v>207</v>
      </c>
      <c r="D155" s="60">
        <v>2</v>
      </c>
      <c r="E155" s="150">
        <v>8222.4699999999993</v>
      </c>
      <c r="F155" s="82">
        <f t="shared" si="23"/>
        <v>16444.939999999999</v>
      </c>
      <c r="G155" s="82">
        <f t="shared" si="24"/>
        <v>19733.93</v>
      </c>
    </row>
    <row r="156" spans="1:9" ht="41.4" x14ac:dyDescent="0.3">
      <c r="A156" s="57">
        <f t="shared" si="26"/>
        <v>128</v>
      </c>
      <c r="B156" s="58" t="s">
        <v>454</v>
      </c>
      <c r="C156" s="57" t="s">
        <v>207</v>
      </c>
      <c r="D156" s="60">
        <v>2</v>
      </c>
      <c r="E156" s="150">
        <v>19742.93</v>
      </c>
      <c r="F156" s="82">
        <f t="shared" si="23"/>
        <v>39485.86</v>
      </c>
      <c r="G156" s="82">
        <f t="shared" si="24"/>
        <v>47383.03</v>
      </c>
    </row>
    <row r="157" spans="1:9" ht="27.6" x14ac:dyDescent="0.3">
      <c r="A157" s="57">
        <f t="shared" si="26"/>
        <v>129</v>
      </c>
      <c r="B157" s="58" t="s">
        <v>455</v>
      </c>
      <c r="C157" s="57" t="s">
        <v>207</v>
      </c>
      <c r="D157" s="60">
        <v>1</v>
      </c>
      <c r="E157" s="150">
        <v>17698.82</v>
      </c>
      <c r="F157" s="82">
        <f t="shared" si="23"/>
        <v>17698.82</v>
      </c>
      <c r="G157" s="82">
        <f t="shared" si="24"/>
        <v>21238.58</v>
      </c>
    </row>
    <row r="158" spans="1:9" ht="27.6" x14ac:dyDescent="0.3">
      <c r="A158" s="57">
        <f t="shared" si="26"/>
        <v>130</v>
      </c>
      <c r="B158" s="58" t="s">
        <v>408</v>
      </c>
      <c r="C158" s="57" t="s">
        <v>482</v>
      </c>
      <c r="D158" s="60">
        <v>1</v>
      </c>
      <c r="E158" s="150">
        <v>124950.66</v>
      </c>
      <c r="F158" s="82">
        <f t="shared" si="23"/>
        <v>124950.66</v>
      </c>
      <c r="G158" s="82">
        <f t="shared" si="24"/>
        <v>149940.79</v>
      </c>
    </row>
    <row r="159" spans="1:9" ht="23.25" customHeight="1" x14ac:dyDescent="0.3">
      <c r="A159" s="57"/>
      <c r="B159" s="56" t="s">
        <v>414</v>
      </c>
      <c r="C159" s="57"/>
      <c r="D159" s="60"/>
      <c r="E159" s="150"/>
      <c r="F159" s="82"/>
      <c r="G159" s="82"/>
    </row>
    <row r="160" spans="1:9" ht="15.6" x14ac:dyDescent="0.3">
      <c r="A160" s="57">
        <f>A158+1</f>
        <v>131</v>
      </c>
      <c r="B160" s="58" t="s">
        <v>456</v>
      </c>
      <c r="C160" s="57" t="s">
        <v>182</v>
      </c>
      <c r="D160" s="60">
        <v>31</v>
      </c>
      <c r="E160" s="150">
        <v>2354.06</v>
      </c>
      <c r="F160" s="82">
        <f t="shared" si="23"/>
        <v>72975.86</v>
      </c>
      <c r="G160" s="82">
        <f t="shared" si="24"/>
        <v>87571.03</v>
      </c>
    </row>
    <row r="161" spans="1:9" ht="15.6" x14ac:dyDescent="0.3">
      <c r="A161" s="57">
        <f t="shared" si="26"/>
        <v>132</v>
      </c>
      <c r="B161" s="58" t="s">
        <v>457</v>
      </c>
      <c r="C161" s="57" t="s">
        <v>219</v>
      </c>
      <c r="D161" s="60">
        <v>31</v>
      </c>
      <c r="E161" s="150">
        <v>436.17</v>
      </c>
      <c r="F161" s="82">
        <f t="shared" si="23"/>
        <v>13521.27</v>
      </c>
      <c r="G161" s="82">
        <f t="shared" si="24"/>
        <v>16225.52</v>
      </c>
    </row>
    <row r="162" spans="1:9" ht="15.6" x14ac:dyDescent="0.3">
      <c r="A162" s="57">
        <f t="shared" si="26"/>
        <v>133</v>
      </c>
      <c r="B162" s="65" t="s">
        <v>441</v>
      </c>
      <c r="C162" s="57" t="s">
        <v>219</v>
      </c>
      <c r="D162" s="60">
        <v>31</v>
      </c>
      <c r="E162" s="150">
        <v>312.27999999999997</v>
      </c>
      <c r="F162" s="82">
        <f t="shared" si="23"/>
        <v>9680.68</v>
      </c>
      <c r="G162" s="82">
        <f t="shared" si="24"/>
        <v>11616.82</v>
      </c>
    </row>
    <row r="163" spans="1:9" ht="32.25" customHeight="1" x14ac:dyDescent="0.3">
      <c r="A163" s="134"/>
      <c r="B163" s="398" t="s">
        <v>301</v>
      </c>
      <c r="C163" s="399"/>
      <c r="D163" s="403"/>
      <c r="E163" s="135"/>
      <c r="F163" s="136"/>
      <c r="G163" s="147"/>
    </row>
    <row r="164" spans="1:9" x14ac:dyDescent="0.3">
      <c r="A164" s="57"/>
      <c r="B164" s="56" t="s">
        <v>248</v>
      </c>
      <c r="C164" s="57"/>
      <c r="D164" s="60"/>
      <c r="E164" s="145"/>
      <c r="F164" s="141"/>
      <c r="G164" s="148"/>
    </row>
    <row r="165" spans="1:9" ht="27.6" x14ac:dyDescent="0.3">
      <c r="A165" s="57">
        <f>A162+1</f>
        <v>134</v>
      </c>
      <c r="B165" s="58" t="s">
        <v>388</v>
      </c>
      <c r="C165" s="57" t="s">
        <v>181</v>
      </c>
      <c r="D165" s="60">
        <v>177</v>
      </c>
      <c r="E165" s="150">
        <v>90.47</v>
      </c>
      <c r="F165" s="82">
        <f t="shared" ref="F165:F185" si="27">ROUND(E165*D165,2)</f>
        <v>16013.19</v>
      </c>
      <c r="G165" s="82">
        <f t="shared" ref="G165:G185" si="28">ROUND(F165*1.2,2)</f>
        <v>19215.830000000002</v>
      </c>
      <c r="H165">
        <v>325</v>
      </c>
    </row>
    <row r="166" spans="1:9" ht="15.6" x14ac:dyDescent="0.3">
      <c r="A166" s="57">
        <f>A165+1</f>
        <v>135</v>
      </c>
      <c r="B166" s="58" t="s">
        <v>389</v>
      </c>
      <c r="C166" s="57" t="s">
        <v>181</v>
      </c>
      <c r="D166" s="60">
        <v>5</v>
      </c>
      <c r="E166" s="150">
        <v>1860.11</v>
      </c>
      <c r="F166" s="82">
        <f t="shared" si="27"/>
        <v>9300.5499999999993</v>
      </c>
      <c r="G166" s="82">
        <f t="shared" si="28"/>
        <v>11160.66</v>
      </c>
      <c r="H166">
        <v>1777</v>
      </c>
    </row>
    <row r="167" spans="1:9" ht="15.6" x14ac:dyDescent="0.3">
      <c r="A167" s="57">
        <f t="shared" ref="A167:A174" si="29">A166+1</f>
        <v>136</v>
      </c>
      <c r="B167" s="58" t="s">
        <v>390</v>
      </c>
      <c r="C167" s="57" t="s">
        <v>181</v>
      </c>
      <c r="D167" s="60">
        <v>23</v>
      </c>
      <c r="E167" s="150">
        <v>1155.67</v>
      </c>
      <c r="F167" s="82">
        <f t="shared" si="27"/>
        <v>26580.41</v>
      </c>
      <c r="G167" s="82">
        <f t="shared" si="28"/>
        <v>31896.49</v>
      </c>
    </row>
    <row r="168" spans="1:9" ht="15.6" x14ac:dyDescent="0.3">
      <c r="A168" s="57">
        <f t="shared" si="29"/>
        <v>137</v>
      </c>
      <c r="B168" s="58" t="s">
        <v>252</v>
      </c>
      <c r="C168" s="57" t="s">
        <v>181</v>
      </c>
      <c r="D168" s="60">
        <v>3</v>
      </c>
      <c r="E168" s="150">
        <v>1456.66</v>
      </c>
      <c r="F168" s="82">
        <f t="shared" si="27"/>
        <v>4369.9799999999996</v>
      </c>
      <c r="G168" s="82">
        <f t="shared" si="28"/>
        <v>5243.98</v>
      </c>
      <c r="H168">
        <v>1379</v>
      </c>
    </row>
    <row r="169" spans="1:9" ht="15.6" x14ac:dyDescent="0.3">
      <c r="A169" s="57">
        <f t="shared" si="29"/>
        <v>138</v>
      </c>
      <c r="B169" s="58" t="s">
        <v>391</v>
      </c>
      <c r="C169" s="57" t="s">
        <v>181</v>
      </c>
      <c r="D169" s="61">
        <v>23</v>
      </c>
      <c r="E169" s="150">
        <v>856.54</v>
      </c>
      <c r="F169" s="82">
        <f t="shared" si="27"/>
        <v>19700.419999999998</v>
      </c>
      <c r="G169" s="82">
        <f t="shared" si="28"/>
        <v>23640.5</v>
      </c>
      <c r="H169">
        <v>1379</v>
      </c>
    </row>
    <row r="170" spans="1:9" ht="15.6" x14ac:dyDescent="0.3">
      <c r="A170" s="57">
        <f t="shared" si="29"/>
        <v>139</v>
      </c>
      <c r="B170" s="58" t="s">
        <v>429</v>
      </c>
      <c r="C170" s="57" t="s">
        <v>181</v>
      </c>
      <c r="D170" s="60">
        <v>138</v>
      </c>
      <c r="E170" s="150">
        <v>9.73</v>
      </c>
      <c r="F170" s="82">
        <f t="shared" si="27"/>
        <v>1342.74</v>
      </c>
      <c r="G170" s="82">
        <f t="shared" si="28"/>
        <v>1611.29</v>
      </c>
      <c r="H170">
        <v>125</v>
      </c>
    </row>
    <row r="171" spans="1:9" ht="15.6" x14ac:dyDescent="0.3">
      <c r="A171" s="57">
        <f t="shared" si="29"/>
        <v>140</v>
      </c>
      <c r="B171" s="58" t="s">
        <v>245</v>
      </c>
      <c r="C171" s="57" t="s">
        <v>181</v>
      </c>
      <c r="D171" s="60">
        <v>138</v>
      </c>
      <c r="E171" s="150">
        <v>197.58</v>
      </c>
      <c r="F171" s="82">
        <f t="shared" si="27"/>
        <v>27266.04</v>
      </c>
      <c r="G171" s="82">
        <f t="shared" si="28"/>
        <v>32719.25</v>
      </c>
      <c r="H171">
        <v>198</v>
      </c>
    </row>
    <row r="172" spans="1:9" ht="15.6" x14ac:dyDescent="0.3">
      <c r="A172" s="57">
        <f t="shared" si="29"/>
        <v>141</v>
      </c>
      <c r="B172" s="58" t="s">
        <v>430</v>
      </c>
      <c r="C172" s="57" t="s">
        <v>181</v>
      </c>
      <c r="D172" s="60">
        <v>7</v>
      </c>
      <c r="E172" s="150">
        <v>856.54</v>
      </c>
      <c r="F172" s="82">
        <f t="shared" si="27"/>
        <v>5995.78</v>
      </c>
      <c r="G172" s="82">
        <f t="shared" si="28"/>
        <v>7194.94</v>
      </c>
      <c r="H172">
        <v>899</v>
      </c>
    </row>
    <row r="173" spans="1:9" ht="27.6" x14ac:dyDescent="0.3">
      <c r="A173" s="57">
        <f t="shared" si="29"/>
        <v>142</v>
      </c>
      <c r="B173" s="58" t="s">
        <v>431</v>
      </c>
      <c r="C173" s="57" t="s">
        <v>219</v>
      </c>
      <c r="D173" s="61">
        <v>59.2</v>
      </c>
      <c r="E173" s="150">
        <v>67.760000000000005</v>
      </c>
      <c r="F173" s="82">
        <f t="shared" si="27"/>
        <v>4011.39</v>
      </c>
      <c r="G173" s="82">
        <f t="shared" si="28"/>
        <v>4813.67</v>
      </c>
      <c r="H173">
        <v>325</v>
      </c>
    </row>
    <row r="174" spans="1:9" ht="27.6" x14ac:dyDescent="0.3">
      <c r="A174" s="57">
        <f t="shared" si="29"/>
        <v>143</v>
      </c>
      <c r="B174" s="58" t="s">
        <v>393</v>
      </c>
      <c r="C174" s="57" t="s">
        <v>219</v>
      </c>
      <c r="D174" s="61">
        <v>59.2</v>
      </c>
      <c r="E174" s="150">
        <v>312.27999999999997</v>
      </c>
      <c r="F174" s="82">
        <f t="shared" si="27"/>
        <v>18486.98</v>
      </c>
      <c r="G174" s="82">
        <f t="shared" si="28"/>
        <v>22184.38</v>
      </c>
      <c r="H174">
        <v>3460</v>
      </c>
      <c r="I174" s="173" t="s">
        <v>480</v>
      </c>
    </row>
    <row r="175" spans="1:9" ht="26.25" customHeight="1" x14ac:dyDescent="0.3">
      <c r="A175" s="57"/>
      <c r="B175" s="56" t="s">
        <v>254</v>
      </c>
      <c r="C175" s="57"/>
      <c r="D175" s="60"/>
      <c r="E175" s="150"/>
      <c r="F175" s="82"/>
      <c r="G175" s="82"/>
    </row>
    <row r="176" spans="1:9" ht="27.6" x14ac:dyDescent="0.3">
      <c r="A176" s="57">
        <f>A174+1</f>
        <v>144</v>
      </c>
      <c r="B176" s="58" t="s">
        <v>458</v>
      </c>
      <c r="C176" s="57" t="s">
        <v>182</v>
      </c>
      <c r="D176" s="60">
        <v>31</v>
      </c>
      <c r="E176" s="150">
        <v>2864.48</v>
      </c>
      <c r="F176" s="82">
        <f t="shared" si="27"/>
        <v>88798.88</v>
      </c>
      <c r="G176" s="82">
        <f t="shared" si="28"/>
        <v>106558.66</v>
      </c>
    </row>
    <row r="177" spans="1:8" ht="41.4" x14ac:dyDescent="0.3">
      <c r="A177" s="57">
        <f>A176+1</f>
        <v>145</v>
      </c>
      <c r="B177" s="58" t="s">
        <v>459</v>
      </c>
      <c r="C177" s="57" t="s">
        <v>182</v>
      </c>
      <c r="D177" s="60">
        <v>6</v>
      </c>
      <c r="E177" s="150">
        <v>4021.61</v>
      </c>
      <c r="F177" s="82">
        <f t="shared" si="27"/>
        <v>24129.66</v>
      </c>
      <c r="G177" s="82">
        <f t="shared" si="28"/>
        <v>28955.59</v>
      </c>
    </row>
    <row r="178" spans="1:8" ht="41.4" x14ac:dyDescent="0.3">
      <c r="A178" s="57">
        <f t="shared" ref="A178:A181" si="30">A177+1</f>
        <v>146</v>
      </c>
      <c r="B178" s="58" t="s">
        <v>460</v>
      </c>
      <c r="C178" s="57" t="s">
        <v>207</v>
      </c>
      <c r="D178" s="60">
        <v>2</v>
      </c>
      <c r="E178" s="150">
        <v>5203.95</v>
      </c>
      <c r="F178" s="82">
        <f t="shared" si="27"/>
        <v>10407.9</v>
      </c>
      <c r="G178" s="82">
        <f t="shared" si="28"/>
        <v>12489.48</v>
      </c>
    </row>
    <row r="179" spans="1:8" ht="41.4" x14ac:dyDescent="0.3">
      <c r="A179" s="57">
        <f t="shared" si="30"/>
        <v>147</v>
      </c>
      <c r="B179" s="58" t="s">
        <v>461</v>
      </c>
      <c r="C179" s="57" t="s">
        <v>207</v>
      </c>
      <c r="D179" s="60">
        <v>2</v>
      </c>
      <c r="E179" s="150">
        <v>12511.09</v>
      </c>
      <c r="F179" s="82">
        <f t="shared" si="27"/>
        <v>25022.18</v>
      </c>
      <c r="G179" s="82">
        <f t="shared" si="28"/>
        <v>30026.62</v>
      </c>
    </row>
    <row r="180" spans="1:8" ht="27.6" x14ac:dyDescent="0.3">
      <c r="A180" s="57">
        <f t="shared" si="30"/>
        <v>148</v>
      </c>
      <c r="B180" s="58" t="s">
        <v>407</v>
      </c>
      <c r="C180" s="57" t="s">
        <v>207</v>
      </c>
      <c r="D180" s="61">
        <v>1</v>
      </c>
      <c r="E180" s="150">
        <v>9227.06</v>
      </c>
      <c r="F180" s="82">
        <f t="shared" si="27"/>
        <v>9227.06</v>
      </c>
      <c r="G180" s="82">
        <f t="shared" si="28"/>
        <v>11072.47</v>
      </c>
    </row>
    <row r="181" spans="1:8" ht="27.6" x14ac:dyDescent="0.3">
      <c r="A181" s="57">
        <f t="shared" si="30"/>
        <v>149</v>
      </c>
      <c r="B181" s="58" t="s">
        <v>408</v>
      </c>
      <c r="C181" s="57" t="s">
        <v>482</v>
      </c>
      <c r="D181" s="60">
        <v>1</v>
      </c>
      <c r="E181" s="150">
        <v>70121.429999999993</v>
      </c>
      <c r="F181" s="82">
        <f t="shared" si="27"/>
        <v>70121.429999999993</v>
      </c>
      <c r="G181" s="82">
        <f t="shared" si="28"/>
        <v>84145.72</v>
      </c>
    </row>
    <row r="182" spans="1:8" ht="21.75" customHeight="1" x14ac:dyDescent="0.3">
      <c r="A182" s="57"/>
      <c r="B182" s="56" t="s">
        <v>414</v>
      </c>
      <c r="C182" s="57"/>
      <c r="D182" s="60"/>
      <c r="E182" s="150"/>
      <c r="F182" s="82"/>
      <c r="G182" s="82"/>
    </row>
    <row r="183" spans="1:8" ht="15.6" x14ac:dyDescent="0.3">
      <c r="A183" s="57">
        <f>A181+1</f>
        <v>150</v>
      </c>
      <c r="B183" s="58" t="s">
        <v>462</v>
      </c>
      <c r="C183" s="57" t="s">
        <v>182</v>
      </c>
      <c r="D183" s="60">
        <v>31</v>
      </c>
      <c r="E183" s="150">
        <v>1334.42</v>
      </c>
      <c r="F183" s="82">
        <f t="shared" si="27"/>
        <v>41367.019999999997</v>
      </c>
      <c r="G183" s="82">
        <f t="shared" si="28"/>
        <v>49640.42</v>
      </c>
    </row>
    <row r="184" spans="1:8" ht="15.6" x14ac:dyDescent="0.3">
      <c r="A184" s="57">
        <f>A183+1</f>
        <v>151</v>
      </c>
      <c r="B184" s="58" t="s">
        <v>457</v>
      </c>
      <c r="C184" s="57" t="s">
        <v>219</v>
      </c>
      <c r="D184" s="60">
        <v>14</v>
      </c>
      <c r="E184" s="150">
        <v>436.17</v>
      </c>
      <c r="F184" s="82">
        <f t="shared" si="27"/>
        <v>6106.38</v>
      </c>
      <c r="G184" s="82">
        <f t="shared" si="28"/>
        <v>7327.66</v>
      </c>
    </row>
    <row r="185" spans="1:8" ht="15.6" x14ac:dyDescent="0.3">
      <c r="A185" s="57">
        <f>A184+1</f>
        <v>152</v>
      </c>
      <c r="B185" s="58" t="s">
        <v>448</v>
      </c>
      <c r="C185" s="57" t="s">
        <v>219</v>
      </c>
      <c r="D185" s="60">
        <v>14</v>
      </c>
      <c r="E185" s="150">
        <v>312.27999999999997</v>
      </c>
      <c r="F185" s="82">
        <f t="shared" si="27"/>
        <v>4371.92</v>
      </c>
      <c r="G185" s="82">
        <f t="shared" si="28"/>
        <v>5246.3</v>
      </c>
    </row>
    <row r="186" spans="1:8" ht="29.25" customHeight="1" x14ac:dyDescent="0.3">
      <c r="A186" s="134"/>
      <c r="B186" s="398" t="s">
        <v>302</v>
      </c>
      <c r="C186" s="399"/>
      <c r="D186" s="403"/>
      <c r="E186" s="135"/>
      <c r="F186" s="136"/>
      <c r="G186" s="147"/>
    </row>
    <row r="187" spans="1:8" x14ac:dyDescent="0.3">
      <c r="A187" s="57"/>
      <c r="B187" s="56" t="s">
        <v>248</v>
      </c>
      <c r="C187" s="57"/>
      <c r="D187" s="60"/>
      <c r="E187" s="145"/>
      <c r="F187" s="141"/>
      <c r="G187" s="148"/>
    </row>
    <row r="188" spans="1:8" ht="27.6" x14ac:dyDescent="0.3">
      <c r="A188" s="57">
        <f>A185+1</f>
        <v>153</v>
      </c>
      <c r="B188" s="58" t="s">
        <v>388</v>
      </c>
      <c r="C188" s="57" t="s">
        <v>181</v>
      </c>
      <c r="D188" s="60">
        <v>595</v>
      </c>
      <c r="E188" s="150">
        <v>90.47</v>
      </c>
      <c r="F188" s="82">
        <f t="shared" ref="F188:F208" si="31">ROUND(E188*D188,2)</f>
        <v>53829.65</v>
      </c>
      <c r="G188" s="82">
        <f t="shared" ref="G188" si="32">ROUND(F188*1.2,2)</f>
        <v>64595.58</v>
      </c>
      <c r="H188">
        <v>325</v>
      </c>
    </row>
    <row r="189" spans="1:8" ht="15.6" x14ac:dyDescent="0.3">
      <c r="A189" s="57">
        <f>A188+1</f>
        <v>154</v>
      </c>
      <c r="B189" s="58" t="s">
        <v>389</v>
      </c>
      <c r="C189" s="57" t="s">
        <v>181</v>
      </c>
      <c r="D189" s="60">
        <v>18</v>
      </c>
      <c r="E189" s="150">
        <v>1860.11</v>
      </c>
      <c r="F189" s="82">
        <f t="shared" si="31"/>
        <v>33481.980000000003</v>
      </c>
      <c r="G189" s="82">
        <f t="shared" ref="G189:G197" si="33">ROUND(F189*1.2,2)</f>
        <v>40178.379999999997</v>
      </c>
      <c r="H189">
        <v>1777</v>
      </c>
    </row>
    <row r="190" spans="1:8" ht="15.6" x14ac:dyDescent="0.3">
      <c r="A190" s="57">
        <f t="shared" ref="A190:A197" si="34">A189+1</f>
        <v>155</v>
      </c>
      <c r="B190" s="58" t="s">
        <v>390</v>
      </c>
      <c r="C190" s="57" t="s">
        <v>181</v>
      </c>
      <c r="D190" s="60">
        <v>13</v>
      </c>
      <c r="E190" s="150">
        <v>1155.67</v>
      </c>
      <c r="F190" s="82">
        <f t="shared" si="31"/>
        <v>15023.71</v>
      </c>
      <c r="G190" s="82">
        <f t="shared" si="33"/>
        <v>18028.45</v>
      </c>
    </row>
    <row r="191" spans="1:8" ht="15.6" x14ac:dyDescent="0.3">
      <c r="A191" s="57">
        <f t="shared" si="34"/>
        <v>156</v>
      </c>
      <c r="B191" s="58" t="s">
        <v>252</v>
      </c>
      <c r="C191" s="57" t="s">
        <v>181</v>
      </c>
      <c r="D191" s="60">
        <v>2</v>
      </c>
      <c r="E191" s="150">
        <v>1456.66</v>
      </c>
      <c r="F191" s="82">
        <f t="shared" si="31"/>
        <v>2913.32</v>
      </c>
      <c r="G191" s="82">
        <f t="shared" si="33"/>
        <v>3495.98</v>
      </c>
      <c r="H191">
        <v>1379</v>
      </c>
    </row>
    <row r="192" spans="1:8" ht="15.6" x14ac:dyDescent="0.3">
      <c r="A192" s="57">
        <f t="shared" si="34"/>
        <v>157</v>
      </c>
      <c r="B192" s="58" t="s">
        <v>391</v>
      </c>
      <c r="C192" s="57" t="s">
        <v>181</v>
      </c>
      <c r="D192" s="60">
        <v>13</v>
      </c>
      <c r="E192" s="150">
        <v>856.54</v>
      </c>
      <c r="F192" s="82">
        <f t="shared" si="31"/>
        <v>11135.02</v>
      </c>
      <c r="G192" s="82">
        <f t="shared" si="33"/>
        <v>13362.02</v>
      </c>
      <c r="H192">
        <v>1379</v>
      </c>
    </row>
    <row r="193" spans="1:9" ht="15.6" x14ac:dyDescent="0.3">
      <c r="A193" s="57">
        <f t="shared" si="34"/>
        <v>158</v>
      </c>
      <c r="B193" s="58" t="s">
        <v>429</v>
      </c>
      <c r="C193" s="57" t="s">
        <v>181</v>
      </c>
      <c r="D193" s="61">
        <v>560.5</v>
      </c>
      <c r="E193" s="150">
        <v>9.73</v>
      </c>
      <c r="F193" s="82">
        <f t="shared" si="31"/>
        <v>5453.67</v>
      </c>
      <c r="G193" s="82">
        <f t="shared" si="33"/>
        <v>6544.4</v>
      </c>
      <c r="H193">
        <v>125</v>
      </c>
    </row>
    <row r="194" spans="1:9" ht="15.6" x14ac:dyDescent="0.3">
      <c r="A194" s="57">
        <f t="shared" si="34"/>
        <v>159</v>
      </c>
      <c r="B194" s="58" t="s">
        <v>245</v>
      </c>
      <c r="C194" s="57" t="s">
        <v>181</v>
      </c>
      <c r="D194" s="61">
        <v>560.5</v>
      </c>
      <c r="E194" s="150">
        <v>197.58</v>
      </c>
      <c r="F194" s="82">
        <f t="shared" si="31"/>
        <v>110743.59</v>
      </c>
      <c r="G194" s="82">
        <f t="shared" si="33"/>
        <v>132892.31</v>
      </c>
      <c r="H194">
        <v>198</v>
      </c>
    </row>
    <row r="195" spans="1:9" ht="15.6" x14ac:dyDescent="0.3">
      <c r="A195" s="57">
        <f t="shared" si="34"/>
        <v>160</v>
      </c>
      <c r="B195" s="58" t="s">
        <v>430</v>
      </c>
      <c r="C195" s="57" t="s">
        <v>181</v>
      </c>
      <c r="D195" s="61">
        <v>29.5</v>
      </c>
      <c r="E195" s="150">
        <v>856.54</v>
      </c>
      <c r="F195" s="82">
        <f t="shared" si="31"/>
        <v>25267.93</v>
      </c>
      <c r="G195" s="82">
        <f t="shared" si="33"/>
        <v>30321.52</v>
      </c>
      <c r="H195">
        <v>899</v>
      </c>
    </row>
    <row r="196" spans="1:9" ht="27.6" x14ac:dyDescent="0.3">
      <c r="A196" s="57">
        <f t="shared" si="34"/>
        <v>161</v>
      </c>
      <c r="B196" s="58" t="s">
        <v>431</v>
      </c>
      <c r="C196" s="57" t="s">
        <v>219</v>
      </c>
      <c r="D196" s="61">
        <v>36.799999999999997</v>
      </c>
      <c r="E196" s="150">
        <v>67.760000000000005</v>
      </c>
      <c r="F196" s="82">
        <f t="shared" si="31"/>
        <v>2493.5700000000002</v>
      </c>
      <c r="G196" s="82">
        <f t="shared" si="33"/>
        <v>2992.28</v>
      </c>
      <c r="H196">
        <v>325</v>
      </c>
    </row>
    <row r="197" spans="1:9" ht="27.6" x14ac:dyDescent="0.3">
      <c r="A197" s="57">
        <f t="shared" si="34"/>
        <v>162</v>
      </c>
      <c r="B197" s="58" t="s">
        <v>393</v>
      </c>
      <c r="C197" s="57" t="s">
        <v>219</v>
      </c>
      <c r="D197" s="61">
        <v>36.799999999999997</v>
      </c>
      <c r="E197" s="150">
        <v>312.27999999999997</v>
      </c>
      <c r="F197" s="82">
        <f t="shared" si="31"/>
        <v>11491.9</v>
      </c>
      <c r="G197" s="82">
        <f t="shared" si="33"/>
        <v>13790.28</v>
      </c>
      <c r="H197">
        <v>3460</v>
      </c>
      <c r="I197" s="173" t="s">
        <v>480</v>
      </c>
    </row>
    <row r="198" spans="1:9" ht="23.25" customHeight="1" x14ac:dyDescent="0.3">
      <c r="A198" s="57"/>
      <c r="B198" s="56" t="s">
        <v>254</v>
      </c>
      <c r="C198" s="57"/>
      <c r="D198" s="59"/>
      <c r="E198" s="150"/>
      <c r="F198" s="82"/>
      <c r="G198" s="82"/>
    </row>
    <row r="199" spans="1:9" ht="27.6" x14ac:dyDescent="0.3">
      <c r="A199" s="57">
        <f>A197+1</f>
        <v>163</v>
      </c>
      <c r="B199" s="58" t="s">
        <v>458</v>
      </c>
      <c r="C199" s="57" t="s">
        <v>182</v>
      </c>
      <c r="D199" s="60">
        <v>21</v>
      </c>
      <c r="E199" s="150">
        <v>2864.48</v>
      </c>
      <c r="F199" s="82">
        <f t="shared" si="31"/>
        <v>60154.080000000002</v>
      </c>
      <c r="G199" s="82">
        <f t="shared" ref="G199:G208" si="35">ROUND(F199*1.2,2)</f>
        <v>72184.899999999994</v>
      </c>
    </row>
    <row r="200" spans="1:9" ht="41.4" x14ac:dyDescent="0.3">
      <c r="A200" s="57">
        <f>A199+1</f>
        <v>164</v>
      </c>
      <c r="B200" s="58" t="s">
        <v>459</v>
      </c>
      <c r="C200" s="57" t="s">
        <v>182</v>
      </c>
      <c r="D200" s="60">
        <v>6</v>
      </c>
      <c r="E200" s="150">
        <v>4021.61</v>
      </c>
      <c r="F200" s="82">
        <f t="shared" si="31"/>
        <v>24129.66</v>
      </c>
      <c r="G200" s="82">
        <f t="shared" si="35"/>
        <v>28955.59</v>
      </c>
    </row>
    <row r="201" spans="1:9" ht="41.4" x14ac:dyDescent="0.3">
      <c r="A201" s="57">
        <f t="shared" ref="A201:A204" si="36">A200+1</f>
        <v>165</v>
      </c>
      <c r="B201" s="58" t="s">
        <v>460</v>
      </c>
      <c r="C201" s="57" t="s">
        <v>207</v>
      </c>
      <c r="D201" s="60">
        <v>2</v>
      </c>
      <c r="E201" s="150">
        <v>5203.95</v>
      </c>
      <c r="F201" s="82">
        <f t="shared" si="31"/>
        <v>10407.9</v>
      </c>
      <c r="G201" s="82">
        <f t="shared" si="35"/>
        <v>12489.48</v>
      </c>
    </row>
    <row r="202" spans="1:9" ht="41.4" x14ac:dyDescent="0.3">
      <c r="A202" s="57">
        <f t="shared" si="36"/>
        <v>166</v>
      </c>
      <c r="B202" s="58" t="s">
        <v>461</v>
      </c>
      <c r="C202" s="57" t="s">
        <v>207</v>
      </c>
      <c r="D202" s="60">
        <v>2</v>
      </c>
      <c r="E202" s="150">
        <v>12511.09</v>
      </c>
      <c r="F202" s="82">
        <f t="shared" si="31"/>
        <v>25022.18</v>
      </c>
      <c r="G202" s="82">
        <f t="shared" si="35"/>
        <v>30026.62</v>
      </c>
    </row>
    <row r="203" spans="1:9" ht="27.6" x14ac:dyDescent="0.3">
      <c r="A203" s="57">
        <f t="shared" si="36"/>
        <v>167</v>
      </c>
      <c r="B203" s="58" t="s">
        <v>407</v>
      </c>
      <c r="C203" s="57" t="s">
        <v>207</v>
      </c>
      <c r="D203" s="60">
        <v>1</v>
      </c>
      <c r="E203" s="150">
        <v>9227.06</v>
      </c>
      <c r="F203" s="82">
        <f t="shared" si="31"/>
        <v>9227.06</v>
      </c>
      <c r="G203" s="82">
        <f t="shared" si="35"/>
        <v>11072.47</v>
      </c>
    </row>
    <row r="204" spans="1:9" ht="22.5" customHeight="1" x14ac:dyDescent="0.3">
      <c r="A204" s="57">
        <f t="shared" si="36"/>
        <v>168</v>
      </c>
      <c r="B204" s="58" t="s">
        <v>408</v>
      </c>
      <c r="C204" s="57" t="s">
        <v>482</v>
      </c>
      <c r="D204" s="60">
        <v>1</v>
      </c>
      <c r="E204" s="150">
        <v>70121.429999999993</v>
      </c>
      <c r="F204" s="82">
        <f t="shared" si="31"/>
        <v>70121.429999999993</v>
      </c>
      <c r="G204" s="82">
        <f t="shared" si="35"/>
        <v>84145.72</v>
      </c>
    </row>
    <row r="205" spans="1:9" ht="23.25" customHeight="1" x14ac:dyDescent="0.3">
      <c r="A205" s="57"/>
      <c r="B205" s="56" t="s">
        <v>414</v>
      </c>
      <c r="C205" s="57"/>
      <c r="D205" s="60"/>
      <c r="E205" s="150"/>
      <c r="F205" s="82"/>
      <c r="G205" s="82"/>
    </row>
    <row r="206" spans="1:9" ht="19.5" customHeight="1" x14ac:dyDescent="0.3">
      <c r="A206" s="57">
        <f>A204+1</f>
        <v>169</v>
      </c>
      <c r="B206" s="58" t="s">
        <v>462</v>
      </c>
      <c r="C206" s="57" t="s">
        <v>182</v>
      </c>
      <c r="D206" s="60">
        <v>21</v>
      </c>
      <c r="E206" s="150">
        <v>1334.42</v>
      </c>
      <c r="F206" s="82">
        <f t="shared" si="31"/>
        <v>28022.82</v>
      </c>
      <c r="G206" s="82">
        <f t="shared" si="35"/>
        <v>33627.379999999997</v>
      </c>
    </row>
    <row r="207" spans="1:9" ht="19.5" customHeight="1" x14ac:dyDescent="0.3">
      <c r="A207" s="57">
        <f>A206+1</f>
        <v>170</v>
      </c>
      <c r="B207" s="58" t="s">
        <v>457</v>
      </c>
      <c r="C207" s="57" t="s">
        <v>219</v>
      </c>
      <c r="D207" s="60">
        <v>8</v>
      </c>
      <c r="E207" s="150">
        <v>436.17</v>
      </c>
      <c r="F207" s="82">
        <f t="shared" si="31"/>
        <v>3489.36</v>
      </c>
      <c r="G207" s="82">
        <f t="shared" si="35"/>
        <v>4187.2299999999996</v>
      </c>
    </row>
    <row r="208" spans="1:9" ht="15.6" x14ac:dyDescent="0.3">
      <c r="A208" s="57">
        <f>A207+1</f>
        <v>171</v>
      </c>
      <c r="B208" s="58" t="s">
        <v>448</v>
      </c>
      <c r="C208" s="57" t="s">
        <v>219</v>
      </c>
      <c r="D208" s="60">
        <v>8</v>
      </c>
      <c r="E208" s="150">
        <v>312.27999999999997</v>
      </c>
      <c r="F208" s="82">
        <f t="shared" si="31"/>
        <v>2498.2399999999998</v>
      </c>
      <c r="G208" s="82">
        <f t="shared" si="35"/>
        <v>2997.89</v>
      </c>
    </row>
    <row r="209" spans="1:9" ht="29.25" customHeight="1" x14ac:dyDescent="0.3">
      <c r="A209" s="134"/>
      <c r="B209" s="398" t="s">
        <v>303</v>
      </c>
      <c r="C209" s="399"/>
      <c r="D209" s="403"/>
      <c r="E209" s="135"/>
      <c r="F209" s="136"/>
      <c r="G209" s="147"/>
    </row>
    <row r="210" spans="1:9" x14ac:dyDescent="0.3">
      <c r="A210" s="57"/>
      <c r="B210" s="56" t="s">
        <v>248</v>
      </c>
      <c r="C210" s="57"/>
      <c r="D210" s="59"/>
      <c r="E210" s="145"/>
      <c r="F210" s="141"/>
      <c r="G210" s="148"/>
    </row>
    <row r="211" spans="1:9" ht="27.6" x14ac:dyDescent="0.3">
      <c r="A211" s="57">
        <f>A208+1</f>
        <v>172</v>
      </c>
      <c r="B211" s="58" t="s">
        <v>388</v>
      </c>
      <c r="C211" s="57" t="s">
        <v>181</v>
      </c>
      <c r="D211" s="60">
        <v>1779</v>
      </c>
      <c r="E211" s="150">
        <v>90.47</v>
      </c>
      <c r="F211" s="82">
        <f t="shared" ref="F211:F231" si="37">ROUND(E211*D211,2)</f>
        <v>160946.13</v>
      </c>
      <c r="G211" s="82">
        <f t="shared" ref="G211:G220" si="38">ROUND(F211*1.2,2)</f>
        <v>193135.35999999999</v>
      </c>
      <c r="H211">
        <v>325</v>
      </c>
    </row>
    <row r="212" spans="1:9" ht="15.6" x14ac:dyDescent="0.3">
      <c r="A212" s="57">
        <f>A211+1</f>
        <v>173</v>
      </c>
      <c r="B212" s="58" t="s">
        <v>389</v>
      </c>
      <c r="C212" s="57" t="s">
        <v>181</v>
      </c>
      <c r="D212" s="60">
        <v>53</v>
      </c>
      <c r="E212" s="150">
        <v>1860.11</v>
      </c>
      <c r="F212" s="82">
        <f t="shared" si="37"/>
        <v>98585.83</v>
      </c>
      <c r="G212" s="82">
        <f t="shared" si="38"/>
        <v>118303</v>
      </c>
      <c r="H212">
        <v>1777</v>
      </c>
    </row>
    <row r="213" spans="1:9" ht="15.6" x14ac:dyDescent="0.3">
      <c r="A213" s="57">
        <f t="shared" ref="A213:A220" si="39">A212+1</f>
        <v>174</v>
      </c>
      <c r="B213" s="58" t="s">
        <v>390</v>
      </c>
      <c r="C213" s="57" t="s">
        <v>181</v>
      </c>
      <c r="D213" s="60">
        <v>40</v>
      </c>
      <c r="E213" s="150">
        <v>1155.67</v>
      </c>
      <c r="F213" s="82">
        <f t="shared" si="37"/>
        <v>46226.8</v>
      </c>
      <c r="G213" s="82">
        <f t="shared" si="38"/>
        <v>55472.160000000003</v>
      </c>
    </row>
    <row r="214" spans="1:9" ht="15.6" x14ac:dyDescent="0.3">
      <c r="A214" s="57">
        <f t="shared" si="39"/>
        <v>175</v>
      </c>
      <c r="B214" s="58" t="s">
        <v>252</v>
      </c>
      <c r="C214" s="57" t="s">
        <v>181</v>
      </c>
      <c r="D214" s="60">
        <v>6</v>
      </c>
      <c r="E214" s="150">
        <v>1456.65</v>
      </c>
      <c r="F214" s="82">
        <f t="shared" si="37"/>
        <v>8739.9</v>
      </c>
      <c r="G214" s="82">
        <f t="shared" si="38"/>
        <v>10487.88</v>
      </c>
      <c r="H214">
        <v>1379</v>
      </c>
    </row>
    <row r="215" spans="1:9" ht="15.6" x14ac:dyDescent="0.3">
      <c r="A215" s="57">
        <f t="shared" si="39"/>
        <v>176</v>
      </c>
      <c r="B215" s="58" t="s">
        <v>391</v>
      </c>
      <c r="C215" s="57" t="s">
        <v>181</v>
      </c>
      <c r="D215" s="60">
        <v>40</v>
      </c>
      <c r="E215" s="150">
        <v>856.54</v>
      </c>
      <c r="F215" s="82">
        <f t="shared" si="37"/>
        <v>34261.599999999999</v>
      </c>
      <c r="G215" s="82">
        <f t="shared" si="38"/>
        <v>41113.919999999998</v>
      </c>
      <c r="H215">
        <v>1379</v>
      </c>
    </row>
    <row r="216" spans="1:9" ht="15.6" x14ac:dyDescent="0.3">
      <c r="A216" s="57">
        <f t="shared" si="39"/>
        <v>177</v>
      </c>
      <c r="B216" s="58" t="s">
        <v>429</v>
      </c>
      <c r="C216" s="57" t="s">
        <v>181</v>
      </c>
      <c r="D216" s="61">
        <v>1681.5</v>
      </c>
      <c r="E216" s="150">
        <v>9.73</v>
      </c>
      <c r="F216" s="82">
        <f t="shared" si="37"/>
        <v>16361</v>
      </c>
      <c r="G216" s="82">
        <f t="shared" si="38"/>
        <v>19633.2</v>
      </c>
      <c r="H216">
        <v>125</v>
      </c>
    </row>
    <row r="217" spans="1:9" ht="15.6" x14ac:dyDescent="0.3">
      <c r="A217" s="57">
        <f t="shared" si="39"/>
        <v>178</v>
      </c>
      <c r="B217" s="58" t="s">
        <v>245</v>
      </c>
      <c r="C217" s="57" t="s">
        <v>181</v>
      </c>
      <c r="D217" s="61">
        <v>1681.5</v>
      </c>
      <c r="E217" s="150">
        <v>197.58</v>
      </c>
      <c r="F217" s="82">
        <f t="shared" si="37"/>
        <v>332230.77</v>
      </c>
      <c r="G217" s="82">
        <f t="shared" si="38"/>
        <v>398676.92</v>
      </c>
      <c r="H217">
        <v>198</v>
      </c>
    </row>
    <row r="218" spans="1:9" ht="15.6" x14ac:dyDescent="0.3">
      <c r="A218" s="57">
        <f t="shared" si="39"/>
        <v>179</v>
      </c>
      <c r="B218" s="58" t="s">
        <v>430</v>
      </c>
      <c r="C218" s="57" t="s">
        <v>181</v>
      </c>
      <c r="D218" s="59">
        <v>88.5</v>
      </c>
      <c r="E218" s="150">
        <v>856.54</v>
      </c>
      <c r="F218" s="82">
        <f t="shared" si="37"/>
        <v>75803.789999999994</v>
      </c>
      <c r="G218" s="82">
        <f t="shared" si="38"/>
        <v>90964.55</v>
      </c>
      <c r="H218">
        <v>899</v>
      </c>
    </row>
    <row r="219" spans="1:9" ht="27.6" x14ac:dyDescent="0.3">
      <c r="A219" s="57">
        <f t="shared" si="39"/>
        <v>180</v>
      </c>
      <c r="B219" s="58" t="s">
        <v>431</v>
      </c>
      <c r="C219" s="57" t="s">
        <v>219</v>
      </c>
      <c r="D219" s="61">
        <v>99.2</v>
      </c>
      <c r="E219" s="150">
        <v>67.760000000000005</v>
      </c>
      <c r="F219" s="82">
        <f t="shared" si="37"/>
        <v>6721.79</v>
      </c>
      <c r="G219" s="82">
        <f t="shared" ref="G219" si="40">ROUND(F219*1.2,2)</f>
        <v>8066.15</v>
      </c>
      <c r="H219">
        <v>325</v>
      </c>
    </row>
    <row r="220" spans="1:9" ht="27.6" x14ac:dyDescent="0.3">
      <c r="A220" s="57">
        <f t="shared" si="39"/>
        <v>181</v>
      </c>
      <c r="B220" s="58" t="s">
        <v>393</v>
      </c>
      <c r="C220" s="57" t="s">
        <v>219</v>
      </c>
      <c r="D220" s="61">
        <v>99.2</v>
      </c>
      <c r="E220" s="150">
        <v>312.27999999999997</v>
      </c>
      <c r="F220" s="82">
        <f t="shared" si="37"/>
        <v>30978.18</v>
      </c>
      <c r="G220" s="82">
        <f t="shared" si="38"/>
        <v>37173.82</v>
      </c>
      <c r="H220">
        <v>3460</v>
      </c>
      <c r="I220" s="173" t="s">
        <v>480</v>
      </c>
    </row>
    <row r="221" spans="1:9" ht="15.6" x14ac:dyDescent="0.3">
      <c r="A221" s="57"/>
      <c r="B221" s="56" t="s">
        <v>254</v>
      </c>
      <c r="C221" s="57"/>
      <c r="D221" s="59"/>
      <c r="E221" s="150"/>
      <c r="F221" s="82"/>
      <c r="G221" s="82"/>
    </row>
    <row r="222" spans="1:9" ht="27.6" x14ac:dyDescent="0.3">
      <c r="A222" s="57">
        <f>A220+1</f>
        <v>182</v>
      </c>
      <c r="B222" s="58" t="s">
        <v>458</v>
      </c>
      <c r="C222" s="57" t="s">
        <v>182</v>
      </c>
      <c r="D222" s="60">
        <v>49</v>
      </c>
      <c r="E222" s="150">
        <v>2864.48</v>
      </c>
      <c r="F222" s="82">
        <f t="shared" si="37"/>
        <v>140359.51999999999</v>
      </c>
      <c r="G222" s="82">
        <f t="shared" ref="G222:G227" si="41">ROUND(F222*1.2,2)</f>
        <v>168431.42</v>
      </c>
    </row>
    <row r="223" spans="1:9" ht="41.4" x14ac:dyDescent="0.3">
      <c r="A223" s="57">
        <f>A222+1</f>
        <v>183</v>
      </c>
      <c r="B223" s="58" t="s">
        <v>459</v>
      </c>
      <c r="C223" s="57" t="s">
        <v>182</v>
      </c>
      <c r="D223" s="60">
        <v>6</v>
      </c>
      <c r="E223" s="150">
        <v>4021.61</v>
      </c>
      <c r="F223" s="82">
        <f t="shared" si="37"/>
        <v>24129.66</v>
      </c>
      <c r="G223" s="82">
        <f t="shared" si="41"/>
        <v>28955.59</v>
      </c>
    </row>
    <row r="224" spans="1:9" ht="41.4" x14ac:dyDescent="0.3">
      <c r="A224" s="57">
        <f t="shared" ref="A224:A227" si="42">A223+1</f>
        <v>184</v>
      </c>
      <c r="B224" s="58" t="s">
        <v>460</v>
      </c>
      <c r="C224" s="57" t="s">
        <v>207</v>
      </c>
      <c r="D224" s="60">
        <v>2</v>
      </c>
      <c r="E224" s="150">
        <v>5203.95</v>
      </c>
      <c r="F224" s="82">
        <f t="shared" si="37"/>
        <v>10407.9</v>
      </c>
      <c r="G224" s="82">
        <f t="shared" si="41"/>
        <v>12489.48</v>
      </c>
    </row>
    <row r="225" spans="1:9" ht="41.4" x14ac:dyDescent="0.3">
      <c r="A225" s="57">
        <f t="shared" si="42"/>
        <v>185</v>
      </c>
      <c r="B225" s="58" t="s">
        <v>461</v>
      </c>
      <c r="C225" s="57" t="s">
        <v>207</v>
      </c>
      <c r="D225" s="60">
        <v>2</v>
      </c>
      <c r="E225" s="150">
        <v>12511.09</v>
      </c>
      <c r="F225" s="82">
        <f t="shared" si="37"/>
        <v>25022.18</v>
      </c>
      <c r="G225" s="82">
        <f t="shared" si="41"/>
        <v>30026.62</v>
      </c>
    </row>
    <row r="226" spans="1:9" ht="27.6" x14ac:dyDescent="0.3">
      <c r="A226" s="57">
        <f t="shared" si="42"/>
        <v>186</v>
      </c>
      <c r="B226" s="58" t="s">
        <v>407</v>
      </c>
      <c r="C226" s="57" t="s">
        <v>207</v>
      </c>
      <c r="D226" s="60">
        <v>1</v>
      </c>
      <c r="E226" s="150">
        <v>9227.06</v>
      </c>
      <c r="F226" s="82">
        <f t="shared" si="37"/>
        <v>9227.06</v>
      </c>
      <c r="G226" s="82">
        <f t="shared" si="41"/>
        <v>11072.47</v>
      </c>
    </row>
    <row r="227" spans="1:9" ht="27.6" x14ac:dyDescent="0.3">
      <c r="A227" s="57">
        <f t="shared" si="42"/>
        <v>187</v>
      </c>
      <c r="B227" s="58" t="s">
        <v>408</v>
      </c>
      <c r="C227" s="57" t="s">
        <v>482</v>
      </c>
      <c r="D227" s="60">
        <v>1</v>
      </c>
      <c r="E227" s="150">
        <v>70121.429999999993</v>
      </c>
      <c r="F227" s="82">
        <f t="shared" si="37"/>
        <v>70121.429999999993</v>
      </c>
      <c r="G227" s="82">
        <f t="shared" si="41"/>
        <v>84145.72</v>
      </c>
    </row>
    <row r="228" spans="1:9" ht="15.6" x14ac:dyDescent="0.3">
      <c r="A228" s="57"/>
      <c r="B228" s="56" t="s">
        <v>414</v>
      </c>
      <c r="C228" s="57"/>
      <c r="D228" s="59"/>
      <c r="E228" s="150"/>
      <c r="F228" s="82"/>
      <c r="G228" s="82"/>
    </row>
    <row r="229" spans="1:9" ht="15.6" x14ac:dyDescent="0.3">
      <c r="A229" s="57">
        <f>A227+1</f>
        <v>188</v>
      </c>
      <c r="B229" s="58" t="s">
        <v>462</v>
      </c>
      <c r="C229" s="57" t="s">
        <v>182</v>
      </c>
      <c r="D229" s="60">
        <v>49</v>
      </c>
      <c r="E229" s="150">
        <v>1334.42</v>
      </c>
      <c r="F229" s="82">
        <f t="shared" si="37"/>
        <v>65386.58</v>
      </c>
      <c r="G229" s="82">
        <f t="shared" ref="G229:G231" si="43">ROUND(F229*1.2,2)</f>
        <v>78463.899999999994</v>
      </c>
    </row>
    <row r="230" spans="1:9" ht="15.6" x14ac:dyDescent="0.3">
      <c r="A230" s="57">
        <f>A229+1</f>
        <v>189</v>
      </c>
      <c r="B230" s="58" t="s">
        <v>457</v>
      </c>
      <c r="C230" s="57" t="s">
        <v>219</v>
      </c>
      <c r="D230" s="61">
        <v>18.7</v>
      </c>
      <c r="E230" s="150">
        <v>412.84</v>
      </c>
      <c r="F230" s="82">
        <f t="shared" si="37"/>
        <v>7720.11</v>
      </c>
      <c r="G230" s="82">
        <f t="shared" si="43"/>
        <v>9264.1299999999992</v>
      </c>
    </row>
    <row r="231" spans="1:9" ht="15.6" x14ac:dyDescent="0.3">
      <c r="A231" s="57">
        <f>A230+1</f>
        <v>190</v>
      </c>
      <c r="B231" s="58" t="s">
        <v>448</v>
      </c>
      <c r="C231" s="57" t="s">
        <v>219</v>
      </c>
      <c r="D231" s="61">
        <v>18.7</v>
      </c>
      <c r="E231" s="150">
        <v>312.27999999999997</v>
      </c>
      <c r="F231" s="82">
        <f t="shared" si="37"/>
        <v>5839.64</v>
      </c>
      <c r="G231" s="82">
        <f t="shared" si="43"/>
        <v>7007.57</v>
      </c>
    </row>
    <row r="232" spans="1:9" ht="23.25" customHeight="1" x14ac:dyDescent="0.3">
      <c r="A232" s="134"/>
      <c r="B232" s="398" t="s">
        <v>304</v>
      </c>
      <c r="C232" s="399"/>
      <c r="D232" s="403"/>
      <c r="E232" s="135"/>
      <c r="F232" s="136"/>
      <c r="G232" s="147"/>
    </row>
    <row r="233" spans="1:9" ht="22.5" customHeight="1" x14ac:dyDescent="0.3">
      <c r="A233" s="57"/>
      <c r="B233" s="56" t="s">
        <v>248</v>
      </c>
      <c r="C233" s="57"/>
      <c r="D233" s="59"/>
      <c r="E233" s="145"/>
      <c r="F233" s="141"/>
      <c r="G233" s="148"/>
    </row>
    <row r="234" spans="1:9" ht="15.6" x14ac:dyDescent="0.3">
      <c r="A234" s="57">
        <f>A231+1</f>
        <v>191</v>
      </c>
      <c r="B234" s="58" t="s">
        <v>246</v>
      </c>
      <c r="C234" s="57" t="s">
        <v>181</v>
      </c>
      <c r="D234" s="61">
        <v>10.8</v>
      </c>
      <c r="E234" s="150">
        <v>1550.1</v>
      </c>
      <c r="F234" s="82">
        <f t="shared" ref="F234:F237" si="44">ROUND(E234*D234,2)</f>
        <v>16741.080000000002</v>
      </c>
      <c r="G234" s="82">
        <f t="shared" ref="G234:G250" si="45">ROUND(F234*1.2,2)</f>
        <v>20089.3</v>
      </c>
      <c r="H234">
        <v>1777</v>
      </c>
    </row>
    <row r="235" spans="1:9" ht="15.6" x14ac:dyDescent="0.3">
      <c r="A235" s="57">
        <f>A234+1</f>
        <v>192</v>
      </c>
      <c r="B235" s="58" t="s">
        <v>463</v>
      </c>
      <c r="C235" s="57" t="s">
        <v>181</v>
      </c>
      <c r="D235" s="61">
        <v>6.7</v>
      </c>
      <c r="E235" s="150">
        <v>856.54</v>
      </c>
      <c r="F235" s="82">
        <f t="shared" si="44"/>
        <v>5738.82</v>
      </c>
      <c r="G235" s="82">
        <f t="shared" si="45"/>
        <v>6886.58</v>
      </c>
      <c r="H235">
        <v>899</v>
      </c>
    </row>
    <row r="236" spans="1:9" ht="15.6" x14ac:dyDescent="0.3">
      <c r="A236" s="57">
        <f t="shared" ref="A236:A237" si="46">A235+1</f>
        <v>193</v>
      </c>
      <c r="B236" s="58" t="s">
        <v>464</v>
      </c>
      <c r="C236" s="57" t="s">
        <v>181</v>
      </c>
      <c r="D236" s="61">
        <v>4.0999999999999996</v>
      </c>
      <c r="E236" s="150">
        <v>518.38</v>
      </c>
      <c r="F236" s="82">
        <f t="shared" si="44"/>
        <v>2125.36</v>
      </c>
      <c r="G236" s="82">
        <f t="shared" si="45"/>
        <v>2550.4299999999998</v>
      </c>
      <c r="H236">
        <v>325</v>
      </c>
    </row>
    <row r="237" spans="1:9" ht="15.6" x14ac:dyDescent="0.3">
      <c r="A237" s="57">
        <f t="shared" si="46"/>
        <v>194</v>
      </c>
      <c r="B237" s="58" t="s">
        <v>465</v>
      </c>
      <c r="C237" s="57" t="s">
        <v>219</v>
      </c>
      <c r="D237" s="59">
        <v>7.18</v>
      </c>
      <c r="E237" s="150">
        <v>312.27999999999997</v>
      </c>
      <c r="F237" s="82">
        <f t="shared" si="44"/>
        <v>2242.17</v>
      </c>
      <c r="G237" s="82">
        <f t="shared" si="45"/>
        <v>2690.6</v>
      </c>
      <c r="H237">
        <v>3460</v>
      </c>
      <c r="I237" s="173" t="s">
        <v>480</v>
      </c>
    </row>
    <row r="238" spans="1:9" ht="18.75" customHeight="1" x14ac:dyDescent="0.3">
      <c r="A238" s="57"/>
      <c r="B238" s="56" t="s">
        <v>466</v>
      </c>
      <c r="C238" s="57"/>
      <c r="D238" s="60"/>
      <c r="E238" s="150"/>
      <c r="F238" s="82"/>
      <c r="G238" s="82"/>
    </row>
    <row r="239" spans="1:9" ht="15.6" x14ac:dyDescent="0.3">
      <c r="A239" s="57">
        <f>A237+1</f>
        <v>195</v>
      </c>
      <c r="B239" s="58" t="s">
        <v>265</v>
      </c>
      <c r="C239" s="57" t="s">
        <v>182</v>
      </c>
      <c r="D239" s="60">
        <v>40</v>
      </c>
      <c r="E239" s="150">
        <v>162.32</v>
      </c>
      <c r="F239" s="82">
        <f t="shared" ref="F239:F245" si="47">ROUND(E239*D239,2)</f>
        <v>6492.8</v>
      </c>
      <c r="G239" s="82">
        <f t="shared" si="45"/>
        <v>7791.36</v>
      </c>
    </row>
    <row r="240" spans="1:9" ht="15.6" x14ac:dyDescent="0.3">
      <c r="A240" s="57">
        <f>A239+1</f>
        <v>196</v>
      </c>
      <c r="B240" s="58" t="s">
        <v>467</v>
      </c>
      <c r="C240" s="57" t="s">
        <v>207</v>
      </c>
      <c r="D240" s="60">
        <v>2</v>
      </c>
      <c r="E240" s="150">
        <v>1976.06</v>
      </c>
      <c r="F240" s="82">
        <f t="shared" si="47"/>
        <v>3952.12</v>
      </c>
      <c r="G240" s="82">
        <f t="shared" si="45"/>
        <v>4742.54</v>
      </c>
    </row>
    <row r="241" spans="1:8" ht="15.6" x14ac:dyDescent="0.3">
      <c r="A241" s="57">
        <f>A240+1</f>
        <v>197</v>
      </c>
      <c r="B241" s="58" t="s">
        <v>468</v>
      </c>
      <c r="C241" s="57" t="s">
        <v>182</v>
      </c>
      <c r="D241" s="60">
        <f>60+180</f>
        <v>240</v>
      </c>
      <c r="E241" s="150">
        <v>64.27</v>
      </c>
      <c r="F241" s="82">
        <f t="shared" si="47"/>
        <v>15424.8</v>
      </c>
      <c r="G241" s="82">
        <f t="shared" si="45"/>
        <v>18509.759999999998</v>
      </c>
    </row>
    <row r="242" spans="1:8" ht="15.6" x14ac:dyDescent="0.3">
      <c r="A242" s="57">
        <f t="shared" ref="A242:A245" si="48">A241+1</f>
        <v>198</v>
      </c>
      <c r="B242" s="58" t="s">
        <v>469</v>
      </c>
      <c r="C242" s="57" t="s">
        <v>182</v>
      </c>
      <c r="D242" s="60">
        <v>240</v>
      </c>
      <c r="E242" s="150">
        <v>151.6</v>
      </c>
      <c r="F242" s="82">
        <f t="shared" si="47"/>
        <v>36384</v>
      </c>
      <c r="G242" s="82">
        <f t="shared" si="45"/>
        <v>43660.800000000003</v>
      </c>
    </row>
    <row r="243" spans="1:8" ht="15.6" x14ac:dyDescent="0.3">
      <c r="A243" s="57">
        <f t="shared" si="48"/>
        <v>199</v>
      </c>
      <c r="B243" s="58" t="s">
        <v>470</v>
      </c>
      <c r="C243" s="57" t="s">
        <v>182</v>
      </c>
      <c r="D243" s="60">
        <v>40</v>
      </c>
      <c r="E243" s="150">
        <v>327.23</v>
      </c>
      <c r="F243" s="82">
        <f t="shared" si="47"/>
        <v>13089.2</v>
      </c>
      <c r="G243" s="82">
        <f t="shared" si="45"/>
        <v>15707.04</v>
      </c>
    </row>
    <row r="244" spans="1:8" ht="15.6" x14ac:dyDescent="0.3">
      <c r="A244" s="57">
        <f t="shared" si="48"/>
        <v>200</v>
      </c>
      <c r="B244" s="58" t="s">
        <v>471</v>
      </c>
      <c r="C244" s="57" t="s">
        <v>207</v>
      </c>
      <c r="D244" s="60">
        <v>4</v>
      </c>
      <c r="E244" s="150">
        <v>8752.73</v>
      </c>
      <c r="F244" s="82">
        <f t="shared" si="47"/>
        <v>35010.92</v>
      </c>
      <c r="G244" s="82">
        <f t="shared" si="45"/>
        <v>42013.1</v>
      </c>
    </row>
    <row r="245" spans="1:8" ht="15.6" x14ac:dyDescent="0.3">
      <c r="A245" s="57">
        <f t="shared" si="48"/>
        <v>201</v>
      </c>
      <c r="B245" s="58" t="s">
        <v>472</v>
      </c>
      <c r="C245" s="57" t="s">
        <v>182</v>
      </c>
      <c r="D245" s="60">
        <v>40</v>
      </c>
      <c r="E245" s="150">
        <v>18.45</v>
      </c>
      <c r="F245" s="82">
        <f t="shared" si="47"/>
        <v>738</v>
      </c>
      <c r="G245" s="82">
        <f t="shared" si="45"/>
        <v>885.6</v>
      </c>
    </row>
    <row r="246" spans="1:8" ht="21.75" customHeight="1" x14ac:dyDescent="0.3">
      <c r="A246" s="57"/>
      <c r="B246" s="56" t="s">
        <v>473</v>
      </c>
      <c r="C246" s="57"/>
      <c r="D246" s="59"/>
      <c r="E246" s="150"/>
      <c r="F246" s="82"/>
      <c r="G246" s="82"/>
    </row>
    <row r="247" spans="1:8" ht="27.6" x14ac:dyDescent="0.3">
      <c r="A247" s="57">
        <f>A245+1</f>
        <v>202</v>
      </c>
      <c r="B247" s="58" t="s">
        <v>474</v>
      </c>
      <c r="C247" s="57" t="s">
        <v>483</v>
      </c>
      <c r="D247" s="60">
        <v>4</v>
      </c>
      <c r="E247" s="150">
        <v>6257.28</v>
      </c>
      <c r="F247" s="82">
        <f t="shared" ref="F247:F250" si="49">ROUND(E247*D247,2)</f>
        <v>25029.119999999999</v>
      </c>
      <c r="G247" s="82">
        <f t="shared" si="45"/>
        <v>30034.94</v>
      </c>
    </row>
    <row r="248" spans="1:8" ht="27.6" x14ac:dyDescent="0.3">
      <c r="A248" s="57">
        <f>A247+1</f>
        <v>203</v>
      </c>
      <c r="B248" s="58" t="s">
        <v>475</v>
      </c>
      <c r="C248" s="57" t="s">
        <v>483</v>
      </c>
      <c r="D248" s="60">
        <v>4</v>
      </c>
      <c r="E248" s="150">
        <v>6257.28</v>
      </c>
      <c r="F248" s="82">
        <f t="shared" si="49"/>
        <v>25029.119999999999</v>
      </c>
      <c r="G248" s="82">
        <f t="shared" si="45"/>
        <v>30034.94</v>
      </c>
    </row>
    <row r="249" spans="1:8" ht="27.6" x14ac:dyDescent="0.3">
      <c r="A249" s="57">
        <f t="shared" ref="A249:A250" si="50">A248+1</f>
        <v>204</v>
      </c>
      <c r="B249" s="58" t="s">
        <v>476</v>
      </c>
      <c r="C249" s="57" t="s">
        <v>483</v>
      </c>
      <c r="D249" s="60">
        <v>4</v>
      </c>
      <c r="E249" s="150">
        <v>6257.28</v>
      </c>
      <c r="F249" s="82">
        <f t="shared" si="49"/>
        <v>25029.119999999999</v>
      </c>
      <c r="G249" s="82">
        <f t="shared" si="45"/>
        <v>30034.94</v>
      </c>
    </row>
    <row r="250" spans="1:8" ht="27.6" x14ac:dyDescent="0.3">
      <c r="A250" s="57">
        <f t="shared" si="50"/>
        <v>205</v>
      </c>
      <c r="B250" s="58" t="s">
        <v>477</v>
      </c>
      <c r="C250" s="57" t="s">
        <v>484</v>
      </c>
      <c r="D250" s="60">
        <v>3</v>
      </c>
      <c r="E250" s="150">
        <v>2329.08</v>
      </c>
      <c r="F250" s="82">
        <f t="shared" si="49"/>
        <v>6987.24</v>
      </c>
      <c r="G250" s="82">
        <f t="shared" si="45"/>
        <v>8384.69</v>
      </c>
    </row>
    <row r="251" spans="1:8" x14ac:dyDescent="0.3">
      <c r="A251" s="146"/>
      <c r="B251" s="387" t="s">
        <v>284</v>
      </c>
      <c r="C251" s="388"/>
      <c r="D251" s="388"/>
      <c r="E251" s="389"/>
      <c r="F251" s="138">
        <f>SUM(F6:F250)</f>
        <v>6681041.8199999994</v>
      </c>
      <c r="G251" s="138">
        <f>SUM(G6:G250)</f>
        <v>8017250.1500000004</v>
      </c>
    </row>
    <row r="252" spans="1:8" x14ac:dyDescent="0.3">
      <c r="A252" s="375" t="s">
        <v>285</v>
      </c>
      <c r="B252" s="376"/>
      <c r="C252" s="376"/>
      <c r="D252" s="376"/>
      <c r="E252" s="377"/>
      <c r="F252" s="175">
        <f>ROUND(F251*0.03,2)</f>
        <v>200431.25</v>
      </c>
      <c r="G252" s="175">
        <f>ROUND(G251*0.03,2)</f>
        <v>240517.5</v>
      </c>
      <c r="H252" s="51"/>
    </row>
    <row r="253" spans="1:8" x14ac:dyDescent="0.3">
      <c r="A253" s="375" t="s">
        <v>286</v>
      </c>
      <c r="B253" s="376"/>
      <c r="C253" s="376"/>
      <c r="D253" s="376"/>
      <c r="E253" s="377"/>
      <c r="F253" s="175">
        <f>F251+F252</f>
        <v>6881473.0699999994</v>
      </c>
      <c r="G253" s="175">
        <f>G251+G252</f>
        <v>8257767.6500000004</v>
      </c>
      <c r="H253" s="51"/>
    </row>
  </sheetData>
  <mergeCells count="18">
    <mergeCell ref="B186:D186"/>
    <mergeCell ref="B209:D209"/>
    <mergeCell ref="B232:D232"/>
    <mergeCell ref="A252:E252"/>
    <mergeCell ref="A253:E253"/>
    <mergeCell ref="B251:E251"/>
    <mergeCell ref="A1:A2"/>
    <mergeCell ref="B1:B2"/>
    <mergeCell ref="C1:C2"/>
    <mergeCell ref="D1:D2"/>
    <mergeCell ref="E1:G1"/>
    <mergeCell ref="B140:D140"/>
    <mergeCell ref="B163:D163"/>
    <mergeCell ref="B41:D41"/>
    <mergeCell ref="B4:D4"/>
    <mergeCell ref="B69:D69"/>
    <mergeCell ref="B97:D97"/>
    <mergeCell ref="B121:D121"/>
  </mergeCells>
  <pageMargins left="0.7" right="0.7" top="0.75" bottom="0.75" header="0.3" footer="0.3"/>
  <pageSetup paperSize="9" scale="6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  <col min="8" max="8" width="12.6640625" customWidth="1"/>
  </cols>
  <sheetData>
    <row r="1" spans="1:7" ht="19.5" customHeight="1" x14ac:dyDescent="0.3">
      <c r="A1" s="370" t="s">
        <v>213</v>
      </c>
      <c r="B1" s="382" t="s">
        <v>188</v>
      </c>
      <c r="C1" s="370" t="s">
        <v>275</v>
      </c>
      <c r="D1" s="370" t="s">
        <v>189</v>
      </c>
      <c r="E1" s="381" t="s">
        <v>273</v>
      </c>
      <c r="F1" s="381"/>
      <c r="G1" s="381"/>
    </row>
    <row r="2" spans="1:7" s="53" customFormat="1" ht="27.6" x14ac:dyDescent="0.3">
      <c r="A2" s="370"/>
      <c r="B2" s="382"/>
      <c r="C2" s="370"/>
      <c r="D2" s="370"/>
      <c r="E2" s="73" t="s">
        <v>274</v>
      </c>
      <c r="F2" s="85" t="s">
        <v>184</v>
      </c>
      <c r="G2" s="85" t="s">
        <v>185</v>
      </c>
    </row>
    <row r="3" spans="1:7" ht="13.5" customHeight="1" x14ac:dyDescent="0.3">
      <c r="A3" s="129">
        <v>1</v>
      </c>
      <c r="B3" s="130">
        <v>2</v>
      </c>
      <c r="C3" s="130">
        <v>3</v>
      </c>
      <c r="D3" s="130">
        <v>4</v>
      </c>
      <c r="E3" s="130">
        <v>5</v>
      </c>
      <c r="F3" s="130">
        <v>6</v>
      </c>
      <c r="G3" s="130">
        <v>7</v>
      </c>
    </row>
    <row r="4" spans="1:7" ht="19.5" customHeight="1" x14ac:dyDescent="0.3">
      <c r="A4" s="134"/>
      <c r="B4" s="385" t="s">
        <v>295</v>
      </c>
      <c r="C4" s="394"/>
      <c r="D4" s="386"/>
      <c r="E4" s="136"/>
      <c r="F4" s="137"/>
      <c r="G4" s="107"/>
    </row>
    <row r="5" spans="1:7" x14ac:dyDescent="0.3">
      <c r="A5" s="69">
        <v>1</v>
      </c>
      <c r="B5" s="58" t="s">
        <v>222</v>
      </c>
      <c r="C5" s="57" t="s">
        <v>181</v>
      </c>
      <c r="D5" s="61">
        <v>14.3</v>
      </c>
      <c r="E5" s="78">
        <v>1320</v>
      </c>
      <c r="F5" s="82">
        <f>ROUND(E5*D5,2)</f>
        <v>18876</v>
      </c>
      <c r="G5" s="82">
        <f>ROUND(F5*1.2,2)</f>
        <v>22651.200000000001</v>
      </c>
    </row>
    <row r="6" spans="1:7" x14ac:dyDescent="0.3">
      <c r="A6" s="69">
        <f>A5+1</f>
        <v>2</v>
      </c>
      <c r="B6" s="58" t="s">
        <v>305</v>
      </c>
      <c r="C6" s="57" t="s">
        <v>182</v>
      </c>
      <c r="D6" s="60">
        <v>31</v>
      </c>
      <c r="E6" s="78">
        <v>2640</v>
      </c>
      <c r="F6" s="82">
        <f t="shared" ref="F6:F31" si="0">ROUND(E6*D6,2)</f>
        <v>81840</v>
      </c>
      <c r="G6" s="82">
        <f t="shared" ref="G6:G31" si="1">ROUND(F6*1.2,2)</f>
        <v>98208</v>
      </c>
    </row>
    <row r="7" spans="1:7" x14ac:dyDescent="0.3">
      <c r="A7" s="69">
        <f>A6+1</f>
        <v>3</v>
      </c>
      <c r="B7" s="58" t="s">
        <v>306</v>
      </c>
      <c r="C7" s="57" t="s">
        <v>182</v>
      </c>
      <c r="D7" s="60">
        <v>6</v>
      </c>
      <c r="E7" s="78">
        <v>9680</v>
      </c>
      <c r="F7" s="82">
        <f t="shared" si="0"/>
        <v>58080</v>
      </c>
      <c r="G7" s="82">
        <f t="shared" si="1"/>
        <v>69696</v>
      </c>
    </row>
    <row r="8" spans="1:7" x14ac:dyDescent="0.3">
      <c r="A8" s="69">
        <f t="shared" ref="A8:A31" si="2">A7+1</f>
        <v>4</v>
      </c>
      <c r="B8" s="58" t="s">
        <v>307</v>
      </c>
      <c r="C8" s="57" t="s">
        <v>207</v>
      </c>
      <c r="D8" s="60">
        <v>2</v>
      </c>
      <c r="E8" s="78">
        <v>3300</v>
      </c>
      <c r="F8" s="82">
        <f t="shared" si="0"/>
        <v>6600</v>
      </c>
      <c r="G8" s="82">
        <f t="shared" si="1"/>
        <v>7920</v>
      </c>
    </row>
    <row r="9" spans="1:7" x14ac:dyDescent="0.3">
      <c r="A9" s="69">
        <f t="shared" si="2"/>
        <v>5</v>
      </c>
      <c r="B9" s="58" t="s">
        <v>308</v>
      </c>
      <c r="C9" s="57" t="s">
        <v>207</v>
      </c>
      <c r="D9" s="60">
        <v>2</v>
      </c>
      <c r="E9" s="78">
        <v>3410</v>
      </c>
      <c r="F9" s="82">
        <f t="shared" si="0"/>
        <v>6820</v>
      </c>
      <c r="G9" s="82">
        <f t="shared" si="1"/>
        <v>8184</v>
      </c>
    </row>
    <row r="10" spans="1:7" ht="27.6" x14ac:dyDescent="0.3">
      <c r="A10" s="69">
        <f t="shared" si="2"/>
        <v>6</v>
      </c>
      <c r="B10" s="58" t="s">
        <v>309</v>
      </c>
      <c r="C10" s="57" t="s">
        <v>207</v>
      </c>
      <c r="D10" s="60">
        <v>2</v>
      </c>
      <c r="E10" s="78">
        <v>3740</v>
      </c>
      <c r="F10" s="82">
        <f t="shared" si="0"/>
        <v>7480</v>
      </c>
      <c r="G10" s="82">
        <f t="shared" si="1"/>
        <v>8976</v>
      </c>
    </row>
    <row r="11" spans="1:7" x14ac:dyDescent="0.3">
      <c r="A11" s="69">
        <f t="shared" si="2"/>
        <v>7</v>
      </c>
      <c r="B11" s="58" t="s">
        <v>310</v>
      </c>
      <c r="C11" s="57" t="s">
        <v>220</v>
      </c>
      <c r="D11" s="63">
        <v>8.7479999999999993</v>
      </c>
      <c r="E11" s="78">
        <v>127</v>
      </c>
      <c r="F11" s="82">
        <f t="shared" si="0"/>
        <v>1111</v>
      </c>
      <c r="G11" s="82">
        <f t="shared" si="1"/>
        <v>1333.2</v>
      </c>
    </row>
    <row r="12" spans="1:7" x14ac:dyDescent="0.3">
      <c r="A12" s="69">
        <f t="shared" si="2"/>
        <v>8</v>
      </c>
      <c r="B12" s="58" t="s">
        <v>311</v>
      </c>
      <c r="C12" s="57" t="s">
        <v>220</v>
      </c>
      <c r="D12" s="63">
        <v>2.556</v>
      </c>
      <c r="E12" s="78">
        <v>147</v>
      </c>
      <c r="F12" s="82">
        <f t="shared" si="0"/>
        <v>375.73</v>
      </c>
      <c r="G12" s="82">
        <f t="shared" si="1"/>
        <v>450.88</v>
      </c>
    </row>
    <row r="13" spans="1:7" x14ac:dyDescent="0.3">
      <c r="A13" s="69">
        <f t="shared" si="2"/>
        <v>9</v>
      </c>
      <c r="B13" s="58" t="s">
        <v>312</v>
      </c>
      <c r="C13" s="57" t="s">
        <v>220</v>
      </c>
      <c r="D13" s="64">
        <v>1.2347999999999999</v>
      </c>
      <c r="E13" s="78">
        <v>197</v>
      </c>
      <c r="F13" s="82">
        <f t="shared" si="0"/>
        <v>243.26</v>
      </c>
      <c r="G13" s="82">
        <f t="shared" si="1"/>
        <v>291.91000000000003</v>
      </c>
    </row>
    <row r="14" spans="1:7" ht="27.6" x14ac:dyDescent="0.3">
      <c r="A14" s="69">
        <f t="shared" si="2"/>
        <v>10</v>
      </c>
      <c r="B14" s="58" t="s">
        <v>313</v>
      </c>
      <c r="C14" s="57" t="s">
        <v>207</v>
      </c>
      <c r="D14" s="60">
        <v>2</v>
      </c>
      <c r="E14" s="78">
        <v>3699</v>
      </c>
      <c r="F14" s="82">
        <f t="shared" si="0"/>
        <v>7398</v>
      </c>
      <c r="G14" s="82">
        <f t="shared" si="1"/>
        <v>8877.6</v>
      </c>
    </row>
    <row r="15" spans="1:7" x14ac:dyDescent="0.3">
      <c r="A15" s="69">
        <f t="shared" si="2"/>
        <v>11</v>
      </c>
      <c r="B15" s="58" t="s">
        <v>314</v>
      </c>
      <c r="C15" s="57" t="s">
        <v>207</v>
      </c>
      <c r="D15" s="60">
        <v>1</v>
      </c>
      <c r="E15" s="78">
        <v>18150</v>
      </c>
      <c r="F15" s="82">
        <f t="shared" si="0"/>
        <v>18150</v>
      </c>
      <c r="G15" s="82">
        <f t="shared" si="1"/>
        <v>21780</v>
      </c>
    </row>
    <row r="16" spans="1:7" ht="27.6" x14ac:dyDescent="0.3">
      <c r="A16" s="69">
        <f t="shared" si="2"/>
        <v>12</v>
      </c>
      <c r="B16" s="58" t="s">
        <v>315</v>
      </c>
      <c r="C16" s="57" t="s">
        <v>207</v>
      </c>
      <c r="D16" s="60">
        <v>3</v>
      </c>
      <c r="E16" s="78">
        <v>61</v>
      </c>
      <c r="F16" s="82">
        <f t="shared" si="0"/>
        <v>183</v>
      </c>
      <c r="G16" s="82">
        <f t="shared" si="1"/>
        <v>219.6</v>
      </c>
    </row>
    <row r="17" spans="1:8" x14ac:dyDescent="0.3">
      <c r="A17" s="69">
        <f t="shared" si="2"/>
        <v>13</v>
      </c>
      <c r="B17" s="58" t="s">
        <v>316</v>
      </c>
      <c r="C17" s="57" t="s">
        <v>207</v>
      </c>
      <c r="D17" s="60">
        <v>1</v>
      </c>
      <c r="E17" s="78">
        <v>10450</v>
      </c>
      <c r="F17" s="82">
        <f t="shared" si="0"/>
        <v>10450</v>
      </c>
      <c r="G17" s="82">
        <f t="shared" si="1"/>
        <v>12540</v>
      </c>
    </row>
    <row r="18" spans="1:8" x14ac:dyDescent="0.3">
      <c r="A18" s="69">
        <f t="shared" si="2"/>
        <v>14</v>
      </c>
      <c r="B18" s="58" t="s">
        <v>317</v>
      </c>
      <c r="C18" s="57" t="s">
        <v>207</v>
      </c>
      <c r="D18" s="60">
        <v>1</v>
      </c>
      <c r="E18" s="78">
        <v>3410</v>
      </c>
      <c r="F18" s="82">
        <f t="shared" si="0"/>
        <v>3410</v>
      </c>
      <c r="G18" s="82">
        <f t="shared" si="1"/>
        <v>4092</v>
      </c>
    </row>
    <row r="19" spans="1:8" x14ac:dyDescent="0.3">
      <c r="A19" s="69">
        <f t="shared" si="2"/>
        <v>15</v>
      </c>
      <c r="B19" s="58" t="s">
        <v>318</v>
      </c>
      <c r="C19" s="62" t="s">
        <v>181</v>
      </c>
      <c r="D19" s="60">
        <v>1</v>
      </c>
      <c r="E19" s="78">
        <v>3850</v>
      </c>
      <c r="F19" s="82">
        <f t="shared" si="0"/>
        <v>3850</v>
      </c>
      <c r="G19" s="82">
        <f t="shared" si="1"/>
        <v>4620</v>
      </c>
    </row>
    <row r="20" spans="1:8" x14ac:dyDescent="0.3">
      <c r="A20" s="69">
        <f t="shared" si="2"/>
        <v>16</v>
      </c>
      <c r="B20" s="58" t="s">
        <v>319</v>
      </c>
      <c r="C20" s="62" t="s">
        <v>207</v>
      </c>
      <c r="D20" s="66" t="s">
        <v>320</v>
      </c>
      <c r="E20" s="78">
        <v>4565</v>
      </c>
      <c r="F20" s="82">
        <f t="shared" si="0"/>
        <v>4565</v>
      </c>
      <c r="G20" s="82">
        <f t="shared" si="1"/>
        <v>5478</v>
      </c>
    </row>
    <row r="21" spans="1:8" x14ac:dyDescent="0.3">
      <c r="A21" s="69">
        <f t="shared" si="2"/>
        <v>17</v>
      </c>
      <c r="B21" s="58" t="s">
        <v>321</v>
      </c>
      <c r="C21" s="62" t="s">
        <v>207</v>
      </c>
      <c r="D21" s="66" t="s">
        <v>320</v>
      </c>
      <c r="E21" s="78">
        <v>4290</v>
      </c>
      <c r="F21" s="82">
        <f t="shared" si="0"/>
        <v>4290</v>
      </c>
      <c r="G21" s="82">
        <f t="shared" si="1"/>
        <v>5148</v>
      </c>
    </row>
    <row r="22" spans="1:8" x14ac:dyDescent="0.3">
      <c r="A22" s="69">
        <f t="shared" si="2"/>
        <v>18</v>
      </c>
      <c r="B22" s="58" t="s">
        <v>322</v>
      </c>
      <c r="C22" s="62" t="s">
        <v>207</v>
      </c>
      <c r="D22" s="66" t="s">
        <v>323</v>
      </c>
      <c r="E22" s="78">
        <v>5060</v>
      </c>
      <c r="F22" s="82">
        <f t="shared" si="0"/>
        <v>10120</v>
      </c>
      <c r="G22" s="82">
        <f t="shared" si="1"/>
        <v>12144</v>
      </c>
    </row>
    <row r="23" spans="1:8" x14ac:dyDescent="0.3">
      <c r="A23" s="69">
        <f t="shared" si="2"/>
        <v>19</v>
      </c>
      <c r="B23" s="58" t="s">
        <v>324</v>
      </c>
      <c r="C23" s="62" t="s">
        <v>207</v>
      </c>
      <c r="D23" s="66" t="s">
        <v>320</v>
      </c>
      <c r="E23" s="78">
        <v>4070.0000000000005</v>
      </c>
      <c r="F23" s="82">
        <f t="shared" si="0"/>
        <v>4070</v>
      </c>
      <c r="G23" s="82">
        <f t="shared" si="1"/>
        <v>4884</v>
      </c>
    </row>
    <row r="24" spans="1:8" x14ac:dyDescent="0.3">
      <c r="A24" s="69">
        <f t="shared" si="2"/>
        <v>20</v>
      </c>
      <c r="B24" s="58" t="s">
        <v>325</v>
      </c>
      <c r="C24" s="62" t="s">
        <v>207</v>
      </c>
      <c r="D24" s="66" t="s">
        <v>320</v>
      </c>
      <c r="E24" s="78">
        <v>6199</v>
      </c>
      <c r="F24" s="82">
        <f t="shared" si="0"/>
        <v>6199</v>
      </c>
      <c r="G24" s="82">
        <f t="shared" si="1"/>
        <v>7438.8</v>
      </c>
    </row>
    <row r="25" spans="1:8" x14ac:dyDescent="0.3">
      <c r="A25" s="69">
        <f t="shared" si="2"/>
        <v>21</v>
      </c>
      <c r="B25" s="58" t="s">
        <v>326</v>
      </c>
      <c r="C25" s="62" t="s">
        <v>207</v>
      </c>
      <c r="D25" s="66" t="s">
        <v>320</v>
      </c>
      <c r="E25" s="78">
        <v>15180</v>
      </c>
      <c r="F25" s="82">
        <f t="shared" si="0"/>
        <v>15180</v>
      </c>
      <c r="G25" s="82">
        <f t="shared" si="1"/>
        <v>18216</v>
      </c>
    </row>
    <row r="26" spans="1:8" x14ac:dyDescent="0.3">
      <c r="A26" s="69">
        <f t="shared" si="2"/>
        <v>22</v>
      </c>
      <c r="B26" s="58" t="s">
        <v>327</v>
      </c>
      <c r="C26" s="62" t="s">
        <v>220</v>
      </c>
      <c r="D26" s="66" t="s">
        <v>328</v>
      </c>
      <c r="E26" s="78">
        <v>702</v>
      </c>
      <c r="F26" s="82">
        <f t="shared" si="0"/>
        <v>16146</v>
      </c>
      <c r="G26" s="82">
        <f t="shared" si="1"/>
        <v>19375.2</v>
      </c>
    </row>
    <row r="27" spans="1:8" x14ac:dyDescent="0.3">
      <c r="A27" s="69">
        <f t="shared" si="2"/>
        <v>23</v>
      </c>
      <c r="B27" s="58" t="s">
        <v>329</v>
      </c>
      <c r="C27" s="62" t="s">
        <v>182</v>
      </c>
      <c r="D27" s="168">
        <f>6*0.245</f>
        <v>1.47</v>
      </c>
      <c r="E27" s="78">
        <v>319</v>
      </c>
      <c r="F27" s="82">
        <f t="shared" si="0"/>
        <v>468.93</v>
      </c>
      <c r="G27" s="82">
        <f t="shared" si="1"/>
        <v>562.72</v>
      </c>
    </row>
    <row r="28" spans="1:8" x14ac:dyDescent="0.3">
      <c r="A28" s="69">
        <f t="shared" si="2"/>
        <v>24</v>
      </c>
      <c r="B28" s="58" t="s">
        <v>330</v>
      </c>
      <c r="C28" s="62" t="s">
        <v>220</v>
      </c>
      <c r="D28" s="168">
        <f>0.3*6*3.1</f>
        <v>5.5799999999999992</v>
      </c>
      <c r="E28" s="78">
        <v>95</v>
      </c>
      <c r="F28" s="82">
        <f t="shared" si="0"/>
        <v>530.1</v>
      </c>
      <c r="G28" s="82">
        <f t="shared" si="1"/>
        <v>636.12</v>
      </c>
    </row>
    <row r="29" spans="1:8" x14ac:dyDescent="0.3">
      <c r="A29" s="69">
        <f t="shared" si="2"/>
        <v>25</v>
      </c>
      <c r="B29" s="58" t="s">
        <v>331</v>
      </c>
      <c r="C29" s="62" t="s">
        <v>220</v>
      </c>
      <c r="D29" s="66" t="s">
        <v>332</v>
      </c>
      <c r="E29" s="78">
        <v>250</v>
      </c>
      <c r="F29" s="82">
        <f t="shared" si="0"/>
        <v>1250</v>
      </c>
      <c r="G29" s="82">
        <f t="shared" si="1"/>
        <v>1500</v>
      </c>
    </row>
    <row r="30" spans="1:8" x14ac:dyDescent="0.3">
      <c r="A30" s="69">
        <f t="shared" si="2"/>
        <v>26</v>
      </c>
      <c r="B30" s="58" t="s">
        <v>221</v>
      </c>
      <c r="C30" s="62" t="s">
        <v>220</v>
      </c>
      <c r="D30" s="66" t="s">
        <v>333</v>
      </c>
      <c r="E30" s="78">
        <v>312</v>
      </c>
      <c r="F30" s="82">
        <f t="shared" si="0"/>
        <v>10608</v>
      </c>
      <c r="G30" s="82">
        <f t="shared" si="1"/>
        <v>12729.6</v>
      </c>
    </row>
    <row r="31" spans="1:8" x14ac:dyDescent="0.3">
      <c r="A31" s="69">
        <f t="shared" si="2"/>
        <v>27</v>
      </c>
      <c r="B31" s="58" t="s">
        <v>334</v>
      </c>
      <c r="C31" s="62" t="s">
        <v>181</v>
      </c>
      <c r="D31" s="66" t="s">
        <v>335</v>
      </c>
      <c r="E31" s="78">
        <v>1368</v>
      </c>
      <c r="F31" s="82">
        <f t="shared" si="0"/>
        <v>957.6</v>
      </c>
      <c r="G31" s="82">
        <f t="shared" si="1"/>
        <v>1149.1199999999999</v>
      </c>
      <c r="H31" s="172"/>
    </row>
    <row r="32" spans="1:8" ht="21.75" customHeight="1" x14ac:dyDescent="0.3">
      <c r="A32" s="134"/>
      <c r="B32" s="398" t="s">
        <v>296</v>
      </c>
      <c r="C32" s="399"/>
      <c r="D32" s="399"/>
      <c r="E32" s="136"/>
      <c r="F32" s="137"/>
      <c r="G32" s="107"/>
    </row>
    <row r="33" spans="1:8" x14ac:dyDescent="0.3">
      <c r="A33" s="57">
        <f>A31+1</f>
        <v>28</v>
      </c>
      <c r="B33" s="58" t="s">
        <v>222</v>
      </c>
      <c r="C33" s="57" t="s">
        <v>181</v>
      </c>
      <c r="D33" s="60">
        <v>47</v>
      </c>
      <c r="E33" s="78">
        <v>1320</v>
      </c>
      <c r="F33" s="82">
        <f t="shared" ref="F33:F45" si="3">ROUND(E33*D33,2)</f>
        <v>62040</v>
      </c>
      <c r="G33" s="82">
        <f t="shared" ref="G33:G45" si="4">ROUND(F33*1.2,2)</f>
        <v>74448</v>
      </c>
    </row>
    <row r="34" spans="1:8" x14ac:dyDescent="0.3">
      <c r="A34" s="57">
        <f t="shared" ref="A34:A45" si="5">A33+1</f>
        <v>29</v>
      </c>
      <c r="B34" s="58" t="s">
        <v>336</v>
      </c>
      <c r="C34" s="62" t="s">
        <v>182</v>
      </c>
      <c r="D34" s="66" t="s">
        <v>337</v>
      </c>
      <c r="E34" s="78">
        <v>1430</v>
      </c>
      <c r="F34" s="82">
        <f t="shared" si="3"/>
        <v>138710</v>
      </c>
      <c r="G34" s="82">
        <f t="shared" si="4"/>
        <v>166452</v>
      </c>
    </row>
    <row r="35" spans="1:8" x14ac:dyDescent="0.3">
      <c r="A35" s="57">
        <f t="shared" si="5"/>
        <v>30</v>
      </c>
      <c r="B35" s="58" t="s">
        <v>338</v>
      </c>
      <c r="C35" s="62" t="s">
        <v>182</v>
      </c>
      <c r="D35" s="66" t="s">
        <v>339</v>
      </c>
      <c r="E35" s="78">
        <v>8140</v>
      </c>
      <c r="F35" s="82">
        <f t="shared" si="3"/>
        <v>48840</v>
      </c>
      <c r="G35" s="82">
        <f t="shared" si="4"/>
        <v>58608</v>
      </c>
    </row>
    <row r="36" spans="1:8" x14ac:dyDescent="0.3">
      <c r="A36" s="57">
        <f t="shared" si="5"/>
        <v>31</v>
      </c>
      <c r="B36" s="58" t="s">
        <v>340</v>
      </c>
      <c r="C36" s="62" t="s">
        <v>178</v>
      </c>
      <c r="D36" s="66" t="s">
        <v>323</v>
      </c>
      <c r="E36" s="78">
        <v>2090</v>
      </c>
      <c r="F36" s="82">
        <f t="shared" si="3"/>
        <v>4180</v>
      </c>
      <c r="G36" s="82">
        <f t="shared" si="4"/>
        <v>5016</v>
      </c>
    </row>
    <row r="37" spans="1:8" x14ac:dyDescent="0.3">
      <c r="A37" s="57">
        <f t="shared" si="5"/>
        <v>32</v>
      </c>
      <c r="B37" s="58" t="s">
        <v>341</v>
      </c>
      <c r="C37" s="62" t="s">
        <v>178</v>
      </c>
      <c r="D37" s="66">
        <v>1</v>
      </c>
      <c r="E37" s="78">
        <v>4840</v>
      </c>
      <c r="F37" s="82">
        <f t="shared" si="3"/>
        <v>4840</v>
      </c>
      <c r="G37" s="82">
        <f t="shared" si="4"/>
        <v>5808</v>
      </c>
    </row>
    <row r="38" spans="1:8" ht="27.6" x14ac:dyDescent="0.3">
      <c r="A38" s="57">
        <f t="shared" si="5"/>
        <v>33</v>
      </c>
      <c r="B38" s="58" t="s">
        <v>342</v>
      </c>
      <c r="C38" s="62" t="s">
        <v>178</v>
      </c>
      <c r="D38" s="66">
        <v>1</v>
      </c>
      <c r="E38" s="78">
        <v>50</v>
      </c>
      <c r="F38" s="82">
        <f t="shared" si="3"/>
        <v>50</v>
      </c>
      <c r="G38" s="82">
        <f t="shared" si="4"/>
        <v>60</v>
      </c>
    </row>
    <row r="39" spans="1:8" x14ac:dyDescent="0.3">
      <c r="A39" s="57">
        <f t="shared" si="5"/>
        <v>34</v>
      </c>
      <c r="B39" s="58" t="s">
        <v>361</v>
      </c>
      <c r="C39" s="62" t="s">
        <v>178</v>
      </c>
      <c r="D39" s="66">
        <v>1</v>
      </c>
      <c r="E39" s="78">
        <v>5720</v>
      </c>
      <c r="F39" s="82">
        <f t="shared" si="3"/>
        <v>5720</v>
      </c>
      <c r="G39" s="82">
        <f t="shared" si="4"/>
        <v>6864</v>
      </c>
    </row>
    <row r="40" spans="1:8" x14ac:dyDescent="0.3">
      <c r="A40" s="57">
        <f t="shared" si="5"/>
        <v>35</v>
      </c>
      <c r="B40" s="58" t="s">
        <v>344</v>
      </c>
      <c r="C40" s="62" t="s">
        <v>220</v>
      </c>
      <c r="D40" s="169">
        <f>8*0.243</f>
        <v>1.944</v>
      </c>
      <c r="E40" s="78">
        <v>127</v>
      </c>
      <c r="F40" s="82">
        <f t="shared" si="3"/>
        <v>246.89</v>
      </c>
      <c r="G40" s="82">
        <f t="shared" si="4"/>
        <v>296.27</v>
      </c>
    </row>
    <row r="41" spans="1:8" x14ac:dyDescent="0.3">
      <c r="A41" s="57">
        <f t="shared" si="5"/>
        <v>36</v>
      </c>
      <c r="B41" s="58" t="s">
        <v>345</v>
      </c>
      <c r="C41" s="62" t="s">
        <v>220</v>
      </c>
      <c r="D41" s="169">
        <f>8*0.071</f>
        <v>0.56799999999999995</v>
      </c>
      <c r="E41" s="78">
        <v>147</v>
      </c>
      <c r="F41" s="82">
        <f t="shared" si="3"/>
        <v>83.5</v>
      </c>
      <c r="G41" s="82">
        <f t="shared" si="4"/>
        <v>100.2</v>
      </c>
    </row>
    <row r="42" spans="1:8" x14ac:dyDescent="0.3">
      <c r="A42" s="57">
        <f t="shared" si="5"/>
        <v>37</v>
      </c>
      <c r="B42" s="58" t="s">
        <v>346</v>
      </c>
      <c r="C42" s="62" t="s">
        <v>220</v>
      </c>
      <c r="D42" s="169">
        <f>16*0.0172</f>
        <v>0.2752</v>
      </c>
      <c r="E42" s="78">
        <v>197</v>
      </c>
      <c r="F42" s="82">
        <f t="shared" si="3"/>
        <v>54.21</v>
      </c>
      <c r="G42" s="82">
        <f t="shared" si="4"/>
        <v>65.05</v>
      </c>
    </row>
    <row r="43" spans="1:8" ht="27.6" x14ac:dyDescent="0.3">
      <c r="A43" s="57">
        <f t="shared" si="5"/>
        <v>38</v>
      </c>
      <c r="B43" s="58" t="s">
        <v>347</v>
      </c>
      <c r="C43" s="62" t="s">
        <v>178</v>
      </c>
      <c r="D43" s="66">
        <v>1</v>
      </c>
      <c r="E43" s="78">
        <v>2200</v>
      </c>
      <c r="F43" s="82">
        <f t="shared" si="3"/>
        <v>2200</v>
      </c>
      <c r="G43" s="82">
        <f t="shared" si="4"/>
        <v>2640</v>
      </c>
    </row>
    <row r="44" spans="1:8" x14ac:dyDescent="0.3">
      <c r="A44" s="57">
        <f t="shared" si="5"/>
        <v>39</v>
      </c>
      <c r="B44" s="58" t="s">
        <v>348</v>
      </c>
      <c r="C44" s="62" t="s">
        <v>178</v>
      </c>
      <c r="D44" s="66">
        <v>1</v>
      </c>
      <c r="E44" s="78">
        <v>6380</v>
      </c>
      <c r="F44" s="82">
        <f t="shared" si="3"/>
        <v>6380</v>
      </c>
      <c r="G44" s="82">
        <f t="shared" si="4"/>
        <v>7656</v>
      </c>
    </row>
    <row r="45" spans="1:8" x14ac:dyDescent="0.3">
      <c r="A45" s="57">
        <f t="shared" si="5"/>
        <v>40</v>
      </c>
      <c r="B45" s="58" t="s">
        <v>318</v>
      </c>
      <c r="C45" s="62" t="s">
        <v>181</v>
      </c>
      <c r="D45" s="66" t="s">
        <v>349</v>
      </c>
      <c r="E45" s="78">
        <v>3850</v>
      </c>
      <c r="F45" s="82">
        <f t="shared" si="3"/>
        <v>2348.5</v>
      </c>
      <c r="G45" s="82">
        <f t="shared" si="4"/>
        <v>2818.2</v>
      </c>
      <c r="H45" s="172"/>
    </row>
    <row r="46" spans="1:8" ht="21" customHeight="1" x14ac:dyDescent="0.3">
      <c r="A46" s="134"/>
      <c r="B46" s="385" t="s">
        <v>297</v>
      </c>
      <c r="C46" s="394"/>
      <c r="D46" s="394"/>
      <c r="E46" s="136"/>
      <c r="F46" s="137"/>
      <c r="G46" s="107"/>
    </row>
    <row r="47" spans="1:8" x14ac:dyDescent="0.3">
      <c r="A47" s="57">
        <f>A45+1</f>
        <v>41</v>
      </c>
      <c r="B47" s="58" t="s">
        <v>222</v>
      </c>
      <c r="C47" s="57" t="s">
        <v>181</v>
      </c>
      <c r="D47" s="60">
        <v>56</v>
      </c>
      <c r="E47" s="78">
        <v>1320</v>
      </c>
      <c r="F47" s="82">
        <f t="shared" ref="F47:F55" si="6">ROUND(E47*D47,2)</f>
        <v>73920</v>
      </c>
      <c r="G47" s="82">
        <f t="shared" ref="G47:G59" si="7">ROUND(F47*1.2,2)</f>
        <v>88704</v>
      </c>
    </row>
    <row r="48" spans="1:8" x14ac:dyDescent="0.3">
      <c r="A48" s="57">
        <f>A47+1</f>
        <v>42</v>
      </c>
      <c r="B48" s="58" t="s">
        <v>350</v>
      </c>
      <c r="C48" s="57" t="s">
        <v>182</v>
      </c>
      <c r="D48" s="66" t="s">
        <v>351</v>
      </c>
      <c r="E48" s="78">
        <v>2750</v>
      </c>
      <c r="F48" s="82">
        <f t="shared" si="6"/>
        <v>225500</v>
      </c>
      <c r="G48" s="82">
        <f t="shared" si="7"/>
        <v>270600</v>
      </c>
    </row>
    <row r="49" spans="1:8" x14ac:dyDescent="0.3">
      <c r="A49" s="57">
        <f t="shared" ref="A49:A59" si="8">A48+1</f>
        <v>43</v>
      </c>
      <c r="B49" s="58" t="s">
        <v>306</v>
      </c>
      <c r="C49" s="57" t="s">
        <v>182</v>
      </c>
      <c r="D49" s="66" t="s">
        <v>352</v>
      </c>
      <c r="E49" s="78">
        <v>9680</v>
      </c>
      <c r="F49" s="82">
        <f t="shared" si="6"/>
        <v>396880</v>
      </c>
      <c r="G49" s="82">
        <f t="shared" si="7"/>
        <v>476256</v>
      </c>
    </row>
    <row r="50" spans="1:8" x14ac:dyDescent="0.3">
      <c r="A50" s="57">
        <f t="shared" si="8"/>
        <v>44</v>
      </c>
      <c r="B50" s="58" t="s">
        <v>353</v>
      </c>
      <c r="C50" s="57" t="s">
        <v>207</v>
      </c>
      <c r="D50" s="66" t="s">
        <v>354</v>
      </c>
      <c r="E50" s="78">
        <v>3740</v>
      </c>
      <c r="F50" s="82">
        <f t="shared" si="6"/>
        <v>44880</v>
      </c>
      <c r="G50" s="82">
        <f t="shared" si="7"/>
        <v>53856</v>
      </c>
    </row>
    <row r="51" spans="1:8" x14ac:dyDescent="0.3">
      <c r="A51" s="57">
        <f t="shared" si="8"/>
        <v>45</v>
      </c>
      <c r="B51" s="58" t="s">
        <v>355</v>
      </c>
      <c r="C51" s="57" t="s">
        <v>178</v>
      </c>
      <c r="D51" s="60">
        <v>1</v>
      </c>
      <c r="E51" s="78">
        <v>7480</v>
      </c>
      <c r="F51" s="82">
        <f t="shared" si="6"/>
        <v>7480</v>
      </c>
      <c r="G51" s="82">
        <f t="shared" si="7"/>
        <v>8976</v>
      </c>
    </row>
    <row r="52" spans="1:8" x14ac:dyDescent="0.3">
      <c r="A52" s="57">
        <f t="shared" si="8"/>
        <v>46</v>
      </c>
      <c r="B52" s="58" t="s">
        <v>341</v>
      </c>
      <c r="C52" s="57" t="s">
        <v>207</v>
      </c>
      <c r="D52" s="60">
        <v>2</v>
      </c>
      <c r="E52" s="78">
        <v>4840</v>
      </c>
      <c r="F52" s="82">
        <f t="shared" si="6"/>
        <v>9680</v>
      </c>
      <c r="G52" s="82">
        <f t="shared" si="7"/>
        <v>11616</v>
      </c>
    </row>
    <row r="53" spans="1:8" ht="27.6" x14ac:dyDescent="0.3">
      <c r="A53" s="57">
        <f t="shared" si="8"/>
        <v>47</v>
      </c>
      <c r="B53" s="58" t="s">
        <v>356</v>
      </c>
      <c r="C53" s="57" t="s">
        <v>207</v>
      </c>
      <c r="D53" s="60">
        <v>2</v>
      </c>
      <c r="E53" s="78">
        <v>88</v>
      </c>
      <c r="F53" s="82">
        <f t="shared" si="6"/>
        <v>176</v>
      </c>
      <c r="G53" s="82">
        <f t="shared" si="7"/>
        <v>211.2</v>
      </c>
    </row>
    <row r="54" spans="1:8" x14ac:dyDescent="0.3">
      <c r="A54" s="57">
        <f t="shared" si="8"/>
        <v>48</v>
      </c>
      <c r="B54" s="58" t="s">
        <v>343</v>
      </c>
      <c r="C54" s="57" t="s">
        <v>207</v>
      </c>
      <c r="D54" s="60">
        <v>2</v>
      </c>
      <c r="E54" s="78">
        <v>5720</v>
      </c>
      <c r="F54" s="82">
        <f t="shared" si="6"/>
        <v>11440</v>
      </c>
      <c r="G54" s="82">
        <f t="shared" si="7"/>
        <v>13728</v>
      </c>
    </row>
    <row r="55" spans="1:8" x14ac:dyDescent="0.3">
      <c r="A55" s="57">
        <f t="shared" si="8"/>
        <v>49</v>
      </c>
      <c r="B55" s="58" t="s">
        <v>357</v>
      </c>
      <c r="C55" s="62" t="s">
        <v>220</v>
      </c>
      <c r="D55" s="169">
        <f>24*0.243</f>
        <v>5.8319999999999999</v>
      </c>
      <c r="E55" s="78">
        <v>127</v>
      </c>
      <c r="F55" s="82">
        <f t="shared" si="6"/>
        <v>740.66</v>
      </c>
      <c r="G55" s="82">
        <f t="shared" si="7"/>
        <v>888.79</v>
      </c>
    </row>
    <row r="56" spans="1:8" x14ac:dyDescent="0.3">
      <c r="A56" s="57">
        <f t="shared" si="8"/>
        <v>50</v>
      </c>
      <c r="B56" s="58" t="s">
        <v>358</v>
      </c>
      <c r="C56" s="62" t="s">
        <v>220</v>
      </c>
      <c r="D56" s="169">
        <f>24*0.071</f>
        <v>1.7039999999999997</v>
      </c>
      <c r="E56" s="78">
        <v>147</v>
      </c>
      <c r="F56" s="82">
        <f t="shared" ref="F56:F59" si="9">ROUND(E56*D56,2)</f>
        <v>250.49</v>
      </c>
      <c r="G56" s="82">
        <f t="shared" si="7"/>
        <v>300.58999999999997</v>
      </c>
    </row>
    <row r="57" spans="1:8" x14ac:dyDescent="0.3">
      <c r="A57" s="57">
        <f t="shared" si="8"/>
        <v>51</v>
      </c>
      <c r="B57" s="58" t="s">
        <v>359</v>
      </c>
      <c r="C57" s="62" t="s">
        <v>220</v>
      </c>
      <c r="D57" s="169">
        <f>48*0.0172</f>
        <v>0.8256</v>
      </c>
      <c r="E57" s="78">
        <v>197</v>
      </c>
      <c r="F57" s="82">
        <f t="shared" si="9"/>
        <v>162.63999999999999</v>
      </c>
      <c r="G57" s="82">
        <f t="shared" si="7"/>
        <v>195.17</v>
      </c>
    </row>
    <row r="58" spans="1:8" ht="27.6" x14ac:dyDescent="0.3">
      <c r="A58" s="57">
        <f t="shared" si="8"/>
        <v>52</v>
      </c>
      <c r="B58" s="58" t="s">
        <v>360</v>
      </c>
      <c r="C58" s="57" t="s">
        <v>207</v>
      </c>
      <c r="D58" s="66">
        <v>2</v>
      </c>
      <c r="E58" s="78">
        <v>4730</v>
      </c>
      <c r="F58" s="82">
        <f t="shared" si="9"/>
        <v>9460</v>
      </c>
      <c r="G58" s="82">
        <f t="shared" si="7"/>
        <v>11352</v>
      </c>
    </row>
    <row r="59" spans="1:8" x14ac:dyDescent="0.3">
      <c r="A59" s="57">
        <f t="shared" si="8"/>
        <v>53</v>
      </c>
      <c r="B59" s="58" t="s">
        <v>318</v>
      </c>
      <c r="C59" s="57" t="s">
        <v>181</v>
      </c>
      <c r="D59" s="66" t="s">
        <v>339</v>
      </c>
      <c r="E59" s="78">
        <v>3850</v>
      </c>
      <c r="F59" s="82">
        <f t="shared" si="9"/>
        <v>23100</v>
      </c>
      <c r="G59" s="82">
        <f t="shared" si="7"/>
        <v>27720</v>
      </c>
      <c r="H59" s="172"/>
    </row>
    <row r="60" spans="1:8" ht="22.5" customHeight="1" x14ac:dyDescent="0.3">
      <c r="A60" s="134"/>
      <c r="B60" s="385" t="s">
        <v>298</v>
      </c>
      <c r="C60" s="394"/>
      <c r="D60" s="394"/>
      <c r="E60" s="136"/>
      <c r="F60" s="137"/>
      <c r="G60" s="107"/>
    </row>
    <row r="61" spans="1:8" x14ac:dyDescent="0.3">
      <c r="A61" s="57">
        <f>A59+1</f>
        <v>54</v>
      </c>
      <c r="B61" s="58" t="s">
        <v>222</v>
      </c>
      <c r="C61" s="57" t="s">
        <v>181</v>
      </c>
      <c r="D61" s="60">
        <v>19</v>
      </c>
      <c r="E61" s="78">
        <v>1320</v>
      </c>
      <c r="F61" s="82">
        <f t="shared" ref="F61:F66" si="10">ROUND(E61*D61,2)</f>
        <v>25080</v>
      </c>
      <c r="G61" s="82">
        <f t="shared" ref="G61:G66" si="11">ROUND(F61*1.2,2)</f>
        <v>30096</v>
      </c>
    </row>
    <row r="62" spans="1:8" ht="27.6" x14ac:dyDescent="0.3">
      <c r="A62" s="57">
        <f>A61+1</f>
        <v>55</v>
      </c>
      <c r="B62" s="58" t="s">
        <v>362</v>
      </c>
      <c r="C62" s="57" t="s">
        <v>182</v>
      </c>
      <c r="D62" s="66" t="s">
        <v>363</v>
      </c>
      <c r="E62" s="78">
        <v>1430</v>
      </c>
      <c r="F62" s="82">
        <f t="shared" si="10"/>
        <v>60060</v>
      </c>
      <c r="G62" s="82">
        <f t="shared" si="11"/>
        <v>72072</v>
      </c>
    </row>
    <row r="63" spans="1:8" x14ac:dyDescent="0.3">
      <c r="A63" s="57">
        <f t="shared" ref="A63:A66" si="12">A62+1</f>
        <v>56</v>
      </c>
      <c r="B63" s="58" t="s">
        <v>364</v>
      </c>
      <c r="C63" s="57" t="s">
        <v>182</v>
      </c>
      <c r="D63" s="66" t="s">
        <v>339</v>
      </c>
      <c r="E63" s="78">
        <v>8140</v>
      </c>
      <c r="F63" s="82">
        <f t="shared" si="10"/>
        <v>48840</v>
      </c>
      <c r="G63" s="82">
        <f t="shared" si="11"/>
        <v>58608</v>
      </c>
    </row>
    <row r="64" spans="1:8" x14ac:dyDescent="0.3">
      <c r="A64" s="57">
        <f t="shared" si="12"/>
        <v>57</v>
      </c>
      <c r="B64" s="58" t="s">
        <v>365</v>
      </c>
      <c r="C64" s="57" t="s">
        <v>207</v>
      </c>
      <c r="D64" s="66">
        <v>2</v>
      </c>
      <c r="E64" s="78">
        <v>2090</v>
      </c>
      <c r="F64" s="82">
        <f t="shared" si="10"/>
        <v>4180</v>
      </c>
      <c r="G64" s="82">
        <f t="shared" si="11"/>
        <v>5016</v>
      </c>
    </row>
    <row r="65" spans="1:8" ht="33.75" customHeight="1" x14ac:dyDescent="0.3">
      <c r="A65" s="57">
        <f t="shared" si="12"/>
        <v>58</v>
      </c>
      <c r="B65" s="58" t="s">
        <v>366</v>
      </c>
      <c r="C65" s="57" t="s">
        <v>207</v>
      </c>
      <c r="D65" s="66">
        <v>2</v>
      </c>
      <c r="E65" s="78">
        <v>2420</v>
      </c>
      <c r="F65" s="82">
        <f t="shared" si="10"/>
        <v>4840</v>
      </c>
      <c r="G65" s="82">
        <f t="shared" si="11"/>
        <v>5808</v>
      </c>
    </row>
    <row r="66" spans="1:8" x14ac:dyDescent="0.3">
      <c r="A66" s="57">
        <f t="shared" si="12"/>
        <v>59</v>
      </c>
      <c r="B66" s="58" t="s">
        <v>318</v>
      </c>
      <c r="C66" s="57" t="s">
        <v>181</v>
      </c>
      <c r="D66" s="66" t="s">
        <v>320</v>
      </c>
      <c r="E66" s="78">
        <v>3850</v>
      </c>
      <c r="F66" s="82">
        <f t="shared" si="10"/>
        <v>3850</v>
      </c>
      <c r="G66" s="82">
        <f t="shared" si="11"/>
        <v>4620</v>
      </c>
      <c r="H66" s="172"/>
    </row>
    <row r="67" spans="1:8" ht="23.25" customHeight="1" x14ac:dyDescent="0.3">
      <c r="A67" s="134"/>
      <c r="B67" s="385" t="s">
        <v>299</v>
      </c>
      <c r="C67" s="394"/>
      <c r="D67" s="394"/>
      <c r="E67" s="136"/>
      <c r="F67" s="137"/>
      <c r="G67" s="107"/>
    </row>
    <row r="68" spans="1:8" ht="18.75" customHeight="1" x14ac:dyDescent="0.3">
      <c r="A68" s="57">
        <f>A66+1</f>
        <v>60</v>
      </c>
      <c r="B68" s="58" t="s">
        <v>222</v>
      </c>
      <c r="C68" s="57" t="s">
        <v>181</v>
      </c>
      <c r="D68" s="60">
        <v>11</v>
      </c>
      <c r="E68" s="78">
        <v>1320</v>
      </c>
      <c r="F68" s="82">
        <f t="shared" ref="F68:F73" si="13">ROUND(E68*D68,2)</f>
        <v>14520</v>
      </c>
      <c r="G68" s="82">
        <f t="shared" ref="G68:G73" si="14">ROUND(F68*1.2,2)</f>
        <v>17424</v>
      </c>
    </row>
    <row r="69" spans="1:8" ht="15.75" customHeight="1" x14ac:dyDescent="0.3">
      <c r="A69" s="57">
        <f>A68+1</f>
        <v>61</v>
      </c>
      <c r="B69" s="58" t="s">
        <v>367</v>
      </c>
      <c r="C69" s="57" t="s">
        <v>182</v>
      </c>
      <c r="D69" s="66" t="s">
        <v>328</v>
      </c>
      <c r="E69" s="78">
        <v>1430</v>
      </c>
      <c r="F69" s="82">
        <f t="shared" si="13"/>
        <v>32890</v>
      </c>
      <c r="G69" s="82">
        <f t="shared" si="14"/>
        <v>39468</v>
      </c>
    </row>
    <row r="70" spans="1:8" ht="18" customHeight="1" x14ac:dyDescent="0.3">
      <c r="A70" s="57">
        <f t="shared" ref="A70:A73" si="15">A69+1</f>
        <v>62</v>
      </c>
      <c r="B70" s="58" t="s">
        <v>364</v>
      </c>
      <c r="C70" s="57" t="s">
        <v>182</v>
      </c>
      <c r="D70" s="66" t="s">
        <v>339</v>
      </c>
      <c r="E70" s="78">
        <v>8140</v>
      </c>
      <c r="F70" s="82">
        <f t="shared" si="13"/>
        <v>48840</v>
      </c>
      <c r="G70" s="82">
        <f t="shared" si="14"/>
        <v>58608</v>
      </c>
    </row>
    <row r="71" spans="1:8" ht="19.5" customHeight="1" x14ac:dyDescent="0.3">
      <c r="A71" s="57">
        <f t="shared" si="15"/>
        <v>63</v>
      </c>
      <c r="B71" s="58" t="s">
        <v>365</v>
      </c>
      <c r="C71" s="57" t="s">
        <v>207</v>
      </c>
      <c r="D71" s="66" t="s">
        <v>323</v>
      </c>
      <c r="E71" s="78">
        <v>2090</v>
      </c>
      <c r="F71" s="82">
        <f t="shared" si="13"/>
        <v>4180</v>
      </c>
      <c r="G71" s="82">
        <f t="shared" si="14"/>
        <v>5016</v>
      </c>
    </row>
    <row r="72" spans="1:8" ht="27.6" x14ac:dyDescent="0.3">
      <c r="A72" s="57">
        <f t="shared" si="15"/>
        <v>64</v>
      </c>
      <c r="B72" s="58" t="s">
        <v>368</v>
      </c>
      <c r="C72" s="57" t="s">
        <v>207</v>
      </c>
      <c r="D72" s="66">
        <v>4</v>
      </c>
      <c r="E72" s="78">
        <v>2420</v>
      </c>
      <c r="F72" s="82">
        <f t="shared" si="13"/>
        <v>9680</v>
      </c>
      <c r="G72" s="82">
        <f t="shared" si="14"/>
        <v>11616</v>
      </c>
    </row>
    <row r="73" spans="1:8" x14ac:dyDescent="0.3">
      <c r="A73" s="57">
        <f t="shared" si="15"/>
        <v>65</v>
      </c>
      <c r="B73" s="58" t="s">
        <v>318</v>
      </c>
      <c r="C73" s="57" t="s">
        <v>181</v>
      </c>
      <c r="D73" s="66" t="s">
        <v>320</v>
      </c>
      <c r="E73" s="78">
        <v>3850</v>
      </c>
      <c r="F73" s="82">
        <f t="shared" si="13"/>
        <v>3850</v>
      </c>
      <c r="G73" s="82">
        <f t="shared" si="14"/>
        <v>4620</v>
      </c>
      <c r="H73" s="172"/>
    </row>
    <row r="74" spans="1:8" ht="21.75" customHeight="1" x14ac:dyDescent="0.3">
      <c r="A74" s="134"/>
      <c r="B74" s="385" t="s">
        <v>300</v>
      </c>
      <c r="C74" s="394"/>
      <c r="D74" s="394"/>
      <c r="E74" s="136"/>
      <c r="F74" s="137"/>
      <c r="G74" s="107"/>
    </row>
    <row r="75" spans="1:8" x14ac:dyDescent="0.3">
      <c r="A75" s="57">
        <f>A73+1</f>
        <v>66</v>
      </c>
      <c r="B75" s="58" t="s">
        <v>222</v>
      </c>
      <c r="C75" s="57" t="s">
        <v>181</v>
      </c>
      <c r="D75" s="60">
        <v>42</v>
      </c>
      <c r="E75" s="78">
        <v>1320</v>
      </c>
      <c r="F75" s="82">
        <f t="shared" ref="F75:F80" si="16">ROUND(E75*D75,2)</f>
        <v>55440</v>
      </c>
      <c r="G75" s="82">
        <f t="shared" ref="G75:G80" si="17">ROUND(F75*1.2,2)</f>
        <v>66528</v>
      </c>
    </row>
    <row r="76" spans="1:8" x14ac:dyDescent="0.3">
      <c r="A76" s="57">
        <f>A75+1</f>
        <v>67</v>
      </c>
      <c r="B76" s="58" t="s">
        <v>369</v>
      </c>
      <c r="C76" s="57" t="s">
        <v>182</v>
      </c>
      <c r="D76" s="66" t="s">
        <v>370</v>
      </c>
      <c r="E76" s="78">
        <v>16500</v>
      </c>
      <c r="F76" s="82">
        <f t="shared" si="16"/>
        <v>511500</v>
      </c>
      <c r="G76" s="82">
        <f t="shared" si="17"/>
        <v>613800</v>
      </c>
    </row>
    <row r="77" spans="1:8" x14ac:dyDescent="0.3">
      <c r="A77" s="57">
        <f t="shared" ref="A77:A80" si="18">A76+1</f>
        <v>68</v>
      </c>
      <c r="B77" s="58" t="s">
        <v>371</v>
      </c>
      <c r="C77" s="57" t="s">
        <v>182</v>
      </c>
      <c r="D77" s="66" t="s">
        <v>339</v>
      </c>
      <c r="E77" s="78">
        <v>19800</v>
      </c>
      <c r="F77" s="82">
        <f t="shared" si="16"/>
        <v>118800</v>
      </c>
      <c r="G77" s="82">
        <f t="shared" si="17"/>
        <v>142560</v>
      </c>
    </row>
    <row r="78" spans="1:8" x14ac:dyDescent="0.3">
      <c r="A78" s="57">
        <f t="shared" si="18"/>
        <v>69</v>
      </c>
      <c r="B78" s="58" t="s">
        <v>372</v>
      </c>
      <c r="C78" s="57" t="s">
        <v>207</v>
      </c>
      <c r="D78" s="66">
        <v>2</v>
      </c>
      <c r="E78" s="78">
        <v>10340</v>
      </c>
      <c r="F78" s="82">
        <f t="shared" si="16"/>
        <v>20680</v>
      </c>
      <c r="G78" s="82">
        <f t="shared" si="17"/>
        <v>24816</v>
      </c>
    </row>
    <row r="79" spans="1:8" ht="27.6" x14ac:dyDescent="0.3">
      <c r="A79" s="57">
        <f t="shared" si="18"/>
        <v>70</v>
      </c>
      <c r="B79" s="58" t="s">
        <v>373</v>
      </c>
      <c r="C79" s="57" t="s">
        <v>207</v>
      </c>
      <c r="D79" s="66">
        <v>2</v>
      </c>
      <c r="E79" s="78">
        <v>70923</v>
      </c>
      <c r="F79" s="82">
        <f t="shared" si="16"/>
        <v>141846</v>
      </c>
      <c r="G79" s="82">
        <f t="shared" si="17"/>
        <v>170215.2</v>
      </c>
    </row>
    <row r="80" spans="1:8" x14ac:dyDescent="0.3">
      <c r="A80" s="57">
        <f t="shared" si="18"/>
        <v>71</v>
      </c>
      <c r="B80" s="58" t="s">
        <v>318</v>
      </c>
      <c r="C80" s="57" t="s">
        <v>181</v>
      </c>
      <c r="D80" s="66" t="s">
        <v>323</v>
      </c>
      <c r="E80" s="78">
        <v>3850</v>
      </c>
      <c r="F80" s="82">
        <f t="shared" si="16"/>
        <v>7700</v>
      </c>
      <c r="G80" s="82">
        <f t="shared" si="17"/>
        <v>9240</v>
      </c>
      <c r="H80" s="172"/>
    </row>
    <row r="81" spans="1:8" ht="21" customHeight="1" x14ac:dyDescent="0.3">
      <c r="A81" s="134"/>
      <c r="B81" s="385" t="s">
        <v>301</v>
      </c>
      <c r="C81" s="394"/>
      <c r="D81" s="394"/>
      <c r="E81" s="136"/>
      <c r="F81" s="137"/>
      <c r="G81" s="107"/>
    </row>
    <row r="82" spans="1:8" x14ac:dyDescent="0.3">
      <c r="A82" s="57">
        <f>A80+1</f>
        <v>72</v>
      </c>
      <c r="B82" s="58" t="s">
        <v>222</v>
      </c>
      <c r="C82" s="57" t="s">
        <v>181</v>
      </c>
      <c r="D82" s="60">
        <v>26</v>
      </c>
      <c r="E82" s="78">
        <v>1320</v>
      </c>
      <c r="F82" s="82">
        <f t="shared" ref="F82:F87" si="19">ROUND(E82*D82,2)</f>
        <v>34320</v>
      </c>
      <c r="G82" s="82">
        <f t="shared" ref="G82:G87" si="20">ROUND(F82*1.2,2)</f>
        <v>41184</v>
      </c>
    </row>
    <row r="83" spans="1:8" x14ac:dyDescent="0.3">
      <c r="A83" s="57">
        <f>A82+1</f>
        <v>73</v>
      </c>
      <c r="B83" s="58" t="s">
        <v>374</v>
      </c>
      <c r="C83" s="57" t="s">
        <v>182</v>
      </c>
      <c r="D83" s="66" t="s">
        <v>370</v>
      </c>
      <c r="E83" s="78">
        <v>7480</v>
      </c>
      <c r="F83" s="82">
        <f t="shared" si="19"/>
        <v>231880</v>
      </c>
      <c r="G83" s="82">
        <f t="shared" si="20"/>
        <v>278256</v>
      </c>
    </row>
    <row r="84" spans="1:8" x14ac:dyDescent="0.3">
      <c r="A84" s="57">
        <f t="shared" ref="A84:A87" si="21">A83+1</f>
        <v>74</v>
      </c>
      <c r="B84" s="58" t="s">
        <v>375</v>
      </c>
      <c r="C84" s="57" t="s">
        <v>182</v>
      </c>
      <c r="D84" s="66" t="s">
        <v>339</v>
      </c>
      <c r="E84" s="78">
        <v>11110</v>
      </c>
      <c r="F84" s="82">
        <f t="shared" si="19"/>
        <v>66660</v>
      </c>
      <c r="G84" s="82">
        <f t="shared" si="20"/>
        <v>79992</v>
      </c>
    </row>
    <row r="85" spans="1:8" x14ac:dyDescent="0.3">
      <c r="A85" s="57">
        <f t="shared" si="21"/>
        <v>75</v>
      </c>
      <c r="B85" s="58" t="s">
        <v>376</v>
      </c>
      <c r="C85" s="57" t="s">
        <v>207</v>
      </c>
      <c r="D85" s="66">
        <v>2</v>
      </c>
      <c r="E85" s="78">
        <v>7260</v>
      </c>
      <c r="F85" s="82">
        <f t="shared" si="19"/>
        <v>14520</v>
      </c>
      <c r="G85" s="82">
        <f t="shared" si="20"/>
        <v>17424</v>
      </c>
    </row>
    <row r="86" spans="1:8" ht="27.6" x14ac:dyDescent="0.3">
      <c r="A86" s="57">
        <f t="shared" si="21"/>
        <v>76</v>
      </c>
      <c r="B86" s="58" t="s">
        <v>377</v>
      </c>
      <c r="C86" s="57" t="s">
        <v>207</v>
      </c>
      <c r="D86" s="66">
        <v>2</v>
      </c>
      <c r="E86" s="78">
        <v>14014</v>
      </c>
      <c r="F86" s="82">
        <f t="shared" si="19"/>
        <v>28028</v>
      </c>
      <c r="G86" s="82">
        <f t="shared" si="20"/>
        <v>33633.599999999999</v>
      </c>
    </row>
    <row r="87" spans="1:8" x14ac:dyDescent="0.3">
      <c r="A87" s="57">
        <f t="shared" si="21"/>
        <v>77</v>
      </c>
      <c r="B87" s="58" t="s">
        <v>318</v>
      </c>
      <c r="C87" s="57" t="s">
        <v>181</v>
      </c>
      <c r="D87" s="66" t="s">
        <v>320</v>
      </c>
      <c r="E87" s="78">
        <v>3850</v>
      </c>
      <c r="F87" s="82">
        <f t="shared" si="19"/>
        <v>3850</v>
      </c>
      <c r="G87" s="82">
        <f t="shared" si="20"/>
        <v>4620</v>
      </c>
      <c r="H87" s="172"/>
    </row>
    <row r="88" spans="1:8" ht="24.75" customHeight="1" x14ac:dyDescent="0.3">
      <c r="A88" s="134"/>
      <c r="B88" s="385" t="s">
        <v>302</v>
      </c>
      <c r="C88" s="394"/>
      <c r="D88" s="394"/>
      <c r="E88" s="136"/>
      <c r="F88" s="137"/>
      <c r="G88" s="107"/>
    </row>
    <row r="89" spans="1:8" x14ac:dyDescent="0.3">
      <c r="A89" s="57">
        <f>A87+1</f>
        <v>78</v>
      </c>
      <c r="B89" s="58" t="s">
        <v>222</v>
      </c>
      <c r="C89" s="57" t="s">
        <v>181</v>
      </c>
      <c r="D89" s="60">
        <v>15</v>
      </c>
      <c r="E89" s="78">
        <v>1320</v>
      </c>
      <c r="F89" s="82">
        <f t="shared" ref="F89" si="22">ROUND(E89*D89,2)</f>
        <v>19800</v>
      </c>
      <c r="G89" s="82">
        <f t="shared" ref="G89" si="23">ROUND(F89*1.2,2)</f>
        <v>23760</v>
      </c>
    </row>
    <row r="90" spans="1:8" x14ac:dyDescent="0.3">
      <c r="A90" s="57">
        <f>A89+1</f>
        <v>79</v>
      </c>
      <c r="B90" s="58" t="s">
        <v>374</v>
      </c>
      <c r="C90" s="57" t="s">
        <v>182</v>
      </c>
      <c r="D90" s="66" t="s">
        <v>378</v>
      </c>
      <c r="E90" s="78">
        <v>7480</v>
      </c>
      <c r="F90" s="82">
        <f t="shared" ref="F90:F93" si="24">ROUND(E90*D90,2)</f>
        <v>157080</v>
      </c>
      <c r="G90" s="82">
        <f t="shared" ref="G90:G93" si="25">ROUND(F90*1.2,2)</f>
        <v>188496</v>
      </c>
    </row>
    <row r="91" spans="1:8" x14ac:dyDescent="0.3">
      <c r="A91" s="57">
        <f t="shared" ref="A91:A94" si="26">A90+1</f>
        <v>80</v>
      </c>
      <c r="B91" s="58" t="s">
        <v>375</v>
      </c>
      <c r="C91" s="57" t="s">
        <v>182</v>
      </c>
      <c r="D91" s="66" t="s">
        <v>339</v>
      </c>
      <c r="E91" s="78">
        <v>11110</v>
      </c>
      <c r="F91" s="82">
        <f t="shared" si="24"/>
        <v>66660</v>
      </c>
      <c r="G91" s="82">
        <f t="shared" si="25"/>
        <v>79992</v>
      </c>
    </row>
    <row r="92" spans="1:8" x14ac:dyDescent="0.3">
      <c r="A92" s="57">
        <f t="shared" si="26"/>
        <v>81</v>
      </c>
      <c r="B92" s="58" t="s">
        <v>376</v>
      </c>
      <c r="C92" s="57" t="s">
        <v>207</v>
      </c>
      <c r="D92" s="66">
        <v>2</v>
      </c>
      <c r="E92" s="78">
        <v>7260</v>
      </c>
      <c r="F92" s="82">
        <f t="shared" si="24"/>
        <v>14520</v>
      </c>
      <c r="G92" s="82">
        <f t="shared" si="25"/>
        <v>17424</v>
      </c>
    </row>
    <row r="93" spans="1:8" ht="32.25" customHeight="1" x14ac:dyDescent="0.3">
      <c r="A93" s="57">
        <f t="shared" si="26"/>
        <v>82</v>
      </c>
      <c r="B93" s="58" t="s">
        <v>377</v>
      </c>
      <c r="C93" s="57" t="s">
        <v>207</v>
      </c>
      <c r="D93" s="66">
        <v>2</v>
      </c>
      <c r="E93" s="78">
        <v>14014</v>
      </c>
      <c r="F93" s="82">
        <f t="shared" si="24"/>
        <v>28028</v>
      </c>
      <c r="G93" s="82">
        <f t="shared" si="25"/>
        <v>33633.599999999999</v>
      </c>
    </row>
    <row r="94" spans="1:8" ht="21" customHeight="1" x14ac:dyDescent="0.3">
      <c r="A94" s="57">
        <f t="shared" si="26"/>
        <v>83</v>
      </c>
      <c r="B94" s="58" t="s">
        <v>318</v>
      </c>
      <c r="C94" s="57" t="s">
        <v>181</v>
      </c>
      <c r="D94" s="66" t="s">
        <v>320</v>
      </c>
      <c r="E94" s="78">
        <v>3850</v>
      </c>
      <c r="F94" s="82">
        <f t="shared" ref="F94" si="27">ROUND(E94*D94,2)</f>
        <v>3850</v>
      </c>
      <c r="G94" s="82">
        <f t="shared" ref="G94" si="28">ROUND(F94*1.2,2)</f>
        <v>4620</v>
      </c>
      <c r="H94" s="172"/>
    </row>
    <row r="95" spans="1:8" ht="23.25" customHeight="1" x14ac:dyDescent="0.3">
      <c r="A95" s="134"/>
      <c r="B95" s="385" t="s">
        <v>303</v>
      </c>
      <c r="C95" s="394"/>
      <c r="D95" s="394"/>
      <c r="E95" s="136"/>
      <c r="F95" s="137"/>
      <c r="G95" s="107"/>
    </row>
    <row r="96" spans="1:8" x14ac:dyDescent="0.3">
      <c r="A96" s="57">
        <f>A94+1</f>
        <v>84</v>
      </c>
      <c r="B96" s="58" t="s">
        <v>222</v>
      </c>
      <c r="C96" s="57" t="s">
        <v>181</v>
      </c>
      <c r="D96" s="60">
        <v>46</v>
      </c>
      <c r="E96" s="78">
        <v>1320</v>
      </c>
      <c r="F96" s="82">
        <f t="shared" ref="F96" si="29">ROUND(E96*D96,2)</f>
        <v>60720</v>
      </c>
      <c r="G96" s="82">
        <f t="shared" ref="G96" si="30">ROUND(F96*1.2,2)</f>
        <v>72864</v>
      </c>
    </row>
    <row r="97" spans="1:8" x14ac:dyDescent="0.3">
      <c r="A97" s="57">
        <f>A96+1</f>
        <v>85</v>
      </c>
      <c r="B97" s="58" t="s">
        <v>374</v>
      </c>
      <c r="C97" s="57" t="s">
        <v>182</v>
      </c>
      <c r="D97" s="66" t="s">
        <v>379</v>
      </c>
      <c r="E97" s="78">
        <v>7480</v>
      </c>
      <c r="F97" s="82">
        <f t="shared" ref="F97:F100" si="31">ROUND(E97*D97,2)</f>
        <v>366520</v>
      </c>
      <c r="G97" s="82">
        <f t="shared" ref="G97:G100" si="32">ROUND(F97*1.2,2)</f>
        <v>439824</v>
      </c>
    </row>
    <row r="98" spans="1:8" x14ac:dyDescent="0.3">
      <c r="A98" s="57">
        <f t="shared" ref="A98:A101" si="33">A97+1</f>
        <v>86</v>
      </c>
      <c r="B98" s="58" t="s">
        <v>375</v>
      </c>
      <c r="C98" s="57" t="s">
        <v>182</v>
      </c>
      <c r="D98" s="66" t="s">
        <v>339</v>
      </c>
      <c r="E98" s="78">
        <v>11110</v>
      </c>
      <c r="F98" s="82">
        <f t="shared" si="31"/>
        <v>66660</v>
      </c>
      <c r="G98" s="82">
        <f t="shared" si="32"/>
        <v>79992</v>
      </c>
    </row>
    <row r="99" spans="1:8" x14ac:dyDescent="0.3">
      <c r="A99" s="57">
        <f t="shared" si="33"/>
        <v>87</v>
      </c>
      <c r="B99" s="58" t="s">
        <v>376</v>
      </c>
      <c r="C99" s="57" t="s">
        <v>207</v>
      </c>
      <c r="D99" s="66">
        <v>2</v>
      </c>
      <c r="E99" s="78">
        <v>7260</v>
      </c>
      <c r="F99" s="82">
        <f t="shared" si="31"/>
        <v>14520</v>
      </c>
      <c r="G99" s="82">
        <f t="shared" si="32"/>
        <v>17424</v>
      </c>
    </row>
    <row r="100" spans="1:8" ht="27.6" x14ac:dyDescent="0.3">
      <c r="A100" s="57">
        <f t="shared" si="33"/>
        <v>88</v>
      </c>
      <c r="B100" s="58" t="s">
        <v>377</v>
      </c>
      <c r="C100" s="57" t="s">
        <v>207</v>
      </c>
      <c r="D100" s="66">
        <v>2</v>
      </c>
      <c r="E100" s="78">
        <v>14014</v>
      </c>
      <c r="F100" s="82">
        <f t="shared" si="31"/>
        <v>28028</v>
      </c>
      <c r="G100" s="82">
        <f t="shared" si="32"/>
        <v>33633.599999999999</v>
      </c>
    </row>
    <row r="101" spans="1:8" x14ac:dyDescent="0.3">
      <c r="A101" s="57">
        <f t="shared" si="33"/>
        <v>89</v>
      </c>
      <c r="B101" s="58" t="s">
        <v>318</v>
      </c>
      <c r="C101" s="57" t="s">
        <v>181</v>
      </c>
      <c r="D101" s="66" t="s">
        <v>320</v>
      </c>
      <c r="E101" s="78">
        <v>3850</v>
      </c>
      <c r="F101" s="82">
        <f t="shared" ref="F101" si="34">ROUND(E101*D101,2)</f>
        <v>3850</v>
      </c>
      <c r="G101" s="82">
        <f t="shared" ref="G101" si="35">ROUND(F101*1.2,2)</f>
        <v>4620</v>
      </c>
      <c r="H101" s="172"/>
    </row>
    <row r="102" spans="1:8" ht="19.5" customHeight="1" x14ac:dyDescent="0.3">
      <c r="A102" s="134"/>
      <c r="B102" s="385" t="s">
        <v>304</v>
      </c>
      <c r="C102" s="394"/>
      <c r="D102" s="394"/>
      <c r="E102" s="136"/>
      <c r="F102" s="137"/>
      <c r="G102" s="107"/>
    </row>
    <row r="103" spans="1:8" x14ac:dyDescent="0.3">
      <c r="A103" s="57">
        <f>A101+1</f>
        <v>90</v>
      </c>
      <c r="B103" s="58" t="s">
        <v>380</v>
      </c>
      <c r="C103" s="57" t="s">
        <v>182</v>
      </c>
      <c r="D103" s="66" t="s">
        <v>381</v>
      </c>
      <c r="E103" s="78">
        <v>396</v>
      </c>
      <c r="F103" s="82">
        <f t="shared" ref="F103" si="36">ROUND(E103*D103,2)</f>
        <v>15840</v>
      </c>
      <c r="G103" s="82">
        <f t="shared" ref="G103" si="37">ROUND(F103*1.2,2)</f>
        <v>19008</v>
      </c>
    </row>
    <row r="104" spans="1:8" x14ac:dyDescent="0.3">
      <c r="A104" s="57">
        <f>A103+1</f>
        <v>91</v>
      </c>
      <c r="B104" s="58" t="s">
        <v>382</v>
      </c>
      <c r="C104" s="57" t="s">
        <v>207</v>
      </c>
      <c r="D104" s="66" t="s">
        <v>320</v>
      </c>
      <c r="E104" s="78">
        <v>8030</v>
      </c>
      <c r="F104" s="82">
        <f t="shared" ref="F104:F107" si="38">ROUND(E104*D104,2)</f>
        <v>8030</v>
      </c>
      <c r="G104" s="82">
        <f t="shared" ref="G104:G107" si="39">ROUND(F104*1.2,2)</f>
        <v>9636</v>
      </c>
    </row>
    <row r="105" spans="1:8" x14ac:dyDescent="0.3">
      <c r="A105" s="57">
        <f t="shared" ref="A105:A108" si="40">A104+1</f>
        <v>92</v>
      </c>
      <c r="B105" s="58" t="s">
        <v>161</v>
      </c>
      <c r="C105" s="57" t="s">
        <v>181</v>
      </c>
      <c r="D105" s="66" t="s">
        <v>383</v>
      </c>
      <c r="E105" s="78">
        <v>1320</v>
      </c>
      <c r="F105" s="82">
        <f t="shared" si="38"/>
        <v>22044</v>
      </c>
      <c r="G105" s="82">
        <f t="shared" si="39"/>
        <v>26452.799999999999</v>
      </c>
    </row>
    <row r="106" spans="1:8" ht="21.75" customHeight="1" x14ac:dyDescent="0.3">
      <c r="A106" s="57">
        <f t="shared" si="40"/>
        <v>93</v>
      </c>
      <c r="B106" s="58" t="s">
        <v>384</v>
      </c>
      <c r="C106" s="57" t="s">
        <v>182</v>
      </c>
      <c r="D106" s="66" t="s">
        <v>385</v>
      </c>
      <c r="E106" s="166">
        <v>1091</v>
      </c>
      <c r="F106" s="82">
        <f t="shared" si="38"/>
        <v>327300</v>
      </c>
      <c r="G106" s="82">
        <f t="shared" si="39"/>
        <v>392760</v>
      </c>
      <c r="H106" s="174"/>
    </row>
    <row r="107" spans="1:8" x14ac:dyDescent="0.3">
      <c r="A107" s="57">
        <f t="shared" si="40"/>
        <v>94</v>
      </c>
      <c r="B107" s="58" t="s">
        <v>386</v>
      </c>
      <c r="C107" s="57" t="s">
        <v>207</v>
      </c>
      <c r="D107" s="66">
        <v>4</v>
      </c>
      <c r="E107" s="78">
        <v>7480</v>
      </c>
      <c r="F107" s="82">
        <f t="shared" si="38"/>
        <v>29920</v>
      </c>
      <c r="G107" s="82">
        <f t="shared" si="39"/>
        <v>35904</v>
      </c>
    </row>
    <row r="108" spans="1:8" x14ac:dyDescent="0.3">
      <c r="A108" s="57">
        <f t="shared" si="40"/>
        <v>95</v>
      </c>
      <c r="B108" s="58" t="s">
        <v>387</v>
      </c>
      <c r="C108" s="57" t="s">
        <v>182</v>
      </c>
      <c r="D108" s="66" t="s">
        <v>381</v>
      </c>
      <c r="E108" s="78">
        <v>26</v>
      </c>
      <c r="F108" s="82">
        <f>ROUND(E108*D108,2)</f>
        <v>1040</v>
      </c>
      <c r="G108" s="82">
        <f>ROUND(F108*1.2,2)</f>
        <v>1248</v>
      </c>
    </row>
    <row r="109" spans="1:8" x14ac:dyDescent="0.3">
      <c r="A109" s="139"/>
      <c r="B109" s="400" t="s">
        <v>284</v>
      </c>
      <c r="C109" s="401"/>
      <c r="D109" s="401"/>
      <c r="E109" s="402"/>
      <c r="F109" s="138">
        <f>SUM(F5:F108)</f>
        <v>4109058.51</v>
      </c>
      <c r="G109" s="138">
        <f>SUM(G5:G108)</f>
        <v>4930870.22</v>
      </c>
    </row>
  </sheetData>
  <mergeCells count="16">
    <mergeCell ref="A1:A2"/>
    <mergeCell ref="B1:B2"/>
    <mergeCell ref="C1:C2"/>
    <mergeCell ref="D1:D2"/>
    <mergeCell ref="E1:G1"/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</mergeCells>
  <pageMargins left="0.7" right="0.7" top="0.75" bottom="0.75" header="0.3" footer="0.3"/>
  <pageSetup paperSize="9" scale="5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1" customWidth="1"/>
  </cols>
  <sheetData>
    <row r="1" spans="1:7" x14ac:dyDescent="0.3">
      <c r="A1" s="410" t="s">
        <v>213</v>
      </c>
      <c r="B1" s="384" t="s">
        <v>214</v>
      </c>
      <c r="C1" s="384" t="s">
        <v>215</v>
      </c>
      <c r="D1" s="384" t="s">
        <v>216</v>
      </c>
      <c r="E1" s="404" t="s">
        <v>273</v>
      </c>
      <c r="F1" s="405"/>
      <c r="G1" s="405"/>
    </row>
    <row r="2" spans="1:7" x14ac:dyDescent="0.3">
      <c r="A2" s="410"/>
      <c r="B2" s="384"/>
      <c r="C2" s="384"/>
      <c r="D2" s="384"/>
      <c r="E2" s="384" t="s">
        <v>243</v>
      </c>
      <c r="F2" s="384" t="s">
        <v>236</v>
      </c>
      <c r="G2" s="407" t="s">
        <v>223</v>
      </c>
    </row>
    <row r="3" spans="1:7" ht="31.2" customHeight="1" x14ac:dyDescent="0.3">
      <c r="A3" s="410"/>
      <c r="B3" s="384"/>
      <c r="C3" s="384"/>
      <c r="D3" s="384"/>
      <c r="E3" s="384"/>
      <c r="F3" s="384"/>
      <c r="G3" s="407"/>
    </row>
    <row r="4" spans="1:7" x14ac:dyDescent="0.3">
      <c r="A4" s="129">
        <v>1</v>
      </c>
      <c r="B4" s="130">
        <v>2</v>
      </c>
      <c r="C4" s="130">
        <v>3</v>
      </c>
      <c r="D4" s="130">
        <v>4</v>
      </c>
      <c r="E4" s="130">
        <v>5</v>
      </c>
      <c r="F4" s="130">
        <v>6</v>
      </c>
      <c r="G4" s="130">
        <v>7</v>
      </c>
    </row>
    <row r="5" spans="1:7" x14ac:dyDescent="0.3">
      <c r="A5" s="409" t="s">
        <v>193</v>
      </c>
      <c r="B5" s="409"/>
      <c r="C5" s="409"/>
      <c r="D5" s="409"/>
      <c r="E5" s="121"/>
      <c r="F5" s="121"/>
      <c r="G5" s="113"/>
    </row>
    <row r="6" spans="1:7" x14ac:dyDescent="0.3">
      <c r="A6" s="408" t="s">
        <v>194</v>
      </c>
      <c r="B6" s="408"/>
      <c r="C6" s="408"/>
      <c r="D6" s="408"/>
      <c r="E6" s="122"/>
      <c r="F6" s="122"/>
      <c r="G6" s="111"/>
    </row>
    <row r="7" spans="1:7" x14ac:dyDescent="0.3">
      <c r="A7" s="100">
        <v>1</v>
      </c>
      <c r="B7" s="112" t="s">
        <v>195</v>
      </c>
      <c r="C7" s="105" t="s">
        <v>181</v>
      </c>
      <c r="D7" s="128">
        <f>79.62</f>
        <v>79.62</v>
      </c>
      <c r="E7" s="124">
        <v>8650</v>
      </c>
      <c r="F7" s="82">
        <f>ROUND(E7*D7,2)</f>
        <v>688713</v>
      </c>
      <c r="G7" s="82">
        <f>ROUND(F7*1.2,2)</f>
        <v>826455.6</v>
      </c>
    </row>
    <row r="8" spans="1:7" x14ac:dyDescent="0.3">
      <c r="A8" s="100">
        <f>A7+1</f>
        <v>2</v>
      </c>
      <c r="B8" s="112" t="s">
        <v>196</v>
      </c>
      <c r="C8" s="105" t="s">
        <v>181</v>
      </c>
      <c r="D8" s="128">
        <v>308.73</v>
      </c>
      <c r="E8" s="124">
        <v>12450</v>
      </c>
      <c r="F8" s="82">
        <f>ROUND(E8*D8,2)</f>
        <v>3843688.5</v>
      </c>
      <c r="G8" s="82">
        <f>ROUND(F8*1.2,2)</f>
        <v>4612426.2</v>
      </c>
    </row>
    <row r="9" spans="1:7" ht="21.75" customHeight="1" x14ac:dyDescent="0.3">
      <c r="A9" s="100">
        <f t="shared" ref="A9:A10" si="0">A8+1</f>
        <v>3</v>
      </c>
      <c r="B9" s="112" t="s">
        <v>197</v>
      </c>
      <c r="C9" s="105" t="s">
        <v>181</v>
      </c>
      <c r="D9" s="128">
        <f>196.74</f>
        <v>196.74</v>
      </c>
      <c r="E9" s="124">
        <v>5165</v>
      </c>
      <c r="F9" s="82">
        <f>ROUND(E9*D9,2)</f>
        <v>1016162.1</v>
      </c>
      <c r="G9" s="82">
        <f>ROUND(F9*1.2,2)</f>
        <v>1219394.52</v>
      </c>
    </row>
    <row r="10" spans="1:7" ht="27.6" x14ac:dyDescent="0.3">
      <c r="A10" s="100">
        <f t="shared" si="0"/>
        <v>4</v>
      </c>
      <c r="B10" s="114" t="s">
        <v>198</v>
      </c>
      <c r="C10" s="105"/>
      <c r="D10" s="108"/>
      <c r="E10" s="123"/>
      <c r="F10" s="124"/>
      <c r="G10" s="109"/>
    </row>
    <row r="11" spans="1:7" x14ac:dyDescent="0.3">
      <c r="A11" s="115">
        <v>4.0999999999999996</v>
      </c>
      <c r="B11" s="112" t="s">
        <v>199</v>
      </c>
      <c r="C11" s="105" t="s">
        <v>181</v>
      </c>
      <c r="D11" s="108">
        <v>151</v>
      </c>
      <c r="E11" s="124">
        <v>1611</v>
      </c>
      <c r="F11" s="82">
        <f>ROUND(E11*D11,2)</f>
        <v>243261</v>
      </c>
      <c r="G11" s="82">
        <f>ROUND(F11*1.2,2)</f>
        <v>291913.2</v>
      </c>
    </row>
    <row r="12" spans="1:7" x14ac:dyDescent="0.3">
      <c r="A12" s="115">
        <v>4.2</v>
      </c>
      <c r="B12" s="112" t="s">
        <v>200</v>
      </c>
      <c r="C12" s="105" t="s">
        <v>181</v>
      </c>
      <c r="D12" s="108">
        <v>163</v>
      </c>
      <c r="E12" s="124">
        <v>1496</v>
      </c>
      <c r="F12" s="82">
        <f>ROUND(E12*D12,2)</f>
        <v>243848</v>
      </c>
      <c r="G12" s="82">
        <f>ROUND(F12*1.2,2)</f>
        <v>292617.59999999998</v>
      </c>
    </row>
    <row r="13" spans="1:7" x14ac:dyDescent="0.3">
      <c r="A13" s="115">
        <v>4.3</v>
      </c>
      <c r="B13" s="112" t="s">
        <v>201</v>
      </c>
      <c r="C13" s="105" t="s">
        <v>182</v>
      </c>
      <c r="D13" s="110">
        <v>226.24</v>
      </c>
      <c r="E13" s="124">
        <v>30</v>
      </c>
      <c r="F13" s="82">
        <f>ROUND(E13*D13,2)</f>
        <v>6787.2</v>
      </c>
      <c r="G13" s="82">
        <f>ROUND(F13*1.2,2)</f>
        <v>8144.64</v>
      </c>
    </row>
    <row r="14" spans="1:7" x14ac:dyDescent="0.3">
      <c r="A14" s="408" t="s">
        <v>202</v>
      </c>
      <c r="B14" s="408"/>
      <c r="C14" s="408"/>
      <c r="D14" s="408"/>
      <c r="E14" s="122"/>
      <c r="F14" s="122"/>
      <c r="G14" s="111"/>
    </row>
    <row r="15" spans="1:7" ht="68.25" customHeight="1" x14ac:dyDescent="0.3">
      <c r="A15" s="100">
        <f>A10+1</f>
        <v>5</v>
      </c>
      <c r="B15" s="112" t="s">
        <v>203</v>
      </c>
      <c r="C15" s="105" t="s">
        <v>182</v>
      </c>
      <c r="D15" s="110">
        <v>226.24</v>
      </c>
      <c r="E15" s="124">
        <v>1587</v>
      </c>
      <c r="F15" s="82">
        <f t="shared" ref="F15:F17" si="1">ROUND(E15*D15,2)</f>
        <v>359042.88</v>
      </c>
      <c r="G15" s="82">
        <f t="shared" ref="G15:G17" si="2">ROUND(F15*1.2,2)</f>
        <v>430851.46</v>
      </c>
    </row>
    <row r="16" spans="1:7" ht="21" customHeight="1" x14ac:dyDescent="0.3">
      <c r="A16" s="100">
        <f>A15+1</f>
        <v>6</v>
      </c>
      <c r="B16" s="112" t="s">
        <v>205</v>
      </c>
      <c r="C16" s="105" t="s">
        <v>182</v>
      </c>
      <c r="D16" s="110">
        <v>226.24</v>
      </c>
      <c r="E16" s="124">
        <v>4200</v>
      </c>
      <c r="F16" s="82">
        <f t="shared" si="1"/>
        <v>950208</v>
      </c>
      <c r="G16" s="82">
        <f t="shared" si="2"/>
        <v>1140249.6000000001</v>
      </c>
    </row>
    <row r="17" spans="1:7" ht="22.5" customHeight="1" x14ac:dyDescent="0.3">
      <c r="A17" s="100">
        <f>A16+1</f>
        <v>7</v>
      </c>
      <c r="B17" s="112" t="s">
        <v>206</v>
      </c>
      <c r="C17" s="105" t="s">
        <v>207</v>
      </c>
      <c r="D17" s="108">
        <v>1</v>
      </c>
      <c r="E17" s="123">
        <v>80000</v>
      </c>
      <c r="F17" s="82">
        <f t="shared" si="1"/>
        <v>80000</v>
      </c>
      <c r="G17" s="82">
        <f t="shared" si="2"/>
        <v>96000</v>
      </c>
    </row>
    <row r="18" spans="1:7" x14ac:dyDescent="0.3">
      <c r="A18" s="409" t="s">
        <v>208</v>
      </c>
      <c r="B18" s="409"/>
      <c r="C18" s="409"/>
      <c r="D18" s="409"/>
      <c r="E18" s="121"/>
      <c r="F18" s="121"/>
      <c r="G18" s="113"/>
    </row>
    <row r="19" spans="1:7" x14ac:dyDescent="0.3">
      <c r="A19" s="408" t="s">
        <v>194</v>
      </c>
      <c r="B19" s="408"/>
      <c r="C19" s="408"/>
      <c r="D19" s="408"/>
      <c r="E19" s="122"/>
      <c r="F19" s="122"/>
      <c r="G19" s="111"/>
    </row>
    <row r="20" spans="1:7" x14ac:dyDescent="0.3">
      <c r="A20" s="100">
        <f>A17+1</f>
        <v>8</v>
      </c>
      <c r="B20" s="112" t="s">
        <v>195</v>
      </c>
      <c r="C20" s="105" t="s">
        <v>181</v>
      </c>
      <c r="D20" s="128">
        <f>79.62</f>
        <v>79.62</v>
      </c>
      <c r="E20" s="124">
        <v>8650</v>
      </c>
      <c r="F20" s="82">
        <f>ROUND(E20*D20,2)</f>
        <v>688713</v>
      </c>
      <c r="G20" s="82">
        <f>ROUND(F20*1.2,2)</f>
        <v>826455.6</v>
      </c>
    </row>
    <row r="21" spans="1:7" x14ac:dyDescent="0.3">
      <c r="A21" s="100">
        <f>A20+1</f>
        <v>9</v>
      </c>
      <c r="B21" s="112" t="s">
        <v>196</v>
      </c>
      <c r="C21" s="105" t="s">
        <v>181</v>
      </c>
      <c r="D21" s="128">
        <v>308.73</v>
      </c>
      <c r="E21" s="124">
        <v>12450</v>
      </c>
      <c r="F21" s="82">
        <f>ROUND(E21*D21,2)</f>
        <v>3843688.5</v>
      </c>
      <c r="G21" s="82">
        <f>ROUND(F21*1.2,2)</f>
        <v>4612426.2</v>
      </c>
    </row>
    <row r="22" spans="1:7" ht="24" customHeight="1" x14ac:dyDescent="0.3">
      <c r="A22" s="100">
        <f t="shared" ref="A22:A23" si="3">A21+1</f>
        <v>10</v>
      </c>
      <c r="B22" s="112" t="s">
        <v>197</v>
      </c>
      <c r="C22" s="105" t="s">
        <v>181</v>
      </c>
      <c r="D22" s="128">
        <f>196.74</f>
        <v>196.74</v>
      </c>
      <c r="E22" s="124">
        <v>5165</v>
      </c>
      <c r="F22" s="82">
        <f>ROUND(E22*D22,2)</f>
        <v>1016162.1</v>
      </c>
      <c r="G22" s="82">
        <f>ROUND(F22*1.2,2)</f>
        <v>1219394.52</v>
      </c>
    </row>
    <row r="23" spans="1:7" ht="29.25" customHeight="1" x14ac:dyDescent="0.3">
      <c r="A23" s="100">
        <f t="shared" si="3"/>
        <v>11</v>
      </c>
      <c r="B23" s="114" t="s">
        <v>198</v>
      </c>
      <c r="C23" s="105"/>
      <c r="D23" s="108"/>
      <c r="E23" s="123"/>
      <c r="F23" s="124"/>
      <c r="G23" s="109"/>
    </row>
    <row r="24" spans="1:7" x14ac:dyDescent="0.3">
      <c r="A24" s="115">
        <v>11.1</v>
      </c>
      <c r="B24" s="112" t="s">
        <v>199</v>
      </c>
      <c r="C24" s="105" t="s">
        <v>181</v>
      </c>
      <c r="D24" s="108">
        <v>151</v>
      </c>
      <c r="E24" s="124">
        <v>1611</v>
      </c>
      <c r="F24" s="82">
        <f>ROUND(E24*D24,2)</f>
        <v>243261</v>
      </c>
      <c r="G24" s="82">
        <f>ROUND(F24*1.2,2)</f>
        <v>291913.2</v>
      </c>
    </row>
    <row r="25" spans="1:7" x14ac:dyDescent="0.3">
      <c r="A25" s="115">
        <v>11.2</v>
      </c>
      <c r="B25" s="112" t="s">
        <v>200</v>
      </c>
      <c r="C25" s="105" t="s">
        <v>181</v>
      </c>
      <c r="D25" s="108">
        <v>163</v>
      </c>
      <c r="E25" s="124">
        <v>1496</v>
      </c>
      <c r="F25" s="82">
        <f>ROUND(E25*D25,2)</f>
        <v>243848</v>
      </c>
      <c r="G25" s="82">
        <f>ROUND(F25*1.2,2)</f>
        <v>292617.59999999998</v>
      </c>
    </row>
    <row r="26" spans="1:7" x14ac:dyDescent="0.3">
      <c r="A26" s="115">
        <v>11.3</v>
      </c>
      <c r="B26" s="112" t="s">
        <v>201</v>
      </c>
      <c r="C26" s="105" t="s">
        <v>182</v>
      </c>
      <c r="D26" s="110">
        <v>226.24</v>
      </c>
      <c r="E26" s="124">
        <v>30</v>
      </c>
      <c r="F26" s="82">
        <f>ROUND(E26*D26,2)</f>
        <v>6787.2</v>
      </c>
      <c r="G26" s="82">
        <f>ROUND(F26*1.2,2)</f>
        <v>8144.64</v>
      </c>
    </row>
    <row r="27" spans="1:7" x14ac:dyDescent="0.3">
      <c r="A27" s="408" t="s">
        <v>209</v>
      </c>
      <c r="B27" s="408"/>
      <c r="C27" s="408"/>
      <c r="D27" s="408"/>
      <c r="E27" s="122"/>
      <c r="F27" s="122"/>
      <c r="G27" s="111"/>
    </row>
    <row r="28" spans="1:7" ht="66.75" customHeight="1" x14ac:dyDescent="0.3">
      <c r="A28" s="100">
        <f>A23+1</f>
        <v>12</v>
      </c>
      <c r="B28" s="112" t="s">
        <v>203</v>
      </c>
      <c r="C28" s="105" t="s">
        <v>182</v>
      </c>
      <c r="D28" s="110">
        <v>226.24</v>
      </c>
      <c r="E28" s="124">
        <v>1587</v>
      </c>
      <c r="F28" s="82">
        <f t="shared" ref="F28:F30" si="4">ROUND(E28*D28,2)</f>
        <v>359042.88</v>
      </c>
      <c r="G28" s="82">
        <f t="shared" ref="G28:G30" si="5">ROUND(F28*1.2,2)</f>
        <v>430851.46</v>
      </c>
    </row>
    <row r="29" spans="1:7" ht="24" customHeight="1" x14ac:dyDescent="0.3">
      <c r="A29" s="100">
        <f>A28+1</f>
        <v>13</v>
      </c>
      <c r="B29" s="112" t="s">
        <v>205</v>
      </c>
      <c r="C29" s="105" t="s">
        <v>182</v>
      </c>
      <c r="D29" s="110">
        <v>226.24</v>
      </c>
      <c r="E29" s="124">
        <v>4200</v>
      </c>
      <c r="F29" s="82">
        <f t="shared" si="4"/>
        <v>950208</v>
      </c>
      <c r="G29" s="82">
        <f t="shared" si="5"/>
        <v>1140249.6000000001</v>
      </c>
    </row>
    <row r="30" spans="1:7" ht="22.5" customHeight="1" x14ac:dyDescent="0.3">
      <c r="A30" s="100">
        <f>A29+1</f>
        <v>14</v>
      </c>
      <c r="B30" s="112" t="s">
        <v>206</v>
      </c>
      <c r="C30" s="105" t="s">
        <v>207</v>
      </c>
      <c r="D30" s="108">
        <v>1</v>
      </c>
      <c r="E30" s="123">
        <v>80000</v>
      </c>
      <c r="F30" s="82">
        <f t="shared" si="4"/>
        <v>80000</v>
      </c>
      <c r="G30" s="82">
        <f t="shared" si="5"/>
        <v>96000</v>
      </c>
    </row>
    <row r="31" spans="1:7" x14ac:dyDescent="0.3">
      <c r="A31" s="409" t="s">
        <v>210</v>
      </c>
      <c r="B31" s="409"/>
      <c r="C31" s="409"/>
      <c r="D31" s="409"/>
      <c r="E31" s="121"/>
      <c r="F31" s="121"/>
      <c r="G31" s="113"/>
    </row>
    <row r="32" spans="1:7" x14ac:dyDescent="0.3">
      <c r="A32" s="408" t="s">
        <v>194</v>
      </c>
      <c r="B32" s="408"/>
      <c r="C32" s="408"/>
      <c r="D32" s="408"/>
      <c r="E32" s="122"/>
      <c r="F32" s="122"/>
      <c r="G32" s="109"/>
    </row>
    <row r="33" spans="1:7" x14ac:dyDescent="0.3">
      <c r="A33" s="100">
        <f>A30+1</f>
        <v>15</v>
      </c>
      <c r="B33" s="112" t="s">
        <v>195</v>
      </c>
      <c r="C33" s="105" t="s">
        <v>181</v>
      </c>
      <c r="D33" s="128">
        <v>55.04</v>
      </c>
      <c r="E33" s="124">
        <v>8650</v>
      </c>
      <c r="F33" s="82">
        <f>ROUND(E33*D33,2)</f>
        <v>476096</v>
      </c>
      <c r="G33" s="82">
        <f>ROUND(F33*1.2,2)</f>
        <v>571315.19999999995</v>
      </c>
    </row>
    <row r="34" spans="1:7" x14ac:dyDescent="0.3">
      <c r="A34" s="100">
        <f>A33+1</f>
        <v>16</v>
      </c>
      <c r="B34" s="112" t="s">
        <v>196</v>
      </c>
      <c r="C34" s="105" t="s">
        <v>181</v>
      </c>
      <c r="D34" s="128">
        <v>213.41</v>
      </c>
      <c r="E34" s="124">
        <v>12450</v>
      </c>
      <c r="F34" s="82">
        <f>ROUND(E34*D34,2)</f>
        <v>2656954.5</v>
      </c>
      <c r="G34" s="82">
        <f>ROUND(F34*1.2,2)</f>
        <v>3188345.4</v>
      </c>
    </row>
    <row r="35" spans="1:7" ht="23.25" customHeight="1" x14ac:dyDescent="0.3">
      <c r="A35" s="100">
        <f>A34+1</f>
        <v>17</v>
      </c>
      <c r="B35" s="112" t="s">
        <v>197</v>
      </c>
      <c r="C35" s="105" t="s">
        <v>181</v>
      </c>
      <c r="D35" s="128">
        <f>136</f>
        <v>136</v>
      </c>
      <c r="E35" s="124">
        <v>5165</v>
      </c>
      <c r="F35" s="82">
        <f>ROUND(E35*D35,2)</f>
        <v>702440</v>
      </c>
      <c r="G35" s="82">
        <f>ROUND(F35*1.2,2)</f>
        <v>842928</v>
      </c>
    </row>
    <row r="36" spans="1:7" ht="27.6" x14ac:dyDescent="0.3">
      <c r="A36" s="100">
        <f>A35+1</f>
        <v>18</v>
      </c>
      <c r="B36" s="114" t="s">
        <v>198</v>
      </c>
      <c r="C36" s="105"/>
      <c r="D36" s="108"/>
      <c r="E36" s="123"/>
      <c r="F36" s="124"/>
      <c r="G36" s="109"/>
    </row>
    <row r="37" spans="1:7" x14ac:dyDescent="0.3">
      <c r="A37" s="115">
        <v>18.100000000000001</v>
      </c>
      <c r="B37" s="112" t="s">
        <v>199</v>
      </c>
      <c r="C37" s="105" t="s">
        <v>181</v>
      </c>
      <c r="D37" s="108">
        <v>105</v>
      </c>
      <c r="E37" s="124">
        <v>1611</v>
      </c>
      <c r="F37" s="82">
        <f>ROUND(E37*D37,2)</f>
        <v>169155</v>
      </c>
      <c r="G37" s="82">
        <f>ROUND(F37*1.2,2)</f>
        <v>202986</v>
      </c>
    </row>
    <row r="38" spans="1:7" x14ac:dyDescent="0.3">
      <c r="A38" s="115">
        <v>18.2</v>
      </c>
      <c r="B38" s="112" t="s">
        <v>200</v>
      </c>
      <c r="C38" s="105" t="s">
        <v>181</v>
      </c>
      <c r="D38" s="119">
        <v>112.6</v>
      </c>
      <c r="E38" s="124">
        <v>1496</v>
      </c>
      <c r="F38" s="82">
        <f>ROUND(E38*D38,2)</f>
        <v>168449.6</v>
      </c>
      <c r="G38" s="82">
        <f>ROUND(F38*1.2,2)</f>
        <v>202139.51999999999</v>
      </c>
    </row>
    <row r="39" spans="1:7" x14ac:dyDescent="0.3">
      <c r="A39" s="115">
        <v>18.3</v>
      </c>
      <c r="B39" s="112" t="s">
        <v>201</v>
      </c>
      <c r="C39" s="105" t="s">
        <v>182</v>
      </c>
      <c r="D39" s="110">
        <v>156.38999999999999</v>
      </c>
      <c r="E39" s="124">
        <v>30</v>
      </c>
      <c r="F39" s="82">
        <f>ROUND(E39*D39,2)</f>
        <v>4691.7</v>
      </c>
      <c r="G39" s="82">
        <f>ROUND(F39*1.2,2)</f>
        <v>5630.04</v>
      </c>
    </row>
    <row r="40" spans="1:7" x14ac:dyDescent="0.3">
      <c r="A40" s="408" t="s">
        <v>283</v>
      </c>
      <c r="B40" s="408"/>
      <c r="C40" s="408"/>
      <c r="D40" s="408"/>
      <c r="E40" s="122"/>
      <c r="F40" s="122"/>
      <c r="G40" s="111"/>
    </row>
    <row r="41" spans="1:7" ht="66.75" customHeight="1" x14ac:dyDescent="0.3">
      <c r="A41" s="100">
        <f>A36+1</f>
        <v>19</v>
      </c>
      <c r="B41" s="112" t="s">
        <v>203</v>
      </c>
      <c r="C41" s="105" t="s">
        <v>182</v>
      </c>
      <c r="D41" s="110">
        <v>156.38999999999999</v>
      </c>
      <c r="E41" s="124">
        <v>1587</v>
      </c>
      <c r="F41" s="82">
        <f t="shared" ref="F41:F43" si="6">ROUND(E41*D41,2)</f>
        <v>248190.93</v>
      </c>
      <c r="G41" s="82">
        <f t="shared" ref="G41:G43" si="7">ROUND(F41*1.2,2)</f>
        <v>297829.12</v>
      </c>
    </row>
    <row r="42" spans="1:7" ht="23.25" customHeight="1" x14ac:dyDescent="0.3">
      <c r="A42" s="100">
        <f>A41+1</f>
        <v>20</v>
      </c>
      <c r="B42" s="112" t="s">
        <v>205</v>
      </c>
      <c r="C42" s="105" t="s">
        <v>182</v>
      </c>
      <c r="D42" s="110">
        <v>156.38999999999999</v>
      </c>
      <c r="E42" s="124">
        <v>4200</v>
      </c>
      <c r="F42" s="82">
        <f t="shared" si="6"/>
        <v>656838</v>
      </c>
      <c r="G42" s="82">
        <f t="shared" si="7"/>
        <v>788205.6</v>
      </c>
    </row>
    <row r="43" spans="1:7" ht="22.5" customHeight="1" x14ac:dyDescent="0.3">
      <c r="A43" s="100">
        <f>A42+1</f>
        <v>21</v>
      </c>
      <c r="B43" s="112" t="s">
        <v>206</v>
      </c>
      <c r="C43" s="105" t="s">
        <v>207</v>
      </c>
      <c r="D43" s="108">
        <v>1</v>
      </c>
      <c r="E43" s="123">
        <v>80000</v>
      </c>
      <c r="F43" s="82">
        <f t="shared" si="6"/>
        <v>80000</v>
      </c>
      <c r="G43" s="82">
        <f t="shared" si="7"/>
        <v>96000</v>
      </c>
    </row>
    <row r="44" spans="1:7" x14ac:dyDescent="0.3">
      <c r="A44" s="409" t="s">
        <v>211</v>
      </c>
      <c r="B44" s="409"/>
      <c r="C44" s="409"/>
      <c r="D44" s="409"/>
      <c r="E44" s="121"/>
      <c r="F44" s="121"/>
      <c r="G44" s="113"/>
    </row>
    <row r="45" spans="1:7" x14ac:dyDescent="0.3">
      <c r="A45" s="408" t="s">
        <v>194</v>
      </c>
      <c r="B45" s="408"/>
      <c r="C45" s="408"/>
      <c r="D45" s="408"/>
      <c r="E45" s="122"/>
      <c r="F45" s="122"/>
      <c r="G45" s="111"/>
    </row>
    <row r="46" spans="1:7" x14ac:dyDescent="0.3">
      <c r="A46" s="100">
        <f>A43+1</f>
        <v>22</v>
      </c>
      <c r="B46" s="112" t="s">
        <v>195</v>
      </c>
      <c r="C46" s="105" t="s">
        <v>181</v>
      </c>
      <c r="D46" s="128">
        <v>34.22</v>
      </c>
      <c r="E46" s="124">
        <v>8650</v>
      </c>
      <c r="F46" s="82">
        <f>ROUND(E46*D46,2)</f>
        <v>296003</v>
      </c>
      <c r="G46" s="82">
        <f>ROUND(F46*1.2,2)</f>
        <v>355203.6</v>
      </c>
    </row>
    <row r="47" spans="1:7" x14ac:dyDescent="0.3">
      <c r="A47" s="100">
        <f>A46+1</f>
        <v>23</v>
      </c>
      <c r="B47" s="112" t="s">
        <v>196</v>
      </c>
      <c r="C47" s="105" t="s">
        <v>181</v>
      </c>
      <c r="D47" s="128">
        <v>132.63</v>
      </c>
      <c r="E47" s="124">
        <v>12450</v>
      </c>
      <c r="F47" s="82">
        <f>ROUND(E47*D47,2)</f>
        <v>1651243.5</v>
      </c>
      <c r="G47" s="82">
        <f>ROUND(F47*1.2,2)</f>
        <v>1981492.2</v>
      </c>
    </row>
    <row r="48" spans="1:7" ht="24" customHeight="1" x14ac:dyDescent="0.3">
      <c r="A48" s="100">
        <f t="shared" ref="A48:A49" si="8">A47+1</f>
        <v>24</v>
      </c>
      <c r="B48" s="112" t="s">
        <v>197</v>
      </c>
      <c r="C48" s="105" t="s">
        <v>181</v>
      </c>
      <c r="D48" s="128">
        <f>84.52</f>
        <v>84.52</v>
      </c>
      <c r="E48" s="124">
        <v>5165</v>
      </c>
      <c r="F48" s="82">
        <f>ROUND(E48*D48,2)</f>
        <v>436545.8</v>
      </c>
      <c r="G48" s="82">
        <f>ROUND(F48*1.2,2)</f>
        <v>523854.96</v>
      </c>
    </row>
    <row r="49" spans="1:8" ht="27.6" x14ac:dyDescent="0.3">
      <c r="A49" s="100">
        <f t="shared" si="8"/>
        <v>25</v>
      </c>
      <c r="B49" s="114" t="s">
        <v>198</v>
      </c>
      <c r="C49" s="105"/>
      <c r="D49" s="108"/>
      <c r="E49" s="123"/>
      <c r="F49" s="124"/>
      <c r="G49" s="109"/>
    </row>
    <row r="50" spans="1:8" x14ac:dyDescent="0.3">
      <c r="A50" s="115">
        <v>25.1</v>
      </c>
      <c r="B50" s="112" t="s">
        <v>199</v>
      </c>
      <c r="C50" s="105" t="s">
        <v>181</v>
      </c>
      <c r="D50" s="108">
        <v>65</v>
      </c>
      <c r="E50" s="124">
        <v>1611</v>
      </c>
      <c r="F50" s="82">
        <f>ROUND(E50*D50,2)</f>
        <v>104715</v>
      </c>
      <c r="G50" s="82">
        <f>ROUND(F50*1.2,2)</f>
        <v>125658</v>
      </c>
    </row>
    <row r="51" spans="1:8" x14ac:dyDescent="0.3">
      <c r="A51" s="115">
        <v>25.2</v>
      </c>
      <c r="B51" s="112" t="s">
        <v>200</v>
      </c>
      <c r="C51" s="105" t="s">
        <v>181</v>
      </c>
      <c r="D51" s="119">
        <v>70</v>
      </c>
      <c r="E51" s="124">
        <v>1496</v>
      </c>
      <c r="F51" s="82">
        <f>ROUND(E51*D51,2)</f>
        <v>104720</v>
      </c>
      <c r="G51" s="82">
        <f>ROUND(F51*1.2,2)</f>
        <v>125664</v>
      </c>
    </row>
    <row r="52" spans="1:8" x14ac:dyDescent="0.3">
      <c r="A52" s="115">
        <v>25.3</v>
      </c>
      <c r="B52" s="112" t="s">
        <v>201</v>
      </c>
      <c r="C52" s="105" t="s">
        <v>182</v>
      </c>
      <c r="D52" s="119">
        <v>97.2</v>
      </c>
      <c r="E52" s="124">
        <v>30</v>
      </c>
      <c r="F52" s="82">
        <f>ROUND(E52*D52,2)</f>
        <v>2916</v>
      </c>
      <c r="G52" s="82">
        <f>ROUND(F52*1.2,2)</f>
        <v>3499.2</v>
      </c>
    </row>
    <row r="53" spans="1:8" x14ac:dyDescent="0.3">
      <c r="A53" s="408" t="s">
        <v>212</v>
      </c>
      <c r="B53" s="408"/>
      <c r="C53" s="408"/>
      <c r="D53" s="408"/>
      <c r="E53" s="122"/>
      <c r="F53" s="122"/>
      <c r="G53" s="111"/>
    </row>
    <row r="54" spans="1:8" ht="62.25" customHeight="1" x14ac:dyDescent="0.3">
      <c r="A54" s="100">
        <f>A49+1</f>
        <v>26</v>
      </c>
      <c r="B54" s="112" t="s">
        <v>203</v>
      </c>
      <c r="C54" s="105" t="s">
        <v>182</v>
      </c>
      <c r="D54" s="110">
        <v>97.2</v>
      </c>
      <c r="E54" s="124">
        <v>1587</v>
      </c>
      <c r="F54" s="82">
        <f t="shared" ref="F54:F56" si="9">ROUND(E54*D54,2)</f>
        <v>154256.4</v>
      </c>
      <c r="G54" s="82">
        <f t="shared" ref="G54:G56" si="10">ROUND(F54*1.2,2)</f>
        <v>185107.68</v>
      </c>
    </row>
    <row r="55" spans="1:8" ht="24" customHeight="1" x14ac:dyDescent="0.3">
      <c r="A55" s="100">
        <f>A54+1</f>
        <v>27</v>
      </c>
      <c r="B55" s="112" t="s">
        <v>205</v>
      </c>
      <c r="C55" s="105" t="s">
        <v>182</v>
      </c>
      <c r="D55" s="110">
        <v>97.2</v>
      </c>
      <c r="E55" s="124">
        <v>4200</v>
      </c>
      <c r="F55" s="82">
        <f t="shared" si="9"/>
        <v>408240</v>
      </c>
      <c r="G55" s="82">
        <f t="shared" si="10"/>
        <v>489888</v>
      </c>
    </row>
    <row r="56" spans="1:8" ht="24" customHeight="1" x14ac:dyDescent="0.3">
      <c r="A56" s="100">
        <f>A55+1</f>
        <v>28</v>
      </c>
      <c r="B56" s="112" t="s">
        <v>206</v>
      </c>
      <c r="C56" s="105" t="s">
        <v>207</v>
      </c>
      <c r="D56" s="108">
        <v>1</v>
      </c>
      <c r="E56" s="123">
        <v>80000</v>
      </c>
      <c r="F56" s="82">
        <f t="shared" si="9"/>
        <v>80000</v>
      </c>
      <c r="G56" s="82">
        <f t="shared" si="10"/>
        <v>96000</v>
      </c>
    </row>
    <row r="57" spans="1:8" s="1" customFormat="1" x14ac:dyDescent="0.3">
      <c r="A57" s="125"/>
      <c r="B57" s="406" t="s">
        <v>242</v>
      </c>
      <c r="C57" s="406"/>
      <c r="D57" s="406"/>
      <c r="E57" s="406"/>
      <c r="F57" s="126">
        <f>SUM(F5:F56)</f>
        <v>23264876.789999999</v>
      </c>
      <c r="G57" s="127">
        <f>SUM(G5:G56)</f>
        <v>27917852.16</v>
      </c>
    </row>
    <row r="58" spans="1:8" x14ac:dyDescent="0.3">
      <c r="A58" s="375" t="s">
        <v>285</v>
      </c>
      <c r="B58" s="376"/>
      <c r="C58" s="376"/>
      <c r="D58" s="376"/>
      <c r="E58" s="377"/>
      <c r="F58" s="175">
        <f>ROUND(F57*0.03,2)</f>
        <v>697946.3</v>
      </c>
      <c r="G58" s="175">
        <f>ROUND(G57*0.03,2)</f>
        <v>837535.56</v>
      </c>
      <c r="H58" s="51"/>
    </row>
    <row r="59" spans="1:8" x14ac:dyDescent="0.3">
      <c r="A59" s="375" t="s">
        <v>286</v>
      </c>
      <c r="B59" s="376"/>
      <c r="C59" s="376"/>
      <c r="D59" s="376"/>
      <c r="E59" s="377"/>
      <c r="F59" s="175">
        <f>F57+F58</f>
        <v>23962823.09</v>
      </c>
      <c r="G59" s="175">
        <f>G57+G58</f>
        <v>28755387.719999999</v>
      </c>
      <c r="H59" s="51"/>
    </row>
  </sheetData>
  <mergeCells count="23">
    <mergeCell ref="F2:F3"/>
    <mergeCell ref="A1:A3"/>
    <mergeCell ref="A31:D31"/>
    <mergeCell ref="A32:D32"/>
    <mergeCell ref="A5:D5"/>
    <mergeCell ref="A6:D6"/>
    <mergeCell ref="A14:D14"/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</mergeCells>
  <pageMargins left="0.7" right="0.7" top="0.75" bottom="0.75" header="0.3" footer="0.3"/>
  <pageSetup paperSize="9" scale="6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410" t="s">
        <v>213</v>
      </c>
      <c r="B1" s="384" t="s">
        <v>214</v>
      </c>
      <c r="C1" s="384" t="s">
        <v>215</v>
      </c>
      <c r="D1" s="384" t="s">
        <v>216</v>
      </c>
      <c r="E1" s="411" t="s">
        <v>273</v>
      </c>
      <c r="F1" s="412"/>
      <c r="G1" s="413"/>
    </row>
    <row r="2" spans="1:7" x14ac:dyDescent="0.3">
      <c r="A2" s="410"/>
      <c r="B2" s="384"/>
      <c r="C2" s="384"/>
      <c r="D2" s="384"/>
      <c r="E2" s="414"/>
      <c r="F2" s="415"/>
      <c r="G2" s="416"/>
    </row>
    <row r="3" spans="1:7" ht="27.6" x14ac:dyDescent="0.3">
      <c r="A3" s="410"/>
      <c r="B3" s="384"/>
      <c r="C3" s="384"/>
      <c r="D3" s="384"/>
      <c r="E3" s="73" t="s">
        <v>183</v>
      </c>
      <c r="F3" s="84" t="s">
        <v>184</v>
      </c>
      <c r="G3" s="84" t="s">
        <v>186</v>
      </c>
    </row>
    <row r="4" spans="1:7" x14ac:dyDescent="0.3">
      <c r="A4" s="129">
        <v>1</v>
      </c>
      <c r="B4" s="130">
        <v>2</v>
      </c>
      <c r="C4" s="130">
        <v>3</v>
      </c>
      <c r="D4" s="130">
        <v>4</v>
      </c>
      <c r="E4" s="130">
        <v>5</v>
      </c>
      <c r="F4" s="130">
        <v>6</v>
      </c>
      <c r="G4" s="130">
        <v>7</v>
      </c>
    </row>
    <row r="5" spans="1:7" x14ac:dyDescent="0.3">
      <c r="A5" s="409" t="s">
        <v>193</v>
      </c>
      <c r="B5" s="409"/>
      <c r="C5" s="409"/>
      <c r="D5" s="409"/>
      <c r="E5" s="116"/>
      <c r="F5" s="116"/>
      <c r="G5" s="116"/>
    </row>
    <row r="6" spans="1:7" x14ac:dyDescent="0.3">
      <c r="A6" s="100">
        <v>1</v>
      </c>
      <c r="B6" s="58" t="s">
        <v>280</v>
      </c>
      <c r="C6" s="105" t="s">
        <v>181</v>
      </c>
      <c r="D6" s="108">
        <v>151</v>
      </c>
      <c r="E6" s="82">
        <v>5500</v>
      </c>
      <c r="F6" s="82">
        <f>ROUND(E6*D6,2)</f>
        <v>830500</v>
      </c>
      <c r="G6" s="82">
        <f>ROUND(F6*1.2,2)</f>
        <v>996600</v>
      </c>
    </row>
    <row r="7" spans="1:7" x14ac:dyDescent="0.3">
      <c r="A7" s="100">
        <f>A6+1</f>
        <v>2</v>
      </c>
      <c r="B7" s="58" t="s">
        <v>281</v>
      </c>
      <c r="C7" s="105" t="s">
        <v>181</v>
      </c>
      <c r="D7" s="108">
        <v>163</v>
      </c>
      <c r="E7" s="82">
        <v>1375</v>
      </c>
      <c r="F7" s="82">
        <f>ROUND(E7*D7,2)</f>
        <v>224125</v>
      </c>
      <c r="G7" s="82">
        <f>ROUND(F7*1.2,2)</f>
        <v>268950</v>
      </c>
    </row>
    <row r="8" spans="1:7" x14ac:dyDescent="0.3">
      <c r="A8" s="100">
        <f>A7+1</f>
        <v>3</v>
      </c>
      <c r="B8" s="58" t="s">
        <v>190</v>
      </c>
      <c r="C8" s="105" t="s">
        <v>182</v>
      </c>
      <c r="D8" s="110">
        <v>226.24</v>
      </c>
      <c r="E8" s="82">
        <v>168</v>
      </c>
      <c r="F8" s="82">
        <f>ROUND(E8*D8,2)</f>
        <v>38008.32</v>
      </c>
      <c r="G8" s="82">
        <f>ROUND(F8*1.2,2)</f>
        <v>45609.98</v>
      </c>
    </row>
    <row r="9" spans="1:7" ht="27.6" x14ac:dyDescent="0.3">
      <c r="A9" s="100">
        <f>A8+1</f>
        <v>4</v>
      </c>
      <c r="B9" s="112" t="s">
        <v>179</v>
      </c>
      <c r="C9" s="105" t="s">
        <v>182</v>
      </c>
      <c r="D9" s="110">
        <v>226.24</v>
      </c>
      <c r="E9" s="82">
        <f>ROUND(38500/1.2,2)</f>
        <v>32083.33</v>
      </c>
      <c r="F9" s="82">
        <f>ROUND(E9*D9,2)</f>
        <v>7258532.5800000001</v>
      </c>
      <c r="G9" s="82">
        <f>ROUND(F9*1.2,2)</f>
        <v>8710239.0999999996</v>
      </c>
    </row>
    <row r="10" spans="1:7" x14ac:dyDescent="0.3">
      <c r="A10" s="100">
        <f>A9+1</f>
        <v>5</v>
      </c>
      <c r="B10" s="120" t="s">
        <v>276</v>
      </c>
      <c r="C10" s="105" t="s">
        <v>178</v>
      </c>
      <c r="D10" s="79">
        <v>219</v>
      </c>
      <c r="E10" s="78">
        <f>ROUND(200/1.2,2)</f>
        <v>166.67</v>
      </c>
      <c r="F10" s="82">
        <f t="shared" ref="F10:F11" si="0">ROUND(E10*D10,2)</f>
        <v>36500.730000000003</v>
      </c>
      <c r="G10" s="82">
        <f t="shared" ref="G10:G11" si="1">ROUND(F10*1.2,2)</f>
        <v>43800.88</v>
      </c>
    </row>
    <row r="11" spans="1:7" x14ac:dyDescent="0.3">
      <c r="A11" s="100">
        <f t="shared" ref="A11:A13" si="2">A10+1</f>
        <v>6</v>
      </c>
      <c r="B11" s="120" t="s">
        <v>277</v>
      </c>
      <c r="C11" s="105" t="s">
        <v>178</v>
      </c>
      <c r="D11" s="79">
        <v>73</v>
      </c>
      <c r="E11" s="78">
        <f>ROUND(5841/1.2,2)</f>
        <v>4867.5</v>
      </c>
      <c r="F11" s="82">
        <f t="shared" si="0"/>
        <v>355327.5</v>
      </c>
      <c r="G11" s="82">
        <f t="shared" si="1"/>
        <v>426393</v>
      </c>
    </row>
    <row r="12" spans="1:7" x14ac:dyDescent="0.3">
      <c r="A12" s="100">
        <f t="shared" si="2"/>
        <v>7</v>
      </c>
      <c r="B12" s="112" t="s">
        <v>282</v>
      </c>
      <c r="C12" s="105" t="s">
        <v>204</v>
      </c>
      <c r="D12" s="108">
        <v>1</v>
      </c>
      <c r="E12" s="82">
        <v>110000</v>
      </c>
      <c r="F12" s="82">
        <f>ROUND(E12*D12,2)</f>
        <v>110000</v>
      </c>
      <c r="G12" s="82">
        <f>ROUND(F12*1.2,2)</f>
        <v>132000</v>
      </c>
    </row>
    <row r="13" spans="1:7" x14ac:dyDescent="0.3">
      <c r="A13" s="100">
        <f t="shared" si="2"/>
        <v>8</v>
      </c>
      <c r="B13" s="112" t="s">
        <v>180</v>
      </c>
      <c r="C13" s="105" t="s">
        <v>207</v>
      </c>
      <c r="D13" s="108">
        <v>1</v>
      </c>
      <c r="E13" s="82">
        <f>ROUND(154000/1.2,2)</f>
        <v>128333.33</v>
      </c>
      <c r="F13" s="82">
        <f>ROUND(E13*D13,2)</f>
        <v>128333.33</v>
      </c>
      <c r="G13" s="82">
        <f>ROUND(F13*1.2,2)</f>
        <v>154000</v>
      </c>
    </row>
    <row r="14" spans="1:7" x14ac:dyDescent="0.3">
      <c r="A14" s="409" t="s">
        <v>208</v>
      </c>
      <c r="B14" s="409"/>
      <c r="C14" s="409"/>
      <c r="D14" s="409"/>
      <c r="E14" s="117"/>
      <c r="F14" s="118"/>
      <c r="G14" s="118"/>
    </row>
    <row r="15" spans="1:7" x14ac:dyDescent="0.3">
      <c r="A15" s="100">
        <f>A13+1</f>
        <v>9</v>
      </c>
      <c r="B15" s="58" t="s">
        <v>280</v>
      </c>
      <c r="C15" s="105" t="s">
        <v>181</v>
      </c>
      <c r="D15" s="108">
        <v>151</v>
      </c>
      <c r="E15" s="82">
        <v>5500</v>
      </c>
      <c r="F15" s="82">
        <f>ROUND(E15*D15,2)</f>
        <v>830500</v>
      </c>
      <c r="G15" s="82">
        <f>ROUND(F15*1.2,2)</f>
        <v>996600</v>
      </c>
    </row>
    <row r="16" spans="1:7" x14ac:dyDescent="0.3">
      <c r="A16" s="100">
        <f>A15+1</f>
        <v>10</v>
      </c>
      <c r="B16" s="58" t="s">
        <v>281</v>
      </c>
      <c r="C16" s="105" t="s">
        <v>181</v>
      </c>
      <c r="D16" s="108">
        <v>163</v>
      </c>
      <c r="E16" s="82">
        <v>1375</v>
      </c>
      <c r="F16" s="82">
        <f>ROUND(E16*D16,2)</f>
        <v>224125</v>
      </c>
      <c r="G16" s="82">
        <f>ROUND(F16*1.2,2)</f>
        <v>268950</v>
      </c>
    </row>
    <row r="17" spans="1:7" x14ac:dyDescent="0.3">
      <c r="A17" s="100">
        <f>A16+1</f>
        <v>11</v>
      </c>
      <c r="B17" s="58" t="s">
        <v>190</v>
      </c>
      <c r="C17" s="105" t="s">
        <v>182</v>
      </c>
      <c r="D17" s="110">
        <v>226.24</v>
      </c>
      <c r="E17" s="82">
        <v>168</v>
      </c>
      <c r="F17" s="82">
        <f>ROUND(E17*D17,2)</f>
        <v>38008.32</v>
      </c>
      <c r="G17" s="82">
        <f>ROUND(F17*1.2,2)</f>
        <v>45609.98</v>
      </c>
    </row>
    <row r="18" spans="1:7" ht="27.6" x14ac:dyDescent="0.3">
      <c r="A18" s="100">
        <f>A17+1</f>
        <v>12</v>
      </c>
      <c r="B18" s="112" t="s">
        <v>179</v>
      </c>
      <c r="C18" s="105" t="s">
        <v>182</v>
      </c>
      <c r="D18" s="110">
        <v>226.24</v>
      </c>
      <c r="E18" s="82">
        <f>ROUND(38500/1.2,2)</f>
        <v>32083.33</v>
      </c>
      <c r="F18" s="82">
        <f>ROUND(E18*D18,2)</f>
        <v>7258532.5800000001</v>
      </c>
      <c r="G18" s="82">
        <f>ROUND(F18*1.2,2)</f>
        <v>8710239.0999999996</v>
      </c>
    </row>
    <row r="19" spans="1:7" x14ac:dyDescent="0.3">
      <c r="A19" s="100">
        <f>A18+1</f>
        <v>13</v>
      </c>
      <c r="B19" s="120" t="s">
        <v>276</v>
      </c>
      <c r="C19" s="105" t="s">
        <v>178</v>
      </c>
      <c r="D19" s="79">
        <v>219</v>
      </c>
      <c r="E19" s="78">
        <f>ROUND(200/1.2,2)</f>
        <v>166.67</v>
      </c>
      <c r="F19" s="82">
        <f t="shared" ref="F19:F20" si="3">ROUND(E19*D19,2)</f>
        <v>36500.730000000003</v>
      </c>
      <c r="G19" s="82">
        <f t="shared" ref="G19:G20" si="4">ROUND(F19*1.2,2)</f>
        <v>43800.88</v>
      </c>
    </row>
    <row r="20" spans="1:7" x14ac:dyDescent="0.3">
      <c r="A20" s="100">
        <f t="shared" ref="A20:A22" si="5">A19+1</f>
        <v>14</v>
      </c>
      <c r="B20" s="120" t="s">
        <v>277</v>
      </c>
      <c r="C20" s="105" t="s">
        <v>178</v>
      </c>
      <c r="D20" s="79">
        <v>73</v>
      </c>
      <c r="E20" s="78">
        <f>ROUND(5841/1.2,2)</f>
        <v>4867.5</v>
      </c>
      <c r="F20" s="82">
        <f t="shared" si="3"/>
        <v>355327.5</v>
      </c>
      <c r="G20" s="82">
        <f t="shared" si="4"/>
        <v>426393</v>
      </c>
    </row>
    <row r="21" spans="1:7" x14ac:dyDescent="0.3">
      <c r="A21" s="100">
        <f t="shared" si="5"/>
        <v>15</v>
      </c>
      <c r="B21" s="112" t="s">
        <v>282</v>
      </c>
      <c r="C21" s="105" t="s">
        <v>204</v>
      </c>
      <c r="D21" s="108">
        <v>1</v>
      </c>
      <c r="E21" s="82">
        <v>330000</v>
      </c>
      <c r="F21" s="82">
        <f>ROUND(E21*D21,2)</f>
        <v>330000</v>
      </c>
      <c r="G21" s="82">
        <f>ROUND(F21*1.2,2)</f>
        <v>396000</v>
      </c>
    </row>
    <row r="22" spans="1:7" x14ac:dyDescent="0.3">
      <c r="A22" s="100">
        <f t="shared" si="5"/>
        <v>16</v>
      </c>
      <c r="B22" s="112" t="s">
        <v>180</v>
      </c>
      <c r="C22" s="105" t="s">
        <v>207</v>
      </c>
      <c r="D22" s="108">
        <v>1</v>
      </c>
      <c r="E22" s="82">
        <f>ROUND(154000/1.2,2)</f>
        <v>128333.33</v>
      </c>
      <c r="F22" s="82">
        <f>ROUND(E22*D22,2)</f>
        <v>128333.33</v>
      </c>
      <c r="G22" s="82">
        <f>ROUND(F22*1.2,2)</f>
        <v>154000</v>
      </c>
    </row>
    <row r="23" spans="1:7" x14ac:dyDescent="0.3">
      <c r="A23" s="409" t="s">
        <v>210</v>
      </c>
      <c r="B23" s="409"/>
      <c r="C23" s="409"/>
      <c r="D23" s="409"/>
      <c r="E23" s="117"/>
      <c r="F23" s="118"/>
      <c r="G23" s="118"/>
    </row>
    <row r="24" spans="1:7" x14ac:dyDescent="0.3">
      <c r="A24" s="100">
        <f>A22+1</f>
        <v>17</v>
      </c>
      <c r="B24" s="58" t="s">
        <v>280</v>
      </c>
      <c r="C24" s="105" t="s">
        <v>181</v>
      </c>
      <c r="D24" s="108">
        <v>105</v>
      </c>
      <c r="E24" s="82">
        <v>5500</v>
      </c>
      <c r="F24" s="82">
        <f>ROUND(E24*D24,2)</f>
        <v>577500</v>
      </c>
      <c r="G24" s="82">
        <f>ROUND(F24*1.2,2)</f>
        <v>693000</v>
      </c>
    </row>
    <row r="25" spans="1:7" x14ac:dyDescent="0.3">
      <c r="A25" s="100">
        <f>A24+1</f>
        <v>18</v>
      </c>
      <c r="B25" s="58" t="s">
        <v>281</v>
      </c>
      <c r="C25" s="105" t="s">
        <v>181</v>
      </c>
      <c r="D25" s="119">
        <v>112.6</v>
      </c>
      <c r="E25" s="82">
        <v>1375</v>
      </c>
      <c r="F25" s="82">
        <f>ROUND(E25*D25,2)</f>
        <v>154825</v>
      </c>
      <c r="G25" s="82">
        <f>ROUND(F25*1.2,2)</f>
        <v>185790</v>
      </c>
    </row>
    <row r="26" spans="1:7" x14ac:dyDescent="0.3">
      <c r="A26" s="100">
        <f>A25+1</f>
        <v>19</v>
      </c>
      <c r="B26" s="58" t="s">
        <v>190</v>
      </c>
      <c r="C26" s="105" t="s">
        <v>182</v>
      </c>
      <c r="D26" s="110">
        <v>156.38999999999999</v>
      </c>
      <c r="E26" s="82">
        <v>168</v>
      </c>
      <c r="F26" s="82">
        <f>ROUND(E26*D26,2)</f>
        <v>26273.52</v>
      </c>
      <c r="G26" s="82">
        <f>ROUND(F26*1.2,2)</f>
        <v>31528.22</v>
      </c>
    </row>
    <row r="27" spans="1:7" ht="27.6" x14ac:dyDescent="0.3">
      <c r="A27" s="100">
        <f>A26+1</f>
        <v>20</v>
      </c>
      <c r="B27" s="112" t="s">
        <v>179</v>
      </c>
      <c r="C27" s="105" t="s">
        <v>182</v>
      </c>
      <c r="D27" s="110">
        <v>156.38999999999999</v>
      </c>
      <c r="E27" s="82">
        <f>ROUND(38500/1.2,2)</f>
        <v>32083.33</v>
      </c>
      <c r="F27" s="82">
        <f>ROUND(E27*D27,2)</f>
        <v>5017511.9800000004</v>
      </c>
      <c r="G27" s="82">
        <f>ROUND(F27*1.2,2)</f>
        <v>6021014.3799999999</v>
      </c>
    </row>
    <row r="28" spans="1:7" x14ac:dyDescent="0.3">
      <c r="A28" s="100">
        <f>A27+1</f>
        <v>21</v>
      </c>
      <c r="B28" s="120" t="s">
        <v>276</v>
      </c>
      <c r="C28" s="105" t="s">
        <v>178</v>
      </c>
      <c r="D28" s="79">
        <v>151</v>
      </c>
      <c r="E28" s="78">
        <f>ROUND(200/1.2,2)</f>
        <v>166.67</v>
      </c>
      <c r="F28" s="82">
        <f t="shared" ref="F28:F29" si="6">ROUND(E28*D28,2)</f>
        <v>25167.17</v>
      </c>
      <c r="G28" s="82">
        <f t="shared" ref="G28:G29" si="7">ROUND(F28*1.2,2)</f>
        <v>30200.6</v>
      </c>
    </row>
    <row r="29" spans="1:7" x14ac:dyDescent="0.3">
      <c r="A29" s="100">
        <f t="shared" ref="A29:A31" si="8">A28+1</f>
        <v>22</v>
      </c>
      <c r="B29" s="120" t="s">
        <v>277</v>
      </c>
      <c r="C29" s="105" t="s">
        <v>178</v>
      </c>
      <c r="D29" s="79">
        <v>50</v>
      </c>
      <c r="E29" s="78">
        <f>ROUND(5841/1.2,2)</f>
        <v>4867.5</v>
      </c>
      <c r="F29" s="82">
        <f t="shared" si="6"/>
        <v>243375</v>
      </c>
      <c r="G29" s="82">
        <f t="shared" si="7"/>
        <v>292050</v>
      </c>
    </row>
    <row r="30" spans="1:7" x14ac:dyDescent="0.3">
      <c r="A30" s="100">
        <f t="shared" si="8"/>
        <v>23</v>
      </c>
      <c r="B30" s="112" t="s">
        <v>282</v>
      </c>
      <c r="C30" s="105" t="s">
        <v>204</v>
      </c>
      <c r="D30" s="108">
        <v>1</v>
      </c>
      <c r="E30" s="82">
        <v>110000</v>
      </c>
      <c r="F30" s="82">
        <f>ROUND(E30*D30,2)</f>
        <v>110000</v>
      </c>
      <c r="G30" s="82">
        <f>ROUND(F30*1.2,2)</f>
        <v>132000</v>
      </c>
    </row>
    <row r="31" spans="1:7" x14ac:dyDescent="0.3">
      <c r="A31" s="100">
        <f t="shared" si="8"/>
        <v>24</v>
      </c>
      <c r="B31" s="112" t="s">
        <v>180</v>
      </c>
      <c r="C31" s="105" t="s">
        <v>207</v>
      </c>
      <c r="D31" s="108">
        <v>1</v>
      </c>
      <c r="E31" s="82">
        <f>ROUND(154000/1.2,2)</f>
        <v>128333.33</v>
      </c>
      <c r="F31" s="82">
        <f>ROUND(E31*D31,2)</f>
        <v>128333.33</v>
      </c>
      <c r="G31" s="82">
        <f>ROUND(F31*1.2,2)</f>
        <v>154000</v>
      </c>
    </row>
    <row r="32" spans="1:7" x14ac:dyDescent="0.3">
      <c r="A32" s="409" t="s">
        <v>211</v>
      </c>
      <c r="B32" s="409"/>
      <c r="C32" s="409"/>
      <c r="D32" s="409"/>
      <c r="E32" s="117"/>
      <c r="F32" s="118"/>
      <c r="G32" s="118"/>
    </row>
    <row r="33" spans="1:7" x14ac:dyDescent="0.3">
      <c r="A33" s="100">
        <f>A31+1</f>
        <v>25</v>
      </c>
      <c r="B33" s="58" t="s">
        <v>280</v>
      </c>
      <c r="C33" s="105" t="s">
        <v>181</v>
      </c>
      <c r="D33" s="108">
        <v>65</v>
      </c>
      <c r="E33" s="82">
        <v>5500</v>
      </c>
      <c r="F33" s="82">
        <f>ROUND(E33*D33,2)</f>
        <v>357500</v>
      </c>
      <c r="G33" s="82">
        <f>ROUND(F33*1.2,2)</f>
        <v>429000</v>
      </c>
    </row>
    <row r="34" spans="1:7" x14ac:dyDescent="0.3">
      <c r="A34" s="100">
        <f>A33+1</f>
        <v>26</v>
      </c>
      <c r="B34" s="58" t="s">
        <v>281</v>
      </c>
      <c r="C34" s="105" t="s">
        <v>181</v>
      </c>
      <c r="D34" s="119">
        <v>70</v>
      </c>
      <c r="E34" s="82">
        <v>1375</v>
      </c>
      <c r="F34" s="82">
        <f>ROUND(E34*D34,2)</f>
        <v>96250</v>
      </c>
      <c r="G34" s="82">
        <f>ROUND(F34*1.2,2)</f>
        <v>115500</v>
      </c>
    </row>
    <row r="35" spans="1:7" x14ac:dyDescent="0.3">
      <c r="A35" s="100">
        <f>A34+1</f>
        <v>27</v>
      </c>
      <c r="B35" s="58" t="s">
        <v>190</v>
      </c>
      <c r="C35" s="105" t="s">
        <v>182</v>
      </c>
      <c r="D35" s="119">
        <v>97.2</v>
      </c>
      <c r="E35" s="82">
        <v>168</v>
      </c>
      <c r="F35" s="82">
        <f>ROUND(E35*D35,2)</f>
        <v>16329.6</v>
      </c>
      <c r="G35" s="82">
        <f>ROUND(F35*1.2,2)</f>
        <v>19595.52</v>
      </c>
    </row>
    <row r="36" spans="1:7" ht="27.6" x14ac:dyDescent="0.3">
      <c r="A36" s="100">
        <f>A35+1</f>
        <v>28</v>
      </c>
      <c r="B36" s="112" t="s">
        <v>179</v>
      </c>
      <c r="C36" s="105" t="s">
        <v>182</v>
      </c>
      <c r="D36" s="110">
        <v>97.2</v>
      </c>
      <c r="E36" s="82">
        <f>ROUND(38500/1.2,2)</f>
        <v>32083.33</v>
      </c>
      <c r="F36" s="82">
        <f>ROUND(E36*D36,2)</f>
        <v>3118499.68</v>
      </c>
      <c r="G36" s="82">
        <f>ROUND(F36*1.2,2)</f>
        <v>3742199.62</v>
      </c>
    </row>
    <row r="37" spans="1:7" x14ac:dyDescent="0.3">
      <c r="A37" s="100">
        <f>A36+1</f>
        <v>29</v>
      </c>
      <c r="B37" s="120" t="s">
        <v>276</v>
      </c>
      <c r="C37" s="105" t="s">
        <v>178</v>
      </c>
      <c r="D37" s="108">
        <v>95</v>
      </c>
      <c r="E37" s="78">
        <f>ROUND(200/1.2,2)</f>
        <v>166.67</v>
      </c>
      <c r="F37" s="82">
        <f t="shared" ref="F37:F38" si="9">ROUND(E37*D37,2)</f>
        <v>15833.65</v>
      </c>
      <c r="G37" s="82">
        <f t="shared" ref="G37:G38" si="10">ROUND(F37*1.2,2)</f>
        <v>19000.38</v>
      </c>
    </row>
    <row r="38" spans="1:7" x14ac:dyDescent="0.3">
      <c r="A38" s="100">
        <f t="shared" ref="A38:A40" si="11">A37+1</f>
        <v>30</v>
      </c>
      <c r="B38" s="120" t="s">
        <v>277</v>
      </c>
      <c r="C38" s="105" t="s">
        <v>178</v>
      </c>
      <c r="D38" s="108">
        <v>32</v>
      </c>
      <c r="E38" s="78">
        <f>ROUND(5841/1.2,2)</f>
        <v>4867.5</v>
      </c>
      <c r="F38" s="82">
        <f t="shared" si="9"/>
        <v>155760</v>
      </c>
      <c r="G38" s="82">
        <f t="shared" si="10"/>
        <v>186912</v>
      </c>
    </row>
    <row r="39" spans="1:7" x14ac:dyDescent="0.3">
      <c r="A39" s="100">
        <f t="shared" si="11"/>
        <v>31</v>
      </c>
      <c r="B39" s="112" t="s">
        <v>282</v>
      </c>
      <c r="C39" s="105" t="s">
        <v>204</v>
      </c>
      <c r="D39" s="108">
        <v>1</v>
      </c>
      <c r="E39" s="82">
        <v>110000</v>
      </c>
      <c r="F39" s="82">
        <f>ROUND(E39*D39,2)</f>
        <v>110000</v>
      </c>
      <c r="G39" s="82">
        <f>ROUND(F39*1.2,2)</f>
        <v>132000</v>
      </c>
    </row>
    <row r="40" spans="1:7" x14ac:dyDescent="0.3">
      <c r="A40" s="100">
        <f t="shared" si="11"/>
        <v>32</v>
      </c>
      <c r="B40" s="112" t="s">
        <v>180</v>
      </c>
      <c r="C40" s="105" t="s">
        <v>207</v>
      </c>
      <c r="D40" s="108">
        <v>1</v>
      </c>
      <c r="E40" s="82">
        <f>ROUND(154000/1.2,2)</f>
        <v>128333.33</v>
      </c>
      <c r="F40" s="82">
        <f>ROUND(E40*D40,2)</f>
        <v>128333.33</v>
      </c>
      <c r="G40" s="82">
        <f>ROUND(F40*1.2,2)</f>
        <v>154000</v>
      </c>
    </row>
    <row r="41" spans="1:7" s="1" customFormat="1" ht="18.75" customHeight="1" x14ac:dyDescent="0.3">
      <c r="A41" s="80"/>
      <c r="B41" s="417" t="s">
        <v>284</v>
      </c>
      <c r="C41" s="418"/>
      <c r="D41" s="418"/>
      <c r="E41" s="419"/>
      <c r="F41" s="92">
        <f>SUM(F6:F40)</f>
        <v>28464147.179999996</v>
      </c>
      <c r="G41" s="92">
        <f>ROUND(F41*1.2,2)</f>
        <v>34156976.619999997</v>
      </c>
    </row>
    <row r="44" spans="1:7" x14ac:dyDescent="0.3">
      <c r="G44" s="25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7" customWidth="1"/>
    <col min="8" max="8" width="26.5546875" style="28" customWidth="1"/>
    <col min="9" max="9" width="15.33203125" bestFit="1" customWidth="1"/>
  </cols>
  <sheetData>
    <row r="1" spans="1:8" ht="28.8" x14ac:dyDescent="0.3">
      <c r="A1" s="11" t="s">
        <v>0</v>
      </c>
      <c r="B1" s="11" t="s">
        <v>3</v>
      </c>
      <c r="C1" s="11" t="s">
        <v>2</v>
      </c>
      <c r="D1" s="11" t="s">
        <v>20</v>
      </c>
      <c r="E1" s="11" t="s">
        <v>1</v>
      </c>
      <c r="F1" s="11" t="s">
        <v>4</v>
      </c>
      <c r="G1" s="13" t="s">
        <v>143</v>
      </c>
      <c r="H1" s="11" t="s">
        <v>167</v>
      </c>
    </row>
    <row r="2" spans="1:8" s="1" customFormat="1" ht="18" x14ac:dyDescent="0.35">
      <c r="A2" s="344" t="s">
        <v>5</v>
      </c>
      <c r="B2" s="345"/>
      <c r="C2" s="8"/>
      <c r="D2" s="8"/>
      <c r="E2" s="8"/>
      <c r="F2" s="8"/>
      <c r="G2" s="15"/>
      <c r="H2" s="15"/>
    </row>
    <row r="3" spans="1:8" x14ac:dyDescent="0.3">
      <c r="A3" s="3" t="s">
        <v>6</v>
      </c>
      <c r="B3" s="3" t="s">
        <v>7</v>
      </c>
      <c r="C3" s="2"/>
      <c r="D3" s="2"/>
      <c r="E3" s="2"/>
      <c r="F3" s="2"/>
      <c r="G3" s="12"/>
      <c r="H3" s="18"/>
    </row>
    <row r="4" spans="1:8" x14ac:dyDescent="0.3">
      <c r="A4" s="2" t="s">
        <v>8</v>
      </c>
      <c r="B4" s="2" t="s">
        <v>136</v>
      </c>
      <c r="C4" s="2"/>
      <c r="D4" s="2"/>
      <c r="E4" s="2"/>
      <c r="F4" s="2"/>
      <c r="G4" s="12"/>
      <c r="H4" s="18"/>
    </row>
    <row r="5" spans="1:8" s="33" customFormat="1" x14ac:dyDescent="0.3">
      <c r="A5" s="30" t="s">
        <v>10</v>
      </c>
      <c r="B5" s="30" t="s">
        <v>134</v>
      </c>
      <c r="C5" s="30"/>
      <c r="D5" s="30"/>
      <c r="E5" s="30" t="s">
        <v>171</v>
      </c>
      <c r="F5" s="30" t="s">
        <v>172</v>
      </c>
      <c r="G5" s="31"/>
      <c r="H5" s="32"/>
    </row>
    <row r="6" spans="1:8" s="33" customFormat="1" x14ac:dyDescent="0.3">
      <c r="A6" s="30" t="s">
        <v>22</v>
      </c>
      <c r="B6" s="30" t="s">
        <v>135</v>
      </c>
      <c r="C6" s="30"/>
      <c r="D6" s="30"/>
      <c r="E6" s="30" t="s">
        <v>171</v>
      </c>
      <c r="F6" s="30" t="s">
        <v>172</v>
      </c>
      <c r="G6" s="31"/>
      <c r="H6" s="32"/>
    </row>
    <row r="7" spans="1:8" x14ac:dyDescent="0.3">
      <c r="A7" s="2" t="s">
        <v>23</v>
      </c>
      <c r="B7" s="2" t="s">
        <v>131</v>
      </c>
      <c r="C7" s="2"/>
      <c r="D7" s="2"/>
      <c r="E7" s="2"/>
      <c r="F7" s="2"/>
      <c r="G7" s="12"/>
      <c r="H7" s="18"/>
    </row>
    <row r="8" spans="1:8" x14ac:dyDescent="0.3">
      <c r="A8" s="2" t="s">
        <v>132</v>
      </c>
      <c r="B8" s="2" t="s">
        <v>133</v>
      </c>
      <c r="C8" s="2"/>
      <c r="D8" s="2"/>
      <c r="E8" s="2"/>
      <c r="F8" s="2"/>
      <c r="G8" s="12"/>
      <c r="H8" s="18"/>
    </row>
    <row r="9" spans="1:8" x14ac:dyDescent="0.3">
      <c r="A9" s="2" t="s">
        <v>24</v>
      </c>
      <c r="B9" s="2" t="s">
        <v>11</v>
      </c>
      <c r="C9" s="2"/>
      <c r="D9" s="2"/>
      <c r="E9" s="2"/>
      <c r="F9" s="2"/>
      <c r="G9" s="12"/>
      <c r="H9" s="18"/>
    </row>
    <row r="10" spans="1:8" x14ac:dyDescent="0.3">
      <c r="A10" s="2" t="s">
        <v>25</v>
      </c>
      <c r="B10" s="2" t="s">
        <v>12</v>
      </c>
      <c r="C10" s="2"/>
      <c r="D10" s="2"/>
      <c r="E10" s="2"/>
      <c r="F10" s="2"/>
      <c r="G10" s="12"/>
      <c r="H10" s="18"/>
    </row>
    <row r="11" spans="1:8" x14ac:dyDescent="0.3">
      <c r="A11" s="2" t="s">
        <v>26</v>
      </c>
      <c r="B11" s="2" t="s">
        <v>13</v>
      </c>
      <c r="C11" s="2"/>
      <c r="D11" s="2"/>
      <c r="E11" s="2"/>
      <c r="F11" s="2"/>
      <c r="G11" s="12"/>
      <c r="H11" s="18"/>
    </row>
    <row r="12" spans="1:8" s="33" customFormat="1" x14ac:dyDescent="0.3">
      <c r="A12" s="30" t="s">
        <v>27</v>
      </c>
      <c r="B12" s="30" t="s">
        <v>137</v>
      </c>
      <c r="C12" s="30"/>
      <c r="D12" s="30"/>
      <c r="E12" s="30"/>
      <c r="F12" s="30"/>
      <c r="G12" s="31"/>
      <c r="H12" s="32"/>
    </row>
    <row r="13" spans="1:8" s="33" customFormat="1" x14ac:dyDescent="0.3">
      <c r="A13" s="30" t="s">
        <v>28</v>
      </c>
      <c r="B13" s="30" t="s">
        <v>14</v>
      </c>
      <c r="C13" s="30" t="s">
        <v>15</v>
      </c>
      <c r="D13" s="30"/>
      <c r="E13" s="30"/>
      <c r="F13" s="30"/>
      <c r="G13" s="31"/>
      <c r="H13" s="32"/>
    </row>
    <row r="14" spans="1:8" x14ac:dyDescent="0.3">
      <c r="A14" s="2" t="s">
        <v>29</v>
      </c>
      <c r="B14" s="2" t="s">
        <v>16</v>
      </c>
      <c r="C14" s="2" t="s">
        <v>17</v>
      </c>
      <c r="D14" s="2"/>
      <c r="E14" s="2"/>
      <c r="F14" s="2"/>
      <c r="G14" s="12"/>
      <c r="H14" s="18"/>
    </row>
    <row r="15" spans="1:8" x14ac:dyDescent="0.3">
      <c r="A15" s="2" t="s">
        <v>30</v>
      </c>
      <c r="B15" s="2" t="s">
        <v>18</v>
      </c>
      <c r="C15" s="2" t="s">
        <v>130</v>
      </c>
      <c r="D15" s="2"/>
      <c r="E15" s="2"/>
      <c r="F15" s="2"/>
      <c r="G15" s="12"/>
      <c r="H15" s="18"/>
    </row>
    <row r="16" spans="1:8" s="33" customFormat="1" x14ac:dyDescent="0.3">
      <c r="A16" s="30" t="s">
        <v>138</v>
      </c>
      <c r="B16" s="30" t="s">
        <v>19</v>
      </c>
      <c r="C16" s="30"/>
      <c r="D16" s="30" t="s">
        <v>21</v>
      </c>
      <c r="E16" s="30"/>
      <c r="F16" s="30" t="s">
        <v>172</v>
      </c>
      <c r="G16" s="31"/>
      <c r="H16" s="32"/>
    </row>
    <row r="17" spans="1:8" ht="72" x14ac:dyDescent="0.3">
      <c r="A17" s="34" t="s">
        <v>139</v>
      </c>
      <c r="B17" s="35" t="s">
        <v>140</v>
      </c>
      <c r="C17" s="36" t="s">
        <v>141</v>
      </c>
      <c r="D17" s="37" t="s">
        <v>142</v>
      </c>
      <c r="E17" s="37"/>
      <c r="F17" s="36" t="s">
        <v>168</v>
      </c>
      <c r="G17" s="38">
        <f>H17/1.35</f>
        <v>3343784</v>
      </c>
      <c r="H17" s="39">
        <f>1677527.55+2836580.85</f>
        <v>4514108.4000000004</v>
      </c>
    </row>
    <row r="18" spans="1:8" s="1" customFormat="1" x14ac:dyDescent="0.3">
      <c r="A18" s="3" t="s">
        <v>31</v>
      </c>
      <c r="B18" s="3" t="s">
        <v>32</v>
      </c>
      <c r="C18" s="3"/>
      <c r="D18" s="3"/>
      <c r="E18" s="3"/>
      <c r="F18" s="3"/>
      <c r="G18" s="16"/>
      <c r="H18" s="10"/>
    </row>
    <row r="19" spans="1:8" ht="28.8" x14ac:dyDescent="0.3">
      <c r="A19" s="2" t="s">
        <v>35</v>
      </c>
      <c r="B19" s="4" t="s">
        <v>33</v>
      </c>
      <c r="C19" s="2" t="s">
        <v>34</v>
      </c>
      <c r="D19" s="2"/>
      <c r="E19" s="2"/>
      <c r="F19" s="2"/>
      <c r="G19" s="12"/>
      <c r="H19" s="18"/>
    </row>
    <row r="20" spans="1:8" x14ac:dyDescent="0.3">
      <c r="A20" s="2" t="s">
        <v>36</v>
      </c>
      <c r="B20" s="2" t="s">
        <v>37</v>
      </c>
      <c r="C20" s="2"/>
      <c r="D20" s="2"/>
      <c r="E20" s="2"/>
      <c r="F20" s="2"/>
      <c r="G20" s="12"/>
      <c r="H20" s="18"/>
    </row>
    <row r="21" spans="1:8" x14ac:dyDescent="0.3">
      <c r="A21" s="2" t="s">
        <v>43</v>
      </c>
      <c r="B21" s="2" t="s">
        <v>38</v>
      </c>
      <c r="C21" s="2"/>
      <c r="D21" s="2"/>
      <c r="E21" s="2"/>
      <c r="F21" s="2"/>
      <c r="G21" s="12"/>
      <c r="H21" s="18"/>
    </row>
    <row r="22" spans="1:8" x14ac:dyDescent="0.3">
      <c r="A22" s="2" t="s">
        <v>44</v>
      </c>
      <c r="B22" s="5" t="s">
        <v>39</v>
      </c>
      <c r="C22" s="2"/>
      <c r="D22" s="2"/>
      <c r="E22" s="2"/>
      <c r="F22" s="2"/>
      <c r="G22" s="12"/>
      <c r="H22" s="18"/>
    </row>
    <row r="23" spans="1:8" ht="28.8" x14ac:dyDescent="0.3">
      <c r="A23" s="30" t="s">
        <v>45</v>
      </c>
      <c r="B23" s="40" t="s">
        <v>40</v>
      </c>
      <c r="C23" s="30"/>
      <c r="D23" s="30"/>
      <c r="E23" s="30"/>
      <c r="F23" s="30" t="s">
        <v>173</v>
      </c>
      <c r="G23" s="31"/>
      <c r="H23" s="32"/>
    </row>
    <row r="24" spans="1:8" s="33" customFormat="1" x14ac:dyDescent="0.3">
      <c r="A24" s="30" t="s">
        <v>46</v>
      </c>
      <c r="B24" s="30" t="s">
        <v>41</v>
      </c>
      <c r="C24" s="30"/>
      <c r="D24" s="30"/>
      <c r="E24" s="30"/>
      <c r="F24" s="30" t="s">
        <v>173</v>
      </c>
      <c r="G24" s="31"/>
      <c r="H24" s="32"/>
    </row>
    <row r="25" spans="1:8" s="33" customFormat="1" x14ac:dyDescent="0.3">
      <c r="A25" s="30" t="s">
        <v>47</v>
      </c>
      <c r="B25" s="30" t="s">
        <v>42</v>
      </c>
      <c r="C25" s="30"/>
      <c r="D25" s="30"/>
      <c r="E25" s="30"/>
      <c r="F25" s="30" t="s">
        <v>173</v>
      </c>
      <c r="G25" s="31"/>
      <c r="H25" s="32"/>
    </row>
    <row r="26" spans="1:8" x14ac:dyDescent="0.3">
      <c r="A26" s="41" t="s">
        <v>48</v>
      </c>
      <c r="B26" s="41" t="s">
        <v>49</v>
      </c>
      <c r="C26" s="41"/>
      <c r="D26" s="41"/>
      <c r="E26" s="41"/>
      <c r="F26" s="41" t="s">
        <v>50</v>
      </c>
      <c r="G26" s="42"/>
      <c r="H26" s="43"/>
    </row>
    <row r="27" spans="1:8" x14ac:dyDescent="0.3">
      <c r="A27" s="3" t="s">
        <v>52</v>
      </c>
      <c r="B27" s="3" t="s">
        <v>51</v>
      </c>
      <c r="C27" s="2"/>
      <c r="D27" s="2"/>
      <c r="E27" s="2"/>
      <c r="F27" s="2"/>
      <c r="G27" s="12"/>
      <c r="H27" s="18"/>
    </row>
    <row r="28" spans="1:8" ht="28.8" x14ac:dyDescent="0.3">
      <c r="A28" s="30" t="s">
        <v>57</v>
      </c>
      <c r="B28" s="45" t="s">
        <v>56</v>
      </c>
      <c r="C28" s="30"/>
      <c r="D28" s="30"/>
      <c r="E28" s="30"/>
      <c r="F28" s="30" t="s">
        <v>174</v>
      </c>
      <c r="G28" s="31"/>
      <c r="H28" s="32"/>
    </row>
    <row r="29" spans="1:8" x14ac:dyDescent="0.3">
      <c r="A29" s="46" t="s">
        <v>58</v>
      </c>
      <c r="B29" s="47" t="s">
        <v>53</v>
      </c>
      <c r="C29" s="46"/>
      <c r="D29" s="46"/>
      <c r="E29" s="46"/>
      <c r="F29" s="46"/>
      <c r="G29" s="48"/>
      <c r="H29" s="49"/>
    </row>
    <row r="30" spans="1:8" x14ac:dyDescent="0.3">
      <c r="A30" s="30" t="s">
        <v>59</v>
      </c>
      <c r="B30" s="45" t="s">
        <v>54</v>
      </c>
      <c r="C30" s="30"/>
      <c r="D30" s="30"/>
      <c r="E30" s="30"/>
      <c r="F30" s="30" t="s">
        <v>174</v>
      </c>
      <c r="G30" s="31"/>
      <c r="H30" s="32"/>
    </row>
    <row r="31" spans="1:8" ht="28.8" x14ac:dyDescent="0.3">
      <c r="A31" s="46" t="s">
        <v>60</v>
      </c>
      <c r="B31" s="47" t="s">
        <v>55</v>
      </c>
      <c r="C31" s="46"/>
      <c r="D31" s="46"/>
      <c r="E31" s="46"/>
      <c r="F31" s="46"/>
      <c r="G31" s="48"/>
      <c r="H31" s="49"/>
    </row>
    <row r="32" spans="1:8" x14ac:dyDescent="0.3">
      <c r="A32" s="3" t="s">
        <v>65</v>
      </c>
      <c r="B32" s="7" t="s">
        <v>64</v>
      </c>
      <c r="C32" s="2"/>
      <c r="D32" s="2"/>
      <c r="E32" s="2"/>
      <c r="F32" s="2"/>
      <c r="G32" s="12"/>
      <c r="H32" s="18"/>
    </row>
    <row r="33" spans="1:10" ht="57.6" x14ac:dyDescent="0.3">
      <c r="A33" s="37" t="s">
        <v>66</v>
      </c>
      <c r="B33" s="44" t="s">
        <v>71</v>
      </c>
      <c r="C33" s="37" t="s">
        <v>70</v>
      </c>
      <c r="D33" s="37" t="s">
        <v>72</v>
      </c>
      <c r="E33" s="37" t="s">
        <v>73</v>
      </c>
      <c r="F33" s="36" t="s">
        <v>165</v>
      </c>
      <c r="G33" s="347">
        <f>H33/2</f>
        <v>7942400</v>
      </c>
      <c r="H33" s="347">
        <f>7942400*2</f>
        <v>15884800</v>
      </c>
      <c r="I33" s="29"/>
      <c r="J33" s="25"/>
    </row>
    <row r="34" spans="1:10" ht="43.2" x14ac:dyDescent="0.3">
      <c r="A34" s="37" t="s">
        <v>67</v>
      </c>
      <c r="B34" s="44" t="s">
        <v>61</v>
      </c>
      <c r="C34" s="37"/>
      <c r="D34" s="37" t="s">
        <v>72</v>
      </c>
      <c r="E34" s="37" t="s">
        <v>73</v>
      </c>
      <c r="F34" s="36" t="s">
        <v>166</v>
      </c>
      <c r="G34" s="348"/>
      <c r="H34" s="348"/>
    </row>
    <row r="35" spans="1:10" x14ac:dyDescent="0.3">
      <c r="A35" s="2" t="s">
        <v>68</v>
      </c>
      <c r="B35" s="6" t="s">
        <v>62</v>
      </c>
      <c r="C35" s="2"/>
      <c r="D35" s="2"/>
      <c r="E35" s="2"/>
      <c r="F35" s="2"/>
      <c r="G35" s="12"/>
      <c r="H35" s="18"/>
    </row>
    <row r="36" spans="1:10" x14ac:dyDescent="0.3">
      <c r="A36" s="2" t="s">
        <v>69</v>
      </c>
      <c r="B36" s="4" t="s">
        <v>63</v>
      </c>
      <c r="C36" s="2"/>
      <c r="D36" s="2"/>
      <c r="E36" s="2"/>
      <c r="F36" s="2"/>
      <c r="G36" s="12"/>
      <c r="H36" s="18"/>
    </row>
    <row r="37" spans="1:10" x14ac:dyDescent="0.3">
      <c r="A37" s="3" t="s">
        <v>78</v>
      </c>
      <c r="B37" s="7" t="s">
        <v>77</v>
      </c>
      <c r="C37" s="2"/>
      <c r="D37" s="2"/>
      <c r="E37" s="2"/>
      <c r="F37" s="2"/>
      <c r="G37" s="12"/>
      <c r="H37" s="18"/>
    </row>
    <row r="38" spans="1:10" x14ac:dyDescent="0.3">
      <c r="A38" s="2" t="s">
        <v>79</v>
      </c>
      <c r="B38" s="5" t="s">
        <v>74</v>
      </c>
      <c r="C38" s="2"/>
      <c r="D38" s="2"/>
      <c r="E38" s="2"/>
      <c r="F38" s="2"/>
      <c r="G38" s="12"/>
      <c r="H38" s="18"/>
    </row>
    <row r="39" spans="1:10" x14ac:dyDescent="0.3">
      <c r="A39" s="2" t="s">
        <v>80</v>
      </c>
      <c r="B39" s="5" t="s">
        <v>75</v>
      </c>
      <c r="C39" s="2"/>
      <c r="D39" s="2"/>
      <c r="E39" s="2"/>
      <c r="F39" s="2"/>
      <c r="G39" s="12"/>
      <c r="H39" s="18"/>
    </row>
    <row r="40" spans="1:10" x14ac:dyDescent="0.3">
      <c r="A40" s="2" t="s">
        <v>81</v>
      </c>
      <c r="B40" s="5" t="s">
        <v>76</v>
      </c>
      <c r="C40" s="2"/>
      <c r="D40" s="2"/>
      <c r="E40" s="2"/>
      <c r="F40" s="2"/>
      <c r="G40" s="12"/>
      <c r="H40" s="18"/>
    </row>
    <row r="41" spans="1:10" x14ac:dyDescent="0.3">
      <c r="A41" s="2" t="s">
        <v>99</v>
      </c>
      <c r="B41" s="7" t="s">
        <v>96</v>
      </c>
      <c r="C41" s="2"/>
      <c r="D41" s="2"/>
      <c r="E41" s="2"/>
      <c r="F41" s="2"/>
      <c r="G41" s="12"/>
      <c r="H41" s="18"/>
    </row>
    <row r="42" spans="1:10" x14ac:dyDescent="0.3">
      <c r="A42" s="2" t="s">
        <v>102</v>
      </c>
      <c r="B42" s="5" t="s">
        <v>82</v>
      </c>
      <c r="C42" s="2"/>
      <c r="D42" s="2"/>
      <c r="E42" s="2"/>
      <c r="F42" s="2"/>
      <c r="G42" s="12"/>
      <c r="H42" s="18"/>
    </row>
    <row r="43" spans="1:10" x14ac:dyDescent="0.3">
      <c r="A43" s="2" t="s">
        <v>103</v>
      </c>
      <c r="B43" s="5" t="s">
        <v>83</v>
      </c>
      <c r="C43" s="2"/>
      <c r="D43" s="2"/>
      <c r="E43" s="2"/>
      <c r="F43" s="2"/>
      <c r="G43" s="12"/>
      <c r="H43" s="18"/>
    </row>
    <row r="44" spans="1:10" x14ac:dyDescent="0.3">
      <c r="A44" s="2" t="s">
        <v>100</v>
      </c>
      <c r="B44" s="7" t="s">
        <v>97</v>
      </c>
      <c r="C44" s="2"/>
      <c r="D44" s="2"/>
      <c r="E44" s="2"/>
      <c r="F44" s="2"/>
      <c r="G44" s="12"/>
      <c r="H44" s="18"/>
    </row>
    <row r="45" spans="1:10" x14ac:dyDescent="0.3">
      <c r="A45" s="2" t="s">
        <v>104</v>
      </c>
      <c r="B45" s="5" t="s">
        <v>84</v>
      </c>
      <c r="C45" s="2"/>
      <c r="D45" s="2"/>
      <c r="E45" s="2"/>
      <c r="F45" s="2"/>
      <c r="G45" s="12"/>
      <c r="H45" s="18"/>
    </row>
    <row r="46" spans="1:10" x14ac:dyDescent="0.3">
      <c r="A46" s="2" t="s">
        <v>105</v>
      </c>
      <c r="B46" s="5" t="s">
        <v>85</v>
      </c>
      <c r="C46" s="2"/>
      <c r="D46" s="2"/>
      <c r="E46" s="2"/>
      <c r="F46" s="2"/>
      <c r="G46" s="12"/>
      <c r="H46" s="18"/>
    </row>
    <row r="47" spans="1:10" x14ac:dyDescent="0.3">
      <c r="A47" s="2" t="s">
        <v>106</v>
      </c>
      <c r="B47" s="5" t="s">
        <v>86</v>
      </c>
      <c r="C47" s="2"/>
      <c r="D47" s="2"/>
      <c r="E47" s="2"/>
      <c r="F47" s="2"/>
      <c r="G47" s="12"/>
      <c r="H47" s="18"/>
    </row>
    <row r="48" spans="1:10" x14ac:dyDescent="0.3">
      <c r="A48" s="2" t="s">
        <v>107</v>
      </c>
      <c r="B48" s="5" t="s">
        <v>87</v>
      </c>
      <c r="C48" s="2"/>
      <c r="D48" s="2"/>
      <c r="E48" s="2"/>
      <c r="F48" s="2"/>
      <c r="G48" s="12"/>
      <c r="H48" s="18"/>
    </row>
    <row r="49" spans="1:9" x14ac:dyDescent="0.3">
      <c r="A49" s="2" t="s">
        <v>108</v>
      </c>
      <c r="B49" s="5" t="s">
        <v>88</v>
      </c>
      <c r="C49" s="2"/>
      <c r="D49" s="2"/>
      <c r="E49" s="2"/>
      <c r="F49" s="2"/>
      <c r="G49" s="12"/>
      <c r="H49" s="18"/>
    </row>
    <row r="50" spans="1:9" x14ac:dyDescent="0.3">
      <c r="A50" s="2" t="s">
        <v>109</v>
      </c>
      <c r="B50" s="5" t="s">
        <v>89</v>
      </c>
      <c r="C50" s="2"/>
      <c r="D50" s="2"/>
      <c r="E50" s="2"/>
      <c r="F50" s="2"/>
      <c r="G50" s="12"/>
      <c r="H50" s="18"/>
    </row>
    <row r="51" spans="1:9" x14ac:dyDescent="0.3">
      <c r="A51" s="2" t="s">
        <v>110</v>
      </c>
      <c r="B51" s="5" t="s">
        <v>76</v>
      </c>
      <c r="C51" s="2"/>
      <c r="D51" s="2"/>
      <c r="E51" s="2"/>
      <c r="F51" s="2"/>
      <c r="G51" s="12"/>
      <c r="H51" s="18"/>
    </row>
    <row r="52" spans="1:9" x14ac:dyDescent="0.3">
      <c r="A52" s="2" t="s">
        <v>111</v>
      </c>
      <c r="B52" s="5" t="s">
        <v>90</v>
      </c>
      <c r="C52" s="2"/>
      <c r="D52" s="2"/>
      <c r="E52" s="2"/>
      <c r="F52" s="2"/>
      <c r="G52" s="12"/>
      <c r="H52" s="18"/>
    </row>
    <row r="53" spans="1:9" x14ac:dyDescent="0.3">
      <c r="A53" s="2" t="s">
        <v>112</v>
      </c>
      <c r="B53" s="5" t="s">
        <v>91</v>
      </c>
      <c r="C53" s="2"/>
      <c r="D53" s="2"/>
      <c r="E53" s="2"/>
      <c r="F53" s="2"/>
      <c r="G53" s="12"/>
      <c r="H53" s="18"/>
    </row>
    <row r="54" spans="1:9" x14ac:dyDescent="0.3">
      <c r="A54" s="2" t="s">
        <v>113</v>
      </c>
      <c r="B54" s="5" t="s">
        <v>92</v>
      </c>
      <c r="C54" s="2"/>
      <c r="D54" s="2"/>
      <c r="E54" s="2"/>
      <c r="F54" s="2"/>
      <c r="G54" s="12"/>
      <c r="H54" s="18"/>
    </row>
    <row r="55" spans="1:9" x14ac:dyDescent="0.3">
      <c r="A55" s="2" t="s">
        <v>101</v>
      </c>
      <c r="B55" s="7" t="s">
        <v>98</v>
      </c>
      <c r="C55" s="2"/>
      <c r="D55" s="2"/>
      <c r="E55" s="2"/>
      <c r="F55" s="2"/>
      <c r="G55" s="12"/>
      <c r="H55" s="18"/>
    </row>
    <row r="56" spans="1:9" x14ac:dyDescent="0.3">
      <c r="A56" s="2" t="s">
        <v>114</v>
      </c>
      <c r="B56" s="5" t="s">
        <v>93</v>
      </c>
      <c r="C56" s="2"/>
      <c r="D56" s="2"/>
      <c r="E56" s="2"/>
      <c r="F56" s="2"/>
      <c r="G56" s="12"/>
      <c r="H56" s="18"/>
    </row>
    <row r="57" spans="1:9" x14ac:dyDescent="0.3">
      <c r="A57" s="2" t="s">
        <v>115</v>
      </c>
      <c r="B57" s="5" t="s">
        <v>94</v>
      </c>
      <c r="C57" s="2"/>
      <c r="D57" s="2"/>
      <c r="E57" s="2"/>
      <c r="F57" s="2"/>
      <c r="G57" s="12"/>
      <c r="H57" s="18"/>
    </row>
    <row r="58" spans="1:9" x14ac:dyDescent="0.3">
      <c r="A58" s="2" t="s">
        <v>116</v>
      </c>
      <c r="B58" s="2" t="s">
        <v>95</v>
      </c>
      <c r="C58" s="2"/>
      <c r="D58" s="2"/>
      <c r="E58" s="2"/>
      <c r="F58" s="2"/>
      <c r="G58" s="12"/>
      <c r="H58" s="18"/>
    </row>
    <row r="59" spans="1:9" ht="18" x14ac:dyDescent="0.3">
      <c r="A59" s="346" t="s">
        <v>117</v>
      </c>
      <c r="B59" s="346"/>
      <c r="C59" s="9"/>
      <c r="D59" s="9" t="s">
        <v>178</v>
      </c>
      <c r="E59" s="9"/>
      <c r="F59" s="9"/>
      <c r="G59" s="9"/>
      <c r="H59" s="18"/>
    </row>
    <row r="60" spans="1:9" s="1" customFormat="1" ht="57.6" x14ac:dyDescent="0.3">
      <c r="A60" s="10">
        <v>1</v>
      </c>
      <c r="B60" s="50" t="s">
        <v>118</v>
      </c>
      <c r="C60" s="7" t="s">
        <v>176</v>
      </c>
      <c r="D60" s="7">
        <v>1929</v>
      </c>
      <c r="E60" s="3"/>
      <c r="F60" s="3"/>
      <c r="G60" s="16"/>
      <c r="H60" s="10"/>
    </row>
    <row r="61" spans="1:9" ht="57.6" x14ac:dyDescent="0.3">
      <c r="A61" s="19" t="s">
        <v>8</v>
      </c>
      <c r="B61" s="20" t="s">
        <v>155</v>
      </c>
      <c r="C61" s="20" t="s">
        <v>129</v>
      </c>
      <c r="D61" s="21">
        <f>1929/12.5*2</f>
        <v>308.64</v>
      </c>
      <c r="E61" s="2" t="s">
        <v>147</v>
      </c>
      <c r="F61" s="4" t="s">
        <v>175</v>
      </c>
      <c r="G61" s="12">
        <f>250.25*137900</f>
        <v>34509475</v>
      </c>
      <c r="H61" s="26"/>
      <c r="I61" s="29"/>
    </row>
    <row r="62" spans="1:9" x14ac:dyDescent="0.3">
      <c r="A62" s="19" t="s">
        <v>10</v>
      </c>
      <c r="B62" s="20" t="s">
        <v>154</v>
      </c>
      <c r="C62" s="21" t="s">
        <v>144</v>
      </c>
      <c r="D62" s="21"/>
      <c r="E62" s="2" t="s">
        <v>147</v>
      </c>
      <c r="F62" s="2" t="s">
        <v>146</v>
      </c>
      <c r="G62" s="12">
        <f>2890*2228</f>
        <v>6438920</v>
      </c>
      <c r="H62" s="26"/>
    </row>
    <row r="63" spans="1:9" ht="28.8" x14ac:dyDescent="0.3">
      <c r="A63" s="19" t="s">
        <v>22</v>
      </c>
      <c r="B63" s="20" t="s">
        <v>153</v>
      </c>
      <c r="C63" s="21" t="s">
        <v>128</v>
      </c>
      <c r="D63" s="21"/>
      <c r="E63" s="2" t="s">
        <v>147</v>
      </c>
      <c r="F63" s="4" t="s">
        <v>149</v>
      </c>
      <c r="G63" s="12"/>
      <c r="H63" s="26"/>
    </row>
    <row r="64" spans="1:9" ht="28.8" x14ac:dyDescent="0.3">
      <c r="A64" s="19" t="s">
        <v>23</v>
      </c>
      <c r="B64" s="20" t="s">
        <v>152</v>
      </c>
      <c r="C64" s="21"/>
      <c r="D64" s="21"/>
      <c r="E64" s="2" t="s">
        <v>147</v>
      </c>
      <c r="F64" s="4" t="s">
        <v>148</v>
      </c>
      <c r="G64" s="12"/>
      <c r="H64" s="26"/>
    </row>
    <row r="65" spans="1:9" ht="28.8" x14ac:dyDescent="0.3">
      <c r="A65" s="19" t="s">
        <v>24</v>
      </c>
      <c r="B65" s="20" t="s">
        <v>151</v>
      </c>
      <c r="C65" s="21"/>
      <c r="D65" s="21"/>
      <c r="E65" s="2" t="s">
        <v>147</v>
      </c>
      <c r="F65" s="4" t="s">
        <v>150</v>
      </c>
      <c r="G65" s="12"/>
      <c r="H65" s="26"/>
    </row>
    <row r="66" spans="1:9" ht="28.8" x14ac:dyDescent="0.3">
      <c r="A66" s="19" t="s">
        <v>25</v>
      </c>
      <c r="B66" s="20" t="s">
        <v>157</v>
      </c>
      <c r="C66" s="21"/>
      <c r="D66" s="21"/>
      <c r="E66" s="2" t="s">
        <v>147</v>
      </c>
      <c r="F66" s="4" t="s">
        <v>156</v>
      </c>
      <c r="G66" s="12"/>
      <c r="H66" s="26"/>
    </row>
    <row r="67" spans="1:9" x14ac:dyDescent="0.3">
      <c r="A67" s="18" t="s">
        <v>26</v>
      </c>
      <c r="B67" s="6" t="s">
        <v>158</v>
      </c>
      <c r="C67" s="5"/>
      <c r="D67" s="5"/>
      <c r="E67" s="2" t="s">
        <v>147</v>
      </c>
      <c r="F67" s="2"/>
      <c r="G67" s="12"/>
      <c r="H67" s="26"/>
    </row>
    <row r="68" spans="1:9" s="1" customFormat="1" ht="57.6" x14ac:dyDescent="0.3">
      <c r="A68" s="10">
        <v>1</v>
      </c>
      <c r="B68" s="50" t="s">
        <v>118</v>
      </c>
      <c r="C68" s="7" t="s">
        <v>177</v>
      </c>
      <c r="D68" s="7">
        <v>284</v>
      </c>
      <c r="E68" s="3"/>
      <c r="F68" s="3"/>
      <c r="G68" s="16"/>
      <c r="H68" s="10"/>
    </row>
    <row r="69" spans="1:9" ht="57.6" x14ac:dyDescent="0.3">
      <c r="A69" s="19" t="s">
        <v>8</v>
      </c>
      <c r="B69" s="20" t="s">
        <v>155</v>
      </c>
      <c r="C69" s="20" t="s">
        <v>129</v>
      </c>
      <c r="D69" s="21"/>
      <c r="E69" s="2" t="s">
        <v>147</v>
      </c>
      <c r="F69" s="4" t="s">
        <v>175</v>
      </c>
      <c r="G69" s="12"/>
      <c r="H69" s="26"/>
      <c r="I69" s="29"/>
    </row>
    <row r="70" spans="1:9" x14ac:dyDescent="0.3">
      <c r="A70" s="19" t="s">
        <v>10</v>
      </c>
      <c r="B70" s="20" t="s">
        <v>154</v>
      </c>
      <c r="C70" s="21" t="s">
        <v>144</v>
      </c>
      <c r="D70" s="21"/>
      <c r="E70" s="2" t="s">
        <v>147</v>
      </c>
      <c r="F70" s="2" t="s">
        <v>146</v>
      </c>
      <c r="G70" s="12"/>
      <c r="H70" s="26"/>
    </row>
    <row r="71" spans="1:9" ht="28.8" x14ac:dyDescent="0.3">
      <c r="A71" s="19" t="s">
        <v>22</v>
      </c>
      <c r="B71" s="20" t="s">
        <v>153</v>
      </c>
      <c r="C71" s="21" t="s">
        <v>128</v>
      </c>
      <c r="D71" s="21"/>
      <c r="E71" s="2" t="s">
        <v>147</v>
      </c>
      <c r="F71" s="4" t="s">
        <v>149</v>
      </c>
      <c r="G71" s="12"/>
      <c r="H71" s="26"/>
    </row>
    <row r="72" spans="1:9" ht="28.8" x14ac:dyDescent="0.3">
      <c r="A72" s="19" t="s">
        <v>23</v>
      </c>
      <c r="B72" s="20" t="s">
        <v>152</v>
      </c>
      <c r="C72" s="21"/>
      <c r="D72" s="21"/>
      <c r="E72" s="2" t="s">
        <v>147</v>
      </c>
      <c r="F72" s="4" t="s">
        <v>148</v>
      </c>
      <c r="G72" s="12"/>
      <c r="H72" s="26"/>
    </row>
    <row r="73" spans="1:9" ht="28.8" x14ac:dyDescent="0.3">
      <c r="A73" s="19" t="s">
        <v>24</v>
      </c>
      <c r="B73" s="20" t="s">
        <v>151</v>
      </c>
      <c r="C73" s="21"/>
      <c r="D73" s="21"/>
      <c r="E73" s="2" t="s">
        <v>147</v>
      </c>
      <c r="F73" s="4" t="s">
        <v>150</v>
      </c>
      <c r="G73" s="12"/>
      <c r="H73" s="26"/>
    </row>
    <row r="74" spans="1:9" ht="28.8" x14ac:dyDescent="0.3">
      <c r="A74" s="19" t="s">
        <v>25</v>
      </c>
      <c r="B74" s="20" t="s">
        <v>157</v>
      </c>
      <c r="C74" s="21"/>
      <c r="D74" s="21"/>
      <c r="E74" s="2" t="s">
        <v>147</v>
      </c>
      <c r="F74" s="4" t="s">
        <v>156</v>
      </c>
      <c r="G74" s="12"/>
      <c r="H74" s="26"/>
    </row>
    <row r="75" spans="1:9" x14ac:dyDescent="0.3">
      <c r="A75" s="18" t="s">
        <v>26</v>
      </c>
      <c r="B75" s="6" t="s">
        <v>158</v>
      </c>
      <c r="C75" s="5"/>
      <c r="D75" s="5"/>
      <c r="E75" s="2" t="s">
        <v>147</v>
      </c>
      <c r="F75" s="2"/>
      <c r="G75" s="12"/>
      <c r="H75" s="26"/>
    </row>
    <row r="76" spans="1:9" x14ac:dyDescent="0.3">
      <c r="A76" s="18">
        <v>2</v>
      </c>
      <c r="B76" s="6" t="s">
        <v>127</v>
      </c>
      <c r="C76" s="5" t="s">
        <v>126</v>
      </c>
      <c r="D76" s="5">
        <v>1</v>
      </c>
      <c r="E76" s="2"/>
      <c r="F76" s="2"/>
      <c r="G76" s="12"/>
      <c r="H76" s="26">
        <f t="shared" ref="H76:H82" si="0">G76*1.35</f>
        <v>0</v>
      </c>
    </row>
    <row r="77" spans="1:9" ht="43.2" x14ac:dyDescent="0.3">
      <c r="A77" s="18">
        <v>3</v>
      </c>
      <c r="B77" s="6" t="s">
        <v>119</v>
      </c>
      <c r="C77" s="6" t="s">
        <v>120</v>
      </c>
      <c r="D77" s="5">
        <v>1</v>
      </c>
      <c r="E77" s="2" t="s">
        <v>147</v>
      </c>
      <c r="F77" s="2"/>
      <c r="G77" s="12">
        <f>3096000*D77</f>
        <v>3096000</v>
      </c>
      <c r="H77" s="26">
        <f t="shared" si="0"/>
        <v>4179600.0000000005</v>
      </c>
    </row>
    <row r="78" spans="1:9" ht="28.8" x14ac:dyDescent="0.3">
      <c r="A78" s="18">
        <v>4</v>
      </c>
      <c r="B78" s="6" t="s">
        <v>121</v>
      </c>
      <c r="C78" s="6" t="s">
        <v>120</v>
      </c>
      <c r="D78" s="5">
        <v>3</v>
      </c>
      <c r="E78" s="2" t="s">
        <v>147</v>
      </c>
      <c r="F78" s="2"/>
      <c r="G78" s="12">
        <f t="shared" ref="G78:G79" si="1">3096000*D78</f>
        <v>9288000</v>
      </c>
      <c r="H78" s="26">
        <f t="shared" si="0"/>
        <v>12538800</v>
      </c>
    </row>
    <row r="79" spans="1:9" ht="28.8" x14ac:dyDescent="0.3">
      <c r="A79" s="18">
        <v>5</v>
      </c>
      <c r="B79" s="6" t="s">
        <v>122</v>
      </c>
      <c r="C79" s="6" t="s">
        <v>120</v>
      </c>
      <c r="D79" s="5">
        <v>2</v>
      </c>
      <c r="E79" s="2" t="s">
        <v>147</v>
      </c>
      <c r="F79" s="2"/>
      <c r="G79" s="12">
        <f t="shared" si="1"/>
        <v>6192000</v>
      </c>
      <c r="H79" s="26">
        <f t="shared" si="0"/>
        <v>8359200.0000000009</v>
      </c>
    </row>
    <row r="80" spans="1:9" ht="28.8" x14ac:dyDescent="0.3">
      <c r="A80" s="18">
        <v>6</v>
      </c>
      <c r="B80" s="6" t="s">
        <v>121</v>
      </c>
      <c r="C80" s="6" t="s">
        <v>123</v>
      </c>
      <c r="D80" s="5">
        <v>1</v>
      </c>
      <c r="E80" s="2" t="s">
        <v>147</v>
      </c>
      <c r="F80" s="2"/>
      <c r="G80" s="12">
        <v>2470000</v>
      </c>
      <c r="H80" s="26">
        <f t="shared" si="0"/>
        <v>3334500</v>
      </c>
    </row>
    <row r="81" spans="1:8" ht="28.8" x14ac:dyDescent="0.3">
      <c r="A81" s="18">
        <v>7</v>
      </c>
      <c r="B81" s="6" t="s">
        <v>122</v>
      </c>
      <c r="C81" s="6" t="s">
        <v>123</v>
      </c>
      <c r="D81" s="5">
        <v>1</v>
      </c>
      <c r="E81" s="2" t="s">
        <v>147</v>
      </c>
      <c r="F81" s="2"/>
      <c r="G81" s="12">
        <v>2470000</v>
      </c>
      <c r="H81" s="26">
        <f t="shared" si="0"/>
        <v>3334500</v>
      </c>
    </row>
    <row r="82" spans="1:8" x14ac:dyDescent="0.3">
      <c r="A82" s="18">
        <v>8</v>
      </c>
      <c r="B82" s="6" t="s">
        <v>124</v>
      </c>
      <c r="C82" s="5" t="s">
        <v>125</v>
      </c>
      <c r="D82" s="5">
        <v>4</v>
      </c>
      <c r="E82" s="2" t="s">
        <v>147</v>
      </c>
      <c r="F82" s="2"/>
      <c r="G82" s="12">
        <f>168000*D82</f>
        <v>672000</v>
      </c>
      <c r="H82" s="26">
        <f t="shared" si="0"/>
        <v>907200.00000000012</v>
      </c>
    </row>
    <row r="83" spans="1:8" x14ac:dyDescent="0.3">
      <c r="A83" s="18">
        <v>9</v>
      </c>
      <c r="B83" s="6" t="s">
        <v>159</v>
      </c>
      <c r="C83" s="2"/>
      <c r="D83" s="2"/>
      <c r="E83" s="2"/>
      <c r="F83" s="2"/>
      <c r="G83" s="12"/>
      <c r="H83" s="18"/>
    </row>
    <row r="84" spans="1:8" x14ac:dyDescent="0.3">
      <c r="A84" s="19" t="s">
        <v>162</v>
      </c>
      <c r="B84" s="20" t="s">
        <v>160</v>
      </c>
      <c r="C84" s="22" t="s">
        <v>164</v>
      </c>
      <c r="D84" s="22"/>
      <c r="E84" s="22"/>
      <c r="F84" s="2"/>
      <c r="G84" s="12"/>
      <c r="H84" s="18"/>
    </row>
    <row r="85" spans="1:8" x14ac:dyDescent="0.3">
      <c r="A85" s="19" t="s">
        <v>163</v>
      </c>
      <c r="B85" s="20" t="s">
        <v>161</v>
      </c>
      <c r="C85" s="22"/>
      <c r="D85" s="22"/>
      <c r="E85" s="22"/>
      <c r="F85" s="2"/>
      <c r="G85" s="12"/>
      <c r="H85" s="18"/>
    </row>
    <row r="86" spans="1:8" s="1" customFormat="1" x14ac:dyDescent="0.3">
      <c r="B86" s="23" t="s">
        <v>169</v>
      </c>
      <c r="G86" s="24">
        <f>SUM(G2:G85)</f>
        <v>76422579</v>
      </c>
      <c r="H86" s="24">
        <f>SUM(H2:H85)</f>
        <v>53052708.399999999</v>
      </c>
    </row>
    <row r="87" spans="1:8" s="1" customFormat="1" x14ac:dyDescent="0.3">
      <c r="B87" s="1" t="s">
        <v>170</v>
      </c>
      <c r="G87" s="24"/>
      <c r="H87" s="27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DFCC-3DDA-4ECD-83D9-39FBAD78CFC3}">
  <sheetPr>
    <tabColor rgb="FFFFC000"/>
  </sheetPr>
  <dimension ref="A1:F144"/>
  <sheetViews>
    <sheetView zoomScale="70" zoomScaleNormal="70" workbookViewId="0">
      <selection activeCell="G22" sqref="G22"/>
    </sheetView>
  </sheetViews>
  <sheetFormatPr defaultRowHeight="14.4" x14ac:dyDescent="0.3"/>
  <cols>
    <col min="1" max="1" width="10.5546875" style="314" customWidth="1"/>
    <col min="2" max="2" width="77.21875" style="314" customWidth="1"/>
    <col min="3" max="3" width="13.88671875" style="314" customWidth="1"/>
    <col min="4" max="4" width="17.88671875" style="314" customWidth="1"/>
    <col min="5" max="5" width="52.77734375" style="314" customWidth="1"/>
    <col min="6" max="6" width="17.88671875" style="314" customWidth="1"/>
    <col min="7" max="10" width="77.21875" style="314" customWidth="1"/>
    <col min="11" max="16384" width="8.88671875" style="314"/>
  </cols>
  <sheetData>
    <row r="1" spans="1:6" x14ac:dyDescent="0.3">
      <c r="A1" s="312" t="s">
        <v>187</v>
      </c>
      <c r="B1" s="367" t="s">
        <v>740</v>
      </c>
      <c r="C1" s="313" t="s">
        <v>741</v>
      </c>
      <c r="D1" s="367" t="s">
        <v>189</v>
      </c>
      <c r="E1" s="367" t="s">
        <v>742</v>
      </c>
      <c r="F1" s="367" t="s">
        <v>621</v>
      </c>
    </row>
    <row r="2" spans="1:6" ht="15" thickBot="1" x14ac:dyDescent="0.35">
      <c r="A2" s="315" t="s">
        <v>743</v>
      </c>
      <c r="B2" s="368"/>
      <c r="C2" s="316" t="s">
        <v>744</v>
      </c>
      <c r="D2" s="368"/>
      <c r="E2" s="368"/>
      <c r="F2" s="368"/>
    </row>
    <row r="3" spans="1:6" ht="15.6" x14ac:dyDescent="0.3">
      <c r="A3" s="351"/>
      <c r="B3" s="317" t="s">
        <v>745</v>
      </c>
      <c r="C3" s="349"/>
      <c r="D3" s="349"/>
      <c r="E3" s="357"/>
      <c r="F3" s="349"/>
    </row>
    <row r="4" spans="1:6" ht="16.2" thickBot="1" x14ac:dyDescent="0.35">
      <c r="A4" s="352"/>
      <c r="B4" s="318" t="s">
        <v>278</v>
      </c>
      <c r="C4" s="350"/>
      <c r="D4" s="350"/>
      <c r="E4" s="359"/>
      <c r="F4" s="350"/>
    </row>
    <row r="5" spans="1:6" ht="15.6" x14ac:dyDescent="0.3">
      <c r="A5" s="351" t="s">
        <v>746</v>
      </c>
      <c r="B5" s="319" t="s">
        <v>747</v>
      </c>
      <c r="C5" s="349"/>
      <c r="D5" s="349"/>
      <c r="E5" s="357"/>
      <c r="F5" s="349"/>
    </row>
    <row r="6" spans="1:6" ht="15.6" x14ac:dyDescent="0.3">
      <c r="A6" s="355"/>
      <c r="B6" s="319" t="s">
        <v>748</v>
      </c>
      <c r="C6" s="360"/>
      <c r="D6" s="360"/>
      <c r="E6" s="358"/>
      <c r="F6" s="360"/>
    </row>
    <row r="7" spans="1:6" ht="16.2" thickBot="1" x14ac:dyDescent="0.35">
      <c r="A7" s="352"/>
      <c r="B7" s="320" t="s">
        <v>749</v>
      </c>
      <c r="C7" s="350"/>
      <c r="D7" s="350"/>
      <c r="E7" s="359"/>
      <c r="F7" s="350"/>
    </row>
    <row r="8" spans="1:6" ht="47.4" thickBot="1" x14ac:dyDescent="0.35">
      <c r="A8" s="321" t="s">
        <v>750</v>
      </c>
      <c r="B8" s="322" t="s">
        <v>751</v>
      </c>
      <c r="C8" s="323" t="s">
        <v>752</v>
      </c>
      <c r="D8" s="323">
        <v>1548.72</v>
      </c>
      <c r="E8" s="324" t="s">
        <v>753</v>
      </c>
      <c r="F8" s="323">
        <f>D8</f>
        <v>1548.72</v>
      </c>
    </row>
    <row r="9" spans="1:6" ht="18.600000000000001" x14ac:dyDescent="0.3">
      <c r="A9" s="361" t="s">
        <v>754</v>
      </c>
      <c r="B9" s="364" t="s">
        <v>755</v>
      </c>
      <c r="C9" s="325" t="s">
        <v>756</v>
      </c>
      <c r="D9" s="325">
        <v>77.44</v>
      </c>
      <c r="E9" s="326" t="s">
        <v>757</v>
      </c>
      <c r="F9" s="325">
        <f>D9</f>
        <v>77.44</v>
      </c>
    </row>
    <row r="10" spans="1:6" ht="16.2" thickBot="1" x14ac:dyDescent="0.35">
      <c r="A10" s="363"/>
      <c r="B10" s="365"/>
      <c r="C10" s="323" t="s">
        <v>219</v>
      </c>
      <c r="D10" s="323">
        <v>139.4</v>
      </c>
      <c r="E10" s="324" t="s">
        <v>758</v>
      </c>
      <c r="F10" s="323"/>
    </row>
    <row r="11" spans="1:6" ht="28.2" customHeight="1" x14ac:dyDescent="0.3">
      <c r="A11" s="361" t="s">
        <v>759</v>
      </c>
      <c r="B11" s="364" t="s">
        <v>760</v>
      </c>
      <c r="C11" s="325" t="s">
        <v>756</v>
      </c>
      <c r="D11" s="325">
        <v>154.87</v>
      </c>
      <c r="E11" s="326" t="s">
        <v>761</v>
      </c>
      <c r="F11" s="325">
        <f>D11</f>
        <v>154.87</v>
      </c>
    </row>
    <row r="12" spans="1:6" ht="16.2" thickBot="1" x14ac:dyDescent="0.35">
      <c r="A12" s="363"/>
      <c r="B12" s="365"/>
      <c r="C12" s="323" t="s">
        <v>219</v>
      </c>
      <c r="D12" s="323">
        <v>61.95</v>
      </c>
      <c r="E12" s="324" t="s">
        <v>762</v>
      </c>
      <c r="F12" s="323"/>
    </row>
    <row r="13" spans="1:6" ht="15.6" x14ac:dyDescent="0.3">
      <c r="A13" s="361" t="s">
        <v>763</v>
      </c>
      <c r="B13" s="364" t="s">
        <v>764</v>
      </c>
      <c r="C13" s="325" t="s">
        <v>207</v>
      </c>
      <c r="D13" s="325"/>
      <c r="E13" s="326" t="s">
        <v>765</v>
      </c>
      <c r="F13" s="325"/>
    </row>
    <row r="14" spans="1:6" ht="18.600000000000001" x14ac:dyDescent="0.3">
      <c r="A14" s="362"/>
      <c r="B14" s="366"/>
      <c r="C14" s="325" t="s">
        <v>756</v>
      </c>
      <c r="D14" s="325">
        <v>168</v>
      </c>
      <c r="E14" s="326" t="s">
        <v>766</v>
      </c>
      <c r="F14" s="325">
        <f>D14</f>
        <v>168</v>
      </c>
    </row>
    <row r="15" spans="1:6" ht="15.6" x14ac:dyDescent="0.3">
      <c r="A15" s="362"/>
      <c r="B15" s="366"/>
      <c r="C15" s="325" t="s">
        <v>219</v>
      </c>
      <c r="D15" s="325">
        <v>103.32</v>
      </c>
      <c r="E15" s="327"/>
      <c r="F15" s="325"/>
    </row>
    <row r="16" spans="1:6" ht="15.6" x14ac:dyDescent="0.3">
      <c r="A16" s="362"/>
      <c r="B16" s="366"/>
      <c r="C16" s="327"/>
      <c r="D16" s="325">
        <v>252</v>
      </c>
      <c r="E16" s="327"/>
      <c r="F16" s="325"/>
    </row>
    <row r="17" spans="1:6" ht="16.2" thickBot="1" x14ac:dyDescent="0.35">
      <c r="A17" s="363"/>
      <c r="B17" s="365"/>
      <c r="C17" s="328"/>
      <c r="D17" s="323"/>
      <c r="E17" s="328"/>
      <c r="F17" s="323"/>
    </row>
    <row r="18" spans="1:6" ht="15.6" x14ac:dyDescent="0.3">
      <c r="A18" s="361" t="s">
        <v>767</v>
      </c>
      <c r="B18" s="364" t="s">
        <v>768</v>
      </c>
      <c r="C18" s="325" t="s">
        <v>207</v>
      </c>
      <c r="D18" s="325"/>
      <c r="E18" s="326" t="s">
        <v>769</v>
      </c>
      <c r="F18" s="325"/>
    </row>
    <row r="19" spans="1:6" ht="18.600000000000001" x14ac:dyDescent="0.3">
      <c r="A19" s="362"/>
      <c r="B19" s="366"/>
      <c r="C19" s="325" t="s">
        <v>756</v>
      </c>
      <c r="D19" s="325">
        <v>12</v>
      </c>
      <c r="E19" s="326" t="s">
        <v>770</v>
      </c>
      <c r="F19" s="325">
        <f>D19</f>
        <v>12</v>
      </c>
    </row>
    <row r="20" spans="1:6" ht="15.6" x14ac:dyDescent="0.3">
      <c r="A20" s="362"/>
      <c r="B20" s="366"/>
      <c r="C20" s="325" t="s">
        <v>219</v>
      </c>
      <c r="D20" s="325">
        <v>4.7300000000000004</v>
      </c>
      <c r="E20" s="327"/>
      <c r="F20" s="325"/>
    </row>
    <row r="21" spans="1:6" ht="15.6" x14ac:dyDescent="0.3">
      <c r="A21" s="362"/>
      <c r="B21" s="366"/>
      <c r="C21" s="327"/>
      <c r="D21" s="325">
        <v>12</v>
      </c>
      <c r="E21" s="327"/>
      <c r="F21" s="325"/>
    </row>
    <row r="22" spans="1:6" ht="16.2" thickBot="1" x14ac:dyDescent="0.35">
      <c r="A22" s="363"/>
      <c r="B22" s="365"/>
      <c r="C22" s="328"/>
      <c r="D22" s="323"/>
      <c r="E22" s="328"/>
      <c r="F22" s="323"/>
    </row>
    <row r="23" spans="1:6" ht="31.2" x14ac:dyDescent="0.3">
      <c r="A23" s="361" t="s">
        <v>771</v>
      </c>
      <c r="B23" s="329" t="s">
        <v>772</v>
      </c>
      <c r="C23" s="325" t="s">
        <v>207</v>
      </c>
      <c r="D23" s="325"/>
      <c r="E23" s="326" t="s">
        <v>773</v>
      </c>
      <c r="F23" s="325"/>
    </row>
    <row r="24" spans="1:6" ht="31.2" x14ac:dyDescent="0.3">
      <c r="A24" s="362"/>
      <c r="B24" s="329" t="s">
        <v>774</v>
      </c>
      <c r="C24" s="325" t="s">
        <v>756</v>
      </c>
      <c r="D24" s="325">
        <v>13</v>
      </c>
      <c r="E24" s="326" t="s">
        <v>775</v>
      </c>
      <c r="F24" s="325">
        <v>13</v>
      </c>
    </row>
    <row r="25" spans="1:6" ht="15.6" x14ac:dyDescent="0.3">
      <c r="A25" s="362"/>
      <c r="B25" s="327"/>
      <c r="C25" s="325" t="s">
        <v>219</v>
      </c>
      <c r="D25" s="325">
        <v>5.12</v>
      </c>
      <c r="E25" s="327"/>
      <c r="F25" s="325"/>
    </row>
    <row r="26" spans="1:6" ht="15.6" x14ac:dyDescent="0.3">
      <c r="A26" s="362"/>
      <c r="B26" s="327"/>
      <c r="C26" s="327"/>
      <c r="D26" s="325">
        <v>13</v>
      </c>
      <c r="E26" s="327"/>
      <c r="F26" s="325"/>
    </row>
    <row r="27" spans="1:6" ht="16.2" thickBot="1" x14ac:dyDescent="0.35">
      <c r="A27" s="363"/>
      <c r="B27" s="328"/>
      <c r="C27" s="328"/>
      <c r="D27" s="323"/>
      <c r="E27" s="328"/>
      <c r="F27" s="323"/>
    </row>
    <row r="28" spans="1:6" ht="15.6" x14ac:dyDescent="0.3">
      <c r="A28" s="361" t="s">
        <v>776</v>
      </c>
      <c r="B28" s="329" t="s">
        <v>777</v>
      </c>
      <c r="C28" s="325" t="s">
        <v>207</v>
      </c>
      <c r="D28" s="325">
        <v>13</v>
      </c>
      <c r="E28" s="326" t="s">
        <v>778</v>
      </c>
      <c r="F28" s="325">
        <v>13</v>
      </c>
    </row>
    <row r="29" spans="1:6" ht="31.2" x14ac:dyDescent="0.3">
      <c r="A29" s="362"/>
      <c r="B29" s="329" t="s">
        <v>779</v>
      </c>
      <c r="C29" s="325" t="s">
        <v>219</v>
      </c>
      <c r="D29" s="325">
        <v>3.9750000000000001</v>
      </c>
      <c r="E29" s="326" t="s">
        <v>780</v>
      </c>
      <c r="F29" s="325"/>
    </row>
    <row r="30" spans="1:6" x14ac:dyDescent="0.3">
      <c r="A30" s="362"/>
      <c r="B30" s="327"/>
      <c r="C30" s="327"/>
      <c r="D30" s="327"/>
      <c r="E30" s="326" t="s">
        <v>781</v>
      </c>
      <c r="F30" s="327"/>
    </row>
    <row r="31" spans="1:6" x14ac:dyDescent="0.3">
      <c r="A31" s="362"/>
      <c r="B31" s="327"/>
      <c r="C31" s="327"/>
      <c r="D31" s="327"/>
      <c r="E31" s="326" t="s">
        <v>782</v>
      </c>
      <c r="F31" s="327"/>
    </row>
    <row r="32" spans="1:6" x14ac:dyDescent="0.3">
      <c r="A32" s="362"/>
      <c r="B32" s="327"/>
      <c r="C32" s="327"/>
      <c r="D32" s="327"/>
      <c r="E32" s="326" t="s">
        <v>783</v>
      </c>
      <c r="F32" s="327"/>
    </row>
    <row r="33" spans="1:6" x14ac:dyDescent="0.3">
      <c r="A33" s="362"/>
      <c r="B33" s="327"/>
      <c r="C33" s="327"/>
      <c r="D33" s="327"/>
      <c r="E33" s="326"/>
      <c r="F33" s="327"/>
    </row>
    <row r="34" spans="1:6" ht="15" thickBot="1" x14ac:dyDescent="0.35">
      <c r="A34" s="363"/>
      <c r="B34" s="328"/>
      <c r="C34" s="328"/>
      <c r="D34" s="328"/>
      <c r="E34" s="324"/>
      <c r="F34" s="328"/>
    </row>
    <row r="35" spans="1:6" ht="15.6" x14ac:dyDescent="0.3">
      <c r="A35" s="351" t="s">
        <v>784</v>
      </c>
      <c r="B35" s="319" t="s">
        <v>785</v>
      </c>
      <c r="C35" s="349" t="s">
        <v>219</v>
      </c>
      <c r="D35" s="349">
        <v>1.3</v>
      </c>
      <c r="E35" s="330" t="s">
        <v>786</v>
      </c>
      <c r="F35" s="349"/>
    </row>
    <row r="36" spans="1:6" ht="31.2" x14ac:dyDescent="0.3">
      <c r="A36" s="355"/>
      <c r="B36" s="319" t="s">
        <v>787</v>
      </c>
      <c r="C36" s="360"/>
      <c r="D36" s="360"/>
      <c r="E36" s="330" t="s">
        <v>788</v>
      </c>
      <c r="F36" s="360"/>
    </row>
    <row r="37" spans="1:6" x14ac:dyDescent="0.3">
      <c r="A37" s="355"/>
      <c r="B37" s="331"/>
      <c r="C37" s="360"/>
      <c r="D37" s="360"/>
      <c r="E37" s="330" t="s">
        <v>789</v>
      </c>
      <c r="F37" s="360"/>
    </row>
    <row r="38" spans="1:6" x14ac:dyDescent="0.3">
      <c r="A38" s="355"/>
      <c r="B38" s="331"/>
      <c r="C38" s="360"/>
      <c r="D38" s="360"/>
      <c r="E38" s="330" t="s">
        <v>790</v>
      </c>
      <c r="F38" s="360"/>
    </row>
    <row r="39" spans="1:6" x14ac:dyDescent="0.3">
      <c r="A39" s="355"/>
      <c r="B39" s="331"/>
      <c r="C39" s="360"/>
      <c r="D39" s="360"/>
      <c r="E39" s="330" t="s">
        <v>791</v>
      </c>
      <c r="F39" s="360"/>
    </row>
    <row r="40" spans="1:6" x14ac:dyDescent="0.3">
      <c r="A40" s="355"/>
      <c r="B40" s="331"/>
      <c r="C40" s="360"/>
      <c r="D40" s="360"/>
      <c r="E40" s="330"/>
      <c r="F40" s="360"/>
    </row>
    <row r="41" spans="1:6" ht="15" thickBot="1" x14ac:dyDescent="0.35">
      <c r="A41" s="352"/>
      <c r="B41" s="332"/>
      <c r="C41" s="350"/>
      <c r="D41" s="350"/>
      <c r="E41" s="333"/>
      <c r="F41" s="350"/>
    </row>
    <row r="42" spans="1:6" x14ac:dyDescent="0.3">
      <c r="A42" s="351" t="s">
        <v>792</v>
      </c>
      <c r="B42" s="353" t="s">
        <v>793</v>
      </c>
      <c r="C42" s="349" t="s">
        <v>219</v>
      </c>
      <c r="D42" s="349">
        <v>0.97099999999999997</v>
      </c>
      <c r="E42" s="330" t="s">
        <v>794</v>
      </c>
      <c r="F42" s="349"/>
    </row>
    <row r="43" spans="1:6" x14ac:dyDescent="0.3">
      <c r="A43" s="355"/>
      <c r="B43" s="356"/>
      <c r="C43" s="360"/>
      <c r="D43" s="360"/>
      <c r="E43" s="330" t="s">
        <v>795</v>
      </c>
      <c r="F43" s="360"/>
    </row>
    <row r="44" spans="1:6" ht="61.2" x14ac:dyDescent="0.3">
      <c r="A44" s="355"/>
      <c r="B44" s="356"/>
      <c r="C44" s="360"/>
      <c r="D44" s="360"/>
      <c r="E44" s="330" t="s">
        <v>796</v>
      </c>
      <c r="F44" s="360"/>
    </row>
    <row r="45" spans="1:6" x14ac:dyDescent="0.3">
      <c r="A45" s="355"/>
      <c r="B45" s="356"/>
      <c r="C45" s="360"/>
      <c r="D45" s="360"/>
      <c r="E45" s="330" t="s">
        <v>797</v>
      </c>
      <c r="F45" s="360"/>
    </row>
    <row r="46" spans="1:6" x14ac:dyDescent="0.3">
      <c r="A46" s="355"/>
      <c r="B46" s="356"/>
      <c r="C46" s="360"/>
      <c r="D46" s="360"/>
      <c r="E46" s="330" t="s">
        <v>798</v>
      </c>
      <c r="F46" s="360"/>
    </row>
    <row r="47" spans="1:6" x14ac:dyDescent="0.3">
      <c r="A47" s="355"/>
      <c r="B47" s="356"/>
      <c r="C47" s="360"/>
      <c r="D47" s="360"/>
      <c r="E47" s="330"/>
      <c r="F47" s="360"/>
    </row>
    <row r="48" spans="1:6" ht="15" thickBot="1" x14ac:dyDescent="0.35">
      <c r="A48" s="352"/>
      <c r="B48" s="354"/>
      <c r="C48" s="350"/>
      <c r="D48" s="350"/>
      <c r="E48" s="333"/>
      <c r="F48" s="350"/>
    </row>
    <row r="49" spans="1:6" x14ac:dyDescent="0.3">
      <c r="A49" s="351" t="s">
        <v>799</v>
      </c>
      <c r="B49" s="353" t="s">
        <v>800</v>
      </c>
      <c r="C49" s="349" t="s">
        <v>219</v>
      </c>
      <c r="D49" s="349">
        <v>5.5330000000000004</v>
      </c>
      <c r="E49" s="330" t="s">
        <v>801</v>
      </c>
      <c r="F49" s="349"/>
    </row>
    <row r="50" spans="1:6" x14ac:dyDescent="0.3">
      <c r="A50" s="355"/>
      <c r="B50" s="356"/>
      <c r="C50" s="360"/>
      <c r="D50" s="360"/>
      <c r="E50" s="330" t="s">
        <v>802</v>
      </c>
      <c r="F50" s="360"/>
    </row>
    <row r="51" spans="1:6" x14ac:dyDescent="0.3">
      <c r="A51" s="355"/>
      <c r="B51" s="356"/>
      <c r="C51" s="360"/>
      <c r="D51" s="360"/>
      <c r="E51" s="330" t="s">
        <v>803</v>
      </c>
      <c r="F51" s="360"/>
    </row>
    <row r="52" spans="1:6" x14ac:dyDescent="0.3">
      <c r="A52" s="355"/>
      <c r="B52" s="356"/>
      <c r="C52" s="360"/>
      <c r="D52" s="360"/>
      <c r="E52" s="330" t="s">
        <v>804</v>
      </c>
      <c r="F52" s="360"/>
    </row>
    <row r="53" spans="1:6" x14ac:dyDescent="0.3">
      <c r="A53" s="355"/>
      <c r="B53" s="356"/>
      <c r="C53" s="360"/>
      <c r="D53" s="360"/>
      <c r="E53" s="330" t="s">
        <v>805</v>
      </c>
      <c r="F53" s="360"/>
    </row>
    <row r="54" spans="1:6" ht="15" thickBot="1" x14ac:dyDescent="0.35">
      <c r="A54" s="352"/>
      <c r="B54" s="354"/>
      <c r="C54" s="350"/>
      <c r="D54" s="350"/>
      <c r="E54" s="333"/>
      <c r="F54" s="350"/>
    </row>
    <row r="55" spans="1:6" ht="18.600000000000001" x14ac:dyDescent="0.3">
      <c r="A55" s="351" t="s">
        <v>806</v>
      </c>
      <c r="B55" s="353" t="s">
        <v>807</v>
      </c>
      <c r="C55" s="334" t="s">
        <v>756</v>
      </c>
      <c r="D55" s="334">
        <v>17.66</v>
      </c>
      <c r="E55" s="330" t="s">
        <v>808</v>
      </c>
      <c r="F55" s="334"/>
    </row>
    <row r="56" spans="1:6" ht="15.6" x14ac:dyDescent="0.3">
      <c r="A56" s="355"/>
      <c r="B56" s="356"/>
      <c r="C56" s="334" t="s">
        <v>219</v>
      </c>
      <c r="D56" s="334">
        <v>45.92</v>
      </c>
      <c r="E56" s="330" t="s">
        <v>809</v>
      </c>
      <c r="F56" s="334"/>
    </row>
    <row r="57" spans="1:6" ht="15" thickBot="1" x14ac:dyDescent="0.35">
      <c r="A57" s="352"/>
      <c r="B57" s="354"/>
      <c r="C57" s="332"/>
      <c r="D57" s="332"/>
      <c r="E57" s="333" t="s">
        <v>810</v>
      </c>
      <c r="F57" s="332"/>
    </row>
    <row r="58" spans="1:6" ht="31.2" x14ac:dyDescent="0.3">
      <c r="A58" s="351" t="s">
        <v>811</v>
      </c>
      <c r="B58" s="319" t="s">
        <v>812</v>
      </c>
      <c r="C58" s="334" t="s">
        <v>207</v>
      </c>
      <c r="D58" s="334">
        <v>4</v>
      </c>
      <c r="E58" s="330" t="s">
        <v>813</v>
      </c>
      <c r="F58" s="334"/>
    </row>
    <row r="59" spans="1:6" ht="31.2" x14ac:dyDescent="0.3">
      <c r="A59" s="355"/>
      <c r="B59" s="319" t="s">
        <v>814</v>
      </c>
      <c r="C59" s="334" t="s">
        <v>756</v>
      </c>
      <c r="D59" s="334">
        <v>4.4400000000000004</v>
      </c>
      <c r="E59" s="330" t="s">
        <v>815</v>
      </c>
      <c r="F59" s="334"/>
    </row>
    <row r="60" spans="1:6" ht="16.2" thickBot="1" x14ac:dyDescent="0.35">
      <c r="A60" s="352"/>
      <c r="B60" s="332"/>
      <c r="C60" s="320" t="s">
        <v>219</v>
      </c>
      <c r="D60" s="320">
        <v>8.6</v>
      </c>
      <c r="E60" s="332"/>
      <c r="F60" s="320"/>
    </row>
    <row r="61" spans="1:6" ht="31.2" x14ac:dyDescent="0.3">
      <c r="A61" s="351" t="s">
        <v>816</v>
      </c>
      <c r="B61" s="319" t="s">
        <v>817</v>
      </c>
      <c r="C61" s="334" t="s">
        <v>207</v>
      </c>
      <c r="D61" s="334">
        <v>22</v>
      </c>
      <c r="E61" s="330" t="s">
        <v>818</v>
      </c>
      <c r="F61" s="334"/>
    </row>
    <row r="62" spans="1:6" ht="31.2" x14ac:dyDescent="0.3">
      <c r="A62" s="355"/>
      <c r="B62" s="319" t="s">
        <v>819</v>
      </c>
      <c r="C62" s="334" t="s">
        <v>756</v>
      </c>
      <c r="D62" s="334">
        <v>39.6</v>
      </c>
      <c r="E62" s="330" t="s">
        <v>820</v>
      </c>
      <c r="F62" s="334"/>
    </row>
    <row r="63" spans="1:6" ht="16.2" thickBot="1" x14ac:dyDescent="0.35">
      <c r="A63" s="352"/>
      <c r="B63" s="332"/>
      <c r="C63" s="320" t="s">
        <v>219</v>
      </c>
      <c r="D63" s="320">
        <v>102.96</v>
      </c>
      <c r="E63" s="332"/>
      <c r="F63" s="320"/>
    </row>
    <row r="64" spans="1:6" ht="47.4" thickBot="1" x14ac:dyDescent="0.35">
      <c r="A64" s="335" t="s">
        <v>821</v>
      </c>
      <c r="B64" s="336" t="s">
        <v>822</v>
      </c>
      <c r="C64" s="320" t="s">
        <v>219</v>
      </c>
      <c r="D64" s="320">
        <v>1.9</v>
      </c>
      <c r="E64" s="333"/>
      <c r="F64" s="320"/>
    </row>
    <row r="65" spans="1:6" ht="15.6" x14ac:dyDescent="0.3">
      <c r="A65" s="351" t="s">
        <v>823</v>
      </c>
      <c r="B65" s="353" t="s">
        <v>824</v>
      </c>
      <c r="C65" s="334" t="s">
        <v>207</v>
      </c>
      <c r="D65" s="334">
        <v>26</v>
      </c>
      <c r="E65" s="357"/>
      <c r="F65" s="334"/>
    </row>
    <row r="66" spans="1:6" ht="18.600000000000001" x14ac:dyDescent="0.3">
      <c r="A66" s="355"/>
      <c r="B66" s="356"/>
      <c r="C66" s="334" t="s">
        <v>756</v>
      </c>
      <c r="D66" s="334">
        <v>78</v>
      </c>
      <c r="E66" s="358"/>
      <c r="F66" s="334"/>
    </row>
    <row r="67" spans="1:6" ht="16.2" thickBot="1" x14ac:dyDescent="0.35">
      <c r="A67" s="352"/>
      <c r="B67" s="354"/>
      <c r="C67" s="320" t="s">
        <v>219</v>
      </c>
      <c r="D67" s="320">
        <v>192.4</v>
      </c>
      <c r="E67" s="359"/>
      <c r="F67" s="320"/>
    </row>
    <row r="68" spans="1:6" ht="15.6" x14ac:dyDescent="0.3">
      <c r="A68" s="351" t="s">
        <v>825</v>
      </c>
      <c r="B68" s="353" t="s">
        <v>826</v>
      </c>
      <c r="C68" s="334" t="s">
        <v>207</v>
      </c>
      <c r="D68" s="334">
        <v>2</v>
      </c>
      <c r="E68" s="353"/>
      <c r="F68" s="334"/>
    </row>
    <row r="69" spans="1:6" ht="18.600000000000001" x14ac:dyDescent="0.3">
      <c r="A69" s="355"/>
      <c r="B69" s="356"/>
      <c r="C69" s="334" t="s">
        <v>756</v>
      </c>
      <c r="D69" s="334">
        <v>4.6399999999999997</v>
      </c>
      <c r="E69" s="356"/>
      <c r="F69" s="334"/>
    </row>
    <row r="70" spans="1:6" ht="16.2" thickBot="1" x14ac:dyDescent="0.35">
      <c r="A70" s="352"/>
      <c r="B70" s="354"/>
      <c r="C70" s="320" t="s">
        <v>219</v>
      </c>
      <c r="D70" s="320">
        <v>11.6</v>
      </c>
      <c r="E70" s="354"/>
      <c r="F70" s="320"/>
    </row>
    <row r="71" spans="1:6" ht="15.6" x14ac:dyDescent="0.3">
      <c r="A71" s="351" t="s">
        <v>827</v>
      </c>
      <c r="B71" s="353" t="s">
        <v>828</v>
      </c>
      <c r="C71" s="334" t="s">
        <v>207</v>
      </c>
      <c r="D71" s="334"/>
      <c r="E71" s="353"/>
      <c r="F71" s="334"/>
    </row>
    <row r="72" spans="1:6" ht="15.6" x14ac:dyDescent="0.3">
      <c r="A72" s="355"/>
      <c r="B72" s="356"/>
      <c r="C72" s="334" t="s">
        <v>219</v>
      </c>
      <c r="D72" s="334">
        <v>2</v>
      </c>
      <c r="E72" s="356"/>
      <c r="F72" s="334"/>
    </row>
    <row r="73" spans="1:6" ht="15.6" x14ac:dyDescent="0.3">
      <c r="A73" s="355"/>
      <c r="B73" s="356"/>
      <c r="C73" s="331"/>
      <c r="D73" s="334">
        <v>0.22</v>
      </c>
      <c r="E73" s="356"/>
      <c r="F73" s="334"/>
    </row>
    <row r="74" spans="1:6" ht="16.2" thickBot="1" x14ac:dyDescent="0.35">
      <c r="A74" s="352"/>
      <c r="B74" s="354"/>
      <c r="C74" s="332"/>
      <c r="D74" s="336"/>
      <c r="E74" s="354"/>
      <c r="F74" s="336"/>
    </row>
    <row r="75" spans="1:6" ht="18.600000000000001" x14ac:dyDescent="0.3">
      <c r="A75" s="351" t="s">
        <v>829</v>
      </c>
      <c r="B75" s="353" t="s">
        <v>830</v>
      </c>
      <c r="C75" s="334" t="s">
        <v>752</v>
      </c>
      <c r="D75" s="334">
        <v>112</v>
      </c>
      <c r="E75" s="353" t="s">
        <v>831</v>
      </c>
      <c r="F75" s="334"/>
    </row>
    <row r="76" spans="1:6" ht="16.2" thickBot="1" x14ac:dyDescent="0.35">
      <c r="A76" s="352"/>
      <c r="B76" s="354"/>
      <c r="C76" s="320" t="s">
        <v>219</v>
      </c>
      <c r="D76" s="320">
        <v>2.67</v>
      </c>
      <c r="E76" s="354"/>
      <c r="F76" s="320"/>
    </row>
    <row r="77" spans="1:6" ht="15.6" x14ac:dyDescent="0.3">
      <c r="A77" s="351" t="s">
        <v>832</v>
      </c>
      <c r="B77" s="353" t="s">
        <v>833</v>
      </c>
      <c r="C77" s="334" t="s">
        <v>207</v>
      </c>
      <c r="D77" s="334">
        <v>2</v>
      </c>
      <c r="E77" s="353" t="s">
        <v>834</v>
      </c>
      <c r="F77" s="334"/>
    </row>
    <row r="78" spans="1:6" ht="18.600000000000001" x14ac:dyDescent="0.3">
      <c r="A78" s="355"/>
      <c r="B78" s="356"/>
      <c r="C78" s="334" t="s">
        <v>752</v>
      </c>
      <c r="D78" s="334">
        <v>32</v>
      </c>
      <c r="E78" s="356"/>
      <c r="F78" s="334"/>
    </row>
    <row r="79" spans="1:6" ht="16.2" thickBot="1" x14ac:dyDescent="0.35">
      <c r="A79" s="352"/>
      <c r="B79" s="354"/>
      <c r="C79" s="320" t="s">
        <v>219</v>
      </c>
      <c r="D79" s="320">
        <v>1.76</v>
      </c>
      <c r="E79" s="354"/>
      <c r="F79" s="320"/>
    </row>
    <row r="80" spans="1:6" ht="46.8" x14ac:dyDescent="0.3">
      <c r="A80" s="351" t="s">
        <v>835</v>
      </c>
      <c r="B80" s="353" t="s">
        <v>836</v>
      </c>
      <c r="C80" s="334" t="s">
        <v>207</v>
      </c>
      <c r="D80" s="334">
        <v>135</v>
      </c>
      <c r="E80" s="319" t="s">
        <v>837</v>
      </c>
      <c r="F80" s="334"/>
    </row>
    <row r="81" spans="1:6" ht="18.600000000000001" x14ac:dyDescent="0.3">
      <c r="A81" s="355"/>
      <c r="B81" s="356"/>
      <c r="C81" s="334" t="s">
        <v>756</v>
      </c>
      <c r="D81" s="334">
        <v>208.35</v>
      </c>
      <c r="E81" s="319" t="s">
        <v>838</v>
      </c>
      <c r="F81" s="334"/>
    </row>
    <row r="82" spans="1:6" ht="18.600000000000001" x14ac:dyDescent="0.3">
      <c r="A82" s="355"/>
      <c r="B82" s="356"/>
      <c r="C82" s="334" t="s">
        <v>219</v>
      </c>
      <c r="D82" s="334">
        <v>437.5</v>
      </c>
      <c r="E82" s="319" t="s">
        <v>839</v>
      </c>
      <c r="F82" s="334"/>
    </row>
    <row r="83" spans="1:6" ht="16.2" thickBot="1" x14ac:dyDescent="0.35">
      <c r="A83" s="352"/>
      <c r="B83" s="354"/>
      <c r="C83" s="332"/>
      <c r="D83" s="332"/>
      <c r="E83" s="336" t="s">
        <v>840</v>
      </c>
      <c r="F83" s="332"/>
    </row>
    <row r="84" spans="1:6" ht="28.2" customHeight="1" x14ac:dyDescent="0.3">
      <c r="A84" s="351" t="s">
        <v>841</v>
      </c>
      <c r="B84" s="353" t="s">
        <v>842</v>
      </c>
      <c r="C84" s="334" t="s">
        <v>756</v>
      </c>
      <c r="D84" s="334">
        <v>3.4</v>
      </c>
      <c r="E84" s="353" t="s">
        <v>843</v>
      </c>
      <c r="F84" s="334"/>
    </row>
    <row r="85" spans="1:6" ht="16.2" thickBot="1" x14ac:dyDescent="0.35">
      <c r="A85" s="352"/>
      <c r="B85" s="354"/>
      <c r="C85" s="320" t="s">
        <v>219</v>
      </c>
      <c r="D85" s="320">
        <v>7.14</v>
      </c>
      <c r="E85" s="354"/>
      <c r="F85" s="320"/>
    </row>
    <row r="86" spans="1:6" ht="18.600000000000001" x14ac:dyDescent="0.3">
      <c r="A86" s="351" t="s">
        <v>844</v>
      </c>
      <c r="B86" s="353" t="s">
        <v>845</v>
      </c>
      <c r="C86" s="334" t="s">
        <v>756</v>
      </c>
      <c r="D86" s="334">
        <v>44.54</v>
      </c>
      <c r="E86" s="353" t="s">
        <v>846</v>
      </c>
      <c r="F86" s="334"/>
    </row>
    <row r="87" spans="1:6" ht="16.2" thickBot="1" x14ac:dyDescent="0.35">
      <c r="A87" s="352"/>
      <c r="B87" s="354"/>
      <c r="C87" s="320" t="s">
        <v>219</v>
      </c>
      <c r="D87" s="320">
        <v>82.4</v>
      </c>
      <c r="E87" s="354"/>
      <c r="F87" s="320"/>
    </row>
    <row r="88" spans="1:6" ht="28.2" customHeight="1" x14ac:dyDescent="0.3">
      <c r="A88" s="351" t="s">
        <v>847</v>
      </c>
      <c r="B88" s="353" t="s">
        <v>848</v>
      </c>
      <c r="C88" s="334" t="s">
        <v>756</v>
      </c>
      <c r="D88" s="334">
        <v>49.35</v>
      </c>
      <c r="E88" s="353" t="s">
        <v>849</v>
      </c>
      <c r="F88" s="334"/>
    </row>
    <row r="89" spans="1:6" ht="16.2" thickBot="1" x14ac:dyDescent="0.35">
      <c r="A89" s="352"/>
      <c r="B89" s="354"/>
      <c r="C89" s="320" t="s">
        <v>219</v>
      </c>
      <c r="D89" s="320">
        <v>89.82</v>
      </c>
      <c r="E89" s="354"/>
      <c r="F89" s="320"/>
    </row>
    <row r="90" spans="1:6" ht="18.600000000000001" x14ac:dyDescent="0.3">
      <c r="A90" s="351" t="s">
        <v>850</v>
      </c>
      <c r="B90" s="353" t="s">
        <v>851</v>
      </c>
      <c r="C90" s="334" t="s">
        <v>756</v>
      </c>
      <c r="D90" s="334">
        <v>86.1</v>
      </c>
      <c r="E90" s="353" t="s">
        <v>852</v>
      </c>
      <c r="F90" s="334"/>
    </row>
    <row r="91" spans="1:6" ht="16.2" thickBot="1" x14ac:dyDescent="0.35">
      <c r="A91" s="352"/>
      <c r="B91" s="354"/>
      <c r="C91" s="320" t="s">
        <v>219</v>
      </c>
      <c r="D91" s="320">
        <v>159.30000000000001</v>
      </c>
      <c r="E91" s="354"/>
      <c r="F91" s="320"/>
    </row>
    <row r="92" spans="1:6" ht="28.2" customHeight="1" x14ac:dyDescent="0.3">
      <c r="A92" s="351" t="s">
        <v>853</v>
      </c>
      <c r="B92" s="353" t="s">
        <v>854</v>
      </c>
      <c r="C92" s="334" t="s">
        <v>752</v>
      </c>
      <c r="D92" s="334">
        <v>10.54</v>
      </c>
      <c r="E92" s="353" t="s">
        <v>855</v>
      </c>
      <c r="F92" s="334"/>
    </row>
    <row r="93" spans="1:6" ht="16.2" thickBot="1" x14ac:dyDescent="0.35">
      <c r="A93" s="352"/>
      <c r="B93" s="354"/>
      <c r="C93" s="320" t="s">
        <v>219</v>
      </c>
      <c r="D93" s="320">
        <v>0.25</v>
      </c>
      <c r="E93" s="354"/>
      <c r="F93" s="320"/>
    </row>
    <row r="94" spans="1:6" ht="28.8" customHeight="1" x14ac:dyDescent="0.3">
      <c r="A94" s="351" t="s">
        <v>856</v>
      </c>
      <c r="B94" s="353" t="s">
        <v>857</v>
      </c>
      <c r="C94" s="349" t="s">
        <v>752</v>
      </c>
      <c r="D94" s="349">
        <v>26</v>
      </c>
      <c r="E94" s="353"/>
      <c r="F94" s="349"/>
    </row>
    <row r="95" spans="1:6" ht="15" thickBot="1" x14ac:dyDescent="0.35">
      <c r="A95" s="352"/>
      <c r="B95" s="354"/>
      <c r="C95" s="350"/>
      <c r="D95" s="350"/>
      <c r="E95" s="354"/>
      <c r="F95" s="350"/>
    </row>
    <row r="96" spans="1:6" ht="18.600000000000001" x14ac:dyDescent="0.3">
      <c r="A96" s="351" t="s">
        <v>858</v>
      </c>
      <c r="B96" s="353" t="s">
        <v>859</v>
      </c>
      <c r="C96" s="334" t="s">
        <v>752</v>
      </c>
      <c r="D96" s="334">
        <v>190</v>
      </c>
      <c r="E96" s="319" t="s">
        <v>860</v>
      </c>
      <c r="F96" s="334"/>
    </row>
    <row r="97" spans="1:6" ht="16.2" thickBot="1" x14ac:dyDescent="0.35">
      <c r="A97" s="352"/>
      <c r="B97" s="354"/>
      <c r="C97" s="320" t="s">
        <v>219</v>
      </c>
      <c r="D97" s="320">
        <v>1.1200000000000001</v>
      </c>
      <c r="E97" s="336" t="s">
        <v>861</v>
      </c>
      <c r="F97" s="320"/>
    </row>
    <row r="98" spans="1:6" ht="18.600000000000001" x14ac:dyDescent="0.3">
      <c r="A98" s="351" t="s">
        <v>862</v>
      </c>
      <c r="B98" s="353" t="s">
        <v>863</v>
      </c>
      <c r="C98" s="334" t="s">
        <v>756</v>
      </c>
      <c r="D98" s="334">
        <v>354</v>
      </c>
      <c r="E98" s="353" t="s">
        <v>864</v>
      </c>
      <c r="F98" s="334"/>
    </row>
    <row r="99" spans="1:6" ht="16.2" thickBot="1" x14ac:dyDescent="0.35">
      <c r="A99" s="352"/>
      <c r="B99" s="354"/>
      <c r="C99" s="320" t="s">
        <v>219</v>
      </c>
      <c r="D99" s="320">
        <v>0.74299999999999999</v>
      </c>
      <c r="E99" s="354"/>
      <c r="F99" s="320"/>
    </row>
    <row r="100" spans="1:6" ht="16.2" thickBot="1" x14ac:dyDescent="0.35">
      <c r="A100" s="335"/>
      <c r="B100" s="336"/>
      <c r="C100" s="320"/>
      <c r="D100" s="320"/>
      <c r="E100" s="336"/>
      <c r="F100" s="320"/>
    </row>
    <row r="101" spans="1:6" ht="16.2" thickBot="1" x14ac:dyDescent="0.35">
      <c r="A101" s="335"/>
      <c r="B101" s="318" t="s">
        <v>248</v>
      </c>
      <c r="C101" s="320"/>
      <c r="D101" s="320"/>
      <c r="E101" s="336"/>
      <c r="F101" s="320"/>
    </row>
    <row r="102" spans="1:6" ht="18.600000000000001" x14ac:dyDescent="0.3">
      <c r="A102" s="351" t="s">
        <v>865</v>
      </c>
      <c r="B102" s="353" t="s">
        <v>866</v>
      </c>
      <c r="C102" s="334" t="s">
        <v>756</v>
      </c>
      <c r="D102" s="334">
        <v>1714</v>
      </c>
      <c r="E102" s="353" t="s">
        <v>867</v>
      </c>
      <c r="F102" s="334"/>
    </row>
    <row r="103" spans="1:6" ht="15.6" x14ac:dyDescent="0.3">
      <c r="A103" s="355"/>
      <c r="B103" s="356"/>
      <c r="C103" s="334" t="s">
        <v>219</v>
      </c>
      <c r="D103" s="334">
        <v>2742.4</v>
      </c>
      <c r="E103" s="356"/>
      <c r="F103" s="334"/>
    </row>
    <row r="104" spans="1:6" ht="16.2" thickBot="1" x14ac:dyDescent="0.35">
      <c r="A104" s="352"/>
      <c r="B104" s="354"/>
      <c r="C104" s="320"/>
      <c r="D104" s="320"/>
      <c r="E104" s="354"/>
      <c r="F104" s="320"/>
    </row>
    <row r="105" spans="1:6" ht="18.600000000000001" x14ac:dyDescent="0.3">
      <c r="A105" s="351" t="s">
        <v>868</v>
      </c>
      <c r="B105" s="353" t="s">
        <v>869</v>
      </c>
      <c r="C105" s="334" t="s">
        <v>756</v>
      </c>
      <c r="D105" s="334">
        <v>30</v>
      </c>
      <c r="E105" s="353" t="s">
        <v>870</v>
      </c>
      <c r="F105" s="334"/>
    </row>
    <row r="106" spans="1:6" ht="16.2" thickBot="1" x14ac:dyDescent="0.35">
      <c r="A106" s="352"/>
      <c r="B106" s="354"/>
      <c r="C106" s="320" t="s">
        <v>219</v>
      </c>
      <c r="D106" s="320">
        <v>48</v>
      </c>
      <c r="E106" s="354"/>
      <c r="F106" s="320"/>
    </row>
    <row r="107" spans="1:6" ht="18.600000000000001" x14ac:dyDescent="0.3">
      <c r="A107" s="351" t="s">
        <v>871</v>
      </c>
      <c r="B107" s="353" t="s">
        <v>872</v>
      </c>
      <c r="C107" s="334" t="s">
        <v>756</v>
      </c>
      <c r="D107" s="334">
        <v>173.4</v>
      </c>
      <c r="E107" s="353" t="s">
        <v>873</v>
      </c>
      <c r="F107" s="334"/>
    </row>
    <row r="108" spans="1:6" ht="16.2" thickBot="1" x14ac:dyDescent="0.35">
      <c r="A108" s="352"/>
      <c r="B108" s="354"/>
      <c r="C108" s="320" t="s">
        <v>219</v>
      </c>
      <c r="D108" s="320">
        <v>277.39999999999998</v>
      </c>
      <c r="E108" s="354"/>
      <c r="F108" s="320"/>
    </row>
    <row r="109" spans="1:6" ht="18.600000000000001" x14ac:dyDescent="0.3">
      <c r="A109" s="351" t="s">
        <v>874</v>
      </c>
      <c r="B109" s="353" t="s">
        <v>875</v>
      </c>
      <c r="C109" s="334" t="s">
        <v>756</v>
      </c>
      <c r="D109" s="334">
        <v>1879.1</v>
      </c>
      <c r="E109" s="319" t="s">
        <v>876</v>
      </c>
      <c r="F109" s="334"/>
    </row>
    <row r="110" spans="1:6" ht="15.6" x14ac:dyDescent="0.3">
      <c r="A110" s="355"/>
      <c r="B110" s="356"/>
      <c r="C110" s="334" t="s">
        <v>219</v>
      </c>
      <c r="D110" s="334">
        <v>3006.6</v>
      </c>
      <c r="E110" s="319" t="s">
        <v>877</v>
      </c>
      <c r="F110" s="334"/>
    </row>
    <row r="111" spans="1:6" ht="18.600000000000001" x14ac:dyDescent="0.3">
      <c r="A111" s="355"/>
      <c r="B111" s="356"/>
      <c r="C111" s="331"/>
      <c r="D111" s="331"/>
      <c r="E111" s="319" t="s">
        <v>878</v>
      </c>
      <c r="F111" s="331"/>
    </row>
    <row r="112" spans="1:6" ht="16.2" thickBot="1" x14ac:dyDescent="0.35">
      <c r="A112" s="352"/>
      <c r="B112" s="354"/>
      <c r="C112" s="332"/>
      <c r="D112" s="332"/>
      <c r="E112" s="336" t="s">
        <v>879</v>
      </c>
      <c r="F112" s="332"/>
    </row>
    <row r="113" spans="1:6" ht="18.600000000000001" x14ac:dyDescent="0.3">
      <c r="A113" s="351" t="s">
        <v>880</v>
      </c>
      <c r="B113" s="353" t="s">
        <v>881</v>
      </c>
      <c r="C113" s="334" t="s">
        <v>756</v>
      </c>
      <c r="D113" s="334">
        <v>38.299999999999997</v>
      </c>
      <c r="E113" s="319" t="s">
        <v>882</v>
      </c>
      <c r="F113" s="334"/>
    </row>
    <row r="114" spans="1:6" ht="18.600000000000001" x14ac:dyDescent="0.3">
      <c r="A114" s="355"/>
      <c r="B114" s="356"/>
      <c r="C114" s="334" t="s">
        <v>219</v>
      </c>
      <c r="D114" s="334">
        <v>61.3</v>
      </c>
      <c r="E114" s="319" t="s">
        <v>883</v>
      </c>
      <c r="F114" s="334"/>
    </row>
    <row r="115" spans="1:6" ht="16.2" thickBot="1" x14ac:dyDescent="0.35">
      <c r="A115" s="352"/>
      <c r="B115" s="354"/>
      <c r="C115" s="332"/>
      <c r="D115" s="332"/>
      <c r="E115" s="336" t="s">
        <v>884</v>
      </c>
      <c r="F115" s="332"/>
    </row>
    <row r="116" spans="1:6" ht="28.2" customHeight="1" x14ac:dyDescent="0.3">
      <c r="A116" s="351" t="s">
        <v>885</v>
      </c>
      <c r="B116" s="353" t="s">
        <v>886</v>
      </c>
      <c r="C116" s="334" t="s">
        <v>756</v>
      </c>
      <c r="D116" s="334">
        <v>173.39</v>
      </c>
      <c r="E116" s="353" t="s">
        <v>887</v>
      </c>
      <c r="F116" s="334"/>
    </row>
    <row r="117" spans="1:6" ht="16.2" thickBot="1" x14ac:dyDescent="0.35">
      <c r="A117" s="352"/>
      <c r="B117" s="354"/>
      <c r="C117" s="320" t="s">
        <v>219</v>
      </c>
      <c r="D117" s="320">
        <v>433.5</v>
      </c>
      <c r="E117" s="354"/>
      <c r="F117" s="320"/>
    </row>
    <row r="118" spans="1:6" ht="16.2" thickBot="1" x14ac:dyDescent="0.35">
      <c r="A118" s="335"/>
      <c r="B118" s="336"/>
      <c r="C118" s="320"/>
      <c r="D118" s="320"/>
      <c r="E118" s="336"/>
      <c r="F118" s="320"/>
    </row>
    <row r="119" spans="1:6" ht="15.6" x14ac:dyDescent="0.3">
      <c r="A119" s="351"/>
      <c r="B119" s="317" t="s">
        <v>745</v>
      </c>
      <c r="C119" s="349"/>
      <c r="D119" s="349"/>
      <c r="E119" s="353"/>
      <c r="F119" s="349"/>
    </row>
    <row r="120" spans="1:6" ht="31.8" thickBot="1" x14ac:dyDescent="0.35">
      <c r="A120" s="352"/>
      <c r="B120" s="318" t="s">
        <v>888</v>
      </c>
      <c r="C120" s="350"/>
      <c r="D120" s="350"/>
      <c r="E120" s="354"/>
      <c r="F120" s="350"/>
    </row>
    <row r="121" spans="1:6" ht="16.2" thickBot="1" x14ac:dyDescent="0.35">
      <c r="A121" s="335" t="s">
        <v>889</v>
      </c>
      <c r="B121" s="336" t="s">
        <v>890</v>
      </c>
      <c r="C121" s="320" t="s">
        <v>891</v>
      </c>
      <c r="D121" s="320">
        <v>4</v>
      </c>
      <c r="E121" s="336" t="s">
        <v>892</v>
      </c>
      <c r="F121" s="320"/>
    </row>
    <row r="122" spans="1:6" ht="16.2" thickBot="1" x14ac:dyDescent="0.35">
      <c r="A122" s="335" t="s">
        <v>893</v>
      </c>
      <c r="B122" s="336" t="s">
        <v>894</v>
      </c>
      <c r="C122" s="320" t="s">
        <v>891</v>
      </c>
      <c r="D122" s="320">
        <v>67</v>
      </c>
      <c r="E122" s="336" t="s">
        <v>892</v>
      </c>
      <c r="F122" s="320"/>
    </row>
    <row r="123" spans="1:6" ht="16.2" thickBot="1" x14ac:dyDescent="0.35">
      <c r="A123" s="335" t="s">
        <v>895</v>
      </c>
      <c r="B123" s="336" t="s">
        <v>896</v>
      </c>
      <c r="C123" s="320" t="s">
        <v>891</v>
      </c>
      <c r="D123" s="320">
        <v>22</v>
      </c>
      <c r="E123" s="336" t="s">
        <v>892</v>
      </c>
      <c r="F123" s="320"/>
    </row>
    <row r="124" spans="1:6" ht="16.2" thickBot="1" x14ac:dyDescent="0.35">
      <c r="A124" s="335" t="s">
        <v>897</v>
      </c>
      <c r="B124" s="336" t="s">
        <v>898</v>
      </c>
      <c r="C124" s="320" t="s">
        <v>891</v>
      </c>
      <c r="D124" s="320">
        <v>128</v>
      </c>
      <c r="E124" s="336" t="s">
        <v>892</v>
      </c>
      <c r="F124" s="320"/>
    </row>
    <row r="125" spans="1:6" ht="16.2" thickBot="1" x14ac:dyDescent="0.35">
      <c r="A125" s="335" t="s">
        <v>899</v>
      </c>
      <c r="B125" s="336" t="s">
        <v>900</v>
      </c>
      <c r="C125" s="320" t="s">
        <v>891</v>
      </c>
      <c r="D125" s="320">
        <v>7</v>
      </c>
      <c r="E125" s="336" t="s">
        <v>892</v>
      </c>
      <c r="F125" s="320"/>
    </row>
    <row r="126" spans="1:6" ht="16.2" thickBot="1" x14ac:dyDescent="0.35">
      <c r="A126" s="335" t="s">
        <v>901</v>
      </c>
      <c r="B126" s="336" t="s">
        <v>902</v>
      </c>
      <c r="C126" s="320" t="s">
        <v>891</v>
      </c>
      <c r="D126" s="320">
        <v>19</v>
      </c>
      <c r="E126" s="336" t="s">
        <v>892</v>
      </c>
      <c r="F126" s="320"/>
    </row>
    <row r="127" spans="1:6" ht="16.2" thickBot="1" x14ac:dyDescent="0.35">
      <c r="A127" s="335" t="s">
        <v>903</v>
      </c>
      <c r="B127" s="336" t="s">
        <v>904</v>
      </c>
      <c r="C127" s="320" t="s">
        <v>891</v>
      </c>
      <c r="D127" s="320">
        <v>258</v>
      </c>
      <c r="E127" s="336" t="s">
        <v>892</v>
      </c>
      <c r="F127" s="320"/>
    </row>
    <row r="128" spans="1:6" ht="16.2" thickBot="1" x14ac:dyDescent="0.35">
      <c r="A128" s="335" t="s">
        <v>905</v>
      </c>
      <c r="B128" s="336" t="s">
        <v>906</v>
      </c>
      <c r="C128" s="320" t="s">
        <v>891</v>
      </c>
      <c r="D128" s="320">
        <v>193</v>
      </c>
      <c r="E128" s="336" t="s">
        <v>892</v>
      </c>
      <c r="F128" s="320"/>
    </row>
    <row r="129" spans="1:6" ht="16.2" thickBot="1" x14ac:dyDescent="0.35">
      <c r="A129" s="335" t="s">
        <v>907</v>
      </c>
      <c r="B129" s="336" t="s">
        <v>908</v>
      </c>
      <c r="C129" s="320" t="s">
        <v>891</v>
      </c>
      <c r="D129" s="320">
        <v>7</v>
      </c>
      <c r="E129" s="336" t="s">
        <v>892</v>
      </c>
      <c r="F129" s="320"/>
    </row>
    <row r="130" spans="1:6" ht="16.2" thickBot="1" x14ac:dyDescent="0.35">
      <c r="A130" s="335" t="s">
        <v>909</v>
      </c>
      <c r="B130" s="336" t="s">
        <v>910</v>
      </c>
      <c r="C130" s="320" t="s">
        <v>891</v>
      </c>
      <c r="D130" s="320">
        <v>111</v>
      </c>
      <c r="E130" s="336" t="s">
        <v>892</v>
      </c>
      <c r="F130" s="320"/>
    </row>
    <row r="131" spans="1:6" ht="16.2" thickBot="1" x14ac:dyDescent="0.35">
      <c r="A131" s="335" t="s">
        <v>911</v>
      </c>
      <c r="B131" s="336" t="s">
        <v>912</v>
      </c>
      <c r="C131" s="320" t="s">
        <v>891</v>
      </c>
      <c r="D131" s="320">
        <v>11</v>
      </c>
      <c r="E131" s="336" t="s">
        <v>892</v>
      </c>
      <c r="F131" s="320"/>
    </row>
    <row r="132" spans="1:6" ht="16.2" thickBot="1" x14ac:dyDescent="0.35">
      <c r="A132" s="335" t="s">
        <v>913</v>
      </c>
      <c r="B132" s="336" t="s">
        <v>914</v>
      </c>
      <c r="C132" s="320" t="s">
        <v>891</v>
      </c>
      <c r="D132" s="320">
        <v>144</v>
      </c>
      <c r="E132" s="336" t="s">
        <v>892</v>
      </c>
      <c r="F132" s="320"/>
    </row>
    <row r="133" spans="1:6" ht="16.2" thickBot="1" x14ac:dyDescent="0.35">
      <c r="A133" s="335" t="s">
        <v>915</v>
      </c>
      <c r="B133" s="336" t="s">
        <v>916</v>
      </c>
      <c r="C133" s="320" t="s">
        <v>891</v>
      </c>
      <c r="D133" s="320">
        <v>171</v>
      </c>
      <c r="E133" s="336" t="s">
        <v>892</v>
      </c>
      <c r="F133" s="320"/>
    </row>
    <row r="134" spans="1:6" ht="16.2" thickBot="1" x14ac:dyDescent="0.35">
      <c r="A134" s="335" t="s">
        <v>917</v>
      </c>
      <c r="B134" s="336" t="s">
        <v>918</v>
      </c>
      <c r="C134" s="320" t="s">
        <v>891</v>
      </c>
      <c r="D134" s="320">
        <v>34</v>
      </c>
      <c r="E134" s="336" t="s">
        <v>892</v>
      </c>
      <c r="F134" s="320"/>
    </row>
    <row r="135" spans="1:6" ht="16.2" thickBot="1" x14ac:dyDescent="0.35">
      <c r="A135" s="335" t="s">
        <v>919</v>
      </c>
      <c r="B135" s="336" t="s">
        <v>920</v>
      </c>
      <c r="C135" s="320" t="s">
        <v>891</v>
      </c>
      <c r="D135" s="320">
        <v>1</v>
      </c>
      <c r="E135" s="336" t="s">
        <v>892</v>
      </c>
      <c r="F135" s="320"/>
    </row>
    <row r="136" spans="1:6" ht="16.2" thickBot="1" x14ac:dyDescent="0.35">
      <c r="A136" s="335" t="s">
        <v>921</v>
      </c>
      <c r="B136" s="336" t="s">
        <v>922</v>
      </c>
      <c r="C136" s="320" t="s">
        <v>891</v>
      </c>
      <c r="D136" s="320">
        <v>34</v>
      </c>
      <c r="E136" s="336" t="s">
        <v>892</v>
      </c>
      <c r="F136" s="320"/>
    </row>
    <row r="137" spans="1:6" ht="16.2" thickBot="1" x14ac:dyDescent="0.35">
      <c r="A137" s="335" t="s">
        <v>923</v>
      </c>
      <c r="B137" s="336" t="s">
        <v>924</v>
      </c>
      <c r="C137" s="320" t="s">
        <v>891</v>
      </c>
      <c r="D137" s="320">
        <v>4</v>
      </c>
      <c r="E137" s="336" t="s">
        <v>892</v>
      </c>
      <c r="F137" s="320"/>
    </row>
    <row r="138" spans="1:6" ht="16.2" thickBot="1" x14ac:dyDescent="0.35">
      <c r="A138" s="335" t="s">
        <v>925</v>
      </c>
      <c r="B138" s="336" t="s">
        <v>926</v>
      </c>
      <c r="C138" s="320" t="s">
        <v>891</v>
      </c>
      <c r="D138" s="320">
        <v>9</v>
      </c>
      <c r="E138" s="336" t="s">
        <v>892</v>
      </c>
      <c r="F138" s="320"/>
    </row>
    <row r="139" spans="1:6" ht="16.2" thickBot="1" x14ac:dyDescent="0.35">
      <c r="A139" s="335" t="s">
        <v>927</v>
      </c>
      <c r="B139" s="336" t="s">
        <v>928</v>
      </c>
      <c r="C139" s="320" t="s">
        <v>891</v>
      </c>
      <c r="D139" s="320">
        <v>78</v>
      </c>
      <c r="E139" s="336" t="s">
        <v>892</v>
      </c>
      <c r="F139" s="320"/>
    </row>
    <row r="140" spans="1:6" ht="16.2" thickBot="1" x14ac:dyDescent="0.35">
      <c r="A140" s="335" t="s">
        <v>929</v>
      </c>
      <c r="B140" s="336" t="s">
        <v>930</v>
      </c>
      <c r="C140" s="320" t="s">
        <v>207</v>
      </c>
      <c r="D140" s="320">
        <v>4</v>
      </c>
      <c r="E140" s="336" t="s">
        <v>892</v>
      </c>
      <c r="F140" s="320"/>
    </row>
    <row r="141" spans="1:6" ht="16.2" thickBot="1" x14ac:dyDescent="0.35">
      <c r="A141" s="335" t="s">
        <v>931</v>
      </c>
      <c r="B141" s="336" t="s">
        <v>932</v>
      </c>
      <c r="C141" s="320" t="s">
        <v>207</v>
      </c>
      <c r="D141" s="320">
        <v>4</v>
      </c>
      <c r="E141" s="336" t="s">
        <v>892</v>
      </c>
      <c r="F141" s="320"/>
    </row>
    <row r="142" spans="1:6" ht="16.2" thickBot="1" x14ac:dyDescent="0.35">
      <c r="A142" s="335" t="s">
        <v>933</v>
      </c>
      <c r="B142" s="336" t="s">
        <v>934</v>
      </c>
      <c r="C142" s="320" t="s">
        <v>204</v>
      </c>
      <c r="D142" s="320">
        <v>1</v>
      </c>
      <c r="E142" s="336" t="s">
        <v>892</v>
      </c>
      <c r="F142" s="320"/>
    </row>
    <row r="143" spans="1:6" ht="16.2" thickBot="1" x14ac:dyDescent="0.35">
      <c r="A143" s="335" t="s">
        <v>935</v>
      </c>
      <c r="B143" s="336" t="s">
        <v>936</v>
      </c>
      <c r="C143" s="320" t="s">
        <v>204</v>
      </c>
      <c r="D143" s="320">
        <v>1</v>
      </c>
      <c r="E143" s="336" t="s">
        <v>892</v>
      </c>
      <c r="F143" s="320"/>
    </row>
    <row r="144" spans="1:6" ht="15.6" x14ac:dyDescent="0.3">
      <c r="A144" s="337"/>
    </row>
  </sheetData>
  <mergeCells count="106">
    <mergeCell ref="A5:A7"/>
    <mergeCell ref="C5:C7"/>
    <mergeCell ref="D5:D7"/>
    <mergeCell ref="E5:E7"/>
    <mergeCell ref="F5:F7"/>
    <mergeCell ref="A9:A10"/>
    <mergeCell ref="B9:B10"/>
    <mergeCell ref="B1:B2"/>
    <mergeCell ref="D1:D2"/>
    <mergeCell ref="E1:E2"/>
    <mergeCell ref="F1:F2"/>
    <mergeCell ref="A3:A4"/>
    <mergeCell ref="C3:C4"/>
    <mergeCell ref="D3:D4"/>
    <mergeCell ref="E3:E4"/>
    <mergeCell ref="F3:F4"/>
    <mergeCell ref="A23:A27"/>
    <mergeCell ref="A28:A34"/>
    <mergeCell ref="A35:A41"/>
    <mergeCell ref="C35:C41"/>
    <mergeCell ref="D35:D41"/>
    <mergeCell ref="F35:F41"/>
    <mergeCell ref="A11:A12"/>
    <mergeCell ref="B11:B12"/>
    <mergeCell ref="A13:A17"/>
    <mergeCell ref="B13:B17"/>
    <mergeCell ref="A18:A22"/>
    <mergeCell ref="B18:B22"/>
    <mergeCell ref="A42:A48"/>
    <mergeCell ref="B42:B48"/>
    <mergeCell ref="C42:C48"/>
    <mergeCell ref="D42:D48"/>
    <mergeCell ref="F42:F48"/>
    <mergeCell ref="A49:A54"/>
    <mergeCell ref="B49:B54"/>
    <mergeCell ref="C49:C54"/>
    <mergeCell ref="D49:D54"/>
    <mergeCell ref="F49:F54"/>
    <mergeCell ref="E65:E67"/>
    <mergeCell ref="A68:A70"/>
    <mergeCell ref="B68:B70"/>
    <mergeCell ref="E68:E70"/>
    <mergeCell ref="A71:A74"/>
    <mergeCell ref="B71:B74"/>
    <mergeCell ref="E71:E74"/>
    <mergeCell ref="A55:A57"/>
    <mergeCell ref="B55:B57"/>
    <mergeCell ref="A58:A60"/>
    <mergeCell ref="A61:A63"/>
    <mergeCell ref="A65:A67"/>
    <mergeCell ref="B65:B67"/>
    <mergeCell ref="A80:A83"/>
    <mergeCell ref="B80:B83"/>
    <mergeCell ref="A84:A85"/>
    <mergeCell ref="B84:B85"/>
    <mergeCell ref="E84:E85"/>
    <mergeCell ref="A86:A87"/>
    <mergeCell ref="B86:B87"/>
    <mergeCell ref="E86:E87"/>
    <mergeCell ref="A75:A76"/>
    <mergeCell ref="B75:B76"/>
    <mergeCell ref="E75:E76"/>
    <mergeCell ref="A77:A79"/>
    <mergeCell ref="B77:B79"/>
    <mergeCell ref="E77:E79"/>
    <mergeCell ref="A92:A93"/>
    <mergeCell ref="B92:B93"/>
    <mergeCell ref="E92:E93"/>
    <mergeCell ref="A94:A95"/>
    <mergeCell ref="B94:B95"/>
    <mergeCell ref="C94:C95"/>
    <mergeCell ref="D94:D95"/>
    <mergeCell ref="E94:E95"/>
    <mergeCell ref="A88:A89"/>
    <mergeCell ref="B88:B89"/>
    <mergeCell ref="E88:E89"/>
    <mergeCell ref="A90:A91"/>
    <mergeCell ref="B90:B91"/>
    <mergeCell ref="E90:E91"/>
    <mergeCell ref="A102:A104"/>
    <mergeCell ref="B102:B104"/>
    <mergeCell ref="E102:E104"/>
    <mergeCell ref="A105:A106"/>
    <mergeCell ref="B105:B106"/>
    <mergeCell ref="E105:E106"/>
    <mergeCell ref="F94:F95"/>
    <mergeCell ref="A96:A97"/>
    <mergeCell ref="B96:B97"/>
    <mergeCell ref="A98:A99"/>
    <mergeCell ref="B98:B99"/>
    <mergeCell ref="E98:E99"/>
    <mergeCell ref="F119:F120"/>
    <mergeCell ref="A116:A117"/>
    <mergeCell ref="B116:B117"/>
    <mergeCell ref="E116:E117"/>
    <mergeCell ref="A119:A120"/>
    <mergeCell ref="C119:C120"/>
    <mergeCell ref="D119:D120"/>
    <mergeCell ref="E119:E120"/>
    <mergeCell ref="A107:A108"/>
    <mergeCell ref="B107:B108"/>
    <mergeCell ref="E107:E108"/>
    <mergeCell ref="A109:A112"/>
    <mergeCell ref="B109:B112"/>
    <mergeCell ref="A113:A115"/>
    <mergeCell ref="B113:B1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538D-0C13-4194-8A29-76A218EB61CF}">
  <sheetPr>
    <tabColor rgb="FFFFC000"/>
  </sheetPr>
  <dimension ref="A1:D4"/>
  <sheetViews>
    <sheetView workbookViewId="0">
      <pane ySplit="1" topLeftCell="A2" activePane="bottomLeft" state="frozen"/>
      <selection activeCell="D26" sqref="D26"/>
      <selection pane="bottomLeft" activeCell="F14" sqref="F14"/>
    </sheetView>
  </sheetViews>
  <sheetFormatPr defaultRowHeight="14.4" x14ac:dyDescent="0.3"/>
  <cols>
    <col min="1" max="1" width="6.88671875" style="338" customWidth="1"/>
    <col min="2" max="2" width="45.33203125" style="338" customWidth="1"/>
    <col min="3" max="16384" width="8.88671875" style="338"/>
  </cols>
  <sheetData>
    <row r="1" spans="1:4" x14ac:dyDescent="0.3">
      <c r="A1" s="341" t="s">
        <v>187</v>
      </c>
      <c r="B1" s="341" t="s">
        <v>3</v>
      </c>
      <c r="C1" s="341" t="s">
        <v>215</v>
      </c>
      <c r="D1" s="341" t="s">
        <v>189</v>
      </c>
    </row>
    <row r="2" spans="1:4" ht="28.8" x14ac:dyDescent="0.3">
      <c r="A2" s="339">
        <v>1</v>
      </c>
      <c r="B2" s="340" t="s">
        <v>937</v>
      </c>
      <c r="C2" s="339" t="s">
        <v>181</v>
      </c>
      <c r="D2" s="339">
        <v>593.44000000000005</v>
      </c>
    </row>
    <row r="3" spans="1:4" x14ac:dyDescent="0.3">
      <c r="A3" s="339">
        <v>2</v>
      </c>
      <c r="B3" s="340" t="s">
        <v>938</v>
      </c>
      <c r="C3" s="339" t="s">
        <v>181</v>
      </c>
      <c r="D3" s="339">
        <v>53.95</v>
      </c>
    </row>
    <row r="4" spans="1:4" x14ac:dyDescent="0.3">
      <c r="A4" s="339">
        <v>3</v>
      </c>
      <c r="B4" s="340" t="s">
        <v>939</v>
      </c>
      <c r="C4" s="339" t="s">
        <v>181</v>
      </c>
      <c r="D4" s="339">
        <v>1050.42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12"/>
  <sheetViews>
    <sheetView view="pageBreakPreview" zoomScaleNormal="100" zoomScaleSheetLayoutView="100" workbookViewId="0">
      <selection activeCell="F15" sqref="F1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370" t="s">
        <v>213</v>
      </c>
      <c r="B1" s="370" t="s">
        <v>287</v>
      </c>
      <c r="C1" s="369" t="s">
        <v>292</v>
      </c>
      <c r="D1" s="369"/>
      <c r="E1" s="369"/>
      <c r="F1" s="371" t="s">
        <v>293</v>
      </c>
      <c r="G1" s="371"/>
      <c r="H1" s="371"/>
    </row>
    <row r="2" spans="1:9" ht="27.6" x14ac:dyDescent="0.3">
      <c r="A2" s="370"/>
      <c r="B2" s="370"/>
      <c r="C2" s="153" t="s">
        <v>288</v>
      </c>
      <c r="D2" s="154" t="s">
        <v>289</v>
      </c>
      <c r="E2" s="154" t="s">
        <v>290</v>
      </c>
      <c r="F2" s="155" t="s">
        <v>288</v>
      </c>
      <c r="G2" s="156" t="s">
        <v>289</v>
      </c>
      <c r="H2" s="156" t="s">
        <v>290</v>
      </c>
    </row>
    <row r="3" spans="1:9" x14ac:dyDescent="0.3">
      <c r="A3" s="86">
        <v>1</v>
      </c>
      <c r="B3" s="77" t="s">
        <v>621</v>
      </c>
      <c r="C3" s="157">
        <f>'СМР комм-ции 417'!F129</f>
        <v>5493764.9700000007</v>
      </c>
      <c r="D3" s="159">
        <f>'мат комм-ции 417'!F63</f>
        <v>2520219.77</v>
      </c>
      <c r="E3" s="160">
        <f>C3+D3</f>
        <v>8013984.7400000002</v>
      </c>
      <c r="F3" s="161">
        <f>'СМР комм-ции 417'!G129</f>
        <v>6592517.9900000012</v>
      </c>
      <c r="G3" s="162">
        <f>'мат комм-ции 417'!G63</f>
        <v>3024263.72</v>
      </c>
      <c r="H3" s="163">
        <f>F3+G3</f>
        <v>9616781.7100000009</v>
      </c>
      <c r="I3" s="29"/>
    </row>
    <row r="4" spans="1:9" x14ac:dyDescent="0.3">
      <c r="A4" s="106"/>
      <c r="B4" s="75" t="s">
        <v>291</v>
      </c>
      <c r="C4" s="158">
        <f t="shared" ref="C4:H4" si="0">SUM(C3:C3)</f>
        <v>5493764.9700000007</v>
      </c>
      <c r="D4" s="158">
        <f t="shared" si="0"/>
        <v>2520219.77</v>
      </c>
      <c r="E4" s="158">
        <f t="shared" si="0"/>
        <v>8013984.7400000002</v>
      </c>
      <c r="F4" s="164">
        <f t="shared" si="0"/>
        <v>6592517.9900000012</v>
      </c>
      <c r="G4" s="164">
        <f t="shared" si="0"/>
        <v>3024263.72</v>
      </c>
      <c r="H4" s="164">
        <f t="shared" si="0"/>
        <v>9616781.7100000009</v>
      </c>
      <c r="I4" s="29"/>
    </row>
    <row r="5" spans="1:9" x14ac:dyDescent="0.3">
      <c r="A5" s="131"/>
      <c r="B5" s="131"/>
      <c r="C5" s="131"/>
      <c r="D5" s="131"/>
      <c r="E5" s="131"/>
      <c r="I5" s="29"/>
    </row>
    <row r="6" spans="1:9" x14ac:dyDescent="0.3">
      <c r="A6" s="131"/>
      <c r="B6" s="131"/>
      <c r="C6" s="131"/>
      <c r="D6" s="131"/>
      <c r="E6" s="131"/>
    </row>
    <row r="7" spans="1:9" x14ac:dyDescent="0.3">
      <c r="A7" s="131"/>
      <c r="B7" s="131"/>
      <c r="C7" s="131"/>
      <c r="D7" s="131"/>
      <c r="E7" s="131"/>
    </row>
    <row r="8" spans="1:9" x14ac:dyDescent="0.3">
      <c r="A8" s="131"/>
      <c r="B8" s="131"/>
      <c r="C8" s="131"/>
      <c r="D8" s="131"/>
      <c r="E8" s="131"/>
    </row>
    <row r="9" spans="1:9" x14ac:dyDescent="0.3">
      <c r="A9" s="131"/>
      <c r="B9" s="131"/>
      <c r="C9" s="131"/>
      <c r="D9" s="131"/>
      <c r="E9" s="131"/>
    </row>
    <row r="10" spans="1:9" x14ac:dyDescent="0.3">
      <c r="A10" s="131"/>
      <c r="B10" s="131"/>
      <c r="C10" s="131"/>
      <c r="D10" s="131"/>
      <c r="E10" s="131"/>
    </row>
    <row r="11" spans="1:9" x14ac:dyDescent="0.3">
      <c r="A11" s="131"/>
      <c r="B11" s="131"/>
      <c r="C11" s="131"/>
      <c r="D11" s="131"/>
      <c r="E11" s="131"/>
    </row>
    <row r="12" spans="1:9" x14ac:dyDescent="0.3">
      <c r="A12" s="131"/>
      <c r="B12" s="131"/>
      <c r="C12" s="131"/>
      <c r="D12" s="131"/>
      <c r="E12" s="131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33203125" bestFit="1" customWidth="1"/>
    <col min="6" max="6" width="14" style="14" customWidth="1"/>
    <col min="7" max="7" width="13.6640625" style="14" customWidth="1"/>
    <col min="8" max="8" width="14.33203125" bestFit="1" customWidth="1"/>
  </cols>
  <sheetData>
    <row r="1" spans="1:7" s="1" customFormat="1" x14ac:dyDescent="0.3">
      <c r="A1" s="380" t="s">
        <v>187</v>
      </c>
      <c r="B1" s="380" t="s">
        <v>214</v>
      </c>
      <c r="C1" s="380" t="s">
        <v>224</v>
      </c>
      <c r="D1" s="380" t="s">
        <v>189</v>
      </c>
      <c r="E1" s="370" t="s">
        <v>273</v>
      </c>
      <c r="F1" s="370"/>
      <c r="G1" s="370"/>
    </row>
    <row r="2" spans="1:7" ht="26.4" x14ac:dyDescent="0.3">
      <c r="A2" s="380"/>
      <c r="B2" s="380"/>
      <c r="C2" s="380"/>
      <c r="D2" s="380"/>
      <c r="E2" s="72" t="s">
        <v>225</v>
      </c>
      <c r="F2" s="93" t="s">
        <v>241</v>
      </c>
      <c r="G2" s="94" t="s">
        <v>223</v>
      </c>
    </row>
    <row r="3" spans="1:7" ht="12.75" customHeight="1" x14ac:dyDescent="0.3">
      <c r="A3" s="129">
        <v>1</v>
      </c>
      <c r="B3" s="130">
        <v>2</v>
      </c>
      <c r="C3" s="130">
        <v>3</v>
      </c>
      <c r="D3" s="130">
        <v>4</v>
      </c>
      <c r="E3" s="130">
        <v>5</v>
      </c>
      <c r="F3" s="130">
        <v>6</v>
      </c>
      <c r="G3" s="130">
        <v>7</v>
      </c>
    </row>
    <row r="4" spans="1:7" ht="14.4" customHeight="1" x14ac:dyDescent="0.3">
      <c r="A4" s="378" t="s">
        <v>278</v>
      </c>
      <c r="B4" s="379"/>
      <c r="C4" s="101"/>
      <c r="D4" s="103"/>
      <c r="E4" s="101"/>
      <c r="F4" s="101"/>
      <c r="G4" s="104"/>
    </row>
    <row r="5" spans="1:7" x14ac:dyDescent="0.3">
      <c r="A5" s="87">
        <v>1</v>
      </c>
      <c r="B5" s="88" t="s">
        <v>229</v>
      </c>
      <c r="C5" s="88" t="s">
        <v>178</v>
      </c>
      <c r="D5" s="99">
        <v>2</v>
      </c>
      <c r="E5" s="78">
        <v>109572</v>
      </c>
      <c r="F5" s="82">
        <f>ROUND(E5*D5,2)</f>
        <v>219144</v>
      </c>
      <c r="G5" s="82">
        <f>ROUND(F5*1.2,2)</f>
        <v>262972.79999999999</v>
      </c>
    </row>
    <row r="6" spans="1:7" x14ac:dyDescent="0.3">
      <c r="A6" s="87">
        <f>A5+1</f>
        <v>2</v>
      </c>
      <c r="B6" s="88" t="s">
        <v>238</v>
      </c>
      <c r="C6" s="88" t="s">
        <v>182</v>
      </c>
      <c r="D6" s="98">
        <v>8.5</v>
      </c>
      <c r="E6" s="78">
        <v>4200</v>
      </c>
      <c r="F6" s="82">
        <f>ROUND(E6*D6,2)</f>
        <v>35700</v>
      </c>
      <c r="G6" s="82">
        <f>ROUND(F6*1.2,2)</f>
        <v>42840</v>
      </c>
    </row>
    <row r="7" spans="1:7" x14ac:dyDescent="0.3">
      <c r="A7" s="87">
        <f>A6+1</f>
        <v>3</v>
      </c>
      <c r="B7" s="88" t="s">
        <v>228</v>
      </c>
      <c r="C7" s="88" t="s">
        <v>182</v>
      </c>
      <c r="D7" s="99">
        <v>110</v>
      </c>
      <c r="E7" s="78">
        <f>ROUND(2315*0.9,2)</f>
        <v>2083.5</v>
      </c>
      <c r="F7" s="82">
        <f>ROUND(E7*D7,2)</f>
        <v>229185</v>
      </c>
      <c r="G7" s="82">
        <f>ROUND(F7*1.2,2)</f>
        <v>275022</v>
      </c>
    </row>
    <row r="8" spans="1:7" ht="14.4" customHeight="1" x14ac:dyDescent="0.3">
      <c r="A8" s="378" t="s">
        <v>194</v>
      </c>
      <c r="B8" s="379"/>
      <c r="C8" s="101"/>
      <c r="D8" s="103"/>
      <c r="E8" s="101"/>
      <c r="F8" s="101"/>
      <c r="G8" s="104"/>
    </row>
    <row r="9" spans="1:7" x14ac:dyDescent="0.3">
      <c r="A9" s="87">
        <f>A7+1</f>
        <v>4</v>
      </c>
      <c r="B9" s="88" t="s">
        <v>231</v>
      </c>
      <c r="C9" s="88" t="s">
        <v>181</v>
      </c>
      <c r="D9" s="97">
        <v>146.52000000000001</v>
      </c>
      <c r="E9" s="78">
        <f>ROUND(1380*0.9,2)</f>
        <v>1242</v>
      </c>
      <c r="F9" s="82">
        <f t="shared" ref="F9:F14" si="0">ROUND(E9*D9,2)</f>
        <v>181977.84</v>
      </c>
      <c r="G9" s="82">
        <f t="shared" ref="G9:G14" si="1">ROUND(F9*1.2,2)</f>
        <v>218373.41</v>
      </c>
    </row>
    <row r="10" spans="1:7" x14ac:dyDescent="0.3">
      <c r="A10" s="87">
        <f>A9+1</f>
        <v>5</v>
      </c>
      <c r="B10" s="88" t="s">
        <v>232</v>
      </c>
      <c r="C10" s="88" t="s">
        <v>181</v>
      </c>
      <c r="D10" s="97">
        <v>704.98</v>
      </c>
      <c r="E10" s="78">
        <f>ROUND(5165*0.9,2)</f>
        <v>4648.5</v>
      </c>
      <c r="F10" s="82">
        <f t="shared" si="0"/>
        <v>3277099.53</v>
      </c>
      <c r="G10" s="82">
        <f t="shared" si="1"/>
        <v>3932519.44</v>
      </c>
    </row>
    <row r="11" spans="1:7" x14ac:dyDescent="0.3">
      <c r="A11" s="87">
        <f t="shared" ref="A11:A14" si="2">A10+1</f>
        <v>6</v>
      </c>
      <c r="B11" s="88" t="s">
        <v>233</v>
      </c>
      <c r="C11" s="88" t="s">
        <v>234</v>
      </c>
      <c r="D11" s="97">
        <v>226</v>
      </c>
      <c r="E11" s="78">
        <f>ROUND(325*0.9,2)</f>
        <v>292.5</v>
      </c>
      <c r="F11" s="82">
        <f t="shared" si="0"/>
        <v>66105</v>
      </c>
      <c r="G11" s="82">
        <f t="shared" si="1"/>
        <v>79326</v>
      </c>
    </row>
    <row r="12" spans="1:7" x14ac:dyDescent="0.3">
      <c r="A12" s="87">
        <f t="shared" si="2"/>
        <v>7</v>
      </c>
      <c r="B12" s="88" t="s">
        <v>235</v>
      </c>
      <c r="C12" s="88" t="s">
        <v>234</v>
      </c>
      <c r="D12" s="97">
        <v>73.2</v>
      </c>
      <c r="E12" s="78">
        <f t="shared" ref="E12:E14" si="3">ROUND(325*0.9,2)</f>
        <v>292.5</v>
      </c>
      <c r="F12" s="82">
        <f t="shared" si="0"/>
        <v>21411</v>
      </c>
      <c r="G12" s="82">
        <f t="shared" si="1"/>
        <v>25693.200000000001</v>
      </c>
    </row>
    <row r="13" spans="1:7" x14ac:dyDescent="0.3">
      <c r="A13" s="87">
        <f t="shared" si="2"/>
        <v>8</v>
      </c>
      <c r="B13" s="88" t="s">
        <v>239</v>
      </c>
      <c r="C13" s="88" t="s">
        <v>234</v>
      </c>
      <c r="D13" s="97">
        <v>861.3</v>
      </c>
      <c r="E13" s="78">
        <f t="shared" si="3"/>
        <v>292.5</v>
      </c>
      <c r="F13" s="82">
        <f t="shared" si="0"/>
        <v>251930.25</v>
      </c>
      <c r="G13" s="82">
        <f t="shared" si="1"/>
        <v>302316.3</v>
      </c>
    </row>
    <row r="14" spans="1:7" x14ac:dyDescent="0.3">
      <c r="A14" s="87">
        <f t="shared" si="2"/>
        <v>9</v>
      </c>
      <c r="B14" s="88" t="s">
        <v>240</v>
      </c>
      <c r="C14" s="88" t="s">
        <v>234</v>
      </c>
      <c r="D14" s="97">
        <v>475.92</v>
      </c>
      <c r="E14" s="78">
        <f t="shared" si="3"/>
        <v>292.5</v>
      </c>
      <c r="F14" s="82">
        <f t="shared" si="0"/>
        <v>139206.6</v>
      </c>
      <c r="G14" s="82">
        <f t="shared" si="1"/>
        <v>167047.92000000001</v>
      </c>
    </row>
    <row r="15" spans="1:7" ht="14.4" customHeight="1" x14ac:dyDescent="0.3">
      <c r="A15" s="378" t="s">
        <v>226</v>
      </c>
      <c r="B15" s="379"/>
      <c r="C15" s="101"/>
      <c r="D15" s="103"/>
      <c r="E15" s="101"/>
      <c r="F15" s="101"/>
      <c r="G15" s="104"/>
    </row>
    <row r="16" spans="1:7" x14ac:dyDescent="0.3">
      <c r="A16" s="87">
        <f>A14+1</f>
        <v>10</v>
      </c>
      <c r="B16" s="88" t="s">
        <v>230</v>
      </c>
      <c r="C16" s="88" t="s">
        <v>181</v>
      </c>
      <c r="D16" s="97">
        <v>549.42999999999995</v>
      </c>
      <c r="E16" s="78">
        <f>ROUND(1610.8*0.9,2)</f>
        <v>1449.72</v>
      </c>
      <c r="F16" s="82">
        <f>ROUND(E16*D16,2)</f>
        <v>796519.66</v>
      </c>
      <c r="G16" s="82">
        <f>ROUND(F16*1.2,2)</f>
        <v>955823.59</v>
      </c>
    </row>
    <row r="17" spans="1:8" ht="41.4" x14ac:dyDescent="0.3">
      <c r="A17" s="87">
        <f>A16+1</f>
        <v>11</v>
      </c>
      <c r="B17" s="88" t="s">
        <v>227</v>
      </c>
      <c r="C17" s="88" t="s">
        <v>182</v>
      </c>
      <c r="D17" s="96">
        <v>284</v>
      </c>
      <c r="E17" s="78">
        <v>2348</v>
      </c>
      <c r="F17" s="82">
        <f>ROUND(E17*D17,2)</f>
        <v>666832</v>
      </c>
      <c r="G17" s="82">
        <f>ROUND(F17*1.2,2)</f>
        <v>800198.4</v>
      </c>
      <c r="H17" s="29"/>
    </row>
    <row r="18" spans="1:8" ht="41.4" x14ac:dyDescent="0.3">
      <c r="A18" s="87">
        <f>A17+1</f>
        <v>12</v>
      </c>
      <c r="B18" s="88" t="s">
        <v>237</v>
      </c>
      <c r="C18" s="88" t="s">
        <v>182</v>
      </c>
      <c r="D18" s="95">
        <v>145.63</v>
      </c>
      <c r="E18" s="78">
        <v>1587</v>
      </c>
      <c r="F18" s="82">
        <f>ROUND(E18*D18,2)</f>
        <v>231114.81</v>
      </c>
      <c r="G18" s="82">
        <f>ROUND(F18*1.2,2)</f>
        <v>277337.77</v>
      </c>
    </row>
    <row r="19" spans="1:8" s="1" customFormat="1" x14ac:dyDescent="0.3">
      <c r="A19" s="80"/>
      <c r="B19" s="372" t="s">
        <v>284</v>
      </c>
      <c r="C19" s="373"/>
      <c r="D19" s="373"/>
      <c r="E19" s="374"/>
      <c r="F19" s="92">
        <f>SUM(F5:F18)</f>
        <v>6116225.6899999985</v>
      </c>
      <c r="G19" s="92">
        <f>SUM(G5:G18)</f>
        <v>7339470.8300000001</v>
      </c>
    </row>
    <row r="20" spans="1:8" x14ac:dyDescent="0.3">
      <c r="A20" s="375" t="s">
        <v>285</v>
      </c>
      <c r="B20" s="376"/>
      <c r="C20" s="376"/>
      <c r="D20" s="376"/>
      <c r="E20" s="377"/>
      <c r="F20" s="175">
        <f>ROUND(F19*0.03,2)</f>
        <v>183486.77</v>
      </c>
      <c r="G20" s="175">
        <f>ROUND(G19*0.03,2)</f>
        <v>220184.12</v>
      </c>
      <c r="H20" s="51"/>
    </row>
    <row r="21" spans="1:8" x14ac:dyDescent="0.3">
      <c r="A21" s="375" t="s">
        <v>286</v>
      </c>
      <c r="B21" s="376"/>
      <c r="C21" s="376"/>
      <c r="D21" s="376"/>
      <c r="E21" s="377"/>
      <c r="F21" s="175">
        <f>F19+F20</f>
        <v>6299712.4599999981</v>
      </c>
      <c r="G21" s="175">
        <f>G19+G20</f>
        <v>7559654.9500000002</v>
      </c>
      <c r="H21" s="51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8" customWidth="1"/>
    <col min="4" max="4" width="8.88671875" style="28"/>
    <col min="5" max="5" width="11.33203125" style="28" customWidth="1"/>
    <col min="6" max="6" width="15" style="28" customWidth="1"/>
    <col min="7" max="7" width="15.44140625" style="28" customWidth="1"/>
  </cols>
  <sheetData>
    <row r="1" spans="1:7" x14ac:dyDescent="0.3">
      <c r="A1" s="380" t="s">
        <v>187</v>
      </c>
      <c r="B1" s="380" t="s">
        <v>188</v>
      </c>
      <c r="C1" s="382" t="s">
        <v>275</v>
      </c>
      <c r="D1" s="382" t="s">
        <v>189</v>
      </c>
      <c r="E1" s="381" t="s">
        <v>273</v>
      </c>
      <c r="F1" s="381"/>
      <c r="G1" s="381"/>
    </row>
    <row r="2" spans="1:7" ht="27.6" x14ac:dyDescent="0.3">
      <c r="A2" s="380"/>
      <c r="B2" s="380"/>
      <c r="C2" s="382"/>
      <c r="D2" s="382"/>
      <c r="E2" s="73" t="s">
        <v>183</v>
      </c>
      <c r="F2" s="74" t="s">
        <v>184</v>
      </c>
      <c r="G2" s="74" t="s">
        <v>186</v>
      </c>
    </row>
    <row r="3" spans="1:7" ht="12.75" customHeight="1" x14ac:dyDescent="0.3">
      <c r="A3" s="129">
        <v>1</v>
      </c>
      <c r="B3" s="130">
        <v>2</v>
      </c>
      <c r="C3" s="130">
        <v>3</v>
      </c>
      <c r="D3" s="130">
        <v>4</v>
      </c>
      <c r="E3" s="130">
        <v>5</v>
      </c>
      <c r="F3" s="130">
        <v>6</v>
      </c>
      <c r="G3" s="130">
        <v>7</v>
      </c>
    </row>
    <row r="4" spans="1:7" x14ac:dyDescent="0.3">
      <c r="A4" s="87">
        <v>1</v>
      </c>
      <c r="B4" s="76" t="s">
        <v>161</v>
      </c>
      <c r="C4" s="87" t="s">
        <v>181</v>
      </c>
      <c r="D4" s="87">
        <v>190.476</v>
      </c>
      <c r="E4" s="78">
        <f>ROUND(1584/1.2,2)</f>
        <v>1320</v>
      </c>
      <c r="F4" s="82">
        <f>ROUND(E4*D4,2)</f>
        <v>251428.32</v>
      </c>
      <c r="G4" s="82">
        <f>ROUND(F4*1.2,2)</f>
        <v>301713.98</v>
      </c>
    </row>
    <row r="5" spans="1:7" x14ac:dyDescent="0.3">
      <c r="A5" s="87">
        <f>A4+1</f>
        <v>2</v>
      </c>
      <c r="B5" s="76" t="s">
        <v>279</v>
      </c>
      <c r="C5" s="87" t="s">
        <v>181</v>
      </c>
      <c r="D5" s="87">
        <v>642.83000000000004</v>
      </c>
      <c r="E5" s="78">
        <f>ROUND(5300/1.2,2)</f>
        <v>4416.67</v>
      </c>
      <c r="F5" s="82">
        <f t="shared" ref="F5:F10" si="0">ROUND(E5*D5,2)</f>
        <v>2839167.98</v>
      </c>
      <c r="G5" s="82">
        <f t="shared" ref="G5:G10" si="1">ROUND(F5*1.2,2)</f>
        <v>3407001.58</v>
      </c>
    </row>
    <row r="6" spans="1:7" x14ac:dyDescent="0.3">
      <c r="A6" s="87">
        <f>A5+1</f>
        <v>3</v>
      </c>
      <c r="B6" s="76" t="s">
        <v>190</v>
      </c>
      <c r="C6" s="87" t="s">
        <v>234</v>
      </c>
      <c r="D6" s="89">
        <f>300*3</f>
        <v>900</v>
      </c>
      <c r="E6" s="78">
        <f>ROUND(184/1.2,2)</f>
        <v>153.33000000000001</v>
      </c>
      <c r="F6" s="82">
        <f t="shared" si="0"/>
        <v>137997</v>
      </c>
      <c r="G6" s="82">
        <f t="shared" si="1"/>
        <v>165596.4</v>
      </c>
    </row>
    <row r="7" spans="1:7" ht="20.25" customHeight="1" x14ac:dyDescent="0.3">
      <c r="A7" s="87">
        <f t="shared" ref="A7:A11" si="2">A6+1</f>
        <v>4</v>
      </c>
      <c r="B7" s="76" t="s">
        <v>191</v>
      </c>
      <c r="C7" s="87" t="s">
        <v>182</v>
      </c>
      <c r="D7" s="89">
        <v>145.63</v>
      </c>
      <c r="E7" s="78">
        <f>ROUND(16500/1.2,2)</f>
        <v>13750</v>
      </c>
      <c r="F7" s="82">
        <f t="shared" si="0"/>
        <v>2002412.5</v>
      </c>
      <c r="G7" s="82">
        <f t="shared" si="1"/>
        <v>2402895</v>
      </c>
    </row>
    <row r="8" spans="1:7" ht="39" customHeight="1" x14ac:dyDescent="0.3">
      <c r="A8" s="87">
        <f t="shared" si="2"/>
        <v>5</v>
      </c>
      <c r="B8" s="76" t="s">
        <v>192</v>
      </c>
      <c r="C8" s="87" t="s">
        <v>182</v>
      </c>
      <c r="D8" s="89">
        <v>284</v>
      </c>
      <c r="E8" s="78">
        <f>ROUND(34100/1.2,2)</f>
        <v>28416.67</v>
      </c>
      <c r="F8" s="82">
        <f t="shared" si="0"/>
        <v>8070334.2800000003</v>
      </c>
      <c r="G8" s="82">
        <f t="shared" si="1"/>
        <v>9684401.1400000006</v>
      </c>
    </row>
    <row r="9" spans="1:7" x14ac:dyDescent="0.3">
      <c r="A9" s="87">
        <f t="shared" si="2"/>
        <v>6</v>
      </c>
      <c r="B9" s="76" t="s">
        <v>276</v>
      </c>
      <c r="C9" s="77" t="s">
        <v>178</v>
      </c>
      <c r="D9" s="89">
        <v>276</v>
      </c>
      <c r="E9" s="78">
        <f>ROUND(200/1.2,2)</f>
        <v>166.67</v>
      </c>
      <c r="F9" s="82">
        <f t="shared" si="0"/>
        <v>46000.92</v>
      </c>
      <c r="G9" s="82">
        <f t="shared" si="1"/>
        <v>55201.1</v>
      </c>
    </row>
    <row r="10" spans="1:7" x14ac:dyDescent="0.3">
      <c r="A10" s="87">
        <f t="shared" si="2"/>
        <v>7</v>
      </c>
      <c r="B10" s="76" t="s">
        <v>277</v>
      </c>
      <c r="C10" s="77" t="s">
        <v>178</v>
      </c>
      <c r="D10" s="89">
        <v>92</v>
      </c>
      <c r="E10" s="78">
        <f>ROUND(5841/1.2,2)</f>
        <v>4867.5</v>
      </c>
      <c r="F10" s="82">
        <f t="shared" si="0"/>
        <v>447810</v>
      </c>
      <c r="G10" s="82">
        <f t="shared" si="1"/>
        <v>537372</v>
      </c>
    </row>
    <row r="11" spans="1:7" x14ac:dyDescent="0.3">
      <c r="A11" s="57">
        <f t="shared" si="2"/>
        <v>8</v>
      </c>
      <c r="B11" s="176" t="s">
        <v>282</v>
      </c>
      <c r="C11" s="165" t="s">
        <v>294</v>
      </c>
      <c r="D11" s="69">
        <v>1</v>
      </c>
      <c r="E11" s="166">
        <v>330000</v>
      </c>
      <c r="F11" s="167">
        <f t="shared" ref="F11" si="3">ROUND(E11*D11,2)</f>
        <v>330000</v>
      </c>
      <c r="G11" s="167">
        <f t="shared" ref="G11" si="4">ROUND(F11*1.2,2)</f>
        <v>396000</v>
      </c>
    </row>
    <row r="12" spans="1:7" s="1" customFormat="1" x14ac:dyDescent="0.3">
      <c r="A12" s="80"/>
      <c r="B12" s="372" t="s">
        <v>284</v>
      </c>
      <c r="C12" s="373"/>
      <c r="D12" s="373"/>
      <c r="E12" s="374"/>
      <c r="F12" s="92">
        <f>SUM(F4:F11)</f>
        <v>14125151</v>
      </c>
      <c r="G12" s="92">
        <f>SUM(G4:G11)</f>
        <v>16950181.200000003</v>
      </c>
    </row>
    <row r="15" spans="1:7" x14ac:dyDescent="0.3">
      <c r="B15" s="52"/>
      <c r="G15" s="55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H129"/>
  <sheetViews>
    <sheetView tabSelected="1" view="pageBreakPreview" zoomScaleNormal="100" zoomScaleSheetLayoutView="100" workbookViewId="0">
      <selection activeCell="B38" sqref="B38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29.21875" style="304" customWidth="1"/>
  </cols>
  <sheetData>
    <row r="1" spans="1:8" x14ac:dyDescent="0.3">
      <c r="A1" s="384" t="s">
        <v>213</v>
      </c>
      <c r="B1" s="383" t="s">
        <v>188</v>
      </c>
      <c r="C1" s="383" t="s">
        <v>217</v>
      </c>
      <c r="D1" s="383" t="s">
        <v>189</v>
      </c>
      <c r="E1" s="383" t="s">
        <v>273</v>
      </c>
      <c r="F1" s="383"/>
      <c r="G1" s="383"/>
    </row>
    <row r="2" spans="1:8" ht="27.6" x14ac:dyDescent="0.3">
      <c r="A2" s="384"/>
      <c r="B2" s="383"/>
      <c r="C2" s="383"/>
      <c r="D2" s="383"/>
      <c r="E2" s="71" t="s">
        <v>244</v>
      </c>
      <c r="F2" s="71" t="s">
        <v>236</v>
      </c>
      <c r="G2" s="81" t="s">
        <v>223</v>
      </c>
    </row>
    <row r="3" spans="1:8" ht="17.25" customHeight="1" x14ac:dyDescent="0.3">
      <c r="A3" s="129">
        <v>1</v>
      </c>
      <c r="B3" s="130">
        <v>2</v>
      </c>
      <c r="C3" s="130">
        <v>3</v>
      </c>
      <c r="D3" s="130">
        <v>4</v>
      </c>
      <c r="E3" s="130">
        <v>5</v>
      </c>
      <c r="F3" s="130">
        <v>6</v>
      </c>
      <c r="G3" s="130">
        <v>7</v>
      </c>
    </row>
    <row r="4" spans="1:8" ht="27.6" x14ac:dyDescent="0.3">
      <c r="A4" s="134"/>
      <c r="B4" s="152" t="s">
        <v>255</v>
      </c>
      <c r="C4" s="142"/>
      <c r="D4" s="142"/>
      <c r="E4" s="135"/>
      <c r="F4" s="136"/>
      <c r="G4" s="147"/>
    </row>
    <row r="5" spans="1:8" ht="20.25" customHeight="1" x14ac:dyDescent="0.3">
      <c r="A5" s="132"/>
      <c r="B5" s="189" t="s">
        <v>585</v>
      </c>
      <c r="C5" s="190"/>
      <c r="D5" s="190"/>
      <c r="E5" s="191"/>
      <c r="F5" s="192"/>
      <c r="G5" s="193"/>
    </row>
    <row r="6" spans="1:8" ht="20.25" customHeight="1" x14ac:dyDescent="0.3">
      <c r="A6" s="69"/>
      <c r="B6" s="189" t="s">
        <v>576</v>
      </c>
      <c r="C6" s="197"/>
      <c r="D6" s="199"/>
      <c r="E6" s="200"/>
      <c r="F6" s="198"/>
      <c r="G6" s="193"/>
    </row>
    <row r="7" spans="1:8" ht="18.75" customHeight="1" x14ac:dyDescent="0.3">
      <c r="A7" s="69">
        <f>A6+1</f>
        <v>1</v>
      </c>
      <c r="B7" s="58" t="s">
        <v>578</v>
      </c>
      <c r="C7" s="57" t="s">
        <v>182</v>
      </c>
      <c r="D7" s="60">
        <v>36</v>
      </c>
      <c r="E7" s="150">
        <f>728*0.7</f>
        <v>509.59999999999997</v>
      </c>
      <c r="F7" s="82">
        <f t="shared" ref="F7" si="0">ROUND(E7*D7,2)</f>
        <v>18345.599999999999</v>
      </c>
      <c r="G7" s="82">
        <f t="shared" ref="G7" si="1">ROUND(F7*1.2,2)</f>
        <v>22014.720000000001</v>
      </c>
    </row>
    <row r="8" spans="1:8" ht="17.25" customHeight="1" x14ac:dyDescent="0.3">
      <c r="A8" s="69"/>
      <c r="B8" s="201" t="s">
        <v>577</v>
      </c>
      <c r="C8" s="202"/>
      <c r="D8" s="199"/>
      <c r="E8" s="200"/>
      <c r="F8" s="198"/>
      <c r="G8" s="193"/>
    </row>
    <row r="9" spans="1:8" ht="15.6" x14ac:dyDescent="0.3">
      <c r="A9" s="69">
        <f>A7+1</f>
        <v>2</v>
      </c>
      <c r="B9" s="58" t="s">
        <v>578</v>
      </c>
      <c r="C9" s="57" t="s">
        <v>182</v>
      </c>
      <c r="D9" s="60">
        <f>6.3+17.2</f>
        <v>23.5</v>
      </c>
      <c r="E9" s="150">
        <f>728</f>
        <v>728</v>
      </c>
      <c r="F9" s="82">
        <f t="shared" ref="F9:F10" si="2">ROUND(E9*D9,2)</f>
        <v>17108</v>
      </c>
      <c r="G9" s="82">
        <f t="shared" ref="G9:G10" si="3">ROUND(F9*1.2,2)</f>
        <v>20529.599999999999</v>
      </c>
    </row>
    <row r="10" spans="1:8" ht="15.6" x14ac:dyDescent="0.3">
      <c r="A10" s="69">
        <f>A9+1</f>
        <v>3</v>
      </c>
      <c r="B10" s="58" t="s">
        <v>579</v>
      </c>
      <c r="C10" s="57" t="s">
        <v>207</v>
      </c>
      <c r="D10" s="60">
        <f>2+3</f>
        <v>5</v>
      </c>
      <c r="E10" s="150">
        <v>4347</v>
      </c>
      <c r="F10" s="82">
        <f t="shared" si="2"/>
        <v>21735</v>
      </c>
      <c r="G10" s="82">
        <f t="shared" si="3"/>
        <v>26082</v>
      </c>
    </row>
    <row r="11" spans="1:8" ht="22.5" customHeight="1" x14ac:dyDescent="0.3">
      <c r="A11" s="134"/>
      <c r="B11" s="152" t="s">
        <v>258</v>
      </c>
      <c r="C11" s="142"/>
      <c r="D11" s="142"/>
      <c r="E11" s="135"/>
      <c r="F11" s="136"/>
      <c r="G11" s="147"/>
      <c r="H11" s="305"/>
    </row>
    <row r="12" spans="1:8" ht="16.5" customHeight="1" x14ac:dyDescent="0.3">
      <c r="A12" s="132"/>
      <c r="B12" s="189" t="s">
        <v>557</v>
      </c>
      <c r="C12" s="190"/>
      <c r="D12" s="190"/>
      <c r="E12" s="191"/>
      <c r="F12" s="192"/>
      <c r="G12" s="193"/>
      <c r="H12" s="305"/>
    </row>
    <row r="13" spans="1:8" x14ac:dyDescent="0.3">
      <c r="A13" s="69"/>
      <c r="B13" s="56" t="s">
        <v>248</v>
      </c>
      <c r="C13" s="57"/>
      <c r="D13" s="60"/>
      <c r="E13" s="70"/>
      <c r="F13" s="141"/>
      <c r="G13" s="148"/>
    </row>
    <row r="14" spans="1:8" ht="15.6" x14ac:dyDescent="0.3">
      <c r="A14" s="69">
        <f>A10+1</f>
        <v>4</v>
      </c>
      <c r="B14" s="58" t="s">
        <v>271</v>
      </c>
      <c r="C14" s="57" t="s">
        <v>181</v>
      </c>
      <c r="D14" s="60">
        <v>103</v>
      </c>
      <c r="E14" s="150">
        <v>2015</v>
      </c>
      <c r="F14" s="82">
        <f t="shared" ref="F14:F17" si="4">ROUND(E14*D14,2)</f>
        <v>207545</v>
      </c>
      <c r="G14" s="82">
        <f t="shared" ref="G14:G17" si="5">ROUND(F14*1.2,2)</f>
        <v>249054</v>
      </c>
    </row>
    <row r="15" spans="1:8" ht="15.6" x14ac:dyDescent="0.3">
      <c r="A15" s="69">
        <f>A14+1</f>
        <v>5</v>
      </c>
      <c r="B15" s="185" t="s">
        <v>558</v>
      </c>
      <c r="C15" s="182" t="s">
        <v>234</v>
      </c>
      <c r="D15" s="183">
        <v>149.28</v>
      </c>
      <c r="E15" s="151">
        <v>481</v>
      </c>
      <c r="F15" s="184">
        <f t="shared" si="4"/>
        <v>71803.679999999993</v>
      </c>
      <c r="G15" s="184">
        <f t="shared" si="5"/>
        <v>86164.42</v>
      </c>
    </row>
    <row r="16" spans="1:8" ht="15.6" x14ac:dyDescent="0.3">
      <c r="A16" s="69">
        <f t="shared" ref="A16:A22" si="6">A15+1</f>
        <v>6</v>
      </c>
      <c r="B16" s="58" t="s">
        <v>252</v>
      </c>
      <c r="C16" s="57" t="s">
        <v>181</v>
      </c>
      <c r="D16" s="59">
        <v>12.12</v>
      </c>
      <c r="E16" s="150">
        <v>1379</v>
      </c>
      <c r="F16" s="82">
        <f t="shared" si="4"/>
        <v>16713.48</v>
      </c>
      <c r="G16" s="82">
        <f t="shared" si="5"/>
        <v>20056.18</v>
      </c>
    </row>
    <row r="17" spans="1:8" ht="15.6" x14ac:dyDescent="0.3">
      <c r="A17" s="69">
        <f t="shared" si="6"/>
        <v>7</v>
      </c>
      <c r="B17" s="58" t="s">
        <v>253</v>
      </c>
      <c r="C17" s="57" t="s">
        <v>181</v>
      </c>
      <c r="D17" s="59">
        <v>26</v>
      </c>
      <c r="E17" s="150">
        <v>1379</v>
      </c>
      <c r="F17" s="82">
        <f t="shared" si="4"/>
        <v>35854</v>
      </c>
      <c r="G17" s="82">
        <f t="shared" si="5"/>
        <v>43024.800000000003</v>
      </c>
    </row>
    <row r="18" spans="1:8" s="303" customFormat="1" ht="15.6" x14ac:dyDescent="0.3">
      <c r="A18" s="297">
        <f t="shared" si="6"/>
        <v>8</v>
      </c>
      <c r="B18" s="298" t="s">
        <v>249</v>
      </c>
      <c r="C18" s="299" t="s">
        <v>181</v>
      </c>
      <c r="D18" s="300">
        <f>63.54*0.05</f>
        <v>3.177</v>
      </c>
      <c r="E18" s="301">
        <v>125</v>
      </c>
      <c r="F18" s="302">
        <f t="shared" ref="F18:F22" si="7">ROUND(E18*D18,2)</f>
        <v>397.13</v>
      </c>
      <c r="G18" s="302">
        <f t="shared" ref="G18:G22" si="8">ROUND(F18*1.2,2)</f>
        <v>476.56</v>
      </c>
      <c r="H18" s="306" t="s">
        <v>940</v>
      </c>
    </row>
    <row r="19" spans="1:8" s="303" customFormat="1" ht="15.6" x14ac:dyDescent="0.3">
      <c r="A19" s="297">
        <f t="shared" si="6"/>
        <v>9</v>
      </c>
      <c r="B19" s="298" t="s">
        <v>266</v>
      </c>
      <c r="C19" s="299" t="s">
        <v>181</v>
      </c>
      <c r="D19" s="300">
        <f>63.54-D18</f>
        <v>60.363</v>
      </c>
      <c r="E19" s="301">
        <v>899</v>
      </c>
      <c r="F19" s="302">
        <f t="shared" si="7"/>
        <v>54266.34</v>
      </c>
      <c r="G19" s="302">
        <f t="shared" si="8"/>
        <v>65119.61</v>
      </c>
      <c r="H19" s="306">
        <v>3.18</v>
      </c>
    </row>
    <row r="20" spans="1:8" ht="15.6" x14ac:dyDescent="0.3">
      <c r="A20" s="238">
        <f t="shared" si="6"/>
        <v>10</v>
      </c>
      <c r="B20" s="239" t="s">
        <v>245</v>
      </c>
      <c r="C20" s="238" t="s">
        <v>181</v>
      </c>
      <c r="D20" s="240">
        <f>D19</f>
        <v>60.363</v>
      </c>
      <c r="E20" s="241">
        <v>198</v>
      </c>
      <c r="F20" s="242">
        <f t="shared" si="7"/>
        <v>11951.87</v>
      </c>
      <c r="G20" s="242">
        <f t="shared" si="8"/>
        <v>14342.24</v>
      </c>
    </row>
    <row r="21" spans="1:8" ht="15.6" x14ac:dyDescent="0.3">
      <c r="A21" s="238">
        <f t="shared" si="6"/>
        <v>11</v>
      </c>
      <c r="B21" s="239" t="s">
        <v>251</v>
      </c>
      <c r="C21" s="238" t="s">
        <v>219</v>
      </c>
      <c r="D21" s="243">
        <f>(12.12+26+1.35)*1.75</f>
        <v>69.072499999999991</v>
      </c>
      <c r="E21" s="241">
        <v>325</v>
      </c>
      <c r="F21" s="242">
        <f t="shared" si="7"/>
        <v>22448.560000000001</v>
      </c>
      <c r="G21" s="242">
        <f t="shared" si="8"/>
        <v>26938.27</v>
      </c>
    </row>
    <row r="22" spans="1:8" ht="15.6" x14ac:dyDescent="0.3">
      <c r="A22" s="238">
        <f t="shared" si="6"/>
        <v>12</v>
      </c>
      <c r="B22" s="239" t="s">
        <v>247</v>
      </c>
      <c r="C22" s="238" t="s">
        <v>219</v>
      </c>
      <c r="D22" s="243">
        <f>D21</f>
        <v>69.072499999999991</v>
      </c>
      <c r="E22" s="241">
        <v>3460</v>
      </c>
      <c r="F22" s="242">
        <f t="shared" si="7"/>
        <v>238990.85</v>
      </c>
      <c r="G22" s="242">
        <f t="shared" si="8"/>
        <v>286789.02</v>
      </c>
    </row>
    <row r="23" spans="1:8" ht="15.6" x14ac:dyDescent="0.3">
      <c r="A23" s="69"/>
      <c r="B23" s="56" t="s">
        <v>254</v>
      </c>
      <c r="C23" s="57"/>
      <c r="D23" s="60"/>
      <c r="E23" s="150"/>
      <c r="F23" s="82"/>
      <c r="G23" s="82"/>
    </row>
    <row r="24" spans="1:8" ht="15.6" x14ac:dyDescent="0.3">
      <c r="A24" s="69">
        <f>A22+1</f>
        <v>13</v>
      </c>
      <c r="B24" s="58" t="s">
        <v>268</v>
      </c>
      <c r="C24" s="57" t="s">
        <v>182</v>
      </c>
      <c r="D24" s="59">
        <f>3.95+4.33</f>
        <v>8.2800000000000011</v>
      </c>
      <c r="E24" s="150">
        <v>4846</v>
      </c>
      <c r="F24" s="82">
        <f t="shared" ref="F24:F35" si="9">ROUND(E24*D24,2)</f>
        <v>40124.879999999997</v>
      </c>
      <c r="G24" s="82">
        <f t="shared" ref="G24:G35" si="10">ROUND(F24*1.2,2)</f>
        <v>48149.86</v>
      </c>
      <c r="H24" s="307"/>
    </row>
    <row r="25" spans="1:8" ht="15.6" x14ac:dyDescent="0.3">
      <c r="A25" s="69">
        <f>A24+1</f>
        <v>14</v>
      </c>
      <c r="B25" s="58" t="s">
        <v>270</v>
      </c>
      <c r="C25" s="57" t="s">
        <v>182</v>
      </c>
      <c r="D25" s="59">
        <f>29.27</f>
        <v>29.27</v>
      </c>
      <c r="E25" s="150">
        <v>1017</v>
      </c>
      <c r="F25" s="82">
        <f>ROUND(E25*D25,2)</f>
        <v>29767.59</v>
      </c>
      <c r="G25" s="82">
        <f>ROUND(F25*1.2,2)</f>
        <v>35721.11</v>
      </c>
      <c r="H25" s="307"/>
    </row>
    <row r="26" spans="1:8" ht="15.6" x14ac:dyDescent="0.3">
      <c r="A26" s="69">
        <f t="shared" ref="A26:A27" si="11">A25+1</f>
        <v>15</v>
      </c>
      <c r="B26" s="239" t="s">
        <v>269</v>
      </c>
      <c r="C26" s="238" t="s">
        <v>267</v>
      </c>
      <c r="D26" s="244">
        <v>2</v>
      </c>
      <c r="E26" s="241">
        <v>4504</v>
      </c>
      <c r="F26" s="242">
        <f t="shared" si="9"/>
        <v>9008</v>
      </c>
      <c r="G26" s="242">
        <f t="shared" si="10"/>
        <v>10809.6</v>
      </c>
    </row>
    <row r="27" spans="1:8" ht="27.6" x14ac:dyDescent="0.3">
      <c r="A27" s="69">
        <f t="shared" si="11"/>
        <v>16</v>
      </c>
      <c r="B27" s="245" t="s">
        <v>485</v>
      </c>
      <c r="C27" s="238" t="s">
        <v>181</v>
      </c>
      <c r="D27" s="240">
        <f>(3.14*0.189*0.189-3.14*0.08*0.08)*8.298</f>
        <v>0.76397976611999996</v>
      </c>
      <c r="E27" s="241">
        <v>9227.06</v>
      </c>
      <c r="F27" s="242">
        <f t="shared" si="9"/>
        <v>7049.29</v>
      </c>
      <c r="G27" s="242">
        <f t="shared" si="10"/>
        <v>8459.15</v>
      </c>
    </row>
    <row r="28" spans="1:8" ht="15.6" x14ac:dyDescent="0.3">
      <c r="A28" s="69"/>
      <c r="B28" s="246" t="s">
        <v>559</v>
      </c>
      <c r="C28" s="238"/>
      <c r="D28" s="244"/>
      <c r="E28" s="241"/>
      <c r="F28" s="242"/>
      <c r="G28" s="242"/>
    </row>
    <row r="29" spans="1:8" ht="15.6" x14ac:dyDescent="0.3">
      <c r="A29" s="69">
        <f>A27+1</f>
        <v>17</v>
      </c>
      <c r="B29" s="239" t="s">
        <v>563</v>
      </c>
      <c r="C29" s="238" t="s">
        <v>182</v>
      </c>
      <c r="D29" s="244">
        <v>27</v>
      </c>
      <c r="E29" s="241">
        <f>1017*0.6</f>
        <v>610.19999999999993</v>
      </c>
      <c r="F29" s="242">
        <f>ROUND(E29*D29,2)</f>
        <v>16475.400000000001</v>
      </c>
      <c r="G29" s="242">
        <f>ROUND(F29*1.2,2)</f>
        <v>19770.48</v>
      </c>
    </row>
    <row r="30" spans="1:8" ht="15.6" x14ac:dyDescent="0.3">
      <c r="A30" s="69">
        <f>A29+1</f>
        <v>18</v>
      </c>
      <c r="B30" s="239" t="s">
        <v>564</v>
      </c>
      <c r="C30" s="238" t="s">
        <v>207</v>
      </c>
      <c r="D30" s="244">
        <v>1</v>
      </c>
      <c r="E30" s="241">
        <f>2078*0.8</f>
        <v>1662.4</v>
      </c>
      <c r="F30" s="242">
        <f t="shared" ref="F30" si="12">ROUND(E30*D30,2)</f>
        <v>1662.4</v>
      </c>
      <c r="G30" s="242">
        <f t="shared" ref="G30" si="13">ROUND(F30*1.2,2)</f>
        <v>1994.88</v>
      </c>
    </row>
    <row r="31" spans="1:8" ht="15.6" x14ac:dyDescent="0.3">
      <c r="A31" s="69">
        <f t="shared" ref="A31:A35" si="14">A30+1</f>
        <v>19</v>
      </c>
      <c r="B31" s="239" t="s">
        <v>560</v>
      </c>
      <c r="C31" s="238" t="s">
        <v>181</v>
      </c>
      <c r="D31" s="240">
        <f>0.3*3.14*0.95*0.12*2</f>
        <v>0.21477599999999997</v>
      </c>
      <c r="E31" s="241">
        <f>6799*0.8</f>
        <v>5439.2000000000007</v>
      </c>
      <c r="F31" s="242">
        <f t="shared" si="9"/>
        <v>1168.21</v>
      </c>
      <c r="G31" s="242">
        <f t="shared" si="10"/>
        <v>1401.85</v>
      </c>
      <c r="H31" s="308"/>
    </row>
    <row r="32" spans="1:8" s="54" customFormat="1" ht="15.6" x14ac:dyDescent="0.3">
      <c r="A32" s="69">
        <f t="shared" si="14"/>
        <v>20</v>
      </c>
      <c r="B32" s="239" t="s">
        <v>561</v>
      </c>
      <c r="C32" s="238" t="s">
        <v>182</v>
      </c>
      <c r="D32" s="247">
        <f>0.15*2</f>
        <v>0.3</v>
      </c>
      <c r="E32" s="241">
        <v>15842.5</v>
      </c>
      <c r="F32" s="242">
        <f t="shared" si="9"/>
        <v>4752.75</v>
      </c>
      <c r="G32" s="242">
        <f t="shared" si="10"/>
        <v>5703.3</v>
      </c>
      <c r="H32" s="309"/>
    </row>
    <row r="33" spans="1:7" ht="18.75" customHeight="1" x14ac:dyDescent="0.3">
      <c r="A33" s="69">
        <f t="shared" si="14"/>
        <v>21</v>
      </c>
      <c r="B33" s="245" t="s">
        <v>588</v>
      </c>
      <c r="C33" s="238" t="s">
        <v>207</v>
      </c>
      <c r="D33" s="244">
        <v>2</v>
      </c>
      <c r="E33" s="241">
        <v>3151</v>
      </c>
      <c r="F33" s="242">
        <f t="shared" ref="F33" si="15">ROUND(E33*D33,2)</f>
        <v>6302</v>
      </c>
      <c r="G33" s="242">
        <f t="shared" ref="G33" si="16">ROUND(F33*1.2,2)</f>
        <v>7562.4</v>
      </c>
    </row>
    <row r="34" spans="1:7" ht="27.6" x14ac:dyDescent="0.3">
      <c r="A34" s="69">
        <f t="shared" si="14"/>
        <v>22</v>
      </c>
      <c r="B34" s="239" t="s">
        <v>562</v>
      </c>
      <c r="C34" s="238" t="s">
        <v>181</v>
      </c>
      <c r="D34" s="240">
        <f>0.02*2</f>
        <v>0.04</v>
      </c>
      <c r="E34" s="241">
        <v>18174.398148148146</v>
      </c>
      <c r="F34" s="242">
        <f t="shared" si="9"/>
        <v>726.98</v>
      </c>
      <c r="G34" s="242">
        <f t="shared" si="10"/>
        <v>872.38</v>
      </c>
    </row>
    <row r="35" spans="1:7" ht="15.6" x14ac:dyDescent="0.3">
      <c r="A35" s="69">
        <f t="shared" si="14"/>
        <v>23</v>
      </c>
      <c r="B35" s="239" t="s">
        <v>565</v>
      </c>
      <c r="C35" s="238" t="s">
        <v>207</v>
      </c>
      <c r="D35" s="244">
        <v>1</v>
      </c>
      <c r="E35" s="241">
        <f>2078</f>
        <v>2078</v>
      </c>
      <c r="F35" s="242">
        <f t="shared" si="9"/>
        <v>2078</v>
      </c>
      <c r="G35" s="242">
        <f t="shared" si="10"/>
        <v>2493.6</v>
      </c>
    </row>
    <row r="36" spans="1:7" ht="22.5" customHeight="1" x14ac:dyDescent="0.3">
      <c r="A36" s="134"/>
      <c r="B36" s="152" t="s">
        <v>488</v>
      </c>
      <c r="C36" s="142"/>
      <c r="D36" s="142"/>
      <c r="E36" s="135"/>
      <c r="F36" s="136"/>
      <c r="G36" s="147"/>
    </row>
    <row r="37" spans="1:7" x14ac:dyDescent="0.3">
      <c r="A37" s="69"/>
      <c r="B37" s="189" t="s">
        <v>567</v>
      </c>
      <c r="C37" s="197"/>
      <c r="D37" s="199"/>
      <c r="E37" s="200"/>
      <c r="F37" s="198"/>
      <c r="G37" s="193"/>
    </row>
    <row r="38" spans="1:7" ht="27.6" x14ac:dyDescent="0.3">
      <c r="A38" s="69">
        <f>A35+1</f>
        <v>24</v>
      </c>
      <c r="B38" s="58" t="s">
        <v>569</v>
      </c>
      <c r="C38" s="57" t="s">
        <v>182</v>
      </c>
      <c r="D38" s="59">
        <v>391.87</v>
      </c>
      <c r="E38" s="150">
        <f>289*0.8</f>
        <v>231.20000000000002</v>
      </c>
      <c r="F38" s="82">
        <f t="shared" ref="F38:F40" si="17">ROUND(E38*D38,2)</f>
        <v>90600.34</v>
      </c>
      <c r="G38" s="82">
        <f t="shared" ref="G38:G40" si="18">ROUND(F38*1.2,2)</f>
        <v>108720.41</v>
      </c>
    </row>
    <row r="39" spans="1:7" ht="15.6" x14ac:dyDescent="0.3">
      <c r="A39" s="69">
        <f>A38+1</f>
        <v>25</v>
      </c>
      <c r="B39" s="58" t="s">
        <v>570</v>
      </c>
      <c r="C39" s="57" t="s">
        <v>182</v>
      </c>
      <c r="D39" s="59">
        <v>67.239999999999995</v>
      </c>
      <c r="E39" s="150">
        <f>378*0.8</f>
        <v>302.40000000000003</v>
      </c>
      <c r="F39" s="82">
        <f t="shared" si="17"/>
        <v>20333.38</v>
      </c>
      <c r="G39" s="82">
        <f t="shared" si="18"/>
        <v>24400.06</v>
      </c>
    </row>
    <row r="40" spans="1:7" ht="15.6" x14ac:dyDescent="0.3">
      <c r="A40" s="69">
        <f t="shared" ref="A40:A42" si="19">A39+1</f>
        <v>26</v>
      </c>
      <c r="B40" s="58" t="s">
        <v>568</v>
      </c>
      <c r="C40" s="57" t="s">
        <v>207</v>
      </c>
      <c r="D40" s="60">
        <v>2</v>
      </c>
      <c r="E40" s="150">
        <v>7069</v>
      </c>
      <c r="F40" s="82">
        <f t="shared" si="17"/>
        <v>14138</v>
      </c>
      <c r="G40" s="82">
        <f t="shared" si="18"/>
        <v>16965.599999999999</v>
      </c>
    </row>
    <row r="41" spans="1:7" ht="27.6" x14ac:dyDescent="0.3">
      <c r="A41" s="69">
        <f t="shared" si="19"/>
        <v>27</v>
      </c>
      <c r="B41" s="58" t="s">
        <v>571</v>
      </c>
      <c r="C41" s="57" t="s">
        <v>182</v>
      </c>
      <c r="D41" s="60">
        <f>D38</f>
        <v>391.87</v>
      </c>
      <c r="E41" s="150">
        <v>360</v>
      </c>
      <c r="F41" s="82">
        <f t="shared" ref="F41:F42" si="20">ROUND(E41*D41,2)</f>
        <v>141073.20000000001</v>
      </c>
      <c r="G41" s="82">
        <f t="shared" ref="G41:G42" si="21">ROUND(F41*1.2,2)</f>
        <v>169287.84</v>
      </c>
    </row>
    <row r="42" spans="1:7" ht="27.6" x14ac:dyDescent="0.3">
      <c r="A42" s="69">
        <f t="shared" si="19"/>
        <v>28</v>
      </c>
      <c r="B42" s="58" t="s">
        <v>572</v>
      </c>
      <c r="C42" s="57" t="s">
        <v>182</v>
      </c>
      <c r="D42" s="59">
        <f>D39</f>
        <v>67.239999999999995</v>
      </c>
      <c r="E42" s="150">
        <f>378*0.8</f>
        <v>302.40000000000003</v>
      </c>
      <c r="F42" s="82">
        <f t="shared" si="20"/>
        <v>20333.38</v>
      </c>
      <c r="G42" s="82">
        <f t="shared" si="21"/>
        <v>24400.06</v>
      </c>
    </row>
    <row r="43" spans="1:7" ht="18" customHeight="1" x14ac:dyDescent="0.3">
      <c r="A43" s="69"/>
      <c r="B43" s="189" t="s">
        <v>574</v>
      </c>
      <c r="C43" s="197"/>
      <c r="D43" s="199"/>
      <c r="E43" s="200"/>
      <c r="F43" s="198"/>
      <c r="G43" s="193"/>
    </row>
    <row r="44" spans="1:7" ht="27.6" x14ac:dyDescent="0.3">
      <c r="A44" s="69">
        <f>A42+1</f>
        <v>29</v>
      </c>
      <c r="B44" s="58" t="s">
        <v>569</v>
      </c>
      <c r="C44" s="57" t="s">
        <v>182</v>
      </c>
      <c r="D44" s="59">
        <v>408</v>
      </c>
      <c r="E44" s="150">
        <f>289*0.8</f>
        <v>231.20000000000002</v>
      </c>
      <c r="F44" s="82">
        <f t="shared" ref="F44:F45" si="22">ROUND(E44*D44,2)</f>
        <v>94329.600000000006</v>
      </c>
      <c r="G44" s="82">
        <f t="shared" ref="G44:G45" si="23">ROUND(F44*1.2,2)</f>
        <v>113195.52</v>
      </c>
    </row>
    <row r="45" spans="1:7" ht="27.6" x14ac:dyDescent="0.3">
      <c r="A45" s="69">
        <f>A44+1</f>
        <v>30</v>
      </c>
      <c r="B45" s="58" t="s">
        <v>571</v>
      </c>
      <c r="C45" s="57" t="s">
        <v>182</v>
      </c>
      <c r="D45" s="59">
        <f>D44</f>
        <v>408</v>
      </c>
      <c r="E45" s="150">
        <v>289</v>
      </c>
      <c r="F45" s="82">
        <f t="shared" si="22"/>
        <v>117912</v>
      </c>
      <c r="G45" s="82">
        <f t="shared" si="23"/>
        <v>141494.39999999999</v>
      </c>
    </row>
    <row r="46" spans="1:7" x14ac:dyDescent="0.3">
      <c r="A46" s="385" t="s">
        <v>194</v>
      </c>
      <c r="B46" s="386"/>
      <c r="C46" s="101"/>
      <c r="D46" s="101"/>
      <c r="E46" s="102"/>
      <c r="F46" s="101"/>
      <c r="G46" s="101"/>
    </row>
    <row r="47" spans="1:7" ht="20.25" customHeight="1" x14ac:dyDescent="0.3">
      <c r="A47" s="89"/>
      <c r="B47" s="204" t="s">
        <v>581</v>
      </c>
      <c r="C47" s="203"/>
      <c r="D47" s="205"/>
      <c r="E47" s="206"/>
      <c r="F47" s="157"/>
      <c r="G47" s="157"/>
    </row>
    <row r="48" spans="1:7" ht="26.25" customHeight="1" x14ac:dyDescent="0.3">
      <c r="A48" s="87">
        <f>A45+1</f>
        <v>31</v>
      </c>
      <c r="B48" s="88" t="s">
        <v>228</v>
      </c>
      <c r="C48" s="87" t="s">
        <v>182</v>
      </c>
      <c r="D48" s="90">
        <f>217.47+79.75+37.17</f>
        <v>334.39000000000004</v>
      </c>
      <c r="E48" s="91">
        <v>2084</v>
      </c>
      <c r="F48" s="82">
        <f t="shared" ref="F48" si="24">ROUND(E48*D48,2)</f>
        <v>696868.76</v>
      </c>
      <c r="G48" s="82">
        <f t="shared" ref="G48" si="25">ROUND(F48*1.2,2)</f>
        <v>836242.51</v>
      </c>
    </row>
    <row r="49" spans="1:7" ht="23.25" customHeight="1" x14ac:dyDescent="0.3">
      <c r="A49" s="134"/>
      <c r="B49" s="188" t="s">
        <v>489</v>
      </c>
      <c r="C49" s="142"/>
      <c r="D49" s="142"/>
      <c r="E49" s="135"/>
      <c r="F49" s="136"/>
      <c r="G49" s="147"/>
    </row>
    <row r="50" spans="1:7" ht="19.5" customHeight="1" x14ac:dyDescent="0.3">
      <c r="A50" s="89"/>
      <c r="B50" s="204" t="s">
        <v>583</v>
      </c>
      <c r="C50" s="203"/>
      <c r="D50" s="205"/>
      <c r="E50" s="206"/>
      <c r="F50" s="157"/>
      <c r="G50" s="157"/>
    </row>
    <row r="51" spans="1:7" ht="19.5" customHeight="1" x14ac:dyDescent="0.3">
      <c r="A51" s="69">
        <f>A48+1</f>
        <v>32</v>
      </c>
      <c r="B51" s="58" t="s">
        <v>271</v>
      </c>
      <c r="C51" s="57" t="s">
        <v>181</v>
      </c>
      <c r="D51" s="59">
        <v>58.37</v>
      </c>
      <c r="E51" s="150">
        <v>1777</v>
      </c>
      <c r="F51" s="82">
        <f t="shared" ref="F51:F63" si="26">ROUND(E51*D51,2)</f>
        <v>103723.49</v>
      </c>
      <c r="G51" s="82">
        <f t="shared" ref="G51:G63" si="27">ROUND(F51*1.2,2)</f>
        <v>124468.19</v>
      </c>
    </row>
    <row r="52" spans="1:7" ht="19.5" customHeight="1" x14ac:dyDescent="0.3">
      <c r="A52" s="69">
        <f>A51+1</f>
        <v>33</v>
      </c>
      <c r="B52" s="58" t="s">
        <v>252</v>
      </c>
      <c r="C52" s="57" t="s">
        <v>181</v>
      </c>
      <c r="D52" s="59">
        <v>4.8600000000000003</v>
      </c>
      <c r="E52" s="150">
        <v>1379</v>
      </c>
      <c r="F52" s="82">
        <f t="shared" si="26"/>
        <v>6701.94</v>
      </c>
      <c r="G52" s="82">
        <f t="shared" si="27"/>
        <v>8042.33</v>
      </c>
    </row>
    <row r="53" spans="1:7" ht="15" customHeight="1" x14ac:dyDescent="0.3">
      <c r="A53" s="89"/>
      <c r="B53" s="204" t="s">
        <v>584</v>
      </c>
      <c r="C53" s="203"/>
      <c r="D53" s="205"/>
      <c r="E53" s="206"/>
      <c r="F53" s="157"/>
      <c r="G53" s="157"/>
    </row>
    <row r="54" spans="1:7" ht="19.5" customHeight="1" x14ac:dyDescent="0.3">
      <c r="A54" s="69">
        <f>A52+1</f>
        <v>34</v>
      </c>
      <c r="B54" s="58" t="s">
        <v>486</v>
      </c>
      <c r="C54" s="57" t="s">
        <v>181</v>
      </c>
      <c r="D54" s="59">
        <v>13.37</v>
      </c>
      <c r="E54" s="150">
        <v>1379</v>
      </c>
      <c r="F54" s="82">
        <f t="shared" si="26"/>
        <v>18437.23</v>
      </c>
      <c r="G54" s="82">
        <f t="shared" si="27"/>
        <v>22124.68</v>
      </c>
    </row>
    <row r="55" spans="1:7" ht="19.5" customHeight="1" x14ac:dyDescent="0.3">
      <c r="A55" s="69">
        <f>A54+1</f>
        <v>35</v>
      </c>
      <c r="B55" s="187" t="s">
        <v>582</v>
      </c>
      <c r="C55" s="182" t="s">
        <v>182</v>
      </c>
      <c r="D55" s="186">
        <v>160</v>
      </c>
      <c r="E55" s="151">
        <v>18.45</v>
      </c>
      <c r="F55" s="184">
        <f t="shared" si="26"/>
        <v>2952</v>
      </c>
      <c r="G55" s="184">
        <f t="shared" si="27"/>
        <v>3542.4</v>
      </c>
    </row>
    <row r="56" spans="1:7" ht="17.25" customHeight="1" x14ac:dyDescent="0.3">
      <c r="A56" s="69">
        <f t="shared" ref="A56:A63" si="28">A55+1</f>
        <v>36</v>
      </c>
      <c r="B56" s="58" t="s">
        <v>272</v>
      </c>
      <c r="C56" s="57" t="s">
        <v>181</v>
      </c>
      <c r="D56" s="59">
        <v>43.78</v>
      </c>
      <c r="E56" s="150">
        <v>899</v>
      </c>
      <c r="F56" s="82">
        <f t="shared" si="26"/>
        <v>39358.22</v>
      </c>
      <c r="G56" s="82">
        <f t="shared" si="27"/>
        <v>47229.86</v>
      </c>
    </row>
    <row r="57" spans="1:7" ht="19.5" customHeight="1" x14ac:dyDescent="0.3">
      <c r="A57" s="238">
        <f t="shared" si="28"/>
        <v>37</v>
      </c>
      <c r="B57" s="239" t="s">
        <v>251</v>
      </c>
      <c r="C57" s="238" t="s">
        <v>219</v>
      </c>
      <c r="D57" s="240">
        <f>(D52+D54)*1.75</f>
        <v>31.9025</v>
      </c>
      <c r="E57" s="241">
        <v>325</v>
      </c>
      <c r="F57" s="242">
        <f t="shared" si="26"/>
        <v>10368.31</v>
      </c>
      <c r="G57" s="242">
        <f t="shared" si="27"/>
        <v>12441.97</v>
      </c>
    </row>
    <row r="58" spans="1:7" ht="19.5" customHeight="1" x14ac:dyDescent="0.3">
      <c r="A58" s="238">
        <f t="shared" si="28"/>
        <v>38</v>
      </c>
      <c r="B58" s="239" t="s">
        <v>247</v>
      </c>
      <c r="C58" s="238" t="s">
        <v>219</v>
      </c>
      <c r="D58" s="240">
        <f>D57</f>
        <v>31.9025</v>
      </c>
      <c r="E58" s="241">
        <v>3460</v>
      </c>
      <c r="F58" s="242">
        <f t="shared" si="26"/>
        <v>110382.65</v>
      </c>
      <c r="G58" s="242">
        <f t="shared" si="27"/>
        <v>132459.18</v>
      </c>
    </row>
    <row r="59" spans="1:7" ht="19.5" customHeight="1" x14ac:dyDescent="0.3">
      <c r="A59" s="69">
        <f t="shared" si="28"/>
        <v>39</v>
      </c>
      <c r="B59" s="185" t="s">
        <v>594</v>
      </c>
      <c r="C59" s="182" t="s">
        <v>182</v>
      </c>
      <c r="D59" s="183">
        <v>60.36</v>
      </c>
      <c r="E59" s="151">
        <v>1210</v>
      </c>
      <c r="F59" s="184">
        <f t="shared" si="26"/>
        <v>73035.600000000006</v>
      </c>
      <c r="G59" s="184">
        <f t="shared" si="27"/>
        <v>87642.72</v>
      </c>
    </row>
    <row r="60" spans="1:7" ht="19.5" customHeight="1" x14ac:dyDescent="0.3">
      <c r="A60" s="69">
        <f t="shared" si="28"/>
        <v>40</v>
      </c>
      <c r="B60" s="58" t="s">
        <v>591</v>
      </c>
      <c r="C60" s="57" t="s">
        <v>182</v>
      </c>
      <c r="D60" s="59">
        <v>60.36</v>
      </c>
      <c r="E60" s="150">
        <v>176</v>
      </c>
      <c r="F60" s="82">
        <f t="shared" si="26"/>
        <v>10623.36</v>
      </c>
      <c r="G60" s="82">
        <f t="shared" si="27"/>
        <v>12748.03</v>
      </c>
    </row>
    <row r="61" spans="1:7" ht="19.5" customHeight="1" x14ac:dyDescent="0.3">
      <c r="A61" s="238">
        <f t="shared" si="28"/>
        <v>41</v>
      </c>
      <c r="B61" s="245" t="s">
        <v>467</v>
      </c>
      <c r="C61" s="238" t="s">
        <v>207</v>
      </c>
      <c r="D61" s="244">
        <v>4</v>
      </c>
      <c r="E61" s="241">
        <v>1976.06</v>
      </c>
      <c r="F61" s="242">
        <f t="shared" si="26"/>
        <v>7904.24</v>
      </c>
      <c r="G61" s="242">
        <f t="shared" si="27"/>
        <v>9485.09</v>
      </c>
    </row>
    <row r="62" spans="1:7" ht="15.6" x14ac:dyDescent="0.3">
      <c r="A62" s="69">
        <f t="shared" si="28"/>
        <v>42</v>
      </c>
      <c r="B62" s="58" t="s">
        <v>598</v>
      </c>
      <c r="C62" s="57" t="s">
        <v>182</v>
      </c>
      <c r="D62" s="59">
        <f>241.04-16-63.36-44.7</f>
        <v>116.98</v>
      </c>
      <c r="E62" s="150">
        <v>84</v>
      </c>
      <c r="F62" s="82">
        <f t="shared" si="26"/>
        <v>9826.32</v>
      </c>
      <c r="G62" s="82">
        <f t="shared" si="27"/>
        <v>11791.58</v>
      </c>
    </row>
    <row r="63" spans="1:7" ht="15.6" x14ac:dyDescent="0.3">
      <c r="A63" s="69">
        <f t="shared" si="28"/>
        <v>43</v>
      </c>
      <c r="B63" s="185" t="s">
        <v>599</v>
      </c>
      <c r="C63" s="182" t="s">
        <v>207</v>
      </c>
      <c r="D63" s="186">
        <v>4</v>
      </c>
      <c r="E63" s="151">
        <v>12542</v>
      </c>
      <c r="F63" s="184">
        <f t="shared" si="26"/>
        <v>50168</v>
      </c>
      <c r="G63" s="184">
        <f t="shared" si="27"/>
        <v>60201.599999999999</v>
      </c>
    </row>
    <row r="64" spans="1:7" ht="15" customHeight="1" x14ac:dyDescent="0.3">
      <c r="A64" s="248"/>
      <c r="B64" s="249" t="s">
        <v>595</v>
      </c>
      <c r="C64" s="248"/>
      <c r="D64" s="250"/>
      <c r="E64" s="251"/>
      <c r="F64" s="242"/>
      <c r="G64" s="242"/>
    </row>
    <row r="65" spans="1:8" ht="15.6" x14ac:dyDescent="0.3">
      <c r="A65" s="238">
        <f>A63+1</f>
        <v>44</v>
      </c>
      <c r="B65" s="239" t="s">
        <v>594</v>
      </c>
      <c r="C65" s="238" t="s">
        <v>182</v>
      </c>
      <c r="D65" s="240">
        <v>19</v>
      </c>
      <c r="E65" s="241">
        <v>1210</v>
      </c>
      <c r="F65" s="242">
        <f t="shared" ref="F65:F66" si="29">ROUND(E65*D65,2)</f>
        <v>22990</v>
      </c>
      <c r="G65" s="242">
        <f t="shared" ref="G65:G66" si="30">ROUND(F65*1.2,2)</f>
        <v>27588</v>
      </c>
    </row>
    <row r="66" spans="1:8" ht="30" customHeight="1" x14ac:dyDescent="0.3">
      <c r="A66" s="238">
        <f>A65+1</f>
        <v>45</v>
      </c>
      <c r="B66" s="245" t="s">
        <v>596</v>
      </c>
      <c r="C66" s="238" t="s">
        <v>207</v>
      </c>
      <c r="D66" s="244">
        <v>1</v>
      </c>
      <c r="E66" s="241">
        <v>1976.06</v>
      </c>
      <c r="F66" s="242">
        <f t="shared" si="29"/>
        <v>1976.06</v>
      </c>
      <c r="G66" s="242">
        <f t="shared" si="30"/>
        <v>2371.27</v>
      </c>
    </row>
    <row r="67" spans="1:8" ht="16.5" customHeight="1" x14ac:dyDescent="0.3">
      <c r="A67" s="89"/>
      <c r="B67" s="204" t="s">
        <v>593</v>
      </c>
      <c r="C67" s="203"/>
      <c r="D67" s="205"/>
      <c r="E67" s="206"/>
      <c r="F67" s="157"/>
      <c r="G67" s="157"/>
    </row>
    <row r="68" spans="1:8" ht="19.5" customHeight="1" x14ac:dyDescent="0.3">
      <c r="A68" s="238">
        <f>A66+1</f>
        <v>46</v>
      </c>
      <c r="B68" s="239" t="s">
        <v>586</v>
      </c>
      <c r="C68" s="238" t="s">
        <v>207</v>
      </c>
      <c r="D68" s="244">
        <v>4</v>
      </c>
      <c r="E68" s="241">
        <v>3520</v>
      </c>
      <c r="F68" s="242">
        <f t="shared" ref="F68:F69" si="31">ROUND(E68*D68,2)</f>
        <v>14080</v>
      </c>
      <c r="G68" s="242">
        <f t="shared" ref="G68:G69" si="32">ROUND(F68*1.2,2)</f>
        <v>16896</v>
      </c>
    </row>
    <row r="69" spans="1:8" ht="18.75" customHeight="1" x14ac:dyDescent="0.3">
      <c r="A69" s="238">
        <f>A68+1</f>
        <v>47</v>
      </c>
      <c r="B69" s="245" t="s">
        <v>589</v>
      </c>
      <c r="C69" s="238" t="s">
        <v>207</v>
      </c>
      <c r="D69" s="244">
        <v>4</v>
      </c>
      <c r="E69" s="241">
        <v>3151</v>
      </c>
      <c r="F69" s="242">
        <f t="shared" si="31"/>
        <v>12604</v>
      </c>
      <c r="G69" s="242">
        <f t="shared" si="32"/>
        <v>15124.8</v>
      </c>
    </row>
    <row r="70" spans="1:8" ht="27.6" x14ac:dyDescent="0.3">
      <c r="A70" s="238">
        <f t="shared" ref="A70" si="33">A68+1</f>
        <v>47</v>
      </c>
      <c r="B70" s="239" t="s">
        <v>587</v>
      </c>
      <c r="C70" s="238" t="s">
        <v>207</v>
      </c>
      <c r="D70" s="244">
        <v>4</v>
      </c>
      <c r="E70" s="241">
        <v>6655</v>
      </c>
      <c r="F70" s="242">
        <f t="shared" ref="F70:F74" si="34">ROUND(E70*D70,2)</f>
        <v>26620</v>
      </c>
      <c r="G70" s="242">
        <f t="shared" ref="G70:G74" si="35">ROUND(F70*1.2,2)</f>
        <v>31944</v>
      </c>
    </row>
    <row r="71" spans="1:8" ht="23.25" customHeight="1" x14ac:dyDescent="0.3">
      <c r="A71" s="238">
        <f t="shared" ref="A71" si="36">A70+1</f>
        <v>48</v>
      </c>
      <c r="B71" s="245" t="s">
        <v>597</v>
      </c>
      <c r="C71" s="238" t="s">
        <v>207</v>
      </c>
      <c r="D71" s="244">
        <v>4</v>
      </c>
      <c r="E71" s="241">
        <v>1976.06</v>
      </c>
      <c r="F71" s="242">
        <f t="shared" si="34"/>
        <v>7904.24</v>
      </c>
      <c r="G71" s="242">
        <f t="shared" si="35"/>
        <v>9485.09</v>
      </c>
    </row>
    <row r="72" spans="1:8" ht="23.25" customHeight="1" x14ac:dyDescent="0.3">
      <c r="A72" s="238">
        <f t="shared" ref="A72" si="37">A70+1</f>
        <v>48</v>
      </c>
      <c r="B72" s="245" t="s">
        <v>590</v>
      </c>
      <c r="C72" s="238" t="s">
        <v>207</v>
      </c>
      <c r="D72" s="244">
        <v>30</v>
      </c>
      <c r="E72" s="241">
        <v>181</v>
      </c>
      <c r="F72" s="242">
        <f t="shared" si="34"/>
        <v>5430</v>
      </c>
      <c r="G72" s="242">
        <f t="shared" si="35"/>
        <v>6516</v>
      </c>
    </row>
    <row r="73" spans="1:8" ht="21.75" customHeight="1" x14ac:dyDescent="0.3">
      <c r="A73" s="69">
        <f t="shared" ref="A73" si="38">A72+1</f>
        <v>49</v>
      </c>
      <c r="B73" s="58" t="s">
        <v>591</v>
      </c>
      <c r="C73" s="57" t="s">
        <v>182</v>
      </c>
      <c r="D73" s="60">
        <f>2*8</f>
        <v>16</v>
      </c>
      <c r="E73" s="150">
        <v>176</v>
      </c>
      <c r="F73" s="82">
        <f t="shared" si="34"/>
        <v>2816</v>
      </c>
      <c r="G73" s="82">
        <f t="shared" si="35"/>
        <v>3379.2</v>
      </c>
    </row>
    <row r="74" spans="1:8" ht="15.6" x14ac:dyDescent="0.3">
      <c r="A74" s="69">
        <v>50</v>
      </c>
      <c r="B74" s="58" t="s">
        <v>592</v>
      </c>
      <c r="C74" s="57" t="s">
        <v>182</v>
      </c>
      <c r="D74" s="61">
        <f>12.3+5.2+20+7.2</f>
        <v>44.7</v>
      </c>
      <c r="E74" s="150">
        <v>360</v>
      </c>
      <c r="F74" s="82">
        <f t="shared" si="34"/>
        <v>16092</v>
      </c>
      <c r="G74" s="82">
        <f t="shared" si="35"/>
        <v>19310.400000000001</v>
      </c>
    </row>
    <row r="75" spans="1:8" x14ac:dyDescent="0.3">
      <c r="A75" s="252"/>
      <c r="B75" s="392" t="s">
        <v>261</v>
      </c>
      <c r="C75" s="393"/>
      <c r="D75" s="393"/>
      <c r="E75" s="254"/>
      <c r="F75" s="255"/>
      <c r="G75" s="256"/>
    </row>
    <row r="76" spans="1:8" ht="15.6" x14ac:dyDescent="0.3">
      <c r="A76" s="238"/>
      <c r="B76" s="246" t="s">
        <v>607</v>
      </c>
      <c r="C76" s="238"/>
      <c r="D76" s="240"/>
      <c r="E76" s="241"/>
      <c r="F76" s="242"/>
      <c r="G76" s="242"/>
    </row>
    <row r="77" spans="1:8" ht="22.5" customHeight="1" x14ac:dyDescent="0.3">
      <c r="A77" s="238">
        <f>A74+1</f>
        <v>51</v>
      </c>
      <c r="B77" s="239" t="s">
        <v>613</v>
      </c>
      <c r="C77" s="238" t="s">
        <v>182</v>
      </c>
      <c r="D77" s="240">
        <v>60</v>
      </c>
      <c r="E77" s="257">
        <v>493</v>
      </c>
      <c r="F77" s="242">
        <f t="shared" ref="F77" si="39">ROUND(E77*D77,2)</f>
        <v>29580</v>
      </c>
      <c r="G77" s="242">
        <f t="shared" ref="G77" si="40">ROUND(F77*1.2,2)</f>
        <v>35496</v>
      </c>
      <c r="H77" s="310" t="s">
        <v>601</v>
      </c>
    </row>
    <row r="78" spans="1:8" ht="15.6" x14ac:dyDescent="0.3">
      <c r="A78" s="238">
        <f>A77+1</f>
        <v>52</v>
      </c>
      <c r="B78" s="239" t="s">
        <v>610</v>
      </c>
      <c r="C78" s="238" t="s">
        <v>234</v>
      </c>
      <c r="D78" s="240">
        <f>30*1</f>
        <v>30</v>
      </c>
      <c r="E78" s="257">
        <v>192.12</v>
      </c>
      <c r="F78" s="242">
        <f t="shared" ref="F78" si="41">ROUND(E78*D78,2)</f>
        <v>5763.6</v>
      </c>
      <c r="G78" s="242">
        <f t="shared" ref="G78" si="42">ROUND(F78*1.2,2)</f>
        <v>6916.32</v>
      </c>
      <c r="H78" s="305" t="s">
        <v>617</v>
      </c>
    </row>
    <row r="79" spans="1:8" ht="18.75" customHeight="1" x14ac:dyDescent="0.3">
      <c r="A79" s="238"/>
      <c r="B79" s="246" t="s">
        <v>608</v>
      </c>
      <c r="C79" s="238"/>
      <c r="D79" s="244"/>
      <c r="E79" s="258"/>
      <c r="F79" s="259"/>
      <c r="G79" s="260"/>
    </row>
    <row r="80" spans="1:8" ht="24.75" customHeight="1" x14ac:dyDescent="0.3">
      <c r="A80" s="238">
        <f>A78+1</f>
        <v>53</v>
      </c>
      <c r="B80" s="239" t="s">
        <v>614</v>
      </c>
      <c r="C80" s="238" t="s">
        <v>182</v>
      </c>
      <c r="D80" s="240">
        <v>20</v>
      </c>
      <c r="E80" s="257">
        <v>493</v>
      </c>
      <c r="F80" s="242">
        <f t="shared" ref="F80" si="43">ROUND(E80*D80,2)</f>
        <v>9860</v>
      </c>
      <c r="G80" s="242">
        <f t="shared" ref="G80" si="44">ROUND(F80*1.2,2)</f>
        <v>11832</v>
      </c>
      <c r="H80" s="310" t="s">
        <v>601</v>
      </c>
    </row>
    <row r="81" spans="1:8" ht="20.25" customHeight="1" x14ac:dyDescent="0.3">
      <c r="A81" s="238">
        <f>A80+1</f>
        <v>54</v>
      </c>
      <c r="B81" s="239" t="s">
        <v>611</v>
      </c>
      <c r="C81" s="238" t="s">
        <v>181</v>
      </c>
      <c r="D81" s="240">
        <f>10*0.2</f>
        <v>2</v>
      </c>
      <c r="E81" s="241">
        <v>6707</v>
      </c>
      <c r="F81" s="242">
        <f t="shared" ref="F81" si="45">ROUND(E81*D81,2)</f>
        <v>13414</v>
      </c>
      <c r="G81" s="242">
        <f t="shared" ref="G81" si="46">ROUND(F81*1.2,2)</f>
        <v>16096.8</v>
      </c>
    </row>
    <row r="82" spans="1:8" ht="15.6" x14ac:dyDescent="0.3">
      <c r="A82" s="238">
        <f>A81+1</f>
        <v>55</v>
      </c>
      <c r="B82" s="239" t="s">
        <v>615</v>
      </c>
      <c r="C82" s="238" t="s">
        <v>181</v>
      </c>
      <c r="D82" s="240">
        <f>30*0.15</f>
        <v>4.5</v>
      </c>
      <c r="E82" s="241">
        <v>320</v>
      </c>
      <c r="F82" s="242">
        <f>ROUND(E82*D82,2)</f>
        <v>1440</v>
      </c>
      <c r="G82" s="242">
        <f>ROUND(F82*1.2,2)</f>
        <v>1728</v>
      </c>
      <c r="H82" s="305"/>
    </row>
    <row r="83" spans="1:8" ht="27" customHeight="1" x14ac:dyDescent="0.3">
      <c r="A83" s="238"/>
      <c r="B83" s="246" t="s">
        <v>609</v>
      </c>
      <c r="C83" s="238"/>
      <c r="D83" s="244"/>
      <c r="E83" s="258"/>
      <c r="F83" s="259"/>
      <c r="G83" s="260"/>
    </row>
    <row r="84" spans="1:8" ht="15.6" x14ac:dyDescent="0.3">
      <c r="A84" s="238">
        <f>A82+1</f>
        <v>56</v>
      </c>
      <c r="B84" s="239" t="s">
        <v>612</v>
      </c>
      <c r="C84" s="238" t="s">
        <v>181</v>
      </c>
      <c r="D84" s="240">
        <f>10*0.2</f>
        <v>2</v>
      </c>
      <c r="E84" s="241">
        <v>10711</v>
      </c>
      <c r="F84" s="242">
        <f t="shared" ref="F84:F85" si="47">ROUND(E84*D84,2)</f>
        <v>21422</v>
      </c>
      <c r="G84" s="242">
        <f t="shared" ref="G84:G85" si="48">ROUND(F84*1.2,2)</f>
        <v>25706.400000000001</v>
      </c>
    </row>
    <row r="85" spans="1:8" ht="15.6" x14ac:dyDescent="0.3">
      <c r="A85" s="238">
        <f>A84+1</f>
        <v>57</v>
      </c>
      <c r="B85" s="239" t="s">
        <v>618</v>
      </c>
      <c r="C85" s="238" t="s">
        <v>181</v>
      </c>
      <c r="D85" s="240">
        <f>10*1*0.9</f>
        <v>9</v>
      </c>
      <c r="E85" s="241">
        <v>1111</v>
      </c>
      <c r="F85" s="242">
        <f t="shared" si="47"/>
        <v>9999</v>
      </c>
      <c r="G85" s="242">
        <f t="shared" si="48"/>
        <v>11998.8</v>
      </c>
    </row>
    <row r="86" spans="1:8" ht="15.6" x14ac:dyDescent="0.3">
      <c r="A86" s="238"/>
      <c r="B86" s="246" t="s">
        <v>487</v>
      </c>
      <c r="C86" s="238"/>
      <c r="D86" s="244"/>
      <c r="E86" s="261"/>
      <c r="F86" s="255"/>
      <c r="G86" s="256"/>
    </row>
    <row r="87" spans="1:8" ht="27.6" x14ac:dyDescent="0.3">
      <c r="A87" s="238">
        <f>A85+1</f>
        <v>58</v>
      </c>
      <c r="B87" s="239" t="s">
        <v>262</v>
      </c>
      <c r="C87" s="238" t="s">
        <v>234</v>
      </c>
      <c r="D87" s="240">
        <f>10</f>
        <v>10</v>
      </c>
      <c r="E87" s="241">
        <v>1140</v>
      </c>
      <c r="F87" s="242">
        <f t="shared" ref="F87:F88" si="49">ROUND(E87*D87,2)</f>
        <v>11400</v>
      </c>
      <c r="G87" s="242">
        <f t="shared" ref="G87:G88" si="50">ROUND(F87*1.2,2)</f>
        <v>13680</v>
      </c>
    </row>
    <row r="88" spans="1:8" ht="27.6" x14ac:dyDescent="0.3">
      <c r="A88" s="238">
        <f>A87+1</f>
        <v>59</v>
      </c>
      <c r="B88" s="239" t="s">
        <v>616</v>
      </c>
      <c r="C88" s="238" t="s">
        <v>181</v>
      </c>
      <c r="D88" s="240">
        <f>10*0.15</f>
        <v>1.5</v>
      </c>
      <c r="E88" s="241">
        <v>1754</v>
      </c>
      <c r="F88" s="242">
        <f t="shared" si="49"/>
        <v>2631</v>
      </c>
      <c r="G88" s="242">
        <f t="shared" si="50"/>
        <v>3157.2</v>
      </c>
    </row>
    <row r="89" spans="1:8" ht="15.75" customHeight="1" x14ac:dyDescent="0.3">
      <c r="A89" s="390" t="s">
        <v>543</v>
      </c>
      <c r="B89" s="390"/>
      <c r="C89" s="390"/>
      <c r="D89" s="390"/>
      <c r="E89" s="263"/>
      <c r="F89" s="263"/>
      <c r="G89" s="264"/>
    </row>
    <row r="90" spans="1:8" x14ac:dyDescent="0.3">
      <c r="A90" s="391" t="s">
        <v>542</v>
      </c>
      <c r="B90" s="391"/>
      <c r="C90" s="391"/>
      <c r="D90" s="391"/>
      <c r="E90" s="265"/>
      <c r="F90" s="265"/>
      <c r="G90" s="264"/>
    </row>
    <row r="91" spans="1:8" ht="21" customHeight="1" x14ac:dyDescent="0.3">
      <c r="A91" s="266">
        <f>A88+1</f>
        <v>60</v>
      </c>
      <c r="B91" s="267" t="s">
        <v>508</v>
      </c>
      <c r="C91" s="268" t="s">
        <v>509</v>
      </c>
      <c r="D91" s="269">
        <v>432.9</v>
      </c>
      <c r="E91" s="270">
        <v>1360</v>
      </c>
      <c r="F91" s="242">
        <f>ROUND(E91*D91,2)</f>
        <v>588744</v>
      </c>
      <c r="G91" s="242">
        <f>ROUND(F91*1.2,2)</f>
        <v>706492.8</v>
      </c>
      <c r="H91" s="305"/>
    </row>
    <row r="92" spans="1:8" ht="28.5" customHeight="1" x14ac:dyDescent="0.3">
      <c r="A92" s="266">
        <f>A91+1</f>
        <v>61</v>
      </c>
      <c r="B92" s="267" t="s">
        <v>510</v>
      </c>
      <c r="C92" s="268" t="s">
        <v>207</v>
      </c>
      <c r="D92" s="271">
        <v>1</v>
      </c>
      <c r="E92" s="270">
        <v>2352</v>
      </c>
      <c r="F92" s="242">
        <f t="shared" ref="F92:F106" si="51">ROUND(E92*D92,2)</f>
        <v>2352</v>
      </c>
      <c r="G92" s="242">
        <f t="shared" ref="G92:G126" si="52">ROUND(F92*1.2,2)</f>
        <v>2822.4</v>
      </c>
    </row>
    <row r="93" spans="1:8" x14ac:dyDescent="0.3">
      <c r="A93" s="266">
        <f>A91+1</f>
        <v>61</v>
      </c>
      <c r="B93" s="267" t="s">
        <v>555</v>
      </c>
      <c r="C93" s="268" t="s">
        <v>207</v>
      </c>
      <c r="D93" s="271">
        <v>1</v>
      </c>
      <c r="E93" s="270">
        <v>1326</v>
      </c>
      <c r="F93" s="242">
        <f t="shared" si="51"/>
        <v>1326</v>
      </c>
      <c r="G93" s="242">
        <f t="shared" si="52"/>
        <v>1591.2</v>
      </c>
    </row>
    <row r="94" spans="1:8" ht="27.6" x14ac:dyDescent="0.3">
      <c r="A94" s="266">
        <f>A92+1</f>
        <v>62</v>
      </c>
      <c r="B94" s="267" t="s">
        <v>544</v>
      </c>
      <c r="C94" s="268" t="s">
        <v>207</v>
      </c>
      <c r="D94" s="271">
        <v>1</v>
      </c>
      <c r="E94" s="270">
        <v>7735</v>
      </c>
      <c r="F94" s="242">
        <f t="shared" si="51"/>
        <v>7735</v>
      </c>
      <c r="G94" s="242">
        <f t="shared" si="52"/>
        <v>9282</v>
      </c>
    </row>
    <row r="95" spans="1:8" ht="27.6" x14ac:dyDescent="0.3">
      <c r="A95" s="266">
        <f t="shared" ref="A95:A126" si="53">A94+1</f>
        <v>63</v>
      </c>
      <c r="B95" s="267" t="s">
        <v>511</v>
      </c>
      <c r="C95" s="268" t="s">
        <v>207</v>
      </c>
      <c r="D95" s="271">
        <v>1</v>
      </c>
      <c r="E95" s="270">
        <v>5161</v>
      </c>
      <c r="F95" s="242">
        <f t="shared" si="51"/>
        <v>5161</v>
      </c>
      <c r="G95" s="242">
        <f t="shared" si="52"/>
        <v>6193.2</v>
      </c>
    </row>
    <row r="96" spans="1:8" ht="27.6" x14ac:dyDescent="0.3">
      <c r="A96" s="266">
        <f t="shared" si="53"/>
        <v>64</v>
      </c>
      <c r="B96" s="267" t="s">
        <v>512</v>
      </c>
      <c r="C96" s="268" t="s">
        <v>207</v>
      </c>
      <c r="D96" s="271">
        <v>2</v>
      </c>
      <c r="E96" s="270">
        <v>8099</v>
      </c>
      <c r="F96" s="242">
        <f t="shared" si="51"/>
        <v>16198</v>
      </c>
      <c r="G96" s="242">
        <f t="shared" si="52"/>
        <v>19437.599999999999</v>
      </c>
    </row>
    <row r="97" spans="1:8" ht="27.6" x14ac:dyDescent="0.3">
      <c r="A97" s="266">
        <f t="shared" si="53"/>
        <v>65</v>
      </c>
      <c r="B97" s="267" t="s">
        <v>513</v>
      </c>
      <c r="C97" s="268" t="s">
        <v>207</v>
      </c>
      <c r="D97" s="271">
        <v>2</v>
      </c>
      <c r="E97" s="270">
        <v>8099</v>
      </c>
      <c r="F97" s="242">
        <f t="shared" si="51"/>
        <v>16198</v>
      </c>
      <c r="G97" s="242">
        <f t="shared" si="52"/>
        <v>19437.599999999999</v>
      </c>
    </row>
    <row r="98" spans="1:8" ht="27.6" x14ac:dyDescent="0.3">
      <c r="A98" s="266">
        <f t="shared" si="53"/>
        <v>66</v>
      </c>
      <c r="B98" s="267" t="s">
        <v>514</v>
      </c>
      <c r="C98" s="268" t="s">
        <v>509</v>
      </c>
      <c r="D98" s="271">
        <v>85</v>
      </c>
      <c r="E98" s="270">
        <v>956</v>
      </c>
      <c r="F98" s="242">
        <f t="shared" si="51"/>
        <v>81260</v>
      </c>
      <c r="G98" s="242">
        <f t="shared" si="52"/>
        <v>97512</v>
      </c>
    </row>
    <row r="99" spans="1:8" ht="21.75" customHeight="1" x14ac:dyDescent="0.3">
      <c r="A99" s="266">
        <f t="shared" si="53"/>
        <v>67</v>
      </c>
      <c r="B99" s="267" t="s">
        <v>515</v>
      </c>
      <c r="C99" s="268" t="s">
        <v>207</v>
      </c>
      <c r="D99" s="271">
        <v>32</v>
      </c>
      <c r="E99" s="270">
        <v>956</v>
      </c>
      <c r="F99" s="242">
        <f t="shared" si="51"/>
        <v>30592</v>
      </c>
      <c r="G99" s="242">
        <f t="shared" si="52"/>
        <v>36710.400000000001</v>
      </c>
    </row>
    <row r="100" spans="1:8" ht="21.75" customHeight="1" x14ac:dyDescent="0.3">
      <c r="A100" s="266">
        <f t="shared" si="53"/>
        <v>68</v>
      </c>
      <c r="B100" s="267" t="s">
        <v>556</v>
      </c>
      <c r="C100" s="268" t="s">
        <v>220</v>
      </c>
      <c r="D100" s="271">
        <v>45</v>
      </c>
      <c r="E100" s="270">
        <f>13877/D100</f>
        <v>308.37777777777779</v>
      </c>
      <c r="F100" s="242">
        <f t="shared" si="51"/>
        <v>13877</v>
      </c>
      <c r="G100" s="242">
        <f t="shared" si="52"/>
        <v>16652.400000000001</v>
      </c>
    </row>
    <row r="101" spans="1:8" x14ac:dyDescent="0.3">
      <c r="A101" s="266">
        <f t="shared" si="53"/>
        <v>69</v>
      </c>
      <c r="B101" s="272" t="s">
        <v>516</v>
      </c>
      <c r="C101" s="268" t="s">
        <v>509</v>
      </c>
      <c r="D101" s="273">
        <v>427.9</v>
      </c>
      <c r="E101" s="270">
        <v>10</v>
      </c>
      <c r="F101" s="242">
        <f t="shared" si="51"/>
        <v>4279</v>
      </c>
      <c r="G101" s="242">
        <f t="shared" si="52"/>
        <v>5134.8</v>
      </c>
    </row>
    <row r="102" spans="1:8" ht="27.6" x14ac:dyDescent="0.3">
      <c r="A102" s="266">
        <f t="shared" si="53"/>
        <v>70</v>
      </c>
      <c r="B102" s="272" t="s">
        <v>517</v>
      </c>
      <c r="C102" s="268" t="s">
        <v>207</v>
      </c>
      <c r="D102" s="266">
        <v>72</v>
      </c>
      <c r="E102" s="270">
        <v>6561</v>
      </c>
      <c r="F102" s="242">
        <f t="shared" si="51"/>
        <v>472392</v>
      </c>
      <c r="G102" s="242">
        <f t="shared" si="52"/>
        <v>566870.4</v>
      </c>
    </row>
    <row r="103" spans="1:8" ht="27.6" x14ac:dyDescent="0.3">
      <c r="A103" s="266">
        <f t="shared" si="53"/>
        <v>71</v>
      </c>
      <c r="B103" s="272" t="s">
        <v>518</v>
      </c>
      <c r="C103" s="268" t="s">
        <v>207</v>
      </c>
      <c r="D103" s="266">
        <v>17</v>
      </c>
      <c r="E103" s="270">
        <v>10590</v>
      </c>
      <c r="F103" s="242">
        <f t="shared" si="51"/>
        <v>180030</v>
      </c>
      <c r="G103" s="242">
        <f t="shared" si="52"/>
        <v>216036</v>
      </c>
    </row>
    <row r="104" spans="1:8" ht="27.6" x14ac:dyDescent="0.3">
      <c r="A104" s="266">
        <f t="shared" si="53"/>
        <v>72</v>
      </c>
      <c r="B104" s="272" t="s">
        <v>519</v>
      </c>
      <c r="C104" s="268" t="s">
        <v>509</v>
      </c>
      <c r="D104" s="266">
        <v>3</v>
      </c>
      <c r="E104" s="270">
        <v>4471</v>
      </c>
      <c r="F104" s="242">
        <f t="shared" si="51"/>
        <v>13413</v>
      </c>
      <c r="G104" s="242">
        <f t="shared" si="52"/>
        <v>16095.6</v>
      </c>
      <c r="H104" s="305"/>
    </row>
    <row r="105" spans="1:8" x14ac:dyDescent="0.3">
      <c r="A105" s="266">
        <f t="shared" si="53"/>
        <v>73</v>
      </c>
      <c r="B105" s="272" t="s">
        <v>520</v>
      </c>
      <c r="C105" s="268" t="s">
        <v>182</v>
      </c>
      <c r="D105" s="266">
        <v>560</v>
      </c>
      <c r="E105" s="270">
        <v>130</v>
      </c>
      <c r="F105" s="242">
        <f t="shared" si="51"/>
        <v>72800</v>
      </c>
      <c r="G105" s="242">
        <f t="shared" si="52"/>
        <v>87360</v>
      </c>
      <c r="H105" s="305"/>
    </row>
    <row r="106" spans="1:8" x14ac:dyDescent="0.3">
      <c r="A106" s="266">
        <f t="shared" si="53"/>
        <v>74</v>
      </c>
      <c r="B106" s="272" t="s">
        <v>545</v>
      </c>
      <c r="C106" s="268" t="s">
        <v>207</v>
      </c>
      <c r="D106" s="266">
        <v>3</v>
      </c>
      <c r="E106" s="270">
        <v>10297</v>
      </c>
      <c r="F106" s="242">
        <f t="shared" si="51"/>
        <v>30891</v>
      </c>
      <c r="G106" s="242">
        <f t="shared" si="52"/>
        <v>37069.199999999997</v>
      </c>
    </row>
    <row r="107" spans="1:8" x14ac:dyDescent="0.3">
      <c r="A107" s="391" t="s">
        <v>248</v>
      </c>
      <c r="B107" s="391" t="s">
        <v>546</v>
      </c>
      <c r="C107" s="391"/>
      <c r="D107" s="391"/>
      <c r="E107" s="274"/>
      <c r="F107" s="270"/>
      <c r="G107" s="264"/>
    </row>
    <row r="108" spans="1:8" ht="27.6" x14ac:dyDescent="0.3">
      <c r="A108" s="266">
        <f>A106+1</f>
        <v>75</v>
      </c>
      <c r="B108" s="272" t="s">
        <v>529</v>
      </c>
      <c r="C108" s="268" t="s">
        <v>181</v>
      </c>
      <c r="D108" s="273">
        <v>428.7</v>
      </c>
      <c r="E108" s="275">
        <v>325</v>
      </c>
      <c r="F108" s="242">
        <f t="shared" ref="F108:F121" si="54">ROUND(E108*D108,2)</f>
        <v>139327.5</v>
      </c>
      <c r="G108" s="242">
        <f t="shared" si="52"/>
        <v>167193</v>
      </c>
    </row>
    <row r="109" spans="1:8" x14ac:dyDescent="0.3">
      <c r="A109" s="266">
        <f>A108+1</f>
        <v>76</v>
      </c>
      <c r="B109" s="272" t="s">
        <v>530</v>
      </c>
      <c r="C109" s="268" t="s">
        <v>181</v>
      </c>
      <c r="D109" s="273">
        <v>32.200000000000003</v>
      </c>
      <c r="E109" s="275">
        <v>1777</v>
      </c>
      <c r="F109" s="242">
        <f t="shared" si="54"/>
        <v>57219.4</v>
      </c>
      <c r="G109" s="242">
        <f t="shared" si="52"/>
        <v>68663.28</v>
      </c>
    </row>
    <row r="110" spans="1:8" x14ac:dyDescent="0.3">
      <c r="A110" s="266">
        <f t="shared" si="53"/>
        <v>77</v>
      </c>
      <c r="B110" s="272" t="s">
        <v>553</v>
      </c>
      <c r="C110" s="268" t="s">
        <v>207</v>
      </c>
      <c r="D110" s="266">
        <v>6</v>
      </c>
      <c r="E110" s="270">
        <v>220</v>
      </c>
      <c r="F110" s="242">
        <f t="shared" si="54"/>
        <v>1320</v>
      </c>
      <c r="G110" s="242">
        <f t="shared" si="52"/>
        <v>1584</v>
      </c>
    </row>
    <row r="111" spans="1:8" ht="27.6" x14ac:dyDescent="0.3">
      <c r="A111" s="266">
        <f t="shared" si="53"/>
        <v>78</v>
      </c>
      <c r="B111" s="272" t="s">
        <v>531</v>
      </c>
      <c r="C111" s="268" t="s">
        <v>181</v>
      </c>
      <c r="D111" s="276">
        <v>21.43</v>
      </c>
      <c r="E111" s="275">
        <v>1379</v>
      </c>
      <c r="F111" s="242">
        <f t="shared" si="54"/>
        <v>29551.97</v>
      </c>
      <c r="G111" s="242">
        <f t="shared" si="52"/>
        <v>35462.36</v>
      </c>
    </row>
    <row r="112" spans="1:8" ht="27.6" x14ac:dyDescent="0.3">
      <c r="A112" s="266">
        <f t="shared" si="53"/>
        <v>79</v>
      </c>
      <c r="B112" s="272" t="s">
        <v>532</v>
      </c>
      <c r="C112" s="268" t="s">
        <v>181</v>
      </c>
      <c r="D112" s="273">
        <v>42.9</v>
      </c>
      <c r="E112" s="275">
        <v>1379</v>
      </c>
      <c r="F112" s="242">
        <f t="shared" si="54"/>
        <v>59159.1</v>
      </c>
      <c r="G112" s="242">
        <f t="shared" si="52"/>
        <v>70990.92</v>
      </c>
    </row>
    <row r="113" spans="1:8" s="211" customFormat="1" x14ac:dyDescent="0.3">
      <c r="A113" s="266">
        <f t="shared" si="53"/>
        <v>80</v>
      </c>
      <c r="B113" s="272" t="s">
        <v>547</v>
      </c>
      <c r="C113" s="268" t="s">
        <v>219</v>
      </c>
      <c r="D113" s="277">
        <v>141.63999999999999</v>
      </c>
      <c r="E113" s="270">
        <v>0</v>
      </c>
      <c r="F113" s="278">
        <f t="shared" si="54"/>
        <v>0</v>
      </c>
      <c r="G113" s="278">
        <f t="shared" si="52"/>
        <v>0</v>
      </c>
      <c r="H113" s="311"/>
    </row>
    <row r="114" spans="1:8" s="211" customFormat="1" x14ac:dyDescent="0.3">
      <c r="A114" s="266">
        <f t="shared" si="53"/>
        <v>81</v>
      </c>
      <c r="B114" s="272" t="s">
        <v>549</v>
      </c>
      <c r="C114" s="268" t="s">
        <v>548</v>
      </c>
      <c r="D114" s="279" t="s">
        <v>256</v>
      </c>
      <c r="E114" s="270">
        <v>1239</v>
      </c>
      <c r="F114" s="278">
        <f t="shared" si="54"/>
        <v>4956</v>
      </c>
      <c r="G114" s="278">
        <f t="shared" si="52"/>
        <v>5947.2</v>
      </c>
      <c r="H114" s="311"/>
    </row>
    <row r="115" spans="1:8" s="211" customFormat="1" ht="28.5" customHeight="1" x14ac:dyDescent="0.3">
      <c r="A115" s="266">
        <f t="shared" si="53"/>
        <v>82</v>
      </c>
      <c r="B115" s="272" t="s">
        <v>533</v>
      </c>
      <c r="C115" s="268" t="s">
        <v>509</v>
      </c>
      <c r="D115" s="266">
        <v>85</v>
      </c>
      <c r="E115" s="270">
        <v>1288</v>
      </c>
      <c r="F115" s="278">
        <f t="shared" si="54"/>
        <v>109480</v>
      </c>
      <c r="G115" s="278">
        <f t="shared" si="52"/>
        <v>131376</v>
      </c>
      <c r="H115" s="311"/>
    </row>
    <row r="116" spans="1:8" s="211" customFormat="1" ht="18" customHeight="1" x14ac:dyDescent="0.3">
      <c r="A116" s="266"/>
      <c r="B116" s="272" t="s">
        <v>554</v>
      </c>
      <c r="C116" s="268" t="s">
        <v>204</v>
      </c>
      <c r="D116" s="266">
        <v>4</v>
      </c>
      <c r="E116" s="270">
        <v>2593</v>
      </c>
      <c r="F116" s="278">
        <f t="shared" si="54"/>
        <v>10372</v>
      </c>
      <c r="G116" s="278">
        <f t="shared" si="52"/>
        <v>12446.4</v>
      </c>
      <c r="H116" s="311"/>
    </row>
    <row r="117" spans="1:8" s="211" customFormat="1" x14ac:dyDescent="0.3">
      <c r="A117" s="266">
        <f>A115+1</f>
        <v>83</v>
      </c>
      <c r="B117" s="272" t="s">
        <v>534</v>
      </c>
      <c r="C117" s="268" t="s">
        <v>182</v>
      </c>
      <c r="D117" s="280">
        <f>433+3</f>
        <v>436</v>
      </c>
      <c r="E117" s="270">
        <v>300</v>
      </c>
      <c r="F117" s="278">
        <f t="shared" si="54"/>
        <v>130800</v>
      </c>
      <c r="G117" s="278">
        <f t="shared" si="52"/>
        <v>156960</v>
      </c>
      <c r="H117" s="311"/>
    </row>
    <row r="118" spans="1:8" s="211" customFormat="1" x14ac:dyDescent="0.3">
      <c r="A118" s="266">
        <f t="shared" si="53"/>
        <v>84</v>
      </c>
      <c r="B118" s="272" t="s">
        <v>535</v>
      </c>
      <c r="C118" s="268" t="s">
        <v>181</v>
      </c>
      <c r="D118" s="273">
        <v>420.1</v>
      </c>
      <c r="E118" s="275">
        <v>125</v>
      </c>
      <c r="F118" s="278">
        <f t="shared" si="54"/>
        <v>52512.5</v>
      </c>
      <c r="G118" s="278">
        <f t="shared" si="52"/>
        <v>63015</v>
      </c>
      <c r="H118" s="311"/>
    </row>
    <row r="119" spans="1:8" s="211" customFormat="1" ht="27.6" x14ac:dyDescent="0.3">
      <c r="A119" s="266">
        <f t="shared" si="53"/>
        <v>85</v>
      </c>
      <c r="B119" s="272" t="s">
        <v>536</v>
      </c>
      <c r="C119" s="268" t="s">
        <v>537</v>
      </c>
      <c r="D119" s="266">
        <v>7</v>
      </c>
      <c r="E119" s="270">
        <v>20778</v>
      </c>
      <c r="F119" s="278">
        <f t="shared" si="54"/>
        <v>145446</v>
      </c>
      <c r="G119" s="278">
        <f t="shared" si="52"/>
        <v>174535.2</v>
      </c>
      <c r="H119" s="311"/>
    </row>
    <row r="120" spans="1:8" s="211" customFormat="1" x14ac:dyDescent="0.3">
      <c r="A120" s="266">
        <f t="shared" si="53"/>
        <v>86</v>
      </c>
      <c r="B120" s="272" t="s">
        <v>538</v>
      </c>
      <c r="C120" s="268" t="s">
        <v>182</v>
      </c>
      <c r="D120" s="266">
        <v>432</v>
      </c>
      <c r="E120" s="270">
        <f>29417/D120</f>
        <v>68.094907407407405</v>
      </c>
      <c r="F120" s="278">
        <f t="shared" si="54"/>
        <v>29417</v>
      </c>
      <c r="G120" s="278">
        <f t="shared" si="52"/>
        <v>35300.400000000001</v>
      </c>
      <c r="H120" s="311"/>
    </row>
    <row r="121" spans="1:8" s="211" customFormat="1" x14ac:dyDescent="0.3">
      <c r="A121" s="266">
        <f t="shared" si="53"/>
        <v>87</v>
      </c>
      <c r="B121" s="272" t="s">
        <v>539</v>
      </c>
      <c r="C121" s="268" t="s">
        <v>182</v>
      </c>
      <c r="D121" s="266">
        <v>432</v>
      </c>
      <c r="E121" s="270">
        <v>100</v>
      </c>
      <c r="F121" s="278">
        <f t="shared" si="54"/>
        <v>43200</v>
      </c>
      <c r="G121" s="278">
        <f t="shared" si="52"/>
        <v>51840</v>
      </c>
      <c r="H121" s="311"/>
    </row>
    <row r="122" spans="1:8" s="211" customFormat="1" x14ac:dyDescent="0.3">
      <c r="A122" s="266"/>
      <c r="B122" s="281" t="s">
        <v>278</v>
      </c>
      <c r="C122" s="268"/>
      <c r="D122" s="266"/>
      <c r="E122" s="274"/>
      <c r="F122" s="270"/>
      <c r="G122" s="282"/>
      <c r="H122" s="311"/>
    </row>
    <row r="123" spans="1:8" s="211" customFormat="1" x14ac:dyDescent="0.3">
      <c r="A123" s="266">
        <f>A121+1</f>
        <v>88</v>
      </c>
      <c r="B123" s="272" t="s">
        <v>540</v>
      </c>
      <c r="C123" s="268" t="s">
        <v>219</v>
      </c>
      <c r="D123" s="276">
        <v>0.16</v>
      </c>
      <c r="E123" s="270">
        <f>12441/D123</f>
        <v>77756.25</v>
      </c>
      <c r="F123" s="278">
        <f t="shared" ref="F123:F126" si="55">ROUND(E123*D123,2)</f>
        <v>12441</v>
      </c>
      <c r="G123" s="278">
        <f t="shared" si="52"/>
        <v>14929.2</v>
      </c>
      <c r="H123" s="311"/>
    </row>
    <row r="124" spans="1:8" s="211" customFormat="1" x14ac:dyDescent="0.3">
      <c r="A124" s="266">
        <f t="shared" si="53"/>
        <v>89</v>
      </c>
      <c r="B124" s="272" t="s">
        <v>550</v>
      </c>
      <c r="C124" s="268" t="s">
        <v>182</v>
      </c>
      <c r="D124" s="283">
        <v>312</v>
      </c>
      <c r="E124" s="270">
        <v>810</v>
      </c>
      <c r="F124" s="278">
        <f t="shared" si="55"/>
        <v>252720</v>
      </c>
      <c r="G124" s="278">
        <f t="shared" si="52"/>
        <v>303264</v>
      </c>
      <c r="H124" s="311"/>
    </row>
    <row r="125" spans="1:8" s="211" customFormat="1" x14ac:dyDescent="0.3">
      <c r="A125" s="266">
        <f t="shared" si="53"/>
        <v>90</v>
      </c>
      <c r="B125" s="272" t="s">
        <v>541</v>
      </c>
      <c r="C125" s="268" t="s">
        <v>219</v>
      </c>
      <c r="D125" s="276">
        <v>0.35</v>
      </c>
      <c r="E125" s="270">
        <f>27215/D125</f>
        <v>77757.142857142855</v>
      </c>
      <c r="F125" s="278">
        <f t="shared" si="55"/>
        <v>27215</v>
      </c>
      <c r="G125" s="278">
        <f t="shared" si="52"/>
        <v>32658</v>
      </c>
      <c r="H125" s="311"/>
    </row>
    <row r="126" spans="1:8" s="211" customFormat="1" ht="27.6" x14ac:dyDescent="0.3">
      <c r="A126" s="266">
        <f t="shared" si="53"/>
        <v>91</v>
      </c>
      <c r="B126" s="272" t="s">
        <v>606</v>
      </c>
      <c r="C126" s="268" t="s">
        <v>219</v>
      </c>
      <c r="D126" s="276">
        <v>0.18</v>
      </c>
      <c r="E126" s="270">
        <v>0</v>
      </c>
      <c r="F126" s="278">
        <f t="shared" si="55"/>
        <v>0</v>
      </c>
      <c r="G126" s="278">
        <f t="shared" si="52"/>
        <v>0</v>
      </c>
      <c r="H126" s="311"/>
    </row>
    <row r="127" spans="1:8" x14ac:dyDescent="0.3">
      <c r="A127" s="146"/>
      <c r="B127" s="387" t="s">
        <v>284</v>
      </c>
      <c r="C127" s="388"/>
      <c r="D127" s="388"/>
      <c r="E127" s="389"/>
      <c r="F127" s="138">
        <f>SUM(F7:F126)</f>
        <v>5333752.4000000004</v>
      </c>
      <c r="G127" s="138">
        <f>SUM(G7:G126)</f>
        <v>6400502.9000000013</v>
      </c>
    </row>
    <row r="128" spans="1:8" x14ac:dyDescent="0.3">
      <c r="A128" s="375" t="s">
        <v>285</v>
      </c>
      <c r="B128" s="376"/>
      <c r="C128" s="376"/>
      <c r="D128" s="376"/>
      <c r="E128" s="377"/>
      <c r="F128" s="175">
        <f>ROUND(F127*0.03,2)</f>
        <v>160012.57</v>
      </c>
      <c r="G128" s="175">
        <f>ROUND(G127*0.03,2)</f>
        <v>192015.09</v>
      </c>
      <c r="H128" s="308"/>
    </row>
    <row r="129" spans="1:8" x14ac:dyDescent="0.3">
      <c r="A129" s="375" t="s">
        <v>286</v>
      </c>
      <c r="B129" s="376"/>
      <c r="C129" s="376"/>
      <c r="D129" s="376"/>
      <c r="E129" s="377"/>
      <c r="F129" s="175">
        <f>F127+F128</f>
        <v>5493764.9700000007</v>
      </c>
      <c r="G129" s="175">
        <f>G127+G128</f>
        <v>6592517.9900000012</v>
      </c>
      <c r="H129" s="308"/>
    </row>
  </sheetData>
  <mergeCells count="13">
    <mergeCell ref="A128:E128"/>
    <mergeCell ref="A129:E129"/>
    <mergeCell ref="E1:G1"/>
    <mergeCell ref="D1:D2"/>
    <mergeCell ref="C1:C2"/>
    <mergeCell ref="B1:B2"/>
    <mergeCell ref="A1:A2"/>
    <mergeCell ref="A46:B46"/>
    <mergeCell ref="B127:E127"/>
    <mergeCell ref="A89:D89"/>
    <mergeCell ref="A90:D90"/>
    <mergeCell ref="A107:D107"/>
    <mergeCell ref="B75:D75"/>
  </mergeCells>
  <pageMargins left="0.7" right="0.7" top="0.75" bottom="0.75" header="0.3" footer="0.3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H63"/>
  <sheetViews>
    <sheetView view="pageBreakPreview" topLeftCell="A34" zoomScaleNormal="100" zoomScaleSheetLayoutView="100" workbookViewId="0">
      <selection activeCell="B19" sqref="B19:D19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</cols>
  <sheetData>
    <row r="1" spans="1:8" ht="19.5" customHeight="1" x14ac:dyDescent="0.3">
      <c r="A1" s="370" t="s">
        <v>213</v>
      </c>
      <c r="B1" s="382" t="s">
        <v>188</v>
      </c>
      <c r="C1" s="370" t="s">
        <v>275</v>
      </c>
      <c r="D1" s="370" t="s">
        <v>189</v>
      </c>
      <c r="E1" s="381" t="s">
        <v>273</v>
      </c>
      <c r="F1" s="381"/>
      <c r="G1" s="381"/>
    </row>
    <row r="2" spans="1:8" s="53" customFormat="1" ht="27.6" x14ac:dyDescent="0.3">
      <c r="A2" s="370"/>
      <c r="B2" s="382"/>
      <c r="C2" s="370"/>
      <c r="D2" s="370"/>
      <c r="E2" s="73" t="s">
        <v>274</v>
      </c>
      <c r="F2" s="85" t="s">
        <v>184</v>
      </c>
      <c r="G2" s="85" t="s">
        <v>185</v>
      </c>
    </row>
    <row r="3" spans="1:8" ht="13.5" customHeight="1" x14ac:dyDescent="0.3">
      <c r="A3" s="129">
        <v>1</v>
      </c>
      <c r="B3" s="130">
        <v>2</v>
      </c>
      <c r="C3" s="130">
        <v>3</v>
      </c>
      <c r="D3" s="130">
        <v>4</v>
      </c>
      <c r="E3" s="130">
        <v>5</v>
      </c>
      <c r="F3" s="130">
        <v>6</v>
      </c>
      <c r="G3" s="130">
        <v>7</v>
      </c>
    </row>
    <row r="4" spans="1:8" x14ac:dyDescent="0.3">
      <c r="A4" s="134"/>
      <c r="B4" s="385" t="s">
        <v>255</v>
      </c>
      <c r="C4" s="394"/>
      <c r="D4" s="386"/>
      <c r="E4" s="136"/>
      <c r="F4" s="137"/>
      <c r="G4" s="107"/>
    </row>
    <row r="5" spans="1:8" x14ac:dyDescent="0.3">
      <c r="A5" s="134"/>
      <c r="B5" s="385" t="s">
        <v>575</v>
      </c>
      <c r="C5" s="394"/>
      <c r="D5" s="394"/>
      <c r="E5" s="136"/>
      <c r="F5" s="137"/>
      <c r="G5" s="107"/>
    </row>
    <row r="6" spans="1:8" ht="20.25" customHeight="1" x14ac:dyDescent="0.3">
      <c r="A6" s="69"/>
      <c r="B6" s="201" t="s">
        <v>577</v>
      </c>
      <c r="C6" s="197"/>
      <c r="D6" s="199"/>
      <c r="E6" s="200"/>
      <c r="F6" s="198"/>
      <c r="G6" s="193"/>
    </row>
    <row r="7" spans="1:8" s="54" customFormat="1" x14ac:dyDescent="0.3">
      <c r="A7" s="69">
        <f>A6+1</f>
        <v>1</v>
      </c>
      <c r="B7" s="179" t="s">
        <v>580</v>
      </c>
      <c r="C7" s="69" t="s">
        <v>207</v>
      </c>
      <c r="D7" s="133">
        <f>3+2</f>
        <v>5</v>
      </c>
      <c r="E7" s="180">
        <v>7590</v>
      </c>
      <c r="F7" s="83">
        <f t="shared" ref="F7" si="0">ROUND(E7*D7,2)</f>
        <v>37950</v>
      </c>
      <c r="G7" s="83">
        <f t="shared" ref="G7" si="1">ROUND(F7*1.2,2)</f>
        <v>45540</v>
      </c>
    </row>
    <row r="8" spans="1:8" s="54" customFormat="1" x14ac:dyDescent="0.3">
      <c r="A8" s="69"/>
      <c r="B8" s="179"/>
      <c r="C8" s="69"/>
      <c r="D8" s="133"/>
      <c r="E8" s="180"/>
      <c r="F8" s="83"/>
      <c r="G8" s="83"/>
    </row>
    <row r="9" spans="1:8" x14ac:dyDescent="0.3">
      <c r="A9" s="134"/>
      <c r="B9" s="398" t="s">
        <v>258</v>
      </c>
      <c r="C9" s="399"/>
      <c r="D9" s="399"/>
      <c r="E9" s="136"/>
      <c r="F9" s="137"/>
      <c r="G9" s="107"/>
      <c r="H9" s="173"/>
    </row>
    <row r="10" spans="1:8" x14ac:dyDescent="0.3">
      <c r="A10" s="132"/>
      <c r="B10" s="189" t="s">
        <v>557</v>
      </c>
      <c r="C10" s="194"/>
      <c r="D10" s="194"/>
      <c r="E10" s="192"/>
      <c r="F10" s="195"/>
      <c r="G10" s="196"/>
      <c r="H10" s="173"/>
    </row>
    <row r="11" spans="1:8" x14ac:dyDescent="0.3">
      <c r="A11" s="69">
        <f>A7+1</f>
        <v>2</v>
      </c>
      <c r="B11" s="58" t="s">
        <v>218</v>
      </c>
      <c r="C11" s="57" t="s">
        <v>181</v>
      </c>
      <c r="D11" s="59">
        <f>(12.12+26)*1.1</f>
        <v>41.932000000000002</v>
      </c>
      <c r="E11" s="78">
        <v>1320</v>
      </c>
      <c r="F11" s="82">
        <f t="shared" ref="F11:F15" si="2">ROUND(E11*D11,2)</f>
        <v>55350.239999999998</v>
      </c>
      <c r="G11" s="82">
        <f t="shared" ref="G11:G15" si="3">ROUND(F11*1.2,2)</f>
        <v>66420.289999999994</v>
      </c>
    </row>
    <row r="12" spans="1:8" x14ac:dyDescent="0.3">
      <c r="A12" s="69">
        <f>A11+1</f>
        <v>3</v>
      </c>
      <c r="B12" s="58" t="s">
        <v>259</v>
      </c>
      <c r="C12" s="62" t="s">
        <v>182</v>
      </c>
      <c r="D12" s="59">
        <f>(3.95+4.33)*1.02</f>
        <v>8.4456000000000007</v>
      </c>
      <c r="E12" s="78">
        <v>6050.0000000000009</v>
      </c>
      <c r="F12" s="82">
        <f t="shared" si="2"/>
        <v>51095.88</v>
      </c>
      <c r="G12" s="82">
        <f t="shared" si="3"/>
        <v>61315.06</v>
      </c>
      <c r="H12" s="173"/>
    </row>
    <row r="13" spans="1:8" x14ac:dyDescent="0.3">
      <c r="A13" s="69">
        <f t="shared" ref="A13:A15" si="4">A12+1</f>
        <v>4</v>
      </c>
      <c r="B13" s="58" t="s">
        <v>260</v>
      </c>
      <c r="C13" s="62" t="s">
        <v>182</v>
      </c>
      <c r="D13" s="59">
        <f>29.27*1.02</f>
        <v>29.855399999999999</v>
      </c>
      <c r="E13" s="78">
        <v>1056</v>
      </c>
      <c r="F13" s="82">
        <f t="shared" si="2"/>
        <v>31527.3</v>
      </c>
      <c r="G13" s="82">
        <f t="shared" si="3"/>
        <v>37832.76</v>
      </c>
      <c r="H13" s="173"/>
    </row>
    <row r="14" spans="1:8" x14ac:dyDescent="0.3">
      <c r="A14" s="238">
        <f t="shared" si="4"/>
        <v>5</v>
      </c>
      <c r="B14" s="239" t="s">
        <v>566</v>
      </c>
      <c r="C14" s="238" t="s">
        <v>207</v>
      </c>
      <c r="D14" s="284" t="s">
        <v>323</v>
      </c>
      <c r="E14" s="285">
        <f>1452/2</f>
        <v>726</v>
      </c>
      <c r="F14" s="242">
        <f t="shared" si="2"/>
        <v>1452</v>
      </c>
      <c r="G14" s="242">
        <f t="shared" si="3"/>
        <v>1742.4</v>
      </c>
    </row>
    <row r="15" spans="1:8" ht="15.75" customHeight="1" x14ac:dyDescent="0.3">
      <c r="A15" s="238">
        <f t="shared" si="4"/>
        <v>6</v>
      </c>
      <c r="B15" s="239" t="s">
        <v>318</v>
      </c>
      <c r="C15" s="238" t="s">
        <v>181</v>
      </c>
      <c r="D15" s="240">
        <f>0.76*1.02+0.04*1.02</f>
        <v>0.81600000000000006</v>
      </c>
      <c r="E15" s="285">
        <f>3850</f>
        <v>3850</v>
      </c>
      <c r="F15" s="242">
        <f t="shared" si="2"/>
        <v>3141.6</v>
      </c>
      <c r="G15" s="242">
        <f t="shared" si="3"/>
        <v>3769.92</v>
      </c>
    </row>
    <row r="16" spans="1:8" x14ac:dyDescent="0.3">
      <c r="A16" s="134"/>
      <c r="B16" s="385" t="s">
        <v>488</v>
      </c>
      <c r="C16" s="394"/>
      <c r="D16" s="394"/>
      <c r="E16" s="136"/>
      <c r="F16" s="137"/>
      <c r="G16" s="107"/>
    </row>
    <row r="17" spans="1:8" ht="20.25" customHeight="1" x14ac:dyDescent="0.3">
      <c r="A17" s="69"/>
      <c r="B17" s="189" t="s">
        <v>567</v>
      </c>
      <c r="C17" s="197"/>
      <c r="D17" s="199"/>
      <c r="E17" s="200"/>
      <c r="F17" s="198"/>
      <c r="G17" s="193"/>
    </row>
    <row r="18" spans="1:8" s="54" customFormat="1" x14ac:dyDescent="0.3">
      <c r="A18" s="69">
        <f>A15+1</f>
        <v>7</v>
      </c>
      <c r="B18" s="179" t="s">
        <v>573</v>
      </c>
      <c r="C18" s="69" t="s">
        <v>207</v>
      </c>
      <c r="D18" s="133">
        <v>2</v>
      </c>
      <c r="E18" s="180">
        <v>7480.0000000000009</v>
      </c>
      <c r="F18" s="83">
        <f t="shared" ref="F18" si="5">ROUND(E18*D18,2)</f>
        <v>14960</v>
      </c>
      <c r="G18" s="83">
        <f t="shared" ref="G18" si="6">ROUND(F18*1.2,2)</f>
        <v>17952</v>
      </c>
    </row>
    <row r="19" spans="1:8" x14ac:dyDescent="0.3">
      <c r="A19" s="134"/>
      <c r="B19" s="385" t="s">
        <v>489</v>
      </c>
      <c r="C19" s="394"/>
      <c r="D19" s="394"/>
      <c r="E19" s="136"/>
      <c r="F19" s="137"/>
      <c r="G19" s="107"/>
    </row>
    <row r="20" spans="1:8" ht="15" customHeight="1" x14ac:dyDescent="0.3">
      <c r="A20" s="89"/>
      <c r="B20" s="204" t="s">
        <v>584</v>
      </c>
      <c r="C20" s="203"/>
      <c r="D20" s="205"/>
      <c r="E20" s="206"/>
      <c r="F20" s="157"/>
      <c r="G20" s="157"/>
    </row>
    <row r="21" spans="1:8" s="54" customFormat="1" x14ac:dyDescent="0.3">
      <c r="A21" s="69">
        <f>A18+1</f>
        <v>8</v>
      </c>
      <c r="B21" s="179" t="s">
        <v>600</v>
      </c>
      <c r="C21" s="69" t="s">
        <v>182</v>
      </c>
      <c r="D21" s="177">
        <f>241.04*1.02</f>
        <v>245.86079999999998</v>
      </c>
      <c r="E21" s="210">
        <v>1089</v>
      </c>
      <c r="F21" s="83">
        <f>ROUND(E21*D21,2)</f>
        <v>267742.40999999997</v>
      </c>
      <c r="G21" s="83">
        <f>ROUND(F21*1.2,2)</f>
        <v>321290.89</v>
      </c>
      <c r="H21" s="181" t="s">
        <v>601</v>
      </c>
    </row>
    <row r="22" spans="1:8" s="54" customFormat="1" x14ac:dyDescent="0.3">
      <c r="A22" s="238">
        <f t="shared" ref="A22" si="7">A21+1</f>
        <v>9</v>
      </c>
      <c r="B22" s="239" t="s">
        <v>382</v>
      </c>
      <c r="C22" s="238" t="s">
        <v>207</v>
      </c>
      <c r="D22" s="286">
        <v>4</v>
      </c>
      <c r="E22" s="285">
        <v>8030</v>
      </c>
      <c r="F22" s="242">
        <f t="shared" ref="F22:F28" si="8">ROUND(E22*D22,2)</f>
        <v>32120</v>
      </c>
      <c r="G22" s="242">
        <f t="shared" ref="G22:G28" si="9">ROUND(F22*1.2,2)</f>
        <v>38544</v>
      </c>
      <c r="H22" s="181"/>
    </row>
    <row r="23" spans="1:8" s="54" customFormat="1" x14ac:dyDescent="0.3">
      <c r="A23" s="69">
        <f>A22+1</f>
        <v>10</v>
      </c>
      <c r="B23" s="179" t="s">
        <v>490</v>
      </c>
      <c r="C23" s="69" t="s">
        <v>182</v>
      </c>
      <c r="D23" s="133">
        <v>160</v>
      </c>
      <c r="E23" s="180">
        <v>19.3</v>
      </c>
      <c r="F23" s="83">
        <f t="shared" si="8"/>
        <v>3088</v>
      </c>
      <c r="G23" s="83">
        <f t="shared" si="9"/>
        <v>3705.6</v>
      </c>
      <c r="H23" s="181"/>
    </row>
    <row r="24" spans="1:8" s="54" customFormat="1" x14ac:dyDescent="0.3">
      <c r="A24" s="69">
        <f>A22+1</f>
        <v>10</v>
      </c>
      <c r="B24" s="179" t="s">
        <v>218</v>
      </c>
      <c r="C24" s="69" t="s">
        <v>181</v>
      </c>
      <c r="D24" s="177">
        <f>(4.86+13.37)*1.1</f>
        <v>20.053000000000001</v>
      </c>
      <c r="E24" s="180">
        <v>1320</v>
      </c>
      <c r="F24" s="83">
        <f t="shared" si="8"/>
        <v>26469.96</v>
      </c>
      <c r="G24" s="83">
        <f t="shared" si="9"/>
        <v>31763.95</v>
      </c>
      <c r="H24" s="181"/>
    </row>
    <row r="25" spans="1:8" ht="19.5" customHeight="1" x14ac:dyDescent="0.3">
      <c r="A25" s="69">
        <f>A24+1</f>
        <v>11</v>
      </c>
      <c r="B25" s="58" t="s">
        <v>603</v>
      </c>
      <c r="C25" s="57" t="s">
        <v>182</v>
      </c>
      <c r="D25" s="61">
        <f>8*1.02</f>
        <v>8.16</v>
      </c>
      <c r="E25" s="78">
        <v>396.00000000000006</v>
      </c>
      <c r="F25" s="82">
        <f t="shared" si="8"/>
        <v>3231.36</v>
      </c>
      <c r="G25" s="82">
        <f t="shared" si="9"/>
        <v>3877.63</v>
      </c>
      <c r="H25" s="173"/>
    </row>
    <row r="26" spans="1:8" s="54" customFormat="1" x14ac:dyDescent="0.3">
      <c r="A26" s="69">
        <f t="shared" ref="A26" si="10">A25+1</f>
        <v>12</v>
      </c>
      <c r="B26" s="179" t="s">
        <v>602</v>
      </c>
      <c r="C26" s="69" t="s">
        <v>182</v>
      </c>
      <c r="D26" s="178">
        <f>(60.36+19)*1.02</f>
        <v>80.947199999999995</v>
      </c>
      <c r="E26" s="180">
        <v>945</v>
      </c>
      <c r="F26" s="83">
        <f t="shared" si="8"/>
        <v>76495.100000000006</v>
      </c>
      <c r="G26" s="83">
        <f t="shared" si="9"/>
        <v>91794.12</v>
      </c>
      <c r="H26" s="181"/>
    </row>
    <row r="27" spans="1:8" x14ac:dyDescent="0.3">
      <c r="A27" s="69">
        <f>A26+1</f>
        <v>13</v>
      </c>
      <c r="B27" s="179" t="s">
        <v>604</v>
      </c>
      <c r="C27" s="69" t="s">
        <v>207</v>
      </c>
      <c r="D27" s="133">
        <v>4</v>
      </c>
      <c r="E27" s="210">
        <v>5000</v>
      </c>
      <c r="F27" s="83">
        <f t="shared" si="8"/>
        <v>20000</v>
      </c>
      <c r="G27" s="83">
        <f t="shared" si="9"/>
        <v>24000</v>
      </c>
      <c r="H27" s="181" t="s">
        <v>601</v>
      </c>
    </row>
    <row r="28" spans="1:8" x14ac:dyDescent="0.3">
      <c r="A28" s="238">
        <f t="shared" ref="A28" si="11">A27+1</f>
        <v>14</v>
      </c>
      <c r="B28" s="239" t="s">
        <v>605</v>
      </c>
      <c r="C28" s="238" t="s">
        <v>207</v>
      </c>
      <c r="D28" s="244">
        <v>30</v>
      </c>
      <c r="E28" s="287">
        <v>97</v>
      </c>
      <c r="F28" s="242">
        <f t="shared" si="8"/>
        <v>2910</v>
      </c>
      <c r="G28" s="242">
        <f t="shared" si="9"/>
        <v>3492</v>
      </c>
      <c r="H28" s="181" t="s">
        <v>601</v>
      </c>
    </row>
    <row r="29" spans="1:8" x14ac:dyDescent="0.3">
      <c r="A29" s="252"/>
      <c r="B29" s="392" t="s">
        <v>261</v>
      </c>
      <c r="C29" s="393"/>
      <c r="D29" s="393"/>
      <c r="E29" s="254"/>
      <c r="F29" s="255"/>
      <c r="G29" s="256"/>
    </row>
    <row r="30" spans="1:8" ht="20.25" customHeight="1" x14ac:dyDescent="0.3">
      <c r="A30" s="238"/>
      <c r="B30" s="253" t="s">
        <v>619</v>
      </c>
      <c r="C30" s="288"/>
      <c r="D30" s="289"/>
      <c r="E30" s="285"/>
      <c r="F30" s="242"/>
      <c r="G30" s="242"/>
    </row>
    <row r="31" spans="1:8" ht="18" customHeight="1" x14ac:dyDescent="0.3">
      <c r="A31" s="238">
        <f>A28+1</f>
        <v>15</v>
      </c>
      <c r="B31" s="239" t="s">
        <v>620</v>
      </c>
      <c r="C31" s="288" t="s">
        <v>181</v>
      </c>
      <c r="D31" s="290">
        <f>10*0.2</f>
        <v>2</v>
      </c>
      <c r="E31" s="285">
        <v>6400</v>
      </c>
      <c r="F31" s="242">
        <f t="shared" ref="F31" si="12">ROUND(E31*D31,2)</f>
        <v>12800</v>
      </c>
      <c r="G31" s="242">
        <f t="shared" ref="G31" si="13">ROUND(F31*1.2,2)</f>
        <v>15360</v>
      </c>
    </row>
    <row r="32" spans="1:8" ht="15.6" x14ac:dyDescent="0.3">
      <c r="A32" s="238"/>
      <c r="B32" s="246" t="s">
        <v>487</v>
      </c>
      <c r="C32" s="238"/>
      <c r="D32" s="244"/>
      <c r="E32" s="261"/>
      <c r="F32" s="255"/>
      <c r="G32" s="256"/>
    </row>
    <row r="33" spans="1:7" ht="27.6" x14ac:dyDescent="0.3">
      <c r="A33" s="238">
        <f>A31+1</f>
        <v>16</v>
      </c>
      <c r="B33" s="239" t="s">
        <v>262</v>
      </c>
      <c r="C33" s="238" t="s">
        <v>219</v>
      </c>
      <c r="D33" s="240">
        <f>10*0.05*1.9</f>
        <v>0.95</v>
      </c>
      <c r="E33" s="285">
        <v>4639</v>
      </c>
      <c r="F33" s="242">
        <f t="shared" ref="F33:F35" si="14">ROUND(E33*D33,2)</f>
        <v>4407.05</v>
      </c>
      <c r="G33" s="242">
        <f t="shared" ref="G33:G35" si="15">ROUND(F33*1.2,2)</f>
        <v>5288.46</v>
      </c>
    </row>
    <row r="34" spans="1:7" x14ac:dyDescent="0.3">
      <c r="A34" s="238">
        <f>A33+1</f>
        <v>17</v>
      </c>
      <c r="B34" s="239" t="s">
        <v>263</v>
      </c>
      <c r="C34" s="238" t="s">
        <v>181</v>
      </c>
      <c r="D34" s="240">
        <f>10*0.15</f>
        <v>1.5</v>
      </c>
      <c r="E34" s="285">
        <v>4006</v>
      </c>
      <c r="F34" s="242">
        <f t="shared" si="14"/>
        <v>6009</v>
      </c>
      <c r="G34" s="242">
        <f t="shared" si="15"/>
        <v>7210.8</v>
      </c>
    </row>
    <row r="35" spans="1:7" x14ac:dyDescent="0.3">
      <c r="A35" s="238">
        <f t="shared" ref="A35" si="16">A34+1</f>
        <v>18</v>
      </c>
      <c r="B35" s="239" t="s">
        <v>264</v>
      </c>
      <c r="C35" s="238" t="s">
        <v>181</v>
      </c>
      <c r="D35" s="240">
        <f>10*0.9</f>
        <v>9</v>
      </c>
      <c r="E35" s="285">
        <v>1582</v>
      </c>
      <c r="F35" s="242">
        <f t="shared" si="14"/>
        <v>14238</v>
      </c>
      <c r="G35" s="242">
        <f t="shared" si="15"/>
        <v>17085.599999999999</v>
      </c>
    </row>
    <row r="36" spans="1:7" ht="15" customHeight="1" x14ac:dyDescent="0.3">
      <c r="A36" s="390" t="s">
        <v>543</v>
      </c>
      <c r="B36" s="390"/>
      <c r="C36" s="390"/>
      <c r="D36" s="390"/>
      <c r="E36" s="291"/>
      <c r="F36" s="291"/>
      <c r="G36" s="291"/>
    </row>
    <row r="37" spans="1:7" x14ac:dyDescent="0.3">
      <c r="A37" s="262"/>
      <c r="B37" s="262" t="s">
        <v>492</v>
      </c>
      <c r="C37" s="262"/>
      <c r="D37" s="262"/>
      <c r="E37" s="291"/>
      <c r="F37" s="291"/>
      <c r="G37" s="291"/>
    </row>
    <row r="38" spans="1:7" x14ac:dyDescent="0.3">
      <c r="A38" s="266">
        <f>A35+1</f>
        <v>19</v>
      </c>
      <c r="B38" s="239" t="s">
        <v>491</v>
      </c>
      <c r="C38" s="268" t="s">
        <v>207</v>
      </c>
      <c r="D38" s="266">
        <v>1</v>
      </c>
      <c r="E38" s="292">
        <v>37200</v>
      </c>
      <c r="F38" s="242">
        <f>ROUND(E38*D38,2)</f>
        <v>37200</v>
      </c>
      <c r="G38" s="242">
        <f>ROUND(F38*1.2,2)</f>
        <v>44640</v>
      </c>
    </row>
    <row r="39" spans="1:7" x14ac:dyDescent="0.3">
      <c r="A39" s="262"/>
      <c r="B39" s="262" t="s">
        <v>493</v>
      </c>
      <c r="C39" s="262"/>
      <c r="D39" s="262"/>
      <c r="E39" s="291"/>
      <c r="F39" s="291"/>
      <c r="G39" s="291"/>
    </row>
    <row r="40" spans="1:7" x14ac:dyDescent="0.3">
      <c r="A40" s="266">
        <f>A38+1</f>
        <v>20</v>
      </c>
      <c r="B40" s="239" t="s">
        <v>521</v>
      </c>
      <c r="C40" s="268" t="s">
        <v>182</v>
      </c>
      <c r="D40" s="266">
        <v>85</v>
      </c>
      <c r="E40" s="292">
        <v>6790</v>
      </c>
      <c r="F40" s="242">
        <f t="shared" ref="F40:F53" si="17">ROUND(E40*D40,2)</f>
        <v>577150</v>
      </c>
      <c r="G40" s="242">
        <f t="shared" ref="G40:G62" si="18">ROUND(F40*1.2,2)</f>
        <v>692580</v>
      </c>
    </row>
    <row r="41" spans="1:7" x14ac:dyDescent="0.3">
      <c r="A41" s="266">
        <f>A40+1</f>
        <v>21</v>
      </c>
      <c r="B41" s="239" t="s">
        <v>522</v>
      </c>
      <c r="C41" s="268" t="s">
        <v>182</v>
      </c>
      <c r="D41" s="273">
        <v>432.9</v>
      </c>
      <c r="E41" s="292">
        <v>1476</v>
      </c>
      <c r="F41" s="242">
        <f t="shared" si="17"/>
        <v>638960.4</v>
      </c>
      <c r="G41" s="242">
        <f t="shared" si="18"/>
        <v>766752.48</v>
      </c>
    </row>
    <row r="42" spans="1:7" x14ac:dyDescent="0.3">
      <c r="A42" s="266">
        <f>A41+1</f>
        <v>22</v>
      </c>
      <c r="B42" s="267" t="s">
        <v>494</v>
      </c>
      <c r="C42" s="268" t="s">
        <v>182</v>
      </c>
      <c r="D42" s="266">
        <v>3</v>
      </c>
      <c r="E42" s="292">
        <v>6953</v>
      </c>
      <c r="F42" s="242">
        <f t="shared" si="17"/>
        <v>20859</v>
      </c>
      <c r="G42" s="242">
        <f t="shared" si="18"/>
        <v>25030.799999999999</v>
      </c>
    </row>
    <row r="43" spans="1:7" x14ac:dyDescent="0.3">
      <c r="A43" s="266">
        <f>A42+1</f>
        <v>23</v>
      </c>
      <c r="B43" s="263" t="s">
        <v>523</v>
      </c>
      <c r="C43" s="268" t="s">
        <v>207</v>
      </c>
      <c r="D43" s="293">
        <v>1</v>
      </c>
      <c r="E43" s="292">
        <v>3200</v>
      </c>
      <c r="F43" s="242">
        <f t="shared" si="17"/>
        <v>3200</v>
      </c>
      <c r="G43" s="242">
        <f t="shared" si="18"/>
        <v>3840</v>
      </c>
    </row>
    <row r="44" spans="1:7" x14ac:dyDescent="0.3">
      <c r="A44" s="266">
        <f t="shared" ref="A44:A46" si="19">A43+1</f>
        <v>24</v>
      </c>
      <c r="B44" s="263" t="s">
        <v>495</v>
      </c>
      <c r="C44" s="268" t="s">
        <v>207</v>
      </c>
      <c r="D44" s="293">
        <v>1</v>
      </c>
      <c r="E44" s="292">
        <v>2600</v>
      </c>
      <c r="F44" s="242">
        <f t="shared" si="17"/>
        <v>2600</v>
      </c>
      <c r="G44" s="242">
        <f t="shared" si="18"/>
        <v>3120</v>
      </c>
    </row>
    <row r="45" spans="1:7" x14ac:dyDescent="0.3">
      <c r="A45" s="266">
        <f t="shared" si="19"/>
        <v>25</v>
      </c>
      <c r="B45" s="267" t="s">
        <v>524</v>
      </c>
      <c r="C45" s="268" t="s">
        <v>207</v>
      </c>
      <c r="D45" s="266">
        <v>2</v>
      </c>
      <c r="E45" s="292">
        <v>5765</v>
      </c>
      <c r="F45" s="242">
        <f t="shared" si="17"/>
        <v>11530</v>
      </c>
      <c r="G45" s="242">
        <f t="shared" si="18"/>
        <v>13836</v>
      </c>
    </row>
    <row r="46" spans="1:7" x14ac:dyDescent="0.3">
      <c r="A46" s="266">
        <f t="shared" si="19"/>
        <v>26</v>
      </c>
      <c r="B46" s="267" t="s">
        <v>525</v>
      </c>
      <c r="C46" s="268" t="s">
        <v>207</v>
      </c>
      <c r="D46" s="266">
        <v>2</v>
      </c>
      <c r="E46" s="292">
        <v>5600</v>
      </c>
      <c r="F46" s="242">
        <f t="shared" si="17"/>
        <v>11200</v>
      </c>
      <c r="G46" s="242">
        <f t="shared" si="18"/>
        <v>13440</v>
      </c>
    </row>
    <row r="47" spans="1:7" x14ac:dyDescent="0.3">
      <c r="A47" s="266">
        <f t="shared" ref="A47" si="20">A45+1</f>
        <v>26</v>
      </c>
      <c r="B47" s="294" t="s">
        <v>526</v>
      </c>
      <c r="C47" s="268" t="s">
        <v>207</v>
      </c>
      <c r="D47" s="266">
        <v>72</v>
      </c>
      <c r="E47" s="292">
        <v>3120</v>
      </c>
      <c r="F47" s="242">
        <f t="shared" si="17"/>
        <v>224640</v>
      </c>
      <c r="G47" s="242">
        <f t="shared" si="18"/>
        <v>269568</v>
      </c>
    </row>
    <row r="48" spans="1:7" x14ac:dyDescent="0.3">
      <c r="A48" s="266">
        <f t="shared" ref="A48:A62" si="21">A47+1</f>
        <v>27</v>
      </c>
      <c r="B48" s="294" t="s">
        <v>527</v>
      </c>
      <c r="C48" s="268" t="s">
        <v>207</v>
      </c>
      <c r="D48" s="266">
        <v>15</v>
      </c>
      <c r="E48" s="292">
        <v>9200</v>
      </c>
      <c r="F48" s="242">
        <f t="shared" si="17"/>
        <v>138000</v>
      </c>
      <c r="G48" s="242">
        <f t="shared" si="18"/>
        <v>165600</v>
      </c>
    </row>
    <row r="49" spans="1:7" x14ac:dyDescent="0.3">
      <c r="A49" s="266">
        <f t="shared" si="21"/>
        <v>28</v>
      </c>
      <c r="B49" s="294" t="s">
        <v>496</v>
      </c>
      <c r="C49" s="268" t="s">
        <v>207</v>
      </c>
      <c r="D49" s="266">
        <v>32</v>
      </c>
      <c r="E49" s="292">
        <v>1500</v>
      </c>
      <c r="F49" s="242">
        <f t="shared" si="17"/>
        <v>48000</v>
      </c>
      <c r="G49" s="242">
        <f t="shared" si="18"/>
        <v>57600</v>
      </c>
    </row>
    <row r="50" spans="1:7" x14ac:dyDescent="0.3">
      <c r="A50" s="266">
        <f t="shared" si="21"/>
        <v>29</v>
      </c>
      <c r="B50" s="294" t="s">
        <v>497</v>
      </c>
      <c r="C50" s="268" t="s">
        <v>182</v>
      </c>
      <c r="D50" s="266">
        <v>427.9</v>
      </c>
      <c r="E50" s="292">
        <v>19.3</v>
      </c>
      <c r="F50" s="242">
        <f t="shared" si="17"/>
        <v>8258.4699999999993</v>
      </c>
      <c r="G50" s="242">
        <f t="shared" si="18"/>
        <v>9910.16</v>
      </c>
    </row>
    <row r="51" spans="1:7" x14ac:dyDescent="0.3">
      <c r="A51" s="266">
        <f t="shared" si="21"/>
        <v>30</v>
      </c>
      <c r="B51" s="294" t="s">
        <v>498</v>
      </c>
      <c r="C51" s="268" t="s">
        <v>182</v>
      </c>
      <c r="D51" s="266">
        <v>560</v>
      </c>
      <c r="E51" s="292">
        <v>109</v>
      </c>
      <c r="F51" s="242">
        <f t="shared" si="17"/>
        <v>61040</v>
      </c>
      <c r="G51" s="242">
        <f t="shared" si="18"/>
        <v>73248</v>
      </c>
    </row>
    <row r="52" spans="1:7" x14ac:dyDescent="0.3">
      <c r="A52" s="266">
        <f t="shared" si="21"/>
        <v>31</v>
      </c>
      <c r="B52" s="294" t="s">
        <v>502</v>
      </c>
      <c r="C52" s="268" t="s">
        <v>207</v>
      </c>
      <c r="D52" s="266">
        <v>6</v>
      </c>
      <c r="E52" s="292">
        <v>2300</v>
      </c>
      <c r="F52" s="242">
        <f t="shared" si="17"/>
        <v>13800</v>
      </c>
      <c r="G52" s="242">
        <f t="shared" si="18"/>
        <v>16560</v>
      </c>
    </row>
    <row r="53" spans="1:7" x14ac:dyDescent="0.3">
      <c r="A53" s="266">
        <f t="shared" si="21"/>
        <v>32</v>
      </c>
      <c r="B53" s="294" t="s">
        <v>503</v>
      </c>
      <c r="C53" s="268" t="s">
        <v>507</v>
      </c>
      <c r="D53" s="266">
        <v>327</v>
      </c>
      <c r="E53" s="292">
        <v>190</v>
      </c>
      <c r="F53" s="242">
        <f t="shared" si="17"/>
        <v>62130</v>
      </c>
      <c r="G53" s="242">
        <f t="shared" si="18"/>
        <v>74556</v>
      </c>
    </row>
    <row r="54" spans="1:7" x14ac:dyDescent="0.3">
      <c r="A54" s="262"/>
      <c r="B54" s="262" t="s">
        <v>552</v>
      </c>
      <c r="C54" s="262"/>
      <c r="D54" s="262"/>
      <c r="E54" s="291"/>
      <c r="F54" s="291"/>
      <c r="G54" s="291"/>
    </row>
    <row r="55" spans="1:7" x14ac:dyDescent="0.3">
      <c r="A55" s="266">
        <f>A53+1</f>
        <v>33</v>
      </c>
      <c r="B55" s="294" t="s">
        <v>528</v>
      </c>
      <c r="C55" s="268" t="s">
        <v>182</v>
      </c>
      <c r="D55" s="266">
        <v>8</v>
      </c>
      <c r="E55" s="292">
        <v>132</v>
      </c>
      <c r="F55" s="242">
        <f t="shared" ref="F55:F62" si="22">ROUND(E55*D55,2)</f>
        <v>1056</v>
      </c>
      <c r="G55" s="242">
        <f t="shared" si="18"/>
        <v>1267.2</v>
      </c>
    </row>
    <row r="56" spans="1:7" x14ac:dyDescent="0.3">
      <c r="A56" s="266">
        <f t="shared" si="21"/>
        <v>34</v>
      </c>
      <c r="B56" s="294" t="s">
        <v>551</v>
      </c>
      <c r="C56" s="268" t="s">
        <v>207</v>
      </c>
      <c r="D56" s="266">
        <v>3</v>
      </c>
      <c r="E56" s="292">
        <v>9200</v>
      </c>
      <c r="F56" s="242">
        <f t="shared" si="22"/>
        <v>27600</v>
      </c>
      <c r="G56" s="242">
        <f t="shared" si="18"/>
        <v>33120</v>
      </c>
    </row>
    <row r="57" spans="1:7" x14ac:dyDescent="0.3">
      <c r="A57" s="266">
        <f t="shared" si="21"/>
        <v>35</v>
      </c>
      <c r="B57" s="294" t="s">
        <v>499</v>
      </c>
      <c r="C57" s="268" t="s">
        <v>207</v>
      </c>
      <c r="D57" s="266">
        <v>3</v>
      </c>
      <c r="E57" s="292">
        <v>652</v>
      </c>
      <c r="F57" s="242">
        <f t="shared" si="22"/>
        <v>1956</v>
      </c>
      <c r="G57" s="242">
        <f t="shared" si="18"/>
        <v>2347.1999999999998</v>
      </c>
    </row>
    <row r="58" spans="1:7" x14ac:dyDescent="0.3">
      <c r="A58" s="266">
        <f t="shared" si="21"/>
        <v>36</v>
      </c>
      <c r="B58" s="294" t="s">
        <v>506</v>
      </c>
      <c r="C58" s="268" t="s">
        <v>207</v>
      </c>
      <c r="D58" s="266">
        <v>6</v>
      </c>
      <c r="E58" s="292">
        <v>430</v>
      </c>
      <c r="F58" s="242">
        <f t="shared" si="22"/>
        <v>2580</v>
      </c>
      <c r="G58" s="242">
        <f t="shared" si="18"/>
        <v>3096</v>
      </c>
    </row>
    <row r="59" spans="1:7" x14ac:dyDescent="0.3">
      <c r="A59" s="266">
        <f t="shared" si="21"/>
        <v>37</v>
      </c>
      <c r="B59" s="294" t="s">
        <v>505</v>
      </c>
      <c r="C59" s="268" t="s">
        <v>207</v>
      </c>
      <c r="D59" s="266">
        <v>3</v>
      </c>
      <c r="E59" s="292">
        <v>64</v>
      </c>
      <c r="F59" s="242">
        <f t="shared" si="22"/>
        <v>192</v>
      </c>
      <c r="G59" s="242">
        <f t="shared" si="18"/>
        <v>230.4</v>
      </c>
    </row>
    <row r="60" spans="1:7" x14ac:dyDescent="0.3">
      <c r="A60" s="266">
        <f t="shared" si="21"/>
        <v>38</v>
      </c>
      <c r="B60" s="294" t="s">
        <v>504</v>
      </c>
      <c r="C60" s="268" t="s">
        <v>207</v>
      </c>
      <c r="D60" s="266">
        <v>3</v>
      </c>
      <c r="E60" s="292">
        <v>178</v>
      </c>
      <c r="F60" s="242">
        <f t="shared" si="22"/>
        <v>534</v>
      </c>
      <c r="G60" s="242">
        <f t="shared" si="18"/>
        <v>640.79999999999995</v>
      </c>
    </row>
    <row r="61" spans="1:7" x14ac:dyDescent="0.3">
      <c r="A61" s="266">
        <f t="shared" si="21"/>
        <v>39</v>
      </c>
      <c r="B61" s="294" t="s">
        <v>500</v>
      </c>
      <c r="C61" s="268" t="s">
        <v>207</v>
      </c>
      <c r="D61" s="266">
        <v>3</v>
      </c>
      <c r="E61" s="292">
        <v>132</v>
      </c>
      <c r="F61" s="242">
        <f t="shared" si="22"/>
        <v>396</v>
      </c>
      <c r="G61" s="242">
        <f t="shared" si="18"/>
        <v>475.2</v>
      </c>
    </row>
    <row r="62" spans="1:7" x14ac:dyDescent="0.3">
      <c r="A62" s="266">
        <f t="shared" si="21"/>
        <v>40</v>
      </c>
      <c r="B62" s="294" t="s">
        <v>501</v>
      </c>
      <c r="C62" s="268" t="s">
        <v>207</v>
      </c>
      <c r="D62" s="266">
        <v>3</v>
      </c>
      <c r="E62" s="292">
        <v>100</v>
      </c>
      <c r="F62" s="242">
        <f t="shared" si="22"/>
        <v>300</v>
      </c>
      <c r="G62" s="242">
        <f t="shared" si="18"/>
        <v>360</v>
      </c>
    </row>
    <row r="63" spans="1:7" x14ac:dyDescent="0.3">
      <c r="A63" s="295"/>
      <c r="B63" s="395" t="s">
        <v>284</v>
      </c>
      <c r="C63" s="396"/>
      <c r="D63" s="396"/>
      <c r="E63" s="397"/>
      <c r="F63" s="296">
        <f>SUM(F9:F62)</f>
        <v>2520219.77</v>
      </c>
      <c r="G63" s="296">
        <f>SUM(G9:G62)</f>
        <v>3024263.72</v>
      </c>
    </row>
  </sheetData>
  <mergeCells count="13">
    <mergeCell ref="E1:G1"/>
    <mergeCell ref="B4:D4"/>
    <mergeCell ref="B63:E63"/>
    <mergeCell ref="B29:D29"/>
    <mergeCell ref="B16:D16"/>
    <mergeCell ref="B19:D19"/>
    <mergeCell ref="B9:D9"/>
    <mergeCell ref="B5:D5"/>
    <mergeCell ref="A36:D36"/>
    <mergeCell ref="A1:A2"/>
    <mergeCell ref="B1:B2"/>
    <mergeCell ref="C1:C2"/>
    <mergeCell ref="D1:D2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Лист1</vt:lpstr>
      <vt:lpstr>Лист2</vt:lpstr>
      <vt:lpstr>Демонтаж-121</vt:lpstr>
      <vt:lpstr>Демонтаж-75</vt:lpstr>
      <vt:lpstr>Свод</vt:lpstr>
      <vt:lpstr>СМР 217 путь</vt:lpstr>
      <vt:lpstr>мат 217 путь</vt:lpstr>
      <vt:lpstr>СМР комм-ции 417</vt:lpstr>
      <vt:lpstr>мат комм-ции 417</vt:lpstr>
      <vt:lpstr>СМР ограждение</vt:lpstr>
      <vt:lpstr>мат ограждение</vt:lpstr>
      <vt:lpstr>СМР КС</vt:lpstr>
      <vt:lpstr>мат КС</vt:lpstr>
      <vt:lpstr>СМР комм-ции 217 </vt:lpstr>
      <vt:lpstr>мат комм-ции 217</vt:lpstr>
      <vt:lpstr>СМР жд 8 цех</vt:lpstr>
      <vt:lpstr>мат 8 цех</vt:lpstr>
      <vt:lpstr>'мат комм-ции 217'!Область_печати</vt:lpstr>
      <vt:lpstr>'мат комм-ции 417'!Область_печати</vt:lpstr>
      <vt:lpstr>'мат КС'!Область_печати</vt:lpstr>
      <vt:lpstr>'мат ограждение'!Область_печати</vt:lpstr>
      <vt:lpstr>Свод!Область_печати</vt:lpstr>
      <vt:lpstr>'СМР комм-ции 217 '!Область_печати</vt:lpstr>
      <vt:lpstr>'СМР комм-ции 417'!Область_печати</vt:lpstr>
      <vt:lpstr>'СМР КС'!Область_печати</vt:lpstr>
      <vt:lpstr>'СМР ограждение'!Область_печати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2023-09-11T13:49:49Z</dcterms:modified>
</cp:coreProperties>
</file>