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СВЕРХВАЖНО\"/>
    </mc:Choice>
  </mc:AlternateContent>
  <xr:revisionPtr revIDLastSave="0" documentId="13_ncr:1_{C077AEF3-FAC5-4078-8562-A3C031E9F662}" xr6:coauthVersionLast="47" xr6:coauthVersionMax="47" xr10:uidLastSave="{00000000-0000-0000-0000-000000000000}"/>
  <bookViews>
    <workbookView xWindow="28680" yWindow="-120" windowWidth="29040" windowHeight="15840" tabRatio="877" firstSheet="1" activeTab="6" xr2:uid="{00000000-000D-0000-FFFF-FFFF00000000}"/>
  </bookViews>
  <sheets>
    <sheet name="кс-3 апрель" sheetId="54" state="hidden" r:id="rId1"/>
    <sheet name="к 9 ПЖ объемы" sheetId="72" r:id="rId2"/>
    <sheet name="02-01-01" sheetId="73" r:id="rId3"/>
    <sheet name="КС-3" sheetId="71" r:id="rId4"/>
    <sheet name="реестр октябрь" sheetId="11" r:id="rId5"/>
    <sheet name="1" sheetId="55" r:id="rId6"/>
    <sheet name="2" sheetId="56" r:id="rId7"/>
    <sheet name="3" sheetId="57" r:id="rId8"/>
    <sheet name="4" sheetId="58" r:id="rId9"/>
    <sheet name="5" sheetId="59" r:id="rId10"/>
    <sheet name="6" sheetId="60" r:id="rId11"/>
    <sheet name="7" sheetId="61" r:id="rId12"/>
    <sheet name="8" sheetId="62" r:id="rId13"/>
    <sheet name="9" sheetId="63" r:id="rId14"/>
    <sheet name="10" sheetId="64" r:id="rId15"/>
    <sheet name="11" sheetId="65" r:id="rId16"/>
    <sheet name="12" sheetId="66" r:id="rId17"/>
    <sheet name="13" sheetId="67" r:id="rId18"/>
    <sheet name="14" sheetId="68" r:id="rId19"/>
    <sheet name="15" sheetId="69" r:id="rId20"/>
    <sheet name="16" sheetId="70" r:id="rId21"/>
    <sheet name="43 02-01-01(2016)-100%" sheetId="48" state="hidden" r:id="rId22"/>
    <sheet name="кс-3 январь-2" sheetId="45" state="hidden" r:id="rId23"/>
    <sheet name="р январь-2" sheetId="46" state="hidden" r:id="rId24"/>
    <sheet name="46_02-01-01(2016)" sheetId="47" state="hidden" r:id="rId25"/>
    <sheet name="М-29 нояб" sheetId="14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_FilterDatabase" localSheetId="18" hidden="1">'14'!$A$40:$P$408</definedName>
    <definedName name="_xlnm._FilterDatabase" localSheetId="13" hidden="1">'9'!$A$41:$AD$125</definedName>
    <definedName name="_xlnm._FilterDatabase" localSheetId="0" hidden="1">'кс-3 апрель'!$A$29:$R$57</definedName>
    <definedName name="_xlnm._FilterDatabase" localSheetId="22" hidden="1">'кс-3 январь-2'!$A$29:$R$55</definedName>
    <definedName name="Excel_BuiltIn__FilterDatabase_4" localSheetId="2">#REF!</definedName>
    <definedName name="Excel_BuiltIn__FilterDatabase_4" localSheetId="3">#REF!</definedName>
    <definedName name="Excel_BuiltIn__FilterDatabase_4">#REF!</definedName>
    <definedName name="Excel_BuiltIn_Print_Area" localSheetId="2">#REF!</definedName>
    <definedName name="Excel_BuiltIn_Print_Area" localSheetId="3">#REF!</definedName>
    <definedName name="Excel_BuiltIn_Print_Area">#REF!</definedName>
    <definedName name="Excel_BuiltIn_Print_Area_1" localSheetId="2">#REF!</definedName>
    <definedName name="Excel_BuiltIn_Print_Area_1" localSheetId="3">#REF!</definedName>
    <definedName name="Excel_BuiltIn_Print_Area_1">#REF!</definedName>
    <definedName name="Excel_BuiltIn_Print_Area_13" localSheetId="2">#REF!</definedName>
    <definedName name="Excel_BuiltIn_Print_Area_13" localSheetId="3">#REF!</definedName>
    <definedName name="Excel_BuiltIn_Print_Area_13">#REF!</definedName>
    <definedName name="Excel_BuiltIn_Print_Area_2" localSheetId="2">#REF!</definedName>
    <definedName name="Excel_BuiltIn_Print_Area_2" localSheetId="3">#REF!</definedName>
    <definedName name="Excel_BuiltIn_Print_Area_2">#REF!</definedName>
    <definedName name="Excel_BuiltIn_Print_Area_3" localSheetId="2">#REF!</definedName>
    <definedName name="Excel_BuiltIn_Print_Area_3" localSheetId="3">#REF!</definedName>
    <definedName name="Excel_BuiltIn_Print_Area_3">#REF!</definedName>
    <definedName name="Excel_BuiltIn_Print_Area_4" localSheetId="2">#REF!</definedName>
    <definedName name="Excel_BuiltIn_Print_Area_4" localSheetId="3">#REF!</definedName>
    <definedName name="Excel_BuiltIn_Print_Area_4">#REF!</definedName>
    <definedName name="Excel_BuiltIn_Print_Area_5" localSheetId="2">#REF!</definedName>
    <definedName name="Excel_BuiltIn_Print_Area_5" localSheetId="3">#REF!</definedName>
    <definedName name="Excel_BuiltIn_Print_Area_5">#REF!</definedName>
    <definedName name="Excel_BuiltIn_Print_Area_6" localSheetId="2">#REF!</definedName>
    <definedName name="Excel_BuiltIn_Print_Area_6" localSheetId="3">#REF!</definedName>
    <definedName name="Excel_BuiltIn_Print_Area_6">#REF!</definedName>
    <definedName name="Excel_BuiltIn_Print_Area_7" localSheetId="2">#REF!</definedName>
    <definedName name="Excel_BuiltIn_Print_Area_7" localSheetId="3">#REF!</definedName>
    <definedName name="Excel_BuiltIn_Print_Area_7">#REF!</definedName>
    <definedName name="Excel_BuiltIn_Print_Area_8" localSheetId="2">#REF!</definedName>
    <definedName name="Excel_BuiltIn_Print_Area_8" localSheetId="3">#REF!</definedName>
    <definedName name="Excel_BuiltIn_Print_Area_8">#REF!</definedName>
    <definedName name="Excel_BuiltIn_Print_Titles" localSheetId="2">#REF!</definedName>
    <definedName name="Excel_BuiltIn_Print_Titles" localSheetId="3">#REF!</definedName>
    <definedName name="Excel_BuiltIn_Print_Titles">#REF!</definedName>
    <definedName name="Fuck" localSheetId="2">#REF!</definedName>
    <definedName name="Fuck" localSheetId="3">#REF!</definedName>
    <definedName name="Fuck">#REF!</definedName>
    <definedName name="k">'[1]Текущие показатели'!$A$2</definedName>
    <definedName name="VES" localSheetId="2">#REF!</definedName>
    <definedName name="VES" localSheetId="3">#REF!</definedName>
    <definedName name="VES">#REF!</definedName>
    <definedName name="Z_32BE0561_3E43_11D1_AA21_0080C83F6713_.wvu.FilterData" localSheetId="2" hidden="1">#REF!</definedName>
    <definedName name="Z_32BE0561_3E43_11D1_AA21_0080C83F6713_.wvu.FilterData" localSheetId="3" hidden="1">#REF!</definedName>
    <definedName name="Z_32BE0561_3E43_11D1_AA21_0080C83F6713_.wvu.FilterData" hidden="1">#REF!</definedName>
    <definedName name="Z_32BE0561_3E43_11D1_AA21_0080C83F6713_.wvu.Rows" localSheetId="2" hidden="1">#REF!</definedName>
    <definedName name="Z_32BE0561_3E43_11D1_AA21_0080C83F6713_.wvu.Rows" localSheetId="3" hidden="1">#REF!</definedName>
    <definedName name="Z_32BE0561_3E43_11D1_AA21_0080C83F6713_.wvu.Rows" hidden="1">#REF!</definedName>
    <definedName name="Z_361DAB21_3E43_11D1_9921_000021579852_.wvu.FilterData" localSheetId="2" hidden="1">#REF!</definedName>
    <definedName name="Z_361DAB21_3E43_11D1_9921_000021579852_.wvu.FilterData" localSheetId="3" hidden="1">#REF!</definedName>
    <definedName name="Z_361DAB21_3E43_11D1_9921_000021579852_.wvu.FilterData" hidden="1">#REF!</definedName>
    <definedName name="Z_6DAEFF01_3E3C_11D1_9921_000021579852_.wvu.FilterData" localSheetId="2" hidden="1">#REF!</definedName>
    <definedName name="Z_6DAEFF01_3E3C_11D1_9921_000021579852_.wvu.FilterData" localSheetId="3" hidden="1">#REF!</definedName>
    <definedName name="Z_6DAEFF01_3E3C_11D1_9921_000021579852_.wvu.FilterData" hidden="1">#REF!</definedName>
    <definedName name="Z_6DAEFF01_3E3C_11D1_9921_000021579852_.wvu.Rows" localSheetId="2" hidden="1">#REF!</definedName>
    <definedName name="Z_6DAEFF01_3E3C_11D1_9921_000021579852_.wvu.Rows" localSheetId="3" hidden="1">#REF!</definedName>
    <definedName name="Z_6DAEFF01_3E3C_11D1_9921_000021579852_.wvu.Rows" hidden="1">#REF!</definedName>
    <definedName name="Z_7F3F38C1_B38F_11D1_B73A_0080C83F5DB9_.wvu.FilterData" localSheetId="2" hidden="1">#REF!</definedName>
    <definedName name="Z_7F3F38C1_B38F_11D1_B73A_0080C83F5DB9_.wvu.FilterData" localSheetId="3" hidden="1">#REF!</definedName>
    <definedName name="Z_7F3F38C1_B38F_11D1_B73A_0080C83F5DB9_.wvu.FilterData" hidden="1">#REF!</definedName>
    <definedName name="_xlnm.Database" localSheetId="2">#REF!</definedName>
    <definedName name="_xlnm.Database" localSheetId="3">#REF!</definedName>
    <definedName name="_xlnm.Database">#REF!</definedName>
    <definedName name="БИРЖА">'[2]исх дан'!$B$4</definedName>
    <definedName name="БИРЖА2" localSheetId="2">'[2]исх дан'!#REF!</definedName>
    <definedName name="БИРЖА2" localSheetId="3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2">#REF!</definedName>
    <definedName name="д" localSheetId="3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2">[5]Кабель!#REF!</definedName>
    <definedName name="Дост_Кавказ" localSheetId="3">[5]Кабель!#REF!</definedName>
    <definedName name="Дост_Кавказ">[5]Кабель!#REF!</definedName>
    <definedName name="Дост_Промсервис">[5]Кабель!$BR$9</definedName>
    <definedName name="Доставка_Алюр" localSheetId="2">#REF!</definedName>
    <definedName name="Доставка_Алюр" localSheetId="3">#REF!</definedName>
    <definedName name="Доставка_Алюр">#REF!</definedName>
    <definedName name="доставка_андромеда" localSheetId="2">#REF!</definedName>
    <definedName name="доставка_андромеда" localSheetId="3">#REF!</definedName>
    <definedName name="доставка_андромеда">#REF!</definedName>
    <definedName name="доставка_ВИМкабель" localSheetId="2">#REF!</definedName>
    <definedName name="доставка_ВИМкабель" localSheetId="3">#REF!</definedName>
    <definedName name="доставка_ВИМкабель">#REF!</definedName>
    <definedName name="Доставка_Дилявер" localSheetId="2">#REF!</definedName>
    <definedName name="Доставка_Дилявер" localSheetId="3">#REF!</definedName>
    <definedName name="Доставка_Дилявер">#REF!</definedName>
    <definedName name="доставка_кавказ" localSheetId="2">#REF!</definedName>
    <definedName name="доставка_кавказ" localSheetId="3">#REF!</definedName>
    <definedName name="доставка_кавказ">#REF!</definedName>
    <definedName name="_xlnm.Print_Titles" localSheetId="2">'02-01-01'!$38:$38</definedName>
    <definedName name="_xlnm.Print_Titles" localSheetId="5">'1'!$35:$39</definedName>
    <definedName name="_xlnm.Print_Titles" localSheetId="14">'10'!$34:$38</definedName>
    <definedName name="_xlnm.Print_Titles" localSheetId="15">'11'!$35:$39</definedName>
    <definedName name="_xlnm.Print_Titles" localSheetId="16">'12'!$34:$38</definedName>
    <definedName name="_xlnm.Print_Titles" localSheetId="17">'13'!$34:$38</definedName>
    <definedName name="_xlnm.Print_Titles" localSheetId="18">'14'!$34:$38</definedName>
    <definedName name="_xlnm.Print_Titles" localSheetId="19">'15'!$34:$38</definedName>
    <definedName name="_xlnm.Print_Titles" localSheetId="20">'16'!$34:$38</definedName>
    <definedName name="_xlnm.Print_Titles" localSheetId="6">'2'!$35:$39</definedName>
    <definedName name="_xlnm.Print_Titles" localSheetId="7">'3'!$34:$38</definedName>
    <definedName name="_xlnm.Print_Titles" localSheetId="8">'4'!$34:$38</definedName>
    <definedName name="_xlnm.Print_Titles" localSheetId="24">'46_02-01-01(2016)'!$30:$30</definedName>
    <definedName name="_xlnm.Print_Titles" localSheetId="9">'5'!$34:$38</definedName>
    <definedName name="_xlnm.Print_Titles" localSheetId="10">'6'!$34:$38</definedName>
    <definedName name="_xlnm.Print_Titles" localSheetId="11">'7'!$34:$38</definedName>
    <definedName name="_xlnm.Print_Titles" localSheetId="12">'8'!$34:$38</definedName>
    <definedName name="_xlnm.Print_Titles" localSheetId="13">'9'!$34:$38</definedName>
    <definedName name="заказчики">[3]база!$A$1:$A$65536</definedName>
    <definedName name="Заключение">[6]Списки!$I$2:$I$4</definedName>
    <definedName name="к1" localSheetId="2">#REF!</definedName>
    <definedName name="к1" localSheetId="3">#REF!</definedName>
    <definedName name="к1">#REF!</definedName>
    <definedName name="к2" localSheetId="2">#REF!</definedName>
    <definedName name="к2" localSheetId="3">#REF!</definedName>
    <definedName name="к2">#REF!</definedName>
    <definedName name="к3" localSheetId="2">#REF!</definedName>
    <definedName name="к3" localSheetId="3">#REF!</definedName>
    <definedName name="к3">#REF!</definedName>
    <definedName name="Код_1" localSheetId="2">[4]Смета!#REF!</definedName>
    <definedName name="Код_1" localSheetId="3">[4]Смета!#REF!</definedName>
    <definedName name="Код_1">[4]Смета!#REF!</definedName>
    <definedName name="Кольч">'[2]исх дан'!$B$12</definedName>
    <definedName name="КОЛЬЧ_АВББШВ" localSheetId="2">'[2]исх дан'!#REF!</definedName>
    <definedName name="КОЛЬЧ_АВББШВ" localSheetId="3">'[2]исх дан'!#REF!</definedName>
    <definedName name="КОЛЬЧ_АВББШВ">'[2]исх дан'!#REF!</definedName>
    <definedName name="Конец" localSheetId="2">#REF!</definedName>
    <definedName name="Конец" localSheetId="3">#REF!</definedName>
    <definedName name="Конец">#REF!</definedName>
    <definedName name="конкр150" localSheetId="2">'[2]исх дан'!#REF!</definedName>
    <definedName name="конкр150" localSheetId="3">'[2]исх дан'!#REF!</definedName>
    <definedName name="конкр150">'[2]исх дан'!#REF!</definedName>
    <definedName name="конкр230" localSheetId="2">'[2]исх дан'!#REF!</definedName>
    <definedName name="конкр230" localSheetId="3">'[2]исх дан'!#REF!</definedName>
    <definedName name="конкр230">'[2]исх дан'!#REF!</definedName>
    <definedName name="конкр240" localSheetId="2">'[2]исх дан'!#REF!</definedName>
    <definedName name="конкр240" localSheetId="3">'[2]исх дан'!#REF!</definedName>
    <definedName name="конкр240">'[2]исх дан'!#REF!</definedName>
    <definedName name="КОНТРОЛЬНИК" localSheetId="2">'[2]исх дан'!#REF!</definedName>
    <definedName name="КОНТРОЛЬНИК" localSheetId="3">'[2]исх дан'!#REF!</definedName>
    <definedName name="КОНТРОЛЬНИК">'[2]исх дан'!#REF!</definedName>
    <definedName name="Копилка_объем" localSheetId="2">[4]Материалы!#REF!</definedName>
    <definedName name="Копилка_объем" localSheetId="3">[4]Материалы!#REF!</definedName>
    <definedName name="Копилка_объем">[4]Материалы!#REF!</definedName>
    <definedName name="Копилка_сумма" localSheetId="3">[4]Материалы!#REF!</definedName>
    <definedName name="Копилка_сумма">[4]Материалы!#REF!</definedName>
    <definedName name="КОРОБ_ДОБ_РОЗН" localSheetId="3">'[2]исх дан'!#REF!</definedName>
    <definedName name="КОРОБ_ДОБ_РОЗН">'[2]исх дан'!#REF!</definedName>
    <definedName name="КОРОБ_РФ" localSheetId="3">'[2]исх дан'!#REF!</definedName>
    <definedName name="КОРОБ_РФ">'[2]исх дан'!#REF!</definedName>
    <definedName name="_xlnm.Criteria" localSheetId="2">#REF!</definedName>
    <definedName name="_xlnm.Criteria" localSheetId="3">#REF!</definedName>
    <definedName name="_xlnm.Criteria">#REF!</definedName>
    <definedName name="КУРС" localSheetId="2">'[2]исх дан'!#REF!</definedName>
    <definedName name="КУРС" localSheetId="3">'[2]исх дан'!#REF!</definedName>
    <definedName name="КУРС">'[2]исх дан'!#REF!</definedName>
    <definedName name="КУРС_2Й_ЛИСТ" localSheetId="3">'[2]исх дан'!#REF!</definedName>
    <definedName name="КУРС_2Й_ЛИСТ">'[2]исх дан'!#REF!</definedName>
    <definedName name="Курс_Диалин">'[7]Эл-доп'!$U$4</definedName>
    <definedName name="КУРС_ЗАПАЗД" localSheetId="2">'[2]исх дан'!#REF!</definedName>
    <definedName name="КУРС_ЗАПАЗД" localSheetId="3">'[2]исх дан'!#REF!</definedName>
    <definedName name="КУРС_ЗАПАЗД">'[2]исх дан'!#REF!</definedName>
    <definedName name="Курс_ИЭК">'[7]Эл-доп'!$Z$4</definedName>
    <definedName name="КУРС_КОЛЬЧ" localSheetId="2">'[2]исх дан'!#REF!</definedName>
    <definedName name="КУРС_КОЛЬЧ" localSheetId="3">'[2]исх дан'!#REF!</definedName>
    <definedName name="КУРС_КОЛЬЧ">'[2]исх дан'!#REF!</definedName>
    <definedName name="КУРС_ЛУК" localSheetId="2">'[2]исх дан'!#REF!</definedName>
    <definedName name="КУРС_ЛУК" localSheetId="3">'[2]исх дан'!#REF!</definedName>
    <definedName name="КУРС_ЛУК">'[2]исх дан'!#REF!</definedName>
    <definedName name="КУРС_ЛУКИ" localSheetId="2">'[2]исх дан'!#REF!</definedName>
    <definedName name="КУРС_ЛУКИ" localSheetId="3">'[2]исх дан'!#REF!</definedName>
    <definedName name="КУРС_ЛУКИ">'[2]исх дан'!#REF!</definedName>
    <definedName name="КУРС_РК" localSheetId="2">'[2]исх дан'!#REF!</definedName>
    <definedName name="КУРС_РК" localSheetId="3">'[2]исх дан'!#REF!</definedName>
    <definedName name="КУРС_РК">'[2]исх дан'!#REF!</definedName>
    <definedName name="левон_опт" localSheetId="2">#REF!</definedName>
    <definedName name="левон_опт" localSheetId="3">#REF!</definedName>
    <definedName name="левон_опт">#REF!</definedName>
    <definedName name="левон_розн" localSheetId="2">#REF!</definedName>
    <definedName name="левон_розн" localSheetId="3">#REF!</definedName>
    <definedName name="левон_розн">#REF!</definedName>
    <definedName name="лист1" localSheetId="2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2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2">#REF!,#REF!</definedName>
    <definedName name="лист10" localSheetId="3">#REF!,#REF!</definedName>
    <definedName name="лист10">#REF!,#REF!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2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2">#REF!,#REF!,#REF!,#REF!,#REF!,#REF!</definedName>
    <definedName name="лист3" localSheetId="3">#REF!,#REF!,#REF!,#REF!,#REF!,#REF!</definedName>
    <definedName name="лист3">#REF!,#REF!,#REF!,#REF!,#REF!,#REF!</definedName>
    <definedName name="лист3_txt" localSheetId="2">#REF!,#REF!,#REF!,#REF!</definedName>
    <definedName name="лист3_txt" localSheetId="3">#REF!,#REF!,#REF!,#REF!</definedName>
    <definedName name="лист3_txt">#REF!,#REF!,#REF!,#REF!</definedName>
    <definedName name="лист4" localSheetId="2">#REF!,#REF!,#REF!,#REF!,#REF!,#REF!</definedName>
    <definedName name="лист4" localSheetId="3">#REF!,#REF!,#REF!,#REF!,#REF!,#REF!</definedName>
    <definedName name="лист4">#REF!,#REF!,#REF!,#REF!,#REF!,#REF!</definedName>
    <definedName name="лист4_txt" localSheetId="2">#REF!,#REF!,#REF!,#REF!</definedName>
    <definedName name="лист4_txt" localSheetId="3">#REF!,#REF!,#REF!,#REF!</definedName>
    <definedName name="лист4_txt">#REF!,#REF!,#REF!,#REF!</definedName>
    <definedName name="лист8" localSheetId="2">#REF!,#REF!</definedName>
    <definedName name="лист8" localSheetId="3">#REF!,#REF!</definedName>
    <definedName name="лист8">#REF!,#REF!</definedName>
    <definedName name="ЛУКИ" localSheetId="2">#REF!</definedName>
    <definedName name="ЛУКИ" localSheetId="3">#REF!</definedName>
    <definedName name="ЛУКИ">#REF!</definedName>
    <definedName name="ЛУКИ_МЕДЬ" localSheetId="2">'[2]исх дан'!#REF!</definedName>
    <definedName name="ЛУКИ_МЕДЬ" localSheetId="3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2">[5]Кабель!#REF!</definedName>
    <definedName name="Мин.нац." localSheetId="3">[5]Кабель!#REF!</definedName>
    <definedName name="Мин.нац.">[5]Кабель!#REF!</definedName>
    <definedName name="Мин_Нац">'[2]исх дан'!$B$9</definedName>
    <definedName name="ммм" localSheetId="2">'[2]исх дан'!#REF!</definedName>
    <definedName name="ммм" localSheetId="3">'[2]исх дан'!#REF!</definedName>
    <definedName name="ммм">'[2]исх дан'!#REF!</definedName>
    <definedName name="НаименованиеПород">[6]Списки!$B$2:$B$80</definedName>
    <definedName name="НАЦ_ГОФР" localSheetId="2">'[2]исх дан'!#REF!</definedName>
    <definedName name="НАЦ_ГОФР" localSheetId="3">'[2]исх дан'!#REF!</definedName>
    <definedName name="НАЦ_ГОФР">'[2]исх дан'!#REF!</definedName>
    <definedName name="НАЦ_ГОФР_СПЕЦ" localSheetId="2">'[2]исх дан'!#REF!</definedName>
    <definedName name="НАЦ_ГОФР_СПЕЦ" localSheetId="3">'[2]исх дан'!#REF!</definedName>
    <definedName name="НАЦ_ГОФР_СПЕЦ">'[2]исх дан'!#REF!</definedName>
    <definedName name="НАЦ_КОЛЬЧ" localSheetId="2">'[2]исх дан'!#REF!</definedName>
    <definedName name="НАЦ_КОЛЬЧ" localSheetId="3">'[2]исх дан'!#REF!</definedName>
    <definedName name="НАЦ_КОЛЬЧ">'[2]исх дан'!#REF!</definedName>
    <definedName name="НАЦ_КОРОБ" localSheetId="2">'[2]исх дан'!#REF!</definedName>
    <definedName name="НАЦ_КОРОБ" localSheetId="3">'[2]исх дан'!#REF!</definedName>
    <definedName name="НАЦ_КОРОБ">'[2]исх дан'!#REF!</definedName>
    <definedName name="нац_метрук" localSheetId="3">'[2]исх дан'!#REF!</definedName>
    <definedName name="нац_метрук">'[2]исх дан'!#REF!</definedName>
    <definedName name="нац_након" localSheetId="2">#REF!</definedName>
    <definedName name="нац_након" localSheetId="3">#REF!</definedName>
    <definedName name="нац_након">#REF!</definedName>
    <definedName name="НАЦ_НЕГОРЮЧ" localSheetId="2">#REF!</definedName>
    <definedName name="НАЦ_НЕГОРЮЧ" localSheetId="3">#REF!</definedName>
    <definedName name="НАЦ_НЕГОРЮЧ">#REF!</definedName>
    <definedName name="НАЦ_ОПТ" localSheetId="2">'[2]исх дан'!#REF!</definedName>
    <definedName name="НАЦ_ОПТ" localSheetId="3">'[2]исх дан'!#REF!</definedName>
    <definedName name="НАЦ_ОПТ">'[2]исх дан'!#REF!</definedName>
    <definedName name="НАЦ_ОПТ_КОЛЬЧ" localSheetId="3">'[2]исх дан'!#REF!</definedName>
    <definedName name="НАЦ_ОПТ_КОЛЬЧ">'[2]исх дан'!#REF!</definedName>
    <definedName name="НАЦ_ОПТ_КОЛЬЧ_тпп" localSheetId="3">'[2]исх дан'!#REF!</definedName>
    <definedName name="НАЦ_ОПТ_КОЛЬЧ_тпп">'[2]исх дан'!#REF!</definedName>
    <definedName name="НАЦ_РЫБ" localSheetId="3">'[2]исх дан'!#REF!</definedName>
    <definedName name="НАЦ_РЫБ">'[2]исх дан'!#REF!</definedName>
    <definedName name="НАЦ_РЫБ_КРУПН" localSheetId="3">'[2]исх дан'!#REF!</definedName>
    <definedName name="НАЦ_РЫБ_КРУПН">'[2]исх дан'!#REF!</definedName>
    <definedName name="НАЦ_РЫБ_МЕЛК" localSheetId="3">'[2]исх дан'!#REF!</definedName>
    <definedName name="НАЦ_РЫБ_МЕЛК">'[2]исх дан'!#REF!</definedName>
    <definedName name="НАЦ_СМОЛ_АВВГ" localSheetId="3">'[2]исх дан'!#REF!</definedName>
    <definedName name="НАЦ_СМОЛ_АВВГ">'[2]исх дан'!#REF!</definedName>
    <definedName name="НАЦ_СМОЛ_АПВ" localSheetId="3">'[2]исх дан'!#REF!</definedName>
    <definedName name="НАЦ_СМОЛ_АПВ">'[2]исх дан'!#REF!</definedName>
    <definedName name="НАЦ_СМОЛ_М" localSheetId="3">'[2]исх дан'!#REF!</definedName>
    <definedName name="НАЦ_СМОЛ_М">'[2]исх дан'!#REF!</definedName>
    <definedName name="НАЦ_ТУРЦ_ОПТ" localSheetId="2">#REF!</definedName>
    <definedName name="НАЦ_ТУРЦ_ОПТ" localSheetId="3">#REF!</definedName>
    <definedName name="НАЦ_ТУРЦ_ОПТ">#REF!</definedName>
    <definedName name="НАЦ_ТУРЦ_РОЗН" localSheetId="2">#REF!</definedName>
    <definedName name="НАЦ_ТУРЦ_РОЗН" localSheetId="3">#REF!</definedName>
    <definedName name="НАЦ_ТУРЦ_РОЗН">#REF!</definedName>
    <definedName name="НАЦЕНКА" localSheetId="2">'[2]исх дан'!#REF!</definedName>
    <definedName name="НАЦЕНКА" localSheetId="3">'[2]исх дан'!#REF!</definedName>
    <definedName name="НАЦЕНКА">'[2]исх дан'!#REF!</definedName>
    <definedName name="НАЦЕНКА_150" localSheetId="3">'[2]исх дан'!#REF!</definedName>
    <definedName name="НАЦЕНКА_150">'[2]исх дан'!#REF!</definedName>
    <definedName name="НАЦЕНКА_СЧЕТЧ" localSheetId="3">'[2]исх дан'!#REF!</definedName>
    <definedName name="НАЦЕНКА_СЧЕТЧ">'[2]исх дан'!#REF!</definedName>
    <definedName name="НАЦЕНКА_СЧЕТЧИКИ" localSheetId="3">'[2]исх дан'!#REF!</definedName>
    <definedName name="НАЦЕНКА_СЧЕТЧИКИ">'[2]исх дан'!#REF!</definedName>
    <definedName name="НДС" localSheetId="3">'[2]исх дан'!#REF!</definedName>
    <definedName name="НДС">'[2]исх дан'!#REF!</definedName>
    <definedName name="Номер_сметы">[9]Справочник!$A:$A</definedName>
    <definedName name="_xlnm.Print_Area" localSheetId="5">'1'!$A$1:$L$353</definedName>
    <definedName name="_xlnm.Print_Area" localSheetId="14">'10'!$A$1:$L$206</definedName>
    <definedName name="_xlnm.Print_Area" localSheetId="15">'11'!$A$1:$L$438</definedName>
    <definedName name="_xlnm.Print_Area" localSheetId="16">'12'!$A$1:$L$234</definedName>
    <definedName name="_xlnm.Print_Area" localSheetId="17">'13'!$A$1:$L$244</definedName>
    <definedName name="_xlnm.Print_Area" localSheetId="18">'14'!$A$1:$L$417</definedName>
    <definedName name="_xlnm.Print_Area" localSheetId="19">'15'!$A$1:$L$177</definedName>
    <definedName name="_xlnm.Print_Area" localSheetId="20">'16'!$A$1:$L$95</definedName>
    <definedName name="_xlnm.Print_Area" localSheetId="6">'2'!$A$1:$L$529</definedName>
    <definedName name="_xlnm.Print_Area" localSheetId="7">'3'!$A$1:$L$166</definedName>
    <definedName name="_xlnm.Print_Area" localSheetId="8">'4'!$A$1:$L$99</definedName>
    <definedName name="_xlnm.Print_Area" localSheetId="9">'5'!$A$1:$L$138</definedName>
    <definedName name="_xlnm.Print_Area" localSheetId="10">'6'!$A$1:$L$120</definedName>
    <definedName name="_xlnm.Print_Area" localSheetId="11">'7'!$A$1:$L$272</definedName>
    <definedName name="_xlnm.Print_Area" localSheetId="12">'8'!$A$1:$L$365</definedName>
    <definedName name="_xlnm.Print_Area" localSheetId="13">'9'!$A$1:$L$321</definedName>
    <definedName name="_xlnm.Print_Area" localSheetId="3">'КС-3'!$A$1:$H$97</definedName>
    <definedName name="_xlnm.Print_Area" localSheetId="0">'кс-3 апрель'!$A$1:$O$67</definedName>
    <definedName name="_xlnm.Print_Area" localSheetId="22">'кс-3 январь-2'!$A$1:$O$65</definedName>
    <definedName name="_xlnm.Print_Area" localSheetId="25">'М-29 нояб'!$A$1:$AG$41</definedName>
    <definedName name="_xlnm.Print_Area" localSheetId="23">'р январь-2'!$A$1:$G$15</definedName>
    <definedName name="_xlnm.Print_Area" localSheetId="4">'реестр октябрь'!$A$1:$J$27</definedName>
    <definedName name="ООС" localSheetId="2">#REF!,#REF!</definedName>
    <definedName name="ООС" localSheetId="3">#REF!,#REF!</definedName>
    <definedName name="ООС">#REF!,#REF!</definedName>
    <definedName name="от_БИРЖЕВОГО" localSheetId="2">'[2]исх дан'!#REF!</definedName>
    <definedName name="от_БИРЖЕВОГО" localSheetId="3">'[2]исх дан'!#REF!</definedName>
    <definedName name="от_БИРЖЕВОГО">'[2]исх дан'!#REF!</definedName>
    <definedName name="ПВ" localSheetId="2">'[2]исх дан'!#REF!</definedName>
    <definedName name="ПВ" localSheetId="3">'[2]исх дан'!#REF!</definedName>
    <definedName name="ПВ">'[2]исх дан'!#REF!</definedName>
    <definedName name="ПВС_ОПТ" localSheetId="2">'[2]исх дан'!#REF!</definedName>
    <definedName name="ПВС_ОПТ" localSheetId="3">'[2]исх дан'!#REF!</definedName>
    <definedName name="ПВС_ОПТ">'[2]исх дан'!#REF!</definedName>
    <definedName name="ПВС_РОЗН">[10]ПРОЦЕНТЫ!$AQ$7</definedName>
    <definedName name="пр" localSheetId="2">#REF!,#REF!,#REF!,#REF!</definedName>
    <definedName name="пр" localSheetId="3">#REF!,#REF!,#REF!,#REF!</definedName>
    <definedName name="пр">#REF!,#REF!,#REF!,#REF!</definedName>
    <definedName name="Примечание">[6]Списки!$K$2:$K$25</definedName>
    <definedName name="ПУНП" localSheetId="2">'[2]исх дан'!#REF!</definedName>
    <definedName name="ПУНП" localSheetId="3">'[2]исх дан'!#REF!</definedName>
    <definedName name="ПУНП">'[2]исх дан'!#REF!</definedName>
    <definedName name="Расход_меди_кг_км_с_отходами" localSheetId="2">#REF!</definedName>
    <definedName name="Расход_меди_кг_км_с_отходами" localSheetId="3">#REF!</definedName>
    <definedName name="Расход_меди_кг_км_с_отходами">#REF!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2">#REF!</definedName>
    <definedName name="СКИДКА_в_КОЛЬЧУГ" localSheetId="3">#REF!</definedName>
    <definedName name="СКИДКА_в_КОЛЬЧУГ">#REF!</definedName>
    <definedName name="СКИДКА_КОЛЬЧ">'[2]исх дан'!$B$9</definedName>
    <definedName name="Смета" localSheetId="2">[4]Смета!#REF!</definedName>
    <definedName name="Смета" localSheetId="3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2">'[2]исх дан'!#REF!</definedName>
    <definedName name="тек_курс" localSheetId="3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2">#REF!,#REF!</definedName>
    <definedName name="текст10" localSheetId="3">#REF!,#REF!</definedName>
    <definedName name="текст10">#REF!,#REF!</definedName>
    <definedName name="текст11" localSheetId="2">#REF!,#REF!</definedName>
    <definedName name="текст11" localSheetId="3">#REF!,#REF!</definedName>
    <definedName name="текст11">#REF!,#REF!</definedName>
    <definedName name="текст12" localSheetId="2">#REF!,#REF!</definedName>
    <definedName name="текст12" localSheetId="3">#REF!,#REF!</definedName>
    <definedName name="текст12">#REF!,#REF!</definedName>
    <definedName name="текст2" localSheetId="2">[5]Кабель!$A$137:$A$419,#REF!</definedName>
    <definedName name="текст2" localSheetId="3">[5]Кабель!$A$137:$A$419,#REF!</definedName>
    <definedName name="текст2">[5]Кабель!$A$137:$A$419,#REF!</definedName>
    <definedName name="текст3" localSheetId="2">#REF!,#REF!</definedName>
    <definedName name="текст3" localSheetId="3">#REF!,#REF!</definedName>
    <definedName name="текст3">#REF!,#REF!</definedName>
    <definedName name="текст4" localSheetId="2">[7]Электрика!#REF!,[7]Электрика!#REF!</definedName>
    <definedName name="текст4" localSheetId="3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2">[7]Электрика!$A$32:$B$129,[7]Электрика!#REF!</definedName>
    <definedName name="текст6" localSheetId="3">[7]Электрика!$A$32:$B$129,[7]Электрика!#REF!</definedName>
    <definedName name="текст6">[7]Электрика!$A$32:$B$129,[7]Электрика!#REF!</definedName>
    <definedName name="текст7" localSheetId="2">#REF!,#REF!</definedName>
    <definedName name="текст7" localSheetId="3">#REF!,#REF!</definedName>
    <definedName name="текст7">#REF!,#REF!</definedName>
    <definedName name="текст8" localSheetId="2">#REF!,#REF!</definedName>
    <definedName name="текст8" localSheetId="3">#REF!,#REF!</definedName>
    <definedName name="текст8">#REF!,#REF!</definedName>
    <definedName name="текст9" localSheetId="2">#REF!,#REF!</definedName>
    <definedName name="текст9" localSheetId="3">#REF!,#REF!</definedName>
    <definedName name="текст9">#REF!,#REF!</definedName>
    <definedName name="Титул00" localSheetId="2">#REF!</definedName>
    <definedName name="Титул00" localSheetId="3">#REF!</definedName>
    <definedName name="Титул00">#REF!</definedName>
    <definedName name="Титул01" localSheetId="2">#REF!,#REF!</definedName>
    <definedName name="Титул01" localSheetId="3">#REF!,#REF!</definedName>
    <definedName name="Титул01">#REF!,#REF!</definedName>
    <definedName name="Титул02" localSheetId="2">#REF!,#REF!</definedName>
    <definedName name="Титул02" localSheetId="3">#REF!,#REF!</definedName>
    <definedName name="Титул02">#REF!,#REF!</definedName>
    <definedName name="Титул03" localSheetId="2">#REF!,#REF!</definedName>
    <definedName name="Титул03" localSheetId="3">#REF!,#REF!</definedName>
    <definedName name="Титул03">#REF!,#REF!</definedName>
    <definedName name="Титул04" localSheetId="2">#REF!,#REF!</definedName>
    <definedName name="Титул04" localSheetId="3">#REF!,#REF!</definedName>
    <definedName name="Титул04">#REF!,#REF!</definedName>
    <definedName name="Титул05" localSheetId="2">#REF!,#REF!</definedName>
    <definedName name="Титул05" localSheetId="3">#REF!,#REF!</definedName>
    <definedName name="Титул05">#REF!,#REF!</definedName>
    <definedName name="Титул06" localSheetId="2">#REF!</definedName>
    <definedName name="Титул06" localSheetId="3">#REF!</definedName>
    <definedName name="Титул06">#REF!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7" i="56" l="1"/>
  <c r="M333" i="56"/>
  <c r="M329" i="56"/>
  <c r="M325" i="56"/>
  <c r="M321" i="56"/>
  <c r="M174" i="56"/>
  <c r="M170" i="56"/>
  <c r="M166" i="56"/>
  <c r="M162" i="56"/>
  <c r="M158" i="56"/>
  <c r="M357" i="56"/>
  <c r="M353" i="56"/>
  <c r="M349" i="56"/>
  <c r="M388" i="56"/>
  <c r="M384" i="56"/>
  <c r="M275" i="56"/>
  <c r="M290" i="56"/>
  <c r="M286" i="56"/>
  <c r="M194" i="56"/>
  <c r="M198" i="56"/>
  <c r="M210" i="56"/>
  <c r="M206" i="56"/>
  <c r="M202" i="56"/>
  <c r="M416" i="56"/>
  <c r="M412" i="56"/>
  <c r="M408" i="56"/>
  <c r="M313" i="56"/>
  <c r="M254" i="56"/>
  <c r="M246" i="56"/>
  <c r="M226" i="56"/>
  <c r="M222" i="56"/>
  <c r="M214" i="56"/>
  <c r="M435" i="56"/>
  <c r="M431" i="56"/>
  <c r="M427" i="56"/>
  <c r="M341" i="56"/>
  <c r="M419" i="56"/>
  <c r="M178" i="56"/>
  <c r="M314" i="55"/>
  <c r="M308" i="55"/>
  <c r="M304" i="55"/>
  <c r="M261" i="55"/>
  <c r="M258" i="55"/>
  <c r="M252" i="55"/>
  <c r="M248" i="55"/>
  <c r="M218" i="55"/>
  <c r="M212" i="55"/>
  <c r="M208" i="55"/>
  <c r="M172" i="55"/>
  <c r="M168" i="55"/>
  <c r="Q302" i="63" l="1"/>
  <c r="Q300" i="63"/>
  <c r="Q299" i="63"/>
  <c r="Q46" i="63"/>
  <c r="Q47" i="63"/>
  <c r="Q49" i="63"/>
  <c r="Q54" i="63"/>
  <c r="Q55" i="63"/>
  <c r="Q62" i="63"/>
  <c r="Q63" i="63"/>
  <c r="Q65" i="63"/>
  <c r="Q72" i="63"/>
  <c r="Q77" i="63"/>
  <c r="Q78" i="63"/>
  <c r="Q80" i="63"/>
  <c r="Q85" i="63"/>
  <c r="Q86" i="63"/>
  <c r="Q88" i="63"/>
  <c r="Q93" i="63"/>
  <c r="Q94" i="63"/>
  <c r="Q96" i="63"/>
  <c r="Q101" i="63"/>
  <c r="Q102" i="63"/>
  <c r="Q104" i="63"/>
  <c r="Q109" i="63"/>
  <c r="Q110" i="63"/>
  <c r="Q115" i="63"/>
  <c r="Q120" i="63"/>
  <c r="Q121" i="63"/>
  <c r="Q123" i="63"/>
  <c r="Q128" i="63"/>
  <c r="Q136" i="63"/>
  <c r="Q144" i="63"/>
  <c r="Q157" i="63"/>
  <c r="Q158" i="63"/>
  <c r="Q198" i="63"/>
  <c r="Q203" i="63"/>
  <c r="Q204" i="63"/>
  <c r="Q209" i="63"/>
  <c r="Q215" i="63"/>
  <c r="Q221" i="63"/>
  <c r="Q236" i="63"/>
  <c r="Q258" i="63"/>
  <c r="Q263" i="63"/>
  <c r="Q264" i="63"/>
  <c r="Q266" i="63"/>
  <c r="Q269" i="63"/>
  <c r="Q272" i="63"/>
  <c r="Q288" i="63"/>
  <c r="Q289" i="63"/>
  <c r="Q294" i="63"/>
  <c r="Q41" i="63"/>
  <c r="M55" i="59"/>
  <c r="M41" i="63"/>
  <c r="M57" i="63"/>
  <c r="Q57" i="63" s="1"/>
  <c r="M49" i="63"/>
  <c r="M123" i="63"/>
  <c r="M112" i="63"/>
  <c r="Q112" i="63" s="1"/>
  <c r="M221" i="63"/>
  <c r="M209" i="63"/>
  <c r="M198" i="63"/>
  <c r="M115" i="63"/>
  <c r="M104" i="63"/>
  <c r="M144" i="63"/>
  <c r="M108" i="66"/>
  <c r="M55" i="66"/>
  <c r="M63" i="66"/>
  <c r="M76" i="67"/>
  <c r="M73" i="67"/>
  <c r="M65" i="67"/>
  <c r="M101" i="67"/>
  <c r="M90" i="67"/>
  <c r="M87" i="67"/>
  <c r="M79" i="67"/>
  <c r="M139" i="67"/>
  <c r="M128" i="67"/>
  <c r="M120" i="67"/>
  <c r="M49" i="67"/>
  <c r="M87" i="66"/>
  <c r="M79" i="66"/>
  <c r="M103" i="66"/>
  <c r="M95" i="66"/>
  <c r="M144" i="66"/>
  <c r="M111" i="66"/>
  <c r="M119" i="66"/>
  <c r="M191" i="66"/>
  <c r="M175" i="66"/>
  <c r="M167" i="66"/>
  <c r="M71" i="66"/>
  <c r="M69" i="63" l="1"/>
  <c r="Q69" i="63" s="1"/>
  <c r="Q286" i="68"/>
  <c r="Q278" i="68"/>
  <c r="Q275" i="68"/>
  <c r="Q267" i="68"/>
  <c r="Q233" i="68"/>
  <c r="Q225" i="68"/>
  <c r="Q211" i="68"/>
  <c r="Q200" i="68"/>
  <c r="Q189" i="68"/>
  <c r="Q181" i="68"/>
  <c r="Q167" i="68"/>
  <c r="Q159" i="68"/>
  <c r="Q156" i="68"/>
  <c r="Q148" i="68"/>
  <c r="Q92" i="68"/>
  <c r="Q84" i="68"/>
  <c r="Q76" i="68"/>
  <c r="Q73" i="68"/>
  <c r="Q49" i="68"/>
  <c r="Q41" i="68"/>
  <c r="M286" i="68"/>
  <c r="M278" i="68"/>
  <c r="M76" i="68"/>
  <c r="M84" i="68"/>
  <c r="M92" i="68"/>
  <c r="M100" i="68" s="1"/>
  <c r="M148" i="68"/>
  <c r="M159" i="68"/>
  <c r="M181" i="68"/>
  <c r="M225" i="68"/>
  <c r="M189" i="68"/>
  <c r="M156" i="68"/>
  <c r="M233" i="68"/>
  <c r="M73" i="68"/>
  <c r="M65" i="68"/>
  <c r="M49" i="68"/>
  <c r="M41" i="68"/>
  <c r="Q100" i="68" l="1"/>
  <c r="Q65" i="68"/>
  <c r="M167" i="68" l="1"/>
  <c r="N1115" i="73" l="1"/>
  <c r="N1116" i="73" s="1"/>
  <c r="N1117" i="73" s="1"/>
  <c r="N1118" i="73" l="1"/>
  <c r="N1119" i="73" s="1"/>
  <c r="N1120" i="73" s="1"/>
  <c r="N1121" i="73" s="1"/>
  <c r="N1122" i="73" l="1"/>
  <c r="N1123" i="73"/>
  <c r="H12" i="11" l="1"/>
  <c r="J12" i="11" s="1"/>
  <c r="H521" i="56"/>
  <c r="C14" i="71"/>
  <c r="H24" i="71"/>
  <c r="H35" i="71"/>
  <c r="G35" i="71" s="1"/>
  <c r="F35" i="71" s="1"/>
  <c r="H36" i="71"/>
  <c r="H37" i="71"/>
  <c r="G37" i="71" s="1"/>
  <c r="F37" i="71" s="1"/>
  <c r="H38" i="71"/>
  <c r="G38" i="71" s="1"/>
  <c r="F38" i="71" s="1"/>
  <c r="H39" i="71"/>
  <c r="G39" i="71" s="1"/>
  <c r="F39" i="71" s="1"/>
  <c r="G36" i="71" l="1"/>
  <c r="F36" i="71" s="1"/>
  <c r="D26" i="11"/>
  <c r="H83" i="70"/>
  <c r="H84" i="70" s="1"/>
  <c r="E26" i="11" l="1"/>
  <c r="H85" i="70"/>
  <c r="D25" i="11"/>
  <c r="H165" i="69"/>
  <c r="H166" i="69" s="1"/>
  <c r="H156" i="69"/>
  <c r="H86" i="70" l="1"/>
  <c r="H87" i="70" s="1"/>
  <c r="H26" i="11" s="1"/>
  <c r="F26" i="11"/>
  <c r="E25" i="11"/>
  <c r="H167" i="69"/>
  <c r="H168" i="69" l="1"/>
  <c r="H169" i="69" s="1"/>
  <c r="H25" i="11" s="1"/>
  <c r="F25" i="11"/>
  <c r="D24" i="11"/>
  <c r="H404" i="68"/>
  <c r="H405" i="68" s="1"/>
  <c r="E24" i="11" l="1"/>
  <c r="H406" i="68"/>
  <c r="D23" i="11"/>
  <c r="H232" i="67"/>
  <c r="H233" i="67" s="1"/>
  <c r="H223" i="67"/>
  <c r="H407" i="68" l="1"/>
  <c r="H408" i="68" s="1"/>
  <c r="H24" i="11" s="1"/>
  <c r="F24" i="11"/>
  <c r="E23" i="11"/>
  <c r="H234" i="67"/>
  <c r="F23" i="11" s="1"/>
  <c r="D22" i="11"/>
  <c r="H222" i="66"/>
  <c r="H223" i="66" s="1"/>
  <c r="H235" i="67" l="1"/>
  <c r="H236" i="67" s="1"/>
  <c r="H23" i="11" s="1"/>
  <c r="E22" i="11"/>
  <c r="H224" i="66"/>
  <c r="H225" i="66" l="1"/>
  <c r="H226" i="66" s="1"/>
  <c r="H22" i="11" s="1"/>
  <c r="F22" i="11"/>
  <c r="D21" i="11"/>
  <c r="H425" i="65"/>
  <c r="H426" i="65" s="1"/>
  <c r="H416" i="65"/>
  <c r="E21" i="11" l="1"/>
  <c r="H427" i="65"/>
  <c r="F21" i="11" s="1"/>
  <c r="H428" i="65" l="1"/>
  <c r="H429" i="65" s="1"/>
  <c r="H21" i="11" s="1"/>
  <c r="D20" i="11"/>
  <c r="H194" i="64"/>
  <c r="H195" i="64" s="1"/>
  <c r="E20" i="11" l="1"/>
  <c r="H196" i="64"/>
  <c r="D19" i="11"/>
  <c r="H309" i="63"/>
  <c r="H310" i="63" s="1"/>
  <c r="H197" i="64" l="1"/>
  <c r="H198" i="64" s="1"/>
  <c r="H20" i="11" s="1"/>
  <c r="F20" i="11"/>
  <c r="E19" i="11"/>
  <c r="H311" i="63"/>
  <c r="D18" i="11"/>
  <c r="H352" i="62"/>
  <c r="H353" i="62" s="1"/>
  <c r="E18" i="11" l="1"/>
  <c r="H312" i="63"/>
  <c r="H313" i="63" s="1"/>
  <c r="H19" i="11" s="1"/>
  <c r="F19" i="11"/>
  <c r="H354" i="62"/>
  <c r="H355" i="62" l="1"/>
  <c r="H356" i="62" s="1"/>
  <c r="H18" i="11" s="1"/>
  <c r="F18" i="11"/>
  <c r="D17" i="11"/>
  <c r="D12" i="11"/>
  <c r="H251" i="61"/>
  <c r="H260" i="61"/>
  <c r="H261" i="61" s="1"/>
  <c r="E17" i="11" l="1"/>
  <c r="H262" i="61"/>
  <c r="D16" i="11"/>
  <c r="H108" i="60"/>
  <c r="H109" i="60" s="1"/>
  <c r="C14" i="60"/>
  <c r="H263" i="61" l="1"/>
  <c r="H264" i="61" s="1"/>
  <c r="H17" i="11" s="1"/>
  <c r="F17" i="11"/>
  <c r="E16" i="11"/>
  <c r="H110" i="60"/>
  <c r="D15" i="11"/>
  <c r="H126" i="59"/>
  <c r="H127" i="59" s="1"/>
  <c r="C14" i="59"/>
  <c r="H111" i="60" l="1"/>
  <c r="H112" i="60" s="1"/>
  <c r="H16" i="11" s="1"/>
  <c r="F16" i="11"/>
  <c r="E15" i="11"/>
  <c r="H128" i="59"/>
  <c r="D14" i="11"/>
  <c r="H87" i="58"/>
  <c r="H88" i="58" s="1"/>
  <c r="H79" i="58"/>
  <c r="C14" i="58"/>
  <c r="E14" i="11" l="1"/>
  <c r="H129" i="59"/>
  <c r="H130" i="59" s="1"/>
  <c r="H15" i="11" s="1"/>
  <c r="F15" i="11"/>
  <c r="H89" i="58"/>
  <c r="D13" i="11"/>
  <c r="H153" i="57"/>
  <c r="H154" i="57" s="1"/>
  <c r="H144" i="57"/>
  <c r="C14" i="57"/>
  <c r="H90" i="58" l="1"/>
  <c r="H91" i="58" s="1"/>
  <c r="H14" i="11" s="1"/>
  <c r="F14" i="11"/>
  <c r="E13" i="11"/>
  <c r="H155" i="57"/>
  <c r="F12" i="11"/>
  <c r="E12" i="11"/>
  <c r="H156" i="57" l="1"/>
  <c r="H157" i="57" s="1"/>
  <c r="H13" i="11" s="1"/>
  <c r="F13" i="11"/>
  <c r="G12" i="11"/>
  <c r="H340" i="55"/>
  <c r="H341" i="55" s="1"/>
  <c r="D11" i="11"/>
  <c r="C14" i="55"/>
  <c r="H342" i="55" l="1"/>
  <c r="F11" i="11" s="1"/>
  <c r="E11" i="11"/>
  <c r="K13" i="11"/>
  <c r="N26" i="11"/>
  <c r="M26" i="11"/>
  <c r="O26" i="11" s="1"/>
  <c r="M25" i="11"/>
  <c r="N24" i="11"/>
  <c r="N23" i="11"/>
  <c r="M23" i="11"/>
  <c r="O23" i="11" s="1"/>
  <c r="N22" i="11"/>
  <c r="M22" i="11"/>
  <c r="O22" i="11" s="1"/>
  <c r="Q22" i="11" s="1"/>
  <c r="N21" i="11"/>
  <c r="N20" i="11"/>
  <c r="N19" i="11"/>
  <c r="M19" i="11"/>
  <c r="O19" i="11" s="1"/>
  <c r="N18" i="11"/>
  <c r="M18" i="11"/>
  <c r="O18" i="11" s="1"/>
  <c r="N17" i="11"/>
  <c r="M17" i="11"/>
  <c r="N16" i="11"/>
  <c r="M16" i="11"/>
  <c r="P15" i="11"/>
  <c r="P18" i="11" s="1"/>
  <c r="P22" i="11" s="1"/>
  <c r="P26" i="11" s="1"/>
  <c r="N15" i="11"/>
  <c r="M15" i="11"/>
  <c r="P14" i="11"/>
  <c r="P17" i="11" s="1"/>
  <c r="P21" i="11" s="1"/>
  <c r="P25" i="11" s="1"/>
  <c r="N14" i="11"/>
  <c r="M14" i="11"/>
  <c r="O14" i="11" s="1"/>
  <c r="Q14" i="11" s="1"/>
  <c r="P13" i="11"/>
  <c r="P16" i="11" s="1"/>
  <c r="N13" i="11"/>
  <c r="N11" i="11"/>
  <c r="G11" i="11" l="1"/>
  <c r="H343" i="55"/>
  <c r="H344" i="55" s="1"/>
  <c r="H11" i="11" s="1"/>
  <c r="J11" i="11" s="1"/>
  <c r="Q26" i="11"/>
  <c r="P19" i="11"/>
  <c r="P23" i="11" s="1"/>
  <c r="Q23" i="11" s="1"/>
  <c r="O16" i="11"/>
  <c r="Q16" i="11" s="1"/>
  <c r="O15" i="11"/>
  <c r="Q15" i="11" s="1"/>
  <c r="O17" i="11"/>
  <c r="Q17" i="11" s="1"/>
  <c r="Q18" i="11"/>
  <c r="M12" i="11"/>
  <c r="P20" i="11"/>
  <c r="P24" i="11" s="1"/>
  <c r="N12" i="11"/>
  <c r="N25" i="11"/>
  <c r="O25" i="11" s="1"/>
  <c r="Q25" i="11" s="1"/>
  <c r="L27" i="11"/>
  <c r="M13" i="11"/>
  <c r="O13" i="11" s="1"/>
  <c r="Q13" i="11" s="1"/>
  <c r="M20" i="11"/>
  <c r="O20" i="11" s="1"/>
  <c r="Q20" i="11" s="1"/>
  <c r="M24" i="11"/>
  <c r="O24" i="11" s="1"/>
  <c r="M11" i="11"/>
  <c r="O11" i="11" s="1"/>
  <c r="M21" i="11"/>
  <c r="O21" i="11" s="1"/>
  <c r="Q21" i="11" s="1"/>
  <c r="Q19" i="11" l="1"/>
  <c r="O12" i="11"/>
  <c r="Q12" i="11" s="1"/>
  <c r="Q24" i="11"/>
  <c r="Q11" i="11"/>
  <c r="Q27" i="11" s="1"/>
  <c r="O27" i="11" l="1"/>
  <c r="K27" i="11"/>
  <c r="I15" i="11"/>
  <c r="I19" i="11" l="1"/>
  <c r="J15" i="11"/>
  <c r="I18" i="11"/>
  <c r="J18" i="11" s="1"/>
  <c r="G26" i="11"/>
  <c r="G24" i="11"/>
  <c r="G23" i="11"/>
  <c r="G21" i="11"/>
  <c r="G17" i="11"/>
  <c r="G20" i="11"/>
  <c r="G18" i="11"/>
  <c r="G16" i="11"/>
  <c r="G15" i="11"/>
  <c r="I22" i="11"/>
  <c r="I14" i="11"/>
  <c r="I13" i="11"/>
  <c r="Y54" i="54"/>
  <c r="Y46" i="54"/>
  <c r="Y45" i="54"/>
  <c r="Y39" i="54"/>
  <c r="Y38" i="54"/>
  <c r="I17" i="11" l="1"/>
  <c r="J17" i="11" s="1"/>
  <c r="J14" i="11"/>
  <c r="I16" i="11"/>
  <c r="J13" i="11"/>
  <c r="I26" i="11"/>
  <c r="J26" i="11" s="1"/>
  <c r="J22" i="11"/>
  <c r="I23" i="11"/>
  <c r="J23" i="11" s="1"/>
  <c r="J19" i="11"/>
  <c r="G22" i="11"/>
  <c r="D27" i="11"/>
  <c r="G25" i="11"/>
  <c r="I21" i="11"/>
  <c r="G19" i="11"/>
  <c r="G13" i="11"/>
  <c r="G14" i="11"/>
  <c r="Z39" i="54"/>
  <c r="Z38" i="54"/>
  <c r="L39" i="54"/>
  <c r="H39" i="54" s="1"/>
  <c r="L38" i="54"/>
  <c r="H38" i="54" s="1"/>
  <c r="E38" i="54" s="1"/>
  <c r="H54" i="54"/>
  <c r="H53" i="54"/>
  <c r="H52" i="54"/>
  <c r="H51" i="54"/>
  <c r="H48" i="54"/>
  <c r="H49" i="54"/>
  <c r="H50" i="54"/>
  <c r="H47" i="54"/>
  <c r="H46" i="54"/>
  <c r="H45" i="54"/>
  <c r="H41" i="54"/>
  <c r="H42" i="54"/>
  <c r="H43" i="54"/>
  <c r="H44" i="54"/>
  <c r="H40" i="54"/>
  <c r="H34" i="54"/>
  <c r="H35" i="54"/>
  <c r="H36" i="54"/>
  <c r="H37" i="54"/>
  <c r="H33" i="54"/>
  <c r="P34" i="54"/>
  <c r="P35" i="54"/>
  <c r="P36" i="54"/>
  <c r="P37" i="54"/>
  <c r="P40" i="54"/>
  <c r="P41" i="54"/>
  <c r="P42" i="54"/>
  <c r="P43" i="54"/>
  <c r="P44" i="54"/>
  <c r="P47" i="54"/>
  <c r="P48" i="54"/>
  <c r="P49" i="54"/>
  <c r="P50" i="54"/>
  <c r="P51" i="54"/>
  <c r="P52" i="54"/>
  <c r="P53" i="54"/>
  <c r="P33" i="54"/>
  <c r="I25" i="11" l="1"/>
  <c r="J25" i="11" s="1"/>
  <c r="J21" i="11"/>
  <c r="I20" i="11"/>
  <c r="J16" i="11"/>
  <c r="G27" i="11"/>
  <c r="Z32" i="54"/>
  <c r="Z55" i="54"/>
  <c r="I24" i="11" l="1"/>
  <c r="J24" i="11" s="1"/>
  <c r="J27" i="11" s="1"/>
  <c r="J20" i="11"/>
  <c r="H27" i="11"/>
  <c r="H34" i="71" s="1"/>
  <c r="H33" i="71" s="1"/>
  <c r="H40" i="71" s="1"/>
  <c r="Z56" i="54"/>
  <c r="Z57" i="54" s="1"/>
  <c r="E53" i="54"/>
  <c r="H41" i="71" l="1"/>
  <c r="H42" i="71" s="1"/>
  <c r="G34" i="71"/>
  <c r="F34" i="71" s="1"/>
  <c r="P54" i="54"/>
  <c r="G33" i="71" l="1"/>
  <c r="F33" i="71" s="1"/>
  <c r="I19" i="71" s="1"/>
  <c r="P45" i="54"/>
  <c r="P46" i="54" l="1"/>
  <c r="P38" i="54"/>
  <c r="R55" i="54"/>
  <c r="S55" i="54"/>
  <c r="T55" i="54"/>
  <c r="U55" i="54"/>
  <c r="V55" i="54"/>
  <c r="W55" i="54"/>
  <c r="X55" i="54"/>
  <c r="Q55" i="54"/>
  <c r="P39" i="54" l="1"/>
  <c r="L55" i="54"/>
  <c r="E54" i="54"/>
  <c r="Y55" i="54" l="1"/>
  <c r="Y32" i="54"/>
  <c r="E50" i="54"/>
  <c r="E46" i="54"/>
  <c r="E43" i="54"/>
  <c r="E42" i="54"/>
  <c r="E41" i="54"/>
  <c r="X32" i="54"/>
  <c r="V56" i="54"/>
  <c r="U56" i="54"/>
  <c r="S56" i="54"/>
  <c r="R56" i="54"/>
  <c r="E52" i="54"/>
  <c r="E51" i="54"/>
  <c r="E47" i="54"/>
  <c r="W32" i="54"/>
  <c r="E37" i="54"/>
  <c r="E36" i="54"/>
  <c r="E35" i="54"/>
  <c r="E34" i="54"/>
  <c r="A34" i="54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V32" i="54"/>
  <c r="U32" i="54"/>
  <c r="T32" i="54"/>
  <c r="S32" i="54"/>
  <c r="R32" i="54"/>
  <c r="Q32" i="54"/>
  <c r="I25" i="54"/>
  <c r="Y56" i="54" l="1"/>
  <c r="Y57" i="54" s="1"/>
  <c r="P55" i="54"/>
  <c r="H55" i="54"/>
  <c r="E49" i="54"/>
  <c r="E40" i="54"/>
  <c r="E45" i="54"/>
  <c r="E44" i="54"/>
  <c r="E48" i="54"/>
  <c r="E33" i="54"/>
  <c r="T56" i="54"/>
  <c r="T57" i="54" s="1"/>
  <c r="X56" i="54"/>
  <c r="X57" i="54" s="1"/>
  <c r="R57" i="54"/>
  <c r="Q56" i="54"/>
  <c r="Q57" i="54" s="1"/>
  <c r="S57" i="54"/>
  <c r="E39" i="54"/>
  <c r="U57" i="54"/>
  <c r="V57" i="54"/>
  <c r="E55" i="54" l="1"/>
  <c r="L56" i="54"/>
  <c r="L57" i="54" s="1"/>
  <c r="P59" i="54" s="1"/>
  <c r="W56" i="54"/>
  <c r="W57" i="54" s="1"/>
  <c r="M128" i="48"/>
  <c r="M129" i="48" s="1"/>
  <c r="M130" i="48" s="1"/>
  <c r="M131" i="48" s="1"/>
  <c r="M132" i="48" s="1"/>
  <c r="M133" i="48" s="1"/>
  <c r="M134" i="48" s="1"/>
  <c r="M24" i="48"/>
  <c r="P56" i="54" l="1"/>
  <c r="P57" i="54" s="1"/>
  <c r="M135" i="48"/>
  <c r="M136" i="48" s="1"/>
  <c r="H39" i="45"/>
  <c r="E39" i="45" s="1"/>
  <c r="H40" i="45"/>
  <c r="E40" i="45" s="1"/>
  <c r="H41" i="45"/>
  <c r="H42" i="45"/>
  <c r="E42" i="45" s="1"/>
  <c r="H43" i="45"/>
  <c r="H44" i="45"/>
  <c r="H45" i="45"/>
  <c r="H46" i="45"/>
  <c r="H47" i="45"/>
  <c r="E47" i="45" s="1"/>
  <c r="H48" i="45"/>
  <c r="E48" i="45" s="1"/>
  <c r="H49" i="45"/>
  <c r="E49" i="45" s="1"/>
  <c r="H50" i="45"/>
  <c r="E50" i="45" s="1"/>
  <c r="H51" i="45"/>
  <c r="E51" i="45" s="1"/>
  <c r="M58" i="47"/>
  <c r="M59" i="47" s="1"/>
  <c r="M60" i="47" s="1"/>
  <c r="M61" i="47" s="1"/>
  <c r="M62" i="47" s="1"/>
  <c r="M63" i="47" s="1"/>
  <c r="M64" i="47" s="1"/>
  <c r="E11" i="46" s="1"/>
  <c r="M24" i="47"/>
  <c r="V53" i="45"/>
  <c r="S53" i="45"/>
  <c r="S54" i="45" s="1"/>
  <c r="R53" i="45"/>
  <c r="R54" i="45" s="1"/>
  <c r="Q53" i="45"/>
  <c r="L52" i="45"/>
  <c r="E52" i="45"/>
  <c r="U51" i="45"/>
  <c r="U53" i="45" s="1"/>
  <c r="T51" i="45"/>
  <c r="T53" i="45" s="1"/>
  <c r="P50" i="45"/>
  <c r="L50" i="45"/>
  <c r="P49" i="45"/>
  <c r="L49" i="45"/>
  <c r="P48" i="45"/>
  <c r="L48" i="45"/>
  <c r="P47" i="45"/>
  <c r="L47" i="45"/>
  <c r="P46" i="45"/>
  <c r="L46" i="45"/>
  <c r="P45" i="45"/>
  <c r="L45" i="45"/>
  <c r="P44" i="45"/>
  <c r="L44" i="45"/>
  <c r="P43" i="45"/>
  <c r="L43" i="45"/>
  <c r="E43" i="45"/>
  <c r="P42" i="45"/>
  <c r="L42" i="45"/>
  <c r="P41" i="45"/>
  <c r="L41" i="45"/>
  <c r="E41" i="45" s="1"/>
  <c r="P40" i="45"/>
  <c r="L40" i="45"/>
  <c r="P39" i="45"/>
  <c r="P37" i="45"/>
  <c r="L37" i="45"/>
  <c r="E37" i="45"/>
  <c r="P36" i="45"/>
  <c r="L36" i="45"/>
  <c r="E36" i="45"/>
  <c r="P35" i="45"/>
  <c r="L35" i="45"/>
  <c r="E35" i="45"/>
  <c r="P34" i="45"/>
  <c r="L34" i="45"/>
  <c r="E34" i="45"/>
  <c r="A34" i="45"/>
  <c r="A35" i="45" s="1"/>
  <c r="A36" i="45" s="1"/>
  <c r="A37" i="45" s="1"/>
  <c r="A38" i="45" s="1"/>
  <c r="A39" i="45" s="1"/>
  <c r="A40" i="45" s="1"/>
  <c r="A41" i="45" s="1"/>
  <c r="A42" i="45" s="1"/>
  <c r="A43" i="45" s="1"/>
  <c r="A44" i="45" s="1"/>
  <c r="A45" i="45" s="1"/>
  <c r="A46" i="45" s="1"/>
  <c r="A47" i="45" s="1"/>
  <c r="A48" i="45" s="1"/>
  <c r="A49" i="45" s="1"/>
  <c r="A50" i="45" s="1"/>
  <c r="A51" i="45" s="1"/>
  <c r="P33" i="45"/>
  <c r="L33" i="45"/>
  <c r="V32" i="45"/>
  <c r="T32" i="45"/>
  <c r="S32" i="45"/>
  <c r="R32" i="45"/>
  <c r="Q32" i="45"/>
  <c r="I25" i="45"/>
  <c r="E44" i="45" l="1"/>
  <c r="U32" i="45"/>
  <c r="E15" i="46"/>
  <c r="X38" i="45"/>
  <c r="V54" i="45"/>
  <c r="V55" i="45" s="1"/>
  <c r="E45" i="45"/>
  <c r="E46" i="45"/>
  <c r="M65" i="47"/>
  <c r="F11" i="46" s="1"/>
  <c r="F15" i="46" s="1"/>
  <c r="T54" i="45"/>
  <c r="T55" i="45" s="1"/>
  <c r="U54" i="45"/>
  <c r="U55" i="45" s="1"/>
  <c r="W53" i="45"/>
  <c r="P53" i="45" s="1"/>
  <c r="R55" i="45"/>
  <c r="S55" i="45"/>
  <c r="Q54" i="45"/>
  <c r="Q55" i="45" s="1"/>
  <c r="G11" i="46" l="1"/>
  <c r="M66" i="47"/>
  <c r="H11" i="46" s="1"/>
  <c r="H15" i="46" s="1"/>
  <c r="H38" i="45"/>
  <c r="E38" i="45" s="1"/>
  <c r="P38" i="45"/>
  <c r="L38" i="45"/>
  <c r="X53" i="45"/>
  <c r="G15" i="46"/>
  <c r="I15" i="46" s="1"/>
  <c r="I11" i="46"/>
  <c r="P54" i="45"/>
  <c r="P55" i="45" s="1"/>
  <c r="L53" i="45"/>
  <c r="E33" i="45"/>
  <c r="E53" i="45" l="1"/>
  <c r="H53" i="45"/>
  <c r="L54" i="45"/>
  <c r="L55" i="45" s="1"/>
  <c r="P57" i="45" s="1"/>
  <c r="AD19" i="14" l="1"/>
  <c r="AD20" i="14" l="1"/>
  <c r="AB17" i="14"/>
  <c r="Z17" i="14"/>
  <c r="Z20" i="14" l="1"/>
  <c r="AJ22" i="14"/>
  <c r="X20" i="14"/>
  <c r="R20" i="14"/>
  <c r="J20" i="14"/>
  <c r="H20" i="14"/>
  <c r="F20" i="14"/>
  <c r="T18" i="14"/>
  <c r="T20" i="14" s="1"/>
  <c r="V17" i="14"/>
  <c r="AF17" i="14" s="1"/>
  <c r="N16" i="14"/>
  <c r="N20" i="14" s="1"/>
  <c r="L16" i="14"/>
  <c r="E15" i="14"/>
  <c r="I15" i="14" s="1"/>
  <c r="K15" i="14" s="1"/>
  <c r="AF14" i="14"/>
  <c r="Q14" i="14"/>
  <c r="O14" i="14"/>
  <c r="M14" i="14"/>
  <c r="K14" i="14"/>
  <c r="I14" i="14"/>
  <c r="G14" i="14"/>
  <c r="P13" i="14"/>
  <c r="Q13" i="14" s="1"/>
  <c r="O13" i="14"/>
  <c r="L13" i="14"/>
  <c r="M13" i="14" s="1"/>
  <c r="K13" i="14"/>
  <c r="I13" i="14"/>
  <c r="G13" i="14"/>
  <c r="V20" i="14" l="1"/>
  <c r="AF19" i="14"/>
  <c r="AB20" i="14"/>
  <c r="AF16" i="14"/>
  <c r="AF13" i="14"/>
  <c r="O15" i="14"/>
  <c r="Q15" i="14"/>
  <c r="L15" i="14"/>
  <c r="AF15" i="14" s="1"/>
  <c r="S15" i="14"/>
  <c r="U15" i="14"/>
  <c r="W15" i="14"/>
  <c r="P20" i="14"/>
  <c r="E16" i="14"/>
  <c r="G15" i="14"/>
  <c r="AF18" i="14"/>
  <c r="AF20" i="14" l="1"/>
  <c r="M15" i="14"/>
  <c r="L20" i="14"/>
  <c r="K16" i="14"/>
  <c r="I16" i="14"/>
  <c r="E17" i="14"/>
  <c r="G16" i="14"/>
  <c r="W16" i="14"/>
  <c r="U16" i="14"/>
  <c r="S16" i="14"/>
  <c r="Q16" i="14"/>
  <c r="M16" i="14"/>
  <c r="O16" i="14"/>
  <c r="AC17" i="14" l="1"/>
  <c r="AC20" i="14" s="1"/>
  <c r="AA17" i="14"/>
  <c r="AA20" i="14" s="1"/>
  <c r="E18" i="14"/>
  <c r="I17" i="14"/>
  <c r="K17" i="14" s="1"/>
  <c r="G17" i="14"/>
  <c r="Y17" i="14"/>
  <c r="Y20" i="14" s="1"/>
  <c r="O17" i="14"/>
  <c r="M17" i="14"/>
  <c r="W17" i="14"/>
  <c r="W20" i="14" s="1"/>
  <c r="U17" i="14"/>
  <c r="S17" i="14"/>
  <c r="Q17" i="14"/>
  <c r="E19" i="14" l="1"/>
  <c r="I18" i="14"/>
  <c r="U18" i="14"/>
  <c r="U20" i="14" s="1"/>
  <c r="S18" i="14"/>
  <c r="K18" i="14"/>
  <c r="Q18" i="14"/>
  <c r="O18" i="14"/>
  <c r="M18" i="14"/>
  <c r="G18" i="14"/>
  <c r="AC19" i="14" l="1"/>
  <c r="AE19" i="14"/>
  <c r="AE20" i="14" s="1"/>
  <c r="AG19" i="14"/>
  <c r="S19" i="14"/>
  <c r="S20" i="14" s="1"/>
  <c r="I19" i="14"/>
  <c r="I20" i="14" s="1"/>
  <c r="Q19" i="14"/>
  <c r="O19" i="14"/>
  <c r="O20" i="14" s="1"/>
  <c r="M19" i="14"/>
  <c r="M20" i="14" s="1"/>
  <c r="K19" i="14"/>
  <c r="K20" i="14" s="1"/>
  <c r="G19" i="14"/>
  <c r="Q20" i="14"/>
  <c r="AG18" i="14"/>
  <c r="AG20" i="14" l="1"/>
  <c r="G2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00000000-0006-0000-1300-000001000000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00000000-0006-0000-1300-000002000000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00000000-0006-0000-1300-000003000000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00000000-0006-0000-1300-000004000000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00000000-0006-0000-1300-000005000000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00000000-0006-0000-1300-000006000000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00000000-0006-0000-1300-000007000000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00000000-0006-0000-1300-000008000000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00000000-0006-0000-1300-000009000000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00000000-0006-0000-1300-00000A000000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00000000-0006-0000-1300-00000B000000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00000000-0006-0000-1300-00000C000000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00000000-0006-0000-1300-00000D000000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00000000-0006-0000-1300-00000E000000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00000000-0006-0000-1300-00000F000000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00000000-0006-0000-1600-000001000000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00000000-0006-0000-1600-000002000000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00000000-0006-0000-1600-000003000000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00000000-0006-0000-1600-000004000000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00000000-0006-0000-1600-000005000000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00000000-0006-0000-1600-000006000000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00000000-0006-0000-1600-000007000000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00000000-0006-0000-1600-000008000000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00000000-0006-0000-1600-000009000000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00000000-0006-0000-1600-00000A000000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00000000-0006-0000-1600-00000B000000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00000000-0006-0000-1600-00000C000000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00000000-0006-0000-1600-00000D000000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00000000-0006-0000-1600-00000E000000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00000000-0006-0000-1600-00000F000000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sharedStrings.xml><?xml version="1.0" encoding="utf-8"?>
<sst xmlns="http://schemas.openxmlformats.org/spreadsheetml/2006/main" count="15911" uniqueCount="2462">
  <si>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</si>
  <si>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</si>
  <si>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</si>
  <si>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</si>
  <si>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</si>
  <si>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</si>
  <si>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(наименование, адрес)</t>
  </si>
  <si>
    <t>(наименование)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</si>
  <si>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</si>
  <si>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</si>
  <si>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</si>
  <si>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</si>
  <si>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</si>
  <si>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</si>
  <si>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</si>
  <si>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</si>
  <si>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</si>
  <si>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</si>
  <si>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</si>
  <si>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</si>
  <si>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16</t>
  </si>
  <si>
    <t>2</t>
  </si>
  <si>
    <t>17</t>
  </si>
  <si>
    <t>3</t>
  </si>
  <si>
    <t>19</t>
  </si>
  <si>
    <t>4</t>
  </si>
  <si>
    <t>Итоги по акту:</t>
  </si>
  <si>
    <t>Сдал:</t>
  </si>
  <si>
    <t>Принял:</t>
  </si>
  <si>
    <t>Заказчик:</t>
  </si>
  <si>
    <t>07516652</t>
  </si>
  <si>
    <t>Генподрядчик:</t>
  </si>
  <si>
    <t>ИГК</t>
  </si>
  <si>
    <t>00000000020956180093</t>
  </si>
  <si>
    <t>2035000000122000001-2</t>
  </si>
  <si>
    <t>Дополнительное соглашение</t>
  </si>
  <si>
    <t>Итого с зимним удорожанием</t>
  </si>
  <si>
    <t>ИТОГО</t>
  </si>
  <si>
    <t>НДС 20%</t>
  </si>
  <si>
    <t>ВСЕГО с НДС</t>
  </si>
  <si>
    <t>(должность, подпись, Ф.И.О)</t>
  </si>
  <si>
    <t>М.П.</t>
  </si>
  <si>
    <t xml:space="preserve"> И.С. Самарин</t>
  </si>
  <si>
    <t>5</t>
  </si>
  <si>
    <r>
      <rPr>
        <b/>
        <sz val="10"/>
        <rFont val="Times New Roman"/>
        <family val="1"/>
        <charset val="204"/>
      </rPr>
      <t xml:space="preserve">АО «ПСЗ «Янтарь» </t>
    </r>
    <r>
      <rPr>
        <sz val="10"/>
        <rFont val="Times New Roman"/>
        <family val="1"/>
        <charset val="204"/>
      </rPr>
      <t>236005, Российская Федерация, г. Калининград,  площадь Гуськова, д. 1
Тел./Факс. 8 (4012) 61-30-01</t>
    </r>
  </si>
  <si>
    <r>
      <rPr>
        <b/>
        <sz val="10"/>
        <rFont val="Times New Roman"/>
        <family val="1"/>
        <charset val="204"/>
      </rPr>
      <t>ООО "Концерн Ленпромстрой"</t>
    </r>
    <r>
      <rPr>
        <sz val="10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</si>
  <si>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Стройка:</t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</si>
  <si>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этап» открытого акционерного общества «Прибалтийский судостроительный завод «Янтарь», г.Калининград, Калининградская область</t>
  </si>
  <si>
    <t>Объект:</t>
  </si>
  <si>
    <t>Достроечная набережная №5  (Локальная смета № 02-01-01)</t>
  </si>
  <si>
    <t>30</t>
  </si>
  <si>
    <t>мая</t>
  </si>
  <si>
    <t>09</t>
  </si>
  <si>
    <t>июня</t>
  </si>
  <si>
    <t>12</t>
  </si>
  <si>
    <t>№ п.п.</t>
  </si>
  <si>
    <t>№ по смете</t>
  </si>
  <si>
    <t>Код норматива,
Наименование,
Единица измерения</t>
  </si>
  <si>
    <t>Объем</t>
  </si>
  <si>
    <t>Базисная стоимость за единицу</t>
  </si>
  <si>
    <t>Базисная стоимость всего</t>
  </si>
  <si>
    <t>Индекс / Цена</t>
  </si>
  <si>
    <t>Текущая стоимость всего</t>
  </si>
  <si>
    <t xml:space="preserve">Всего </t>
  </si>
  <si>
    <t>Осн. З/п</t>
  </si>
  <si>
    <t xml:space="preserve">Эксп.
</t>
  </si>
  <si>
    <t>Осн. з/п</t>
  </si>
  <si>
    <t>Эксп.</t>
  </si>
  <si>
    <t>Материал</t>
  </si>
  <si>
    <t>В т.ч. з/п</t>
  </si>
  <si>
    <t>Раздел 1. Строительно-монтажные работы.</t>
  </si>
  <si>
    <t>130%</t>
  </si>
  <si>
    <t>80%</t>
  </si>
  <si>
    <t>Всего с НР и СП</t>
  </si>
  <si>
    <t>105%</t>
  </si>
  <si>
    <t>65%</t>
  </si>
  <si>
    <t>6</t>
  </si>
  <si>
    <t>7</t>
  </si>
  <si>
    <t>8</t>
  </si>
  <si>
    <t>9</t>
  </si>
  <si>
    <t>10</t>
  </si>
  <si>
    <t>11</t>
  </si>
  <si>
    <t>90%</t>
  </si>
  <si>
    <t>85%</t>
  </si>
  <si>
    <t>13</t>
  </si>
  <si>
    <t>14</t>
  </si>
  <si>
    <t xml:space="preserve"> ФЕР39-01-016-01
---------------------------------
Погрузка и перемещение на первый километр металлических конструкций плавучими средствами: в условиях закрытой акватории
(1 т конструкций) </t>
  </si>
  <si>
    <t>129,77</t>
  </si>
  <si>
    <t>1,64</t>
  </si>
  <si>
    <t>128,13
----------
24,3</t>
  </si>
  <si>
    <t>15</t>
  </si>
  <si>
    <t>18</t>
  </si>
  <si>
    <t xml:space="preserve">70
</t>
  </si>
  <si>
    <t xml:space="preserve"> ФЕР39-01-015-04
---------------------------------
Установка анкерных тяг в закрытой акватории при подачи элементов конструкций: с воды плавучим краном
(1 т конструкций) </t>
  </si>
  <si>
    <t>2169,17</t>
  </si>
  <si>
    <t>185,8
----------
263,68</t>
  </si>
  <si>
    <t>1719,69
----------
146,45</t>
  </si>
  <si>
    <t xml:space="preserve">71
</t>
  </si>
  <si>
    <t xml:space="preserve"> ФЕР39-Прил.39.1-4
---------------------------------
Исключать стоимость окраски из расценки: 39-01-015-04) </t>
  </si>
  <si>
    <t>139,86</t>
  </si>
  <si>
    <t>62,7
----------
62,15</t>
  </si>
  <si>
    <t>15,01</t>
  </si>
  <si>
    <t>20</t>
  </si>
  <si>
    <t xml:space="preserve">72
</t>
  </si>
  <si>
    <t xml:space="preserve"> ФССЦ-201-0794
---------------------------------
Тяги анкерные
(т) </t>
  </si>
  <si>
    <t>12783,19</t>
  </si>
  <si>
    <t xml:space="preserve">
----------
12783,19</t>
  </si>
  <si>
    <t>21</t>
  </si>
  <si>
    <t xml:space="preserve">73
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</si>
  <si>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</si>
  <si>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</si>
  <si>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</si>
  <si>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</si>
  <si>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</si>
  <si>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</si>
  <si>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</si>
  <si>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</si>
  <si>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81
</t>
  </si>
  <si>
    <t xml:space="preserve"> ФЕР13-06-003-01
---------------------------------
Очистка поверхности щетками поверхностей анкерных тяг и распредпоясов до степени SA 2,5 перед антикоррозийным покрытием
(1 м2 очищаемой поверхности) </t>
  </si>
  <si>
    <t>7,68</t>
  </si>
  <si>
    <t>70%</t>
  </si>
  <si>
    <t xml:space="preserve">82
</t>
  </si>
  <si>
    <t xml:space="preserve"> ФЕР13-06-004-01
---------------------------------
То же, обеспыливание
(1 м2 обеспыливаемой поверхности) </t>
  </si>
  <si>
    <t>1,12</t>
  </si>
  <si>
    <t>0,85</t>
  </si>
  <si>
    <t>0,27</t>
  </si>
  <si>
    <t>31</t>
  </si>
  <si>
    <t xml:space="preserve">83
</t>
  </si>
  <si>
    <t xml:space="preserve"> ФЕР13-07-001-02
---------------------------------
То же, обезжиривание уйат-спиритом
(100 м2 обезжириваемой поверхности) </t>
  </si>
  <si>
    <t>304,46</t>
  </si>
  <si>
    <t>79,36
----------
222,44</t>
  </si>
  <si>
    <t>2,66
----------
0,1</t>
  </si>
  <si>
    <t>32</t>
  </si>
  <si>
    <t xml:space="preserve">84
</t>
  </si>
  <si>
    <t xml:space="preserve"> ФЕР13-03-002-12
---------------------------------
То же, огрунтовка  за один раз: грунтовкой эп-0263с
(100 м2 окрашиваемой поверхности) 
---------------------------------
(1.13.7.ОП При нанесении лакокрасочных материалов ручным способом ОЗП=1,1; ТЗ=1,1)</t>
  </si>
  <si>
    <t>1298,81</t>
  </si>
  <si>
    <t>55,84
----------
1233,54</t>
  </si>
  <si>
    <t>9,43
----------
0,1</t>
  </si>
  <si>
    <t>33</t>
  </si>
  <si>
    <t xml:space="preserve">85
</t>
  </si>
  <si>
    <t xml:space="preserve"> ФЕР13-03-004-01
---------------------------------
То же, окраска металлических огрунтованных поверхностей: эмалью ХС-436с за 4 раза
(100 м2 окрашиваемой поверхности) 
---------------------------------
(За 4 раза ПЗ=4 (ОЗП=4; ЭМ=4 к расх.; ЗПМ=4; МАТ=4 к расх.; ТЗ=4; ТЗМ=4);
1.13.7.ОП При нанесении лакокрасочных материалов ручным способом ОЗП=1,1; ТЗ=1,1)</t>
  </si>
  <si>
    <t>5594,32</t>
  </si>
  <si>
    <t>110,92
----------
5416,08</t>
  </si>
  <si>
    <t>67,32
----------
0,4</t>
  </si>
  <si>
    <t>34</t>
  </si>
  <si>
    <t xml:space="preserve">91
</t>
  </si>
  <si>
    <t xml:space="preserve"> ФЕР06-01-001-01
---------------------------------
Устройство бетонной подготовки под монолитный железобетон
(100 м3 бетона, бутобетона и железобетона в деле) </t>
  </si>
  <si>
    <t>58585,02</t>
  </si>
  <si>
    <t>1404
----------
55590,49</t>
  </si>
  <si>
    <t>1590,53
----------
243</t>
  </si>
  <si>
    <t>35</t>
  </si>
  <si>
    <t xml:space="preserve">92
</t>
  </si>
  <si>
    <t xml:space="preserve"> ФССЦ-401-0061
---------------------------------
Бетон тяжелый, крупность заполнителя: 20 мм, класс В3,5 (М50)
(м3) </t>
  </si>
  <si>
    <t>520</t>
  </si>
  <si>
    <t xml:space="preserve">
----------
520</t>
  </si>
  <si>
    <t>36</t>
  </si>
  <si>
    <t xml:space="preserve">93
</t>
  </si>
  <si>
    <t xml:space="preserve"> ФССЦ-401-0063
---------------------------------
Бетон тяжелый, крупность заполнителя: 20 мм, класс В7,5 (М100)
(м3) </t>
  </si>
  <si>
    <t>535,46</t>
  </si>
  <si>
    <t xml:space="preserve">
----------
535,46</t>
  </si>
  <si>
    <t>37</t>
  </si>
  <si>
    <t xml:space="preserve">96
</t>
  </si>
  <si>
    <t xml:space="preserve"> ФЕР37-03-031-02
---------------------------------
Устройство оголовка кранами на гусеничном ходу
(100 м3 железобетона в конструкции) </t>
  </si>
  <si>
    <t>172862,36</t>
  </si>
  <si>
    <t>4600,94
----------
162311,27</t>
  </si>
  <si>
    <t>5950,15
----------
446,72</t>
  </si>
  <si>
    <t>120%</t>
  </si>
  <si>
    <t xml:space="preserve">97
</t>
  </si>
  <si>
    <t xml:space="preserve"> ФССЦ-401-0011
---------------------------------
Бетон тяжелый, класс в30 (м400)
(м3) </t>
  </si>
  <si>
    <t>790</t>
  </si>
  <si>
    <t xml:space="preserve">
----------
790</t>
  </si>
  <si>
    <t xml:space="preserve">98
</t>
  </si>
  <si>
    <t xml:space="preserve"> ФССЦ-204-0064
---------------------------------
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
(т) </t>
  </si>
  <si>
    <t>6800</t>
  </si>
  <si>
    <t xml:space="preserve">
----------
6800</t>
  </si>
  <si>
    <t xml:space="preserve">99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</si>
  <si>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</si>
  <si>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>7917</t>
  </si>
  <si>
    <t xml:space="preserve">
----------
7917</t>
  </si>
  <si>
    <t xml:space="preserve">100
</t>
  </si>
  <si>
    <t xml:space="preserve"> ФССЦ-401-0211
---------------------------------
Бетон гидротехнический, класс В30 (М400), F300, W8
(м3) 
---------------------------------
(Тех. часть, п.п.4,5, тб.1,2 МАТ = 923,27+847,57*0,02*2)</t>
  </si>
  <si>
    <t>957,17</t>
  </si>
  <si>
    <t xml:space="preserve">
----------
957,17</t>
  </si>
  <si>
    <t xml:space="preserve">105
</t>
  </si>
  <si>
    <t xml:space="preserve"> ФССЦ-204-0026
---------------------------------
Горячекатаная арматурная сталь периодического профиля класса А-III, диаметром 25-28 мм
(т) </t>
  </si>
  <si>
    <t>7792,12</t>
  </si>
  <si>
    <t xml:space="preserve">
----------
7792,12</t>
  </si>
  <si>
    <t xml:space="preserve">106
</t>
  </si>
  <si>
    <t xml:space="preserve"> ФССЦ-204-0053
---------------------------------
Надбавки к ценам заготовок за сборку и сварку каркасов и сеток пространственных, диаметром 25-28 мм
(т) </t>
  </si>
  <si>
    <t>1441,85</t>
  </si>
  <si>
    <t xml:space="preserve">
----------
1441,85</t>
  </si>
  <si>
    <t xml:space="preserve">107
</t>
  </si>
  <si>
    <t xml:space="preserve">170
</t>
  </si>
  <si>
    <t xml:space="preserve"> ФЕР37-03-066-14
---------------------------------
Установка кранами на автомобильном ходу тумбы чугунной сменяемой: стопорной (ТСС) на швартовое усилие до 80 т
(1 шт.) </t>
  </si>
  <si>
    <t>6544,5</t>
  </si>
  <si>
    <t>414,53
----------
5689,09</t>
  </si>
  <si>
    <t>440,88
----------
50,63</t>
  </si>
  <si>
    <t xml:space="preserve">171
</t>
  </si>
  <si>
    <t xml:space="preserve"> ФССЦ-509-1243
---------------------------------
Тумба  на швартовое усилие до 80 т ТСС
(т) </t>
  </si>
  <si>
    <t>6659,43</t>
  </si>
  <si>
    <t xml:space="preserve">
----------
6659,43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</si>
  <si>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</si>
  <si>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</si>
  <si>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</si>
  <si>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</si>
  <si>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</si>
  <si>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</si>
  <si>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</si>
  <si>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 xml:space="preserve">    Материалы для строительных работ:</t>
  </si>
  <si>
    <t xml:space="preserve">    Свайные работы:</t>
  </si>
  <si>
    <t xml:space="preserve">    Бетонные и железобетонные монолитные конструкции в промышленном строительстве:</t>
  </si>
  <si>
    <t xml:space="preserve">    Металлические конструкции гидротехнических сооружений:</t>
  </si>
  <si>
    <t xml:space="preserve">    Защита строительных конструкций и оборудования от коррозии:</t>
  </si>
  <si>
    <t xml:space="preserve">    Бетонные и железобетонные конструкции гидротехнических сооружений:</t>
  </si>
  <si>
    <t xml:space="preserve">    Итого</t>
  </si>
  <si>
    <t xml:space="preserve">    Всего с учетом " СМР=7,38"</t>
  </si>
  <si>
    <t xml:space="preserve">    ВСЕГО по акту</t>
  </si>
  <si>
    <t>Производство работ в зимнее время – 0,96%</t>
  </si>
  <si>
    <t>Понижающий коэффициент 0,9833333333</t>
  </si>
  <si>
    <t>Индекс фактической инфляции К1= 1,25085</t>
  </si>
  <si>
    <t>Индекс фактической инфляции К2= 1,07521</t>
  </si>
  <si>
    <t>Индекс прогнозной инфляции К3= 1,0338</t>
  </si>
  <si>
    <t>Генеральный директор ООО "Концерн "Ленпромстрой"                                                                                                                                   Ю.А. Алексашин</t>
  </si>
  <si>
    <t xml:space="preserve">Генеральный директор АО «ПСЗ «Янтарь»                                                                                                                                                    </t>
  </si>
  <si>
    <t>т</t>
  </si>
  <si>
    <r>
      <rPr>
        <b/>
        <sz val="11"/>
        <color theme="1"/>
        <rFont val="Times New Roman"/>
        <family val="1"/>
        <charset val="204"/>
      </rPr>
      <t>АО «ПСЗ «Янтарь»</t>
    </r>
    <r>
      <rPr>
        <sz val="11"/>
        <color theme="1"/>
        <rFont val="Times New Roman"/>
        <family val="1"/>
        <charset val="204"/>
      </rPr>
      <t xml:space="preserve"> 236005, Российская Федерация, г. Калининград,  площадь Гуськова, д. 1
Тел./Факс. 8 (4012) 61-30-01</t>
    </r>
  </si>
  <si>
    <t>организация, адрес, телефон, факс</t>
  </si>
  <si>
    <r>
      <rPr>
        <b/>
        <sz val="11"/>
        <color theme="1"/>
        <rFont val="Times New Roman"/>
        <family val="1"/>
        <charset val="204"/>
      </rPr>
      <t>ООО "Концерн Ленпромстрой"</t>
    </r>
    <r>
      <rPr>
        <sz val="11"/>
        <color theme="1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</si>
  <si>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"Реконструкция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</si>
  <si>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>наименование, адрес</t>
  </si>
  <si>
    <t>№</t>
  </si>
  <si>
    <t>№ СМЕТЫ</t>
  </si>
  <si>
    <t>Наименование сметы</t>
  </si>
  <si>
    <t>№ кс-2</t>
  </si>
  <si>
    <t xml:space="preserve">итого без НДС </t>
  </si>
  <si>
    <t>ндс 20%</t>
  </si>
  <si>
    <t>итого с ндс</t>
  </si>
  <si>
    <t>проверка</t>
  </si>
  <si>
    <t xml:space="preserve"> 02-01-01</t>
  </si>
  <si>
    <t xml:space="preserve">Достроечная набережная №5  </t>
  </si>
  <si>
    <t>Унифицированная форма № КС-3</t>
  </si>
  <si>
    <t>Утверждена постановлением Госкомстата России</t>
  </si>
  <si>
    <t>от 11 ноября 1999 г. № 100</t>
  </si>
  <si>
    <t>0322001</t>
  </si>
  <si>
    <t>Инвестор:</t>
  </si>
  <si>
    <r>
      <rPr>
        <b/>
        <sz val="11"/>
        <rFont val="Times New Roman"/>
        <family val="1"/>
        <charset val="204"/>
      </rPr>
      <t xml:space="preserve">АО «ПСЗ «Янтарь» </t>
    </r>
    <r>
      <rPr>
        <sz val="11"/>
        <rFont val="Times New Roman"/>
        <family val="1"/>
        <charset val="204"/>
      </rPr>
      <t>236005, Российская Федерация, г. Калининград,  площадь Гуськова, д. 1Тел./Факс. 8 (4012) 61-30-01</t>
    </r>
  </si>
  <si>
    <r>
      <rPr>
        <b/>
        <sz val="11"/>
        <rFont val="Times New Roman"/>
        <family val="1"/>
        <charset val="204"/>
      </rPr>
      <t xml:space="preserve">ООО "Концерн Ленпромстрой" </t>
    </r>
    <r>
      <rPr>
        <sz val="11"/>
        <rFont val="Times New Roman"/>
        <family val="1"/>
        <charset val="204"/>
      </rPr>
      <t xml:space="preserve">190031, Российская Федерация, г. Санкт-Петербург", наб.реки Фонтанки, д.113, лит. А,пом.18-Н, офис 33  тел. (812) 327-22-80 </t>
    </r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</si>
  <si>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</si>
  <si>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 xml:space="preserve">                                                                                                  ИГК</t>
  </si>
  <si>
    <t xml:space="preserve">номер </t>
  </si>
  <si>
    <t>06</t>
  </si>
  <si>
    <t>СПРАВКА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</si>
  <si>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</si>
  <si>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</si>
  <si>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</si>
  <si>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 руб.</t>
  </si>
  <si>
    <t>с начала проведения работ</t>
  </si>
  <si>
    <t>с начала года</t>
  </si>
  <si>
    <t>в том числе за отчетный период</t>
  </si>
  <si>
    <t>ВСЕГО</t>
  </si>
  <si>
    <t>№1 июль</t>
  </si>
  <si>
    <t>№2 август</t>
  </si>
  <si>
    <t>№3 сентябрь</t>
  </si>
  <si>
    <t>№4 октябрь</t>
  </si>
  <si>
    <t>№5 ноябрь</t>
  </si>
  <si>
    <t>№6 декабрь</t>
  </si>
  <si>
    <t>№9 март</t>
  </si>
  <si>
    <t>Всего работ и затрат, включаемых в стоимость работ:</t>
  </si>
  <si>
    <r>
      <rPr>
        <b/>
        <sz val="11"/>
        <rFont val="Times New Roman"/>
        <family val="1"/>
        <charset val="204"/>
      </rPr>
      <t xml:space="preserve">Акт №6. </t>
    </r>
    <r>
      <rPr>
        <sz val="11"/>
        <rFont val="Times New Roman"/>
        <family val="1"/>
        <charset val="204"/>
      </rPr>
      <t>Локальная смета №01-01-01 ДОБ. Подготовительные работы. Набережная №5</t>
    </r>
  </si>
  <si>
    <r>
      <rPr>
        <b/>
        <sz val="11"/>
        <rFont val="Times New Roman"/>
        <family val="1"/>
        <charset val="204"/>
      </rPr>
      <t>Акт №2.</t>
    </r>
    <r>
      <rPr>
        <sz val="11"/>
        <rFont val="Times New Roman"/>
        <family val="1"/>
        <charset val="204"/>
      </rPr>
      <t xml:space="preserve"> Локальная смета №1. Разборка временной дороги.</t>
    </r>
  </si>
  <si>
    <r>
      <rPr>
        <b/>
        <sz val="11"/>
        <rFont val="Times New Roman"/>
        <family val="1"/>
        <charset val="204"/>
      </rPr>
      <t>Акт №1. Акт №7.Акт №14.Акт №20</t>
    </r>
    <r>
      <rPr>
        <sz val="11"/>
        <rFont val="Times New Roman"/>
        <family val="1"/>
        <charset val="204"/>
      </rPr>
      <t xml:space="preserve"> Локальная смета №01-02-01. Разборка существующих конструкций. Достроечная набережная №5 </t>
    </r>
  </si>
  <si>
    <r>
      <rPr>
        <b/>
        <sz val="11"/>
        <rFont val="Times New Roman"/>
        <family val="1"/>
        <charset val="204"/>
      </rPr>
      <t>Акт №3. Акт №12.Акт №26</t>
    </r>
    <r>
      <rPr>
        <sz val="11"/>
        <rFont val="Times New Roman"/>
        <family val="1"/>
        <charset val="204"/>
      </rPr>
      <t xml:space="preserve"> Локальная смета №09-02-01 ДОБ. Плата за негативное воздействие при перемещении отходов производства и потребления на полигоне ТБО.</t>
    </r>
  </si>
  <si>
    <r>
      <rPr>
        <b/>
        <sz val="11"/>
        <rFont val="Times New Roman"/>
        <family val="1"/>
        <charset val="204"/>
      </rPr>
      <t>Акт №8.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№21</t>
    </r>
    <r>
      <rPr>
        <sz val="11"/>
        <rFont val="Times New Roman"/>
        <family val="1"/>
        <charset val="204"/>
      </rPr>
      <t xml:space="preserve">. Локальная смета №01-02-01 ДОБ. Разборка существующих конструкций. Достроечная набережная №5  </t>
    </r>
  </si>
  <si>
    <r>
      <rPr>
        <b/>
        <sz val="11"/>
        <rFont val="Times New Roman"/>
        <family val="1"/>
        <charset val="204"/>
      </rPr>
      <t>Акт №18 .</t>
    </r>
    <r>
      <rPr>
        <sz val="11"/>
        <rFont val="Times New Roman"/>
        <family val="1"/>
        <charset val="204"/>
      </rPr>
      <t xml:space="preserve"> Локальная смета №3 (Непредвиденные расходы). Лидерное бурение под анкерные сваи в районе ТП153</t>
    </r>
  </si>
  <si>
    <r>
      <rPr>
        <b/>
        <sz val="11"/>
        <rFont val="Times New Roman"/>
        <family val="1"/>
        <charset val="204"/>
      </rPr>
      <t>Акт №19 .</t>
    </r>
    <r>
      <rPr>
        <sz val="11"/>
        <rFont val="Times New Roman"/>
        <family val="1"/>
        <charset val="204"/>
      </rPr>
      <t xml:space="preserve"> Локальная смета №4 (Временные здания и сооружения). Устройство площадки складирования для армирования ростверка.</t>
    </r>
  </si>
  <si>
    <t>Сумма НДС</t>
  </si>
  <si>
    <t>Всего с учетом НДС 20 %</t>
  </si>
  <si>
    <t>Генеральный директор АО "ПСЗ "Янтарь"</t>
  </si>
  <si>
    <t>(подпись)</t>
  </si>
  <si>
    <t>(расшифровка подписи)</t>
  </si>
  <si>
    <t>Генеральный подрядчик:</t>
  </si>
  <si>
    <t xml:space="preserve"> </t>
  </si>
  <si>
    <t>Генеральный директор ООО "Концерн "Ленпромстрой"</t>
  </si>
  <si>
    <t>Ю.А. Алексашин</t>
  </si>
  <si>
    <t>Итого:</t>
  </si>
  <si>
    <r>
      <rPr>
        <b/>
        <sz val="11"/>
        <rFont val="Times New Roman"/>
        <family val="1"/>
        <charset val="204"/>
      </rPr>
      <t>Акт №5. Акт №11.Акт №17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№29</t>
    </r>
    <r>
      <rPr>
        <sz val="11"/>
        <rFont val="Times New Roman"/>
        <family val="1"/>
        <charset val="204"/>
      </rPr>
      <t>.Локальная смета №02-01-01 ДМ. Давальческие материалы. 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</si>
  <si>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№24. Акт №30. </t>
    </r>
    <r>
      <rPr>
        <sz val="11"/>
        <rFont val="Times New Roman"/>
        <family val="1"/>
        <charset val="204"/>
      </rPr>
      <t>Локальная смета №02-01-02. Устройство покрытий.Набережная №5.</t>
    </r>
  </si>
  <si>
    <r>
      <rPr>
        <b/>
        <sz val="11"/>
        <rFont val="Times New Roman"/>
        <family val="1"/>
        <charset val="204"/>
      </rPr>
      <t>Акт №32.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</si>
  <si>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Отчет об использовании материалов, переданных Заказчиком</t>
  </si>
  <si>
    <t xml:space="preserve">по Контракту № 2035000000122000001-2 от « 30 » мая  2022 года
</t>
  </si>
  <si>
    <t>г. Калининград</t>
  </si>
  <si>
    <r>
      <t>«</t>
    </r>
    <r>
      <rPr>
        <sz val="12"/>
        <rFont val="Verdana"/>
        <family val="2"/>
        <charset val="204"/>
      </rPr>
      <t>25</t>
    </r>
    <r>
      <rPr>
        <u/>
        <sz val="12"/>
        <rFont val="Verdana"/>
        <family val="2"/>
        <charset val="204"/>
      </rPr>
      <t>» октября 2022 г</t>
    </r>
    <r>
      <rPr>
        <sz val="12"/>
        <rFont val="Verdana"/>
        <family val="2"/>
        <charset val="204"/>
      </rPr>
      <t>.</t>
    </r>
  </si>
  <si>
    <t>Генеральным подрядчиком были получены от Заказчика и использованы при выполнении работ за период  материалы в следующем объеме:</t>
  </si>
  <si>
    <t>Наименование вида работ</t>
  </si>
  <si>
    <t>№ и дата накладной</t>
  </si>
  <si>
    <t>Ед. изм.</t>
  </si>
  <si>
    <t>Цена за ед. изм., руб., без НДС</t>
  </si>
  <si>
    <t>Получено материалов от Заказчика</t>
  </si>
  <si>
    <r>
      <t>Фактически использовано материалов (</t>
    </r>
    <r>
      <rPr>
        <b/>
        <sz val="12"/>
        <rFont val="Verdana"/>
        <family val="2"/>
        <charset val="204"/>
      </rPr>
      <t>кс2 №4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</si>
  <si>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№5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</si>
  <si>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№9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</si>
  <si>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№10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</si>
  <si>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№11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</si>
  <si>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№15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</si>
  <si>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№16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</si>
  <si>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№17 от 25.09.2022г.</t>
    </r>
    <r>
      <rPr>
        <sz val="12"/>
        <rFont val="Verdana"/>
        <family val="2"/>
        <charset val="204"/>
      </rPr>
      <t>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</si>
  <si>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 xml:space="preserve">(кс2 №23 от 25.10.2022г. </t>
    </r>
    <r>
      <rPr>
        <sz val="12"/>
        <rFont val="Verdana"/>
        <family val="2"/>
        <charset val="204"/>
      </rPr>
      <t>)</t>
    </r>
  </si>
  <si>
    <t>Остатки не использованных материалов</t>
  </si>
  <si>
    <t>Кол-во</t>
  </si>
  <si>
    <t>Сумма, руб.</t>
  </si>
  <si>
    <t>Шпунт Ларсена Л5-УМ  L=13,2м, 112шт</t>
  </si>
  <si>
    <t>№1 от 25.07.2022г.</t>
  </si>
  <si>
    <t>П.20</t>
  </si>
  <si>
    <t>ЗАКРЫТО</t>
  </si>
  <si>
    <t>Шпунт Ларсена Л5-УМ  L=18,5м, 32 шт</t>
  </si>
  <si>
    <t>П.4</t>
  </si>
  <si>
    <t>Шпунт Ларсена Л5-УМ  L=13,2м, 40шт</t>
  </si>
  <si>
    <t>№2 от 25.08.2022г.</t>
  </si>
  <si>
    <t>Шпунт Ларсена Л5-УМ  L=18,5м, 114 шт</t>
  </si>
  <si>
    <t>Шпунт Ларсена Л5-УМ  L=16,2м, 256 шт</t>
  </si>
  <si>
    <t>№3 от 25.09.2022г.</t>
  </si>
  <si>
    <t>Шпунт Ларсена Л5-УМ  L=18,5м, 38 шт</t>
  </si>
  <si>
    <t>Коробчатые сваи из шпунта Ларсена Л5-УМ  L=16,2м, 14 шт</t>
  </si>
  <si>
    <t>№4 от 25.09.2022г.</t>
  </si>
  <si>
    <t>И.С. Самарин</t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</si>
  <si>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№28 от 25.11.2022г.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</si>
  <si>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№29 от 25.11.2022г. )</t>
    </r>
  </si>
  <si>
    <r>
      <rPr>
        <b/>
        <sz val="11"/>
        <rFont val="Times New Roman"/>
        <family val="1"/>
        <charset val="204"/>
      </rPr>
      <t>Акт №13 .Акт №35</t>
    </r>
    <r>
      <rPr>
        <sz val="11"/>
        <rFont val="Times New Roman"/>
        <family val="1"/>
        <charset val="204"/>
      </rPr>
      <t xml:space="preserve"> Локальная смета №2 (ВЗиС). Устройство  временной дороги (секция 15-18)</t>
    </r>
  </si>
  <si>
    <r>
      <rPr>
        <b/>
        <sz val="11"/>
        <rFont val="Times New Roman"/>
        <family val="1"/>
        <charset val="204"/>
      </rPr>
      <t>Акт №36.</t>
    </r>
    <r>
      <rPr>
        <sz val="11"/>
        <rFont val="Times New Roman"/>
        <family val="1"/>
        <charset val="204"/>
      </rPr>
      <t xml:space="preserve"> Локальная смета №6 (Временные здания и сооружения).Устройство временной дороги (секция 9-14).</t>
    </r>
  </si>
  <si>
    <r>
      <rPr>
        <b/>
        <sz val="11"/>
        <rFont val="Times New Roman"/>
        <family val="1"/>
        <charset val="204"/>
      </rPr>
      <t>Акт №37.</t>
    </r>
    <r>
      <rPr>
        <sz val="11"/>
        <rFont val="Times New Roman"/>
        <family val="1"/>
        <charset val="204"/>
      </rPr>
      <t xml:space="preserve"> Локальная смета №7 (Непредвиденные расходы).Устройство водоотлива.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</si>
  <si>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№31 от 25.11.2022г. )</t>
    </r>
  </si>
  <si>
    <t xml:space="preserve">86
</t>
  </si>
  <si>
    <t xml:space="preserve"> ФЕР05-01-061-01
---------------------------------
Установка в сваи-оболочки арматурного каркаса
(1 шт) </t>
  </si>
  <si>
    <t>439,47</t>
  </si>
  <si>
    <t>33,37
----------
12,38</t>
  </si>
  <si>
    <t>393,72
----------
45,36</t>
  </si>
  <si>
    <t xml:space="preserve">87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</si>
  <si>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</si>
  <si>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 xml:space="preserve">88
</t>
  </si>
  <si>
    <t xml:space="preserve"> ФССЦ-204-0052
---------------------------------
Надбавки к ценам заготовок за сборку и сварку каркасов и сеток пространственных, диаметром 20-22 мм
(т) </t>
  </si>
  <si>
    <t>1477,46</t>
  </si>
  <si>
    <t xml:space="preserve">
----------
1477,46</t>
  </si>
  <si>
    <t xml:space="preserve">89
</t>
  </si>
  <si>
    <t xml:space="preserve"> ФЕР05-01-062-01
---------------------------------
Устройство бетонной пробки в сваях-оболочках
(1 м3 конструктивного объема свай) </t>
  </si>
  <si>
    <t>203,42</t>
  </si>
  <si>
    <t>5,88
----------
150,2</t>
  </si>
  <si>
    <t>47,34
----------
4,73</t>
  </si>
  <si>
    <t xml:space="preserve">90
</t>
  </si>
  <si>
    <t>19633,5</t>
  </si>
  <si>
    <t>1243,59
----------
17067,27</t>
  </si>
  <si>
    <t>1322,64
----------
151,89</t>
  </si>
  <si>
    <t xml:space="preserve">1322,64
----------
151,89
</t>
  </si>
  <si>
    <t>Накладные расходы от ФОТ(1395,48 руб.)</t>
  </si>
  <si>
    <t>1674,58</t>
  </si>
  <si>
    <t>Сметная прибыль от ФОТ(1395,48 руб.)</t>
  </si>
  <si>
    <t>907,06</t>
  </si>
  <si>
    <t>22215,14</t>
  </si>
  <si>
    <t>1,8537</t>
  </si>
  <si>
    <t>12344,59</t>
  </si>
  <si>
    <t xml:space="preserve">
----------
12344,59</t>
  </si>
  <si>
    <r>
      <rPr>
        <b/>
        <sz val="11"/>
        <rFont val="Times New Roman"/>
        <family val="1"/>
        <charset val="204"/>
      </rPr>
      <t xml:space="preserve">Акт №25.Акт №31.Акт №40.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</si>
  <si>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 xml:space="preserve">Акт №33. Акт №41. </t>
    </r>
    <r>
      <rPr>
        <sz val="11"/>
        <rFont val="Times New Roman"/>
        <family val="1"/>
        <charset val="204"/>
      </rPr>
      <t xml:space="preserve">Локальная смета №12-01-01. Выполнение статических испытаний свай при реконструкции гидротехнических сооружений.  </t>
    </r>
  </si>
  <si>
    <r>
      <rPr>
        <b/>
        <sz val="11"/>
        <rFont val="Times New Roman"/>
        <family val="1"/>
        <charset val="204"/>
      </rPr>
      <t>Акт №34. Акт № 42</t>
    </r>
    <r>
      <rPr>
        <sz val="11"/>
        <rFont val="Times New Roman"/>
        <family val="1"/>
        <charset val="204"/>
      </rPr>
      <t xml:space="preserve">. Локальная смета №12-01-01 ДОБ. Выполнение статических испытаний свай при реконструкции гидротехнических сооружений.  </t>
    </r>
  </si>
  <si>
    <t>к оплате</t>
  </si>
  <si>
    <t>ноября</t>
  </si>
  <si>
    <t>19,22</t>
  </si>
  <si>
    <t>41691,45</t>
  </si>
  <si>
    <t>3571,08
----------
5067,93</t>
  </si>
  <si>
    <t>33052,44
----------
2814,77</t>
  </si>
  <si>
    <t xml:space="preserve">33052,44
----------
2814,77
</t>
  </si>
  <si>
    <t>Накладные расходы от ФОТ(6385,85 руб.)</t>
  </si>
  <si>
    <t>5747,27</t>
  </si>
  <si>
    <t>Сметная прибыль от ФОТ(6385,85 руб.)</t>
  </si>
  <si>
    <t>5427,97</t>
  </si>
  <si>
    <t>52866,69</t>
  </si>
  <si>
    <t>-19,22</t>
  </si>
  <si>
    <t>-2688,11</t>
  </si>
  <si>
    <t>-1205,09
----------
-1194,53</t>
  </si>
  <si>
    <t>-288,49</t>
  </si>
  <si>
    <t>Накладные расходы от ФОТ(-1205,09 руб.)</t>
  </si>
  <si>
    <t>-1084,58</t>
  </si>
  <si>
    <t>Сметная прибыль от ФОТ(-1205,09 руб.)</t>
  </si>
  <si>
    <t>-1024,33</t>
  </si>
  <si>
    <t>-4797,02</t>
  </si>
  <si>
    <t>245692,91</t>
  </si>
  <si>
    <t xml:space="preserve">
----------
245692,91</t>
  </si>
  <si>
    <t>2494,18</t>
  </si>
  <si>
    <t>31,52</t>
  </si>
  <si>
    <t>2462,66
----------
467,05</t>
  </si>
  <si>
    <t xml:space="preserve">2462,66
----------
467,05
</t>
  </si>
  <si>
    <t>Накладные расходы от ФОТ(498,57 руб.)</t>
  </si>
  <si>
    <t>448,71</t>
  </si>
  <si>
    <t>Сметная прибыль от ФОТ(498,57 руб.)</t>
  </si>
  <si>
    <t>423,78</t>
  </si>
  <si>
    <t>3366,67</t>
  </si>
  <si>
    <t>290,42</t>
  </si>
  <si>
    <t>2230,43</t>
  </si>
  <si>
    <t>Накладные расходы от ФОТ(2230,43 руб.)</t>
  </si>
  <si>
    <t>2007,39</t>
  </si>
  <si>
    <t>Сметная прибыль от ФОТ(2230,43 руб.)</t>
  </si>
  <si>
    <t>1561,3</t>
  </si>
  <si>
    <t>5799,12</t>
  </si>
  <si>
    <t>325,27</t>
  </si>
  <si>
    <t>246,86</t>
  </si>
  <si>
    <t>78,41</t>
  </si>
  <si>
    <t>Накладные расходы от ФОТ(246,86 руб.)</t>
  </si>
  <si>
    <t>222,17</t>
  </si>
  <si>
    <t>Сметная прибыль от ФОТ(246,86 руб.)</t>
  </si>
  <si>
    <t>172,8</t>
  </si>
  <si>
    <t>720,24</t>
  </si>
  <si>
    <t>2,9</t>
  </si>
  <si>
    <t>882,93</t>
  </si>
  <si>
    <t>230,14
----------
645,08</t>
  </si>
  <si>
    <t>7,71
----------
0,29</t>
  </si>
  <si>
    <t xml:space="preserve">7,71
----------
0,29
</t>
  </si>
  <si>
    <t>Накладные расходы от ФОТ(230,43 руб.)</t>
  </si>
  <si>
    <t>207,39</t>
  </si>
  <si>
    <t>Сметная прибыль от ФОТ(230,43 руб.)</t>
  </si>
  <si>
    <t>161,3</t>
  </si>
  <si>
    <t>1251,62</t>
  </si>
  <si>
    <t>3766,55</t>
  </si>
  <si>
    <t>161,94
----------
3577,26</t>
  </si>
  <si>
    <t>27,35
----------
0,29</t>
  </si>
  <si>
    <t xml:space="preserve">27,35
----------
0,29
</t>
  </si>
  <si>
    <t>Накладные расходы от ФОТ(162,23 руб.)</t>
  </si>
  <si>
    <t>146,01</t>
  </si>
  <si>
    <t>Сметная прибыль от ФОТ(162,23 руб.)</t>
  </si>
  <si>
    <t>113,56</t>
  </si>
  <si>
    <t>4026,12</t>
  </si>
  <si>
    <t>16223,53</t>
  </si>
  <si>
    <t>321,67
----------
15706,63</t>
  </si>
  <si>
    <t>195,23
----------
1,16</t>
  </si>
  <si>
    <t xml:space="preserve">195,23
----------
1,16
</t>
  </si>
  <si>
    <t>Накладные расходы от ФОТ(322,83 руб.)</t>
  </si>
  <si>
    <t>290,55</t>
  </si>
  <si>
    <t>Сметная прибыль от ФОТ(322,83 руб.)</t>
  </si>
  <si>
    <t>225,98</t>
  </si>
  <si>
    <t>16740,06</t>
  </si>
  <si>
    <t>5273,64</t>
  </si>
  <si>
    <t>400,44
----------
148,56</t>
  </si>
  <si>
    <t>4724,64
----------
544,32</t>
  </si>
  <si>
    <t xml:space="preserve">4724,64
----------
544,32
</t>
  </si>
  <si>
    <t>Накладные расходы от ФОТ(944,76 руб.)</t>
  </si>
  <si>
    <t>1228,19</t>
  </si>
  <si>
    <t>Сметная прибыль от ФОТ(944,76 руб.)</t>
  </si>
  <si>
    <t>755,81</t>
  </si>
  <si>
    <t>7257,64</t>
  </si>
  <si>
    <t>0,32</t>
  </si>
  <si>
    <t>2533,44</t>
  </si>
  <si>
    <t xml:space="preserve">
----------
2533,44</t>
  </si>
  <si>
    <t>472,79</t>
  </si>
  <si>
    <t xml:space="preserve">
----------
472,79</t>
  </si>
  <si>
    <t>0,64</t>
  </si>
  <si>
    <t>130,19</t>
  </si>
  <si>
    <t>3,76
----------
96,13</t>
  </si>
  <si>
    <t>30,3
----------
3,03</t>
  </si>
  <si>
    <t xml:space="preserve">30,3
----------
3,03
</t>
  </si>
  <si>
    <t>Накладные расходы от ФОТ(6,79 руб.)</t>
  </si>
  <si>
    <t>8,83</t>
  </si>
  <si>
    <t>Сметная прибыль от ФОТ(6,79 руб.)</t>
  </si>
  <si>
    <t>5,43</t>
  </si>
  <si>
    <t>144,45</t>
  </si>
  <si>
    <t>0,6528
----------
(0,64*1,02)</t>
  </si>
  <si>
    <t>624,84</t>
  </si>
  <si>
    <t xml:space="preserve">
----------
624,84</t>
  </si>
  <si>
    <t>0,24</t>
  </si>
  <si>
    <t>14060,4</t>
  </si>
  <si>
    <t>336,96
----------
13341,71</t>
  </si>
  <si>
    <t>381,73
----------
58,32</t>
  </si>
  <si>
    <t xml:space="preserve">381,73
----------
58,32
</t>
  </si>
  <si>
    <t>Накладные расходы от ФОТ(395,28 руб.)</t>
  </si>
  <si>
    <t>415,04</t>
  </si>
  <si>
    <t>Сметная прибыль от ФОТ(395,28 руб.)</t>
  </si>
  <si>
    <t>256,93</t>
  </si>
  <si>
    <t>14732,37</t>
  </si>
  <si>
    <t>-24,48</t>
  </si>
  <si>
    <t>-12729,6</t>
  </si>
  <si>
    <t xml:space="preserve">
----------
-12729,6</t>
  </si>
  <si>
    <t>24,48</t>
  </si>
  <si>
    <t>13108,06</t>
  </si>
  <si>
    <t xml:space="preserve">
----------
13108,06</t>
  </si>
  <si>
    <t>0,81</t>
  </si>
  <si>
    <t>140018,51</t>
  </si>
  <si>
    <t>3726,76
----------
131472,13</t>
  </si>
  <si>
    <t>4819,62
----------
361,84</t>
  </si>
  <si>
    <t xml:space="preserve">4819,62
----------
361,84
</t>
  </si>
  <si>
    <t>Накладные расходы от ФОТ(4088,6 руб.)</t>
  </si>
  <si>
    <t>4906,32</t>
  </si>
  <si>
    <t>Сметная прибыль от ФОТ(4088,6 руб.)</t>
  </si>
  <si>
    <t>2657,59</t>
  </si>
  <si>
    <t>147582,42</t>
  </si>
  <si>
    <t>-81,29</t>
  </si>
  <si>
    <t>-64219,1</t>
  </si>
  <si>
    <t xml:space="preserve">
----------
-64219,1</t>
  </si>
  <si>
    <t>-1,04</t>
  </si>
  <si>
    <t>-7072</t>
  </si>
  <si>
    <t xml:space="preserve">
----------
-7072</t>
  </si>
  <si>
    <t>-5,08</t>
  </si>
  <si>
    <t>-40218,36</t>
  </si>
  <si>
    <t xml:space="preserve">
----------
-40218,36</t>
  </si>
  <si>
    <t>82,29</t>
  </si>
  <si>
    <t>78765,52</t>
  </si>
  <si>
    <t xml:space="preserve">
----------
78765,52</t>
  </si>
  <si>
    <t>1,06</t>
  </si>
  <si>
    <t>8259,65</t>
  </si>
  <si>
    <t xml:space="preserve">
----------
8259,65</t>
  </si>
  <si>
    <t>1528,36</t>
  </si>
  <si>
    <t xml:space="preserve">
----------
1528,36</t>
  </si>
  <si>
    <t>1,02</t>
  </si>
  <si>
    <t>6936</t>
  </si>
  <si>
    <t xml:space="preserve">
----------
6936</t>
  </si>
  <si>
    <t xml:space="preserve">108
</t>
  </si>
  <si>
    <t xml:space="preserve"> ФЕР37-03-056-01
---------------------------------
Устройство подкрановых балок монолитных кранами на гусеничном ходу
(100 м3 железобетона в конструкции) </t>
  </si>
  <si>
    <t>126697,71</t>
  </si>
  <si>
    <t>5745,53
----------
106833,27</t>
  </si>
  <si>
    <t>14118,91
----------
1539,33</t>
  </si>
  <si>
    <t xml:space="preserve">109
</t>
  </si>
  <si>
    <t xml:space="preserve"> ФССЦ-204-0062
---------------------------------
Детали закладные и накладные изготовленные без применения сварки, гнутья, сверления (пробивки) отверстий поставляемые отдельно
(т) </t>
  </si>
  <si>
    <t>5804</t>
  </si>
  <si>
    <t xml:space="preserve">
----------
5804</t>
  </si>
  <si>
    <t xml:space="preserve">110
</t>
  </si>
  <si>
    <t xml:space="preserve">111
</t>
  </si>
  <si>
    <t xml:space="preserve">114
</t>
  </si>
  <si>
    <t xml:space="preserve"> ФССЦ-204-0024
---------------------------------
Горячекатаная арматурная сталь периодического профиля класса А-III, диаметром 16-18 мм
(т) </t>
  </si>
  <si>
    <t>7956,21</t>
  </si>
  <si>
    <t xml:space="preserve">
----------
7956,21</t>
  </si>
  <si>
    <t xml:space="preserve">115
</t>
  </si>
  <si>
    <t xml:space="preserve"> ФССЦ-204-0051
---------------------------------
Надбавки к ценам заготовок за сборку и сварку каркасов и сеток пространственных, диаметром 16-18 мм
(т) </t>
  </si>
  <si>
    <t>1728,06</t>
  </si>
  <si>
    <t xml:space="preserve">
----------
1728,06</t>
  </si>
  <si>
    <t xml:space="preserve">116
</t>
  </si>
  <si>
    <t xml:space="preserve">117
</t>
  </si>
  <si>
    <t xml:space="preserve">118
</t>
  </si>
  <si>
    <t xml:space="preserve"> ФССЦ-204-0027
---------------------------------
Горячекатаная арматурная сталь периодического профиля класса А-III, диаметром 32-40 мм
(т) </t>
  </si>
  <si>
    <t>7664</t>
  </si>
  <si>
    <t xml:space="preserve">
----------
7664</t>
  </si>
  <si>
    <t xml:space="preserve">119
</t>
  </si>
  <si>
    <t xml:space="preserve"> ФССЦ-204-0054
---------------------------------
Надбавки к ценам заготовок за сборку и сварку каркасов и сеток пространственных, диаметром 32-40 мм
(т) </t>
  </si>
  <si>
    <t>1341,28</t>
  </si>
  <si>
    <t xml:space="preserve">
----------
1341,28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</si>
  <si>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№8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</si>
  <si>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>. Локальная смета №02-01-01 ДОБ. Достроечная набережная №5</t>
    </r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</si>
  <si>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</si>
  <si>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t>№7 январь-1</t>
  </si>
  <si>
    <t>№8 январь-2</t>
  </si>
  <si>
    <t>Реестр актов выполненных работ к КС-3 №8 от 31.01.2023 г. ( Контракт  №2035000000122000001-2)</t>
  </si>
  <si>
    <t>1,548</t>
  </si>
  <si>
    <t>196128,06</t>
  </si>
  <si>
    <t>8894,08
----------
165377,91</t>
  </si>
  <si>
    <t>21856,07
----------
2382,88</t>
  </si>
  <si>
    <t xml:space="preserve">21856,07
----------
2382,88
</t>
  </si>
  <si>
    <t>Накладные расходы от ФОТ(11276,96 руб.)</t>
  </si>
  <si>
    <t>13532,35</t>
  </si>
  <si>
    <t>Сметная прибыль от ФОТ(11276,96 руб.)</t>
  </si>
  <si>
    <t>7330,02</t>
  </si>
  <si>
    <t>216990,43</t>
  </si>
  <si>
    <t>-0,91</t>
  </si>
  <si>
    <t>-5281,64</t>
  </si>
  <si>
    <t xml:space="preserve">
----------
-5281,64</t>
  </si>
  <si>
    <t>-18,11</t>
  </si>
  <si>
    <t>-143376,87</t>
  </si>
  <si>
    <t xml:space="preserve">
----------
-143376,87</t>
  </si>
  <si>
    <t>157,12</t>
  </si>
  <si>
    <t>150390,55</t>
  </si>
  <si>
    <t xml:space="preserve">
----------
150390,55</t>
  </si>
  <si>
    <t>2,42</t>
  </si>
  <si>
    <t>19254,03</t>
  </si>
  <si>
    <t xml:space="preserve">
----------
19254,03</t>
  </si>
  <si>
    <t>2,46</t>
  </si>
  <si>
    <t>4251,03</t>
  </si>
  <si>
    <t xml:space="preserve">
----------
4251,03</t>
  </si>
  <si>
    <t>6,4</t>
  </si>
  <si>
    <t>49869,57</t>
  </si>
  <si>
    <t xml:space="preserve">
----------
49869,57</t>
  </si>
  <si>
    <t>9227,84</t>
  </si>
  <si>
    <t xml:space="preserve">
----------
9227,84</t>
  </si>
  <si>
    <t>10,36</t>
  </si>
  <si>
    <t>79399,04</t>
  </si>
  <si>
    <t xml:space="preserve">
----------
79399,04</t>
  </si>
  <si>
    <t>13895,66</t>
  </si>
  <si>
    <t xml:space="preserve">
----------
13895,66</t>
  </si>
  <si>
    <t xml:space="preserve">373757,27
</t>
  </si>
  <si>
    <t xml:space="preserve">8894,08
343007,12
</t>
  </si>
  <si>
    <t>21856,07
2382,88</t>
  </si>
  <si>
    <t>373757,27</t>
  </si>
  <si>
    <t>8894,08
343007,12</t>
  </si>
  <si>
    <t xml:space="preserve">11276,96
</t>
  </si>
  <si>
    <t>11276,96</t>
  </si>
  <si>
    <t xml:space="preserve">343007,12
</t>
  </si>
  <si>
    <t>343007,12</t>
  </si>
  <si>
    <t xml:space="preserve">21856,07
</t>
  </si>
  <si>
    <t>21856,07</t>
  </si>
  <si>
    <t xml:space="preserve">13532,35
</t>
  </si>
  <si>
    <t xml:space="preserve">7330,02
</t>
  </si>
  <si>
    <t xml:space="preserve">394619,64
</t>
  </si>
  <si>
    <t>394619,64</t>
  </si>
  <si>
    <t>2912292,94</t>
  </si>
  <si>
    <t>№9 февраль</t>
  </si>
  <si>
    <t>2,738</t>
  </si>
  <si>
    <t>346898,33</t>
  </si>
  <si>
    <t>15731,26
----------
292509,49</t>
  </si>
  <si>
    <t>38657,58
----------
4214,69</t>
  </si>
  <si>
    <t xml:space="preserve">38657,58
----------
4214,69
</t>
  </si>
  <si>
    <t>Накладные расходы от ФОТ(19945,95 руб.)</t>
  </si>
  <si>
    <t>23935,14</t>
  </si>
  <si>
    <t>Сметная прибыль от ФОТ(19945,95 руб.)</t>
  </si>
  <si>
    <t>12964,87</t>
  </si>
  <si>
    <t>383798,34</t>
  </si>
  <si>
    <t>-1,62</t>
  </si>
  <si>
    <t>-9402,48</t>
  </si>
  <si>
    <t xml:space="preserve">
----------
-9402,48</t>
  </si>
  <si>
    <t>-32,03</t>
  </si>
  <si>
    <t>-253581,51</t>
  </si>
  <si>
    <t xml:space="preserve">
----------
-253581,51</t>
  </si>
  <si>
    <t>277,91</t>
  </si>
  <si>
    <t>266007,11</t>
  </si>
  <si>
    <t xml:space="preserve">
----------
266007,11</t>
  </si>
  <si>
    <t>4,27</t>
  </si>
  <si>
    <t>33973,02</t>
  </si>
  <si>
    <t xml:space="preserve">
----------
33973,02</t>
  </si>
  <si>
    <t>4,36</t>
  </si>
  <si>
    <t>7534,34</t>
  </si>
  <si>
    <t xml:space="preserve">
----------
7534,34</t>
  </si>
  <si>
    <t>11,32</t>
  </si>
  <si>
    <t>88206,8</t>
  </si>
  <si>
    <t xml:space="preserve">
----------
88206,8</t>
  </si>
  <si>
    <t>16321,74</t>
  </si>
  <si>
    <t xml:space="preserve">
----------
16321,74</t>
  </si>
  <si>
    <t>18,33</t>
  </si>
  <si>
    <t>140481,12</t>
  </si>
  <si>
    <t xml:space="preserve">
----------
140481,12</t>
  </si>
  <si>
    <t>24585,66</t>
  </si>
  <si>
    <t xml:space="preserve">
----------
24585,66</t>
  </si>
  <si>
    <t xml:space="preserve">1151093,70
</t>
  </si>
  <si>
    <t xml:space="preserve">27031,32
1038590,56
</t>
  </si>
  <si>
    <t>85471,82
8617,65</t>
  </si>
  <si>
    <t>1151093,70</t>
  </si>
  <si>
    <t>27031,32
1038590,56</t>
  </si>
  <si>
    <t xml:space="preserve">35648,97
</t>
  </si>
  <si>
    <t>35648,97</t>
  </si>
  <si>
    <t xml:space="preserve">1038590,56
</t>
  </si>
  <si>
    <t>1038590,56</t>
  </si>
  <si>
    <t xml:space="preserve">85471,82
</t>
  </si>
  <si>
    <t>85471,82</t>
  </si>
  <si>
    <t xml:space="preserve">40153
</t>
  </si>
  <si>
    <t>40153</t>
  </si>
  <si>
    <t xml:space="preserve">24610,07
</t>
  </si>
  <si>
    <t>24610,07</t>
  </si>
  <si>
    <t xml:space="preserve">1215856,77
</t>
  </si>
  <si>
    <t>1215856,77</t>
  </si>
  <si>
    <t>8973022,96</t>
  </si>
  <si>
    <t>№8 февраль</t>
  </si>
  <si>
    <t>№7 январь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</si>
  <si>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№5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</si>
  <si>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№46.</t>
    </r>
    <r>
      <rPr>
        <sz val="11"/>
        <rFont val="Times New Roman"/>
        <family val="1"/>
        <charset val="204"/>
      </rPr>
      <t xml:space="preserve"> Локальная смета №9 (Временные здания и сооружения).Устройство площадки складирования для армирования ростверка (секции 5-11).</t>
    </r>
  </si>
  <si>
    <r>
      <rPr>
        <b/>
        <sz val="11"/>
        <rFont val="Times New Roman"/>
        <family val="1"/>
        <charset val="204"/>
      </rPr>
      <t>Акт №50</t>
    </r>
    <r>
      <rPr>
        <sz val="11"/>
        <rFont val="Times New Roman"/>
        <family val="1"/>
        <charset val="204"/>
      </rPr>
      <t xml:space="preserve"> Локальная смета №8 (Непредвиденные расходы). Восстановление повреждений м/к. Набережная №5.</t>
    </r>
  </si>
  <si>
    <r>
      <rPr>
        <b/>
        <sz val="11"/>
        <rFont val="Times New Roman"/>
        <family val="1"/>
        <charset val="204"/>
      </rPr>
      <t xml:space="preserve">Акт №25.Акт №31.Акт №40. Акт №54.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</si>
  <si>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>Акт №55</t>
    </r>
    <r>
      <rPr>
        <sz val="11"/>
        <rFont val="Times New Roman"/>
        <family val="1"/>
        <charset val="204"/>
      </rPr>
      <t xml:space="preserve"> Локальная смета №10 (Непредвиденные расходы). Укладка трубопроводов.Достроечная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</si>
  <si>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№32.Акт №49.Акт №53 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</si>
  <si>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№10 апрель</t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</si>
  <si>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Акт №47.Акт №51.Акт №56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</si>
  <si>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№48. Акт №52.Акт №57</t>
    </r>
    <r>
      <rPr>
        <sz val="11"/>
        <rFont val="Times New Roman"/>
        <family val="1"/>
        <charset val="204"/>
      </rPr>
      <t xml:space="preserve"> Локальная смета №02-01-01 ДОБ. Достроечная набережная №5</t>
    </r>
  </si>
  <si>
    <t>ЗУ-2,4%</t>
  </si>
  <si>
    <t>ВЗиС-8,2%</t>
  </si>
  <si>
    <t xml:space="preserve">всего без НДС </t>
  </si>
  <si>
    <t>Выполнение работ по ликвидации объектов по трассе ж.д. путей, подготовке трассы ж.д. путей.</t>
  </si>
  <si>
    <t>01-01-01</t>
  </si>
  <si>
    <t>06-02-03</t>
  </si>
  <si>
    <t>Генеральный план. Трансбордер. ГП1</t>
  </si>
  <si>
    <t>СМР с материалами всего с ндс</t>
  </si>
  <si>
    <t>01-01-02</t>
  </si>
  <si>
    <t>01-01-03</t>
  </si>
  <si>
    <t>06-03-02</t>
  </si>
  <si>
    <t>02-03-01</t>
  </si>
  <si>
    <t>06-02-01</t>
  </si>
  <si>
    <t>06-02-02</t>
  </si>
  <si>
    <t>остаток закупленных материалов с НДС</t>
  </si>
  <si>
    <t>06-04-01</t>
  </si>
  <si>
    <t>итого без НДС по данным тех заказчика</t>
  </si>
  <si>
    <t>СМР с материалами всего с ндс по данным тех заказчика</t>
  </si>
  <si>
    <t>Унифицированная форма № КС-2</t>
  </si>
  <si>
    <t>от 11.11.99. № 100</t>
  </si>
  <si>
    <t>Заказчик</t>
  </si>
  <si>
    <t>Подрядчик</t>
  </si>
  <si>
    <t>Стройка</t>
  </si>
  <si>
    <t>01-01-01  Объекты по трассе жд путей. утв..</t>
  </si>
  <si>
    <t>Объект</t>
  </si>
  <si>
    <t>наименование</t>
  </si>
  <si>
    <t xml:space="preserve">Вид деятельности по ОКДП  </t>
  </si>
  <si>
    <t xml:space="preserve">Договор подряда  </t>
  </si>
  <si>
    <t xml:space="preserve">Вид операции  </t>
  </si>
  <si>
    <t>А К Т   О   П Р И Е М К Е   Р А Б О Т</t>
  </si>
  <si>
    <t>Сметная стоимость выполненных работ</t>
  </si>
  <si>
    <t>тыс. руб.</t>
  </si>
  <si>
    <t>Нормативная трудоемкость</t>
  </si>
  <si>
    <t>чел.-ч</t>
  </si>
  <si>
    <t>Средства на оплату труда</t>
  </si>
  <si>
    <t>№ п/п</t>
  </si>
  <si>
    <t>Номер по смете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</si>
  <si>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</si>
  <si>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</si>
  <si>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</si>
  <si>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ед., руб.</t>
  </si>
  <si>
    <t>Общая стоимость, руб.</t>
  </si>
  <si>
    <t>Затраты труда, чел.-ч</t>
  </si>
  <si>
    <t>Всего</t>
  </si>
  <si>
    <t>Экспл. машин</t>
  </si>
  <si>
    <t>Основная зарплата</t>
  </si>
  <si>
    <t>основных рабочих</t>
  </si>
  <si>
    <t>машинистов</t>
  </si>
  <si>
    <t>в т.ч. зарплата</t>
  </si>
  <si>
    <t>на единицу</t>
  </si>
  <si>
    <t>всего</t>
  </si>
  <si>
    <t>1a</t>
  </si>
  <si>
    <t>ИНДЕКСЫ ПЕРЕСЧЕТА: ОЗП 44,77; ЭММ 13,24; МР 8,16; ЗПМ 44,77</t>
  </si>
  <si>
    <t>Итого с НР и СП</t>
  </si>
  <si>
    <t>ИНДЕКСЫ ПЕРЕСЧЕТА: ЭММ 13,24; МР 13,24</t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</si>
  <si>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К=(ЭММ, ЗПМ, ОЗП, ТЗ, ТЗМ)*1,15
162,38 = [1 590 / 1,2 /  8,16]</t>
    </r>
  </si>
  <si>
    <t>ИНДЕКСЫ ПЕРЕСЧЕТА: МР 8,16</t>
  </si>
  <si>
    <r>
      <t>Погрузка при автомобильных перевозках изделий из сборного железобетона, бетона, керамзитобетона массой до 3 т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</si>
  <si>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Погрузка при автомобильных перевозках мусора строительного с погрузкой вручную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</si>
  <si>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Поэлементная разборка всех конструкций зданий с сохранением годных материалов: прочих неотапливаемых, включая склады, сараи и строения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</si>
  <si>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железобетонных конструкций объемом более 1 м3 при помощи отбойных молотков из бетона марки: 300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</si>
  <si>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зданий методом обрушения: кирпичных, сборного железобетона (Прим)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</si>
  <si>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Засыпка траншей и котлованов с перемещением грунта до 5 м бульдозерами мощностью: 59 (80) кВт (л.с.), 2 группа грунтов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</si>
  <si>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К=МР*1,012; (ЭММ, ЗПМ, ОЗП, ТЗ, ТЗМ)*1,15
71,90 = [704 / 1,2 /  8,16]</t>
    </r>
  </si>
  <si>
    <r>
      <t>Разработка грунта с погрузкой на автомобили-самосвалы экскаваторами с ковшом вместимостью: 0,5 (0,5-0,63) м3,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</si>
  <si>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Демонтаж чугунных люков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</si>
  <si>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монолитных железобетонных конструкций гидромолотом на базе экскаватора(Демонтаж жб резервуара)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</si>
  <si>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t xml:space="preserve">Сдал   </t>
  </si>
  <si>
    <t xml:space="preserve">Принял   </t>
  </si>
  <si>
    <t/>
  </si>
  <si>
    <t>За Октябрь, 2023 г.</t>
  </si>
  <si>
    <t xml:space="preserve">Раздел </t>
  </si>
  <si>
    <t>68-33-4</t>
  </si>
  <si>
    <t>ШТ</t>
  </si>
  <si>
    <t>Поправка: Попр.Приказ от 04.08.2020 № 421/пр прил.10 табл.1 п.2</t>
  </si>
  <si>
    <t>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</si>
  <si>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102 %</t>
  </si>
  <si>
    <t>54 %</t>
  </si>
  <si>
    <t>68-1-3</t>
  </si>
  <si>
    <t>т01-01-01-007</t>
  </si>
  <si>
    <t>Погрузо-разгрузочные работы при автомобильных перевозках: Погрузка леса круглого</t>
  </si>
  <si>
    <t>1 Т ГРУЗА</t>
  </si>
  <si>
    <t>Цена поставщика ООО "Террус"</t>
  </si>
  <si>
    <t>м3</t>
  </si>
  <si>
    <t>07-01-054-01</t>
  </si>
  <si>
    <t>100 м</t>
  </si>
  <si>
    <t>Поправка: Попр.Приказ от 04.09.2019 № 519/пр табл.2 п.1 Попр.Приказ от 04.08.2020 № 421/пр прил.10 табл.1 п.2</t>
  </si>
  <si>
    <t>Поправка:Демонтаж (разборка) сборных бетонных и железобетонных строительных конструкций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</si>
  <si>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110 %</t>
  </si>
  <si>
    <t>73 %</t>
  </si>
  <si>
    <t>т01-01-01-003</t>
  </si>
  <si>
    <t>т01-01-01-043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</si>
  <si>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</si>
  <si>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т01-01-01-041</t>
  </si>
  <si>
    <t>46-06-009-05</t>
  </si>
  <si>
    <t>100 м3 строительного объема, включая подвал</t>
  </si>
  <si>
    <t>91 %</t>
  </si>
  <si>
    <t>52 %</t>
  </si>
  <si>
    <t>46-04-003-10</t>
  </si>
  <si>
    <t>46-06-009-01</t>
  </si>
  <si>
    <t>01-01-033-02</t>
  </si>
  <si>
    <t>1000 м3</t>
  </si>
  <si>
    <t>92 %</t>
  </si>
  <si>
    <t>46 %</t>
  </si>
  <si>
    <t>Цена Поставщика ООО “Грунт-маркет”</t>
  </si>
  <si>
    <t>Поправка: Попр. Попр.Приказ от 04.08.2020 № 421/пр прил.10 табл.1 п.2</t>
  </si>
  <si>
    <t>01-01-013-14</t>
  </si>
  <si>
    <t>66-8-1</t>
  </si>
  <si>
    <t>89 %</t>
  </si>
  <si>
    <t>44 %</t>
  </si>
  <si>
    <t>46-09-005-01</t>
  </si>
  <si>
    <t>Итого по акту:  01-01-01  Объекты по трассе жд путей. утв..</t>
  </si>
  <si>
    <t>Прямые затраты</t>
  </si>
  <si>
    <t>Стоимость материальных ресурсов (всего)</t>
  </si>
  <si>
    <t>Эксплуатация машин</t>
  </si>
  <si>
    <t>ЗП машинистов</t>
  </si>
  <si>
    <t>Основная ЗП рабочих</t>
  </si>
  <si>
    <t>Строительные работы с НР и СП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</si>
  <si>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</si>
  <si>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</t>
  </si>
  <si>
    <t>Реестр актов выполненных работ к КС-3 №1 от 31.10.2023 г. (Договор  №МВМ/03-07 от 03 июля 2023г)</t>
  </si>
  <si>
    <t>МВМ/03-07</t>
  </si>
  <si>
    <t>Временные здания и сооружения - 8,2%</t>
  </si>
  <si>
    <t>Всего с ВЗиС</t>
  </si>
  <si>
    <t>Производство работ в зимнее время - 2,4%</t>
  </si>
  <si>
    <t>Итого по акту</t>
  </si>
  <si>
    <r>
      <t>Демонтаж выравнивающих стяжек: цементно-песчаных толщиной 15 мм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</t>
    </r>
  </si>
  <si>
    <r>
      <t>Демонтаж выравнивающих стяжек: на каждый 1 мм изменения толщины добавлять или исключать к расценке 12-01-017-01</t>
    </r>
    <r>
      <rPr>
        <i/>
        <sz val="8"/>
        <color rgb="FF003300"/>
        <rFont val="Arial"/>
        <family val="2"/>
        <charset val="204"/>
      </rPr>
      <t xml:space="preserve">
К=МР*0*35; (ЭММ, ЗПМ, ОЗП, ТЗ, ТЗМ)*0,8*35</t>
    </r>
  </si>
  <si>
    <r>
      <t>Демонтаж утепления покрытий: керамзитом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</t>
    </r>
  </si>
  <si>
    <r>
      <t>Установка панелей ребристых площадью: свыше 5 до 10 м2.Демонтаж.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</si>
  <si>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t>ИНДЕКСЫ ПЕРЕСЧЕТА: ЭММ 13,62; МР 13,62</t>
  </si>
  <si>
    <r>
      <t>Демонтаж панелей перекрытий с опиранием: на 2 стороны площадью до 5 м2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</si>
  <si>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Установка в одноэтажных зданиях стропильных ферм при длине плит покрытий: до 6 м, пролетом до 24 м, массой до 10 т и высоте зданий до 25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</si>
  <si>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Укладка в одноэтажных зданиях и сооружениях балок подкрановых массой: до 5 т при массе колонн до 10 т и высоте здания до 15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</si>
  <si>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К=МР/1.2/8.16</t>
    </r>
  </si>
  <si>
    <r>
  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</si>
  <si>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лестниц прямолинейных и криволинейных, пожарных с ограждением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</si>
  <si>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Разборка монолитных перекрытий: железобетонных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</si>
  <si>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Установка колонн прямоугольного сечения в стаканы фундаментов зданий при глубине заделки колонн: до 0,7 м, масса колонн до 8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</si>
  <si>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Установка колонн прямоугольного сечения в стаканы фундаментов зданий при глубине заделки колонн: до 0,7 м, масса колонн до 6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</si>
  <si>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Канатная алмазная резка монолитных железобетонных конструкций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</si>
  <si>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Канат алмазный для резки по бетону и железобетону, диаметр 10,5 мм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</si>
  <si>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деревянных заполнений проемов: оконных без подоконных досок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</si>
  <si>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Демонтаж каркасов ворот большепролетных зданий, ангаров и др. без механизмов открывания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</si>
  <si>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стеновых панелей: наружных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</si>
  <si>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Разборка: кирпичных стен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</si>
  <si>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Монтаж оконных блоков: стальных с нащельниками из стали при высоте здания до 50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</si>
  <si>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металлических дверных блоков в готовые проемы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</si>
  <si>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Разборка покрытий кровель: из листовой стали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</si>
  <si>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покрытий и оснований: щебеночных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</si>
  <si>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бетонных конструкций объемом более 1 м3 при помощи отбойных молотков из бетона марки: 300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</si>
  <si>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монолитных железобетонных конструкций гидромолотом на базе экскаватора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</si>
  <si>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Разработка грунта с погрузкой на автомобили-самосвалы экскаваторами с ковшом вместимостью: 0,65 (0,5-1) м3,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ОЗП, ТЗ, ТЗМ)*1,2*1,15</t>
    </r>
  </si>
  <si>
    <r>
      <t>Разработка и обратная засыпка грунта вручную при подводке, смене или усилении фундаментов, грунты: 1-2 группы, без крепления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</si>
  <si>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Погрузка вручную неуплотненного грунта из штабелей и отвалов в транспортные средства,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</si>
  <si>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Засыпка траншей и котлованов с перемещением грунта до 5 м бульдозерами мощностью: 59 кВт (80 л.с.),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</si>
  <si>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Засыпка вручную траншей, пазух котлованов и ям,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</si>
  <si>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Уплотнение грунта прицепными катками на пневмоколесном ходу 25 т на первый проход по одному следу при толщине слоя: 30 см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</si>
  <si>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На каждый последующий проход по одному следу добавлять: к расценке 01-02-001-02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</si>
  <si>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t xml:space="preserve">Генеральный директор
АО «МЕТРОВАГОНМАШ» </t>
  </si>
  <si>
    <t>А.Б. Степнов</t>
  </si>
  <si>
    <t>Ю.Ф. Кесслер</t>
  </si>
  <si>
    <t>Генеральный директор
ООО «КиКГЕОСТРОЙ»</t>
  </si>
  <si>
    <t>01-01-01  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</si>
  <si>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</si>
  <si>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Smeta.RU Flash  (495) 974-1589</t>
  </si>
  <si>
    <t>Раздел Корпус 121. Демонтажные работы.</t>
  </si>
  <si>
    <t>46-04-008-01</t>
  </si>
  <si>
    <t>Разборка покрытий кровель: из рулонных материалов / 8 слоев</t>
  </si>
  <si>
    <t>100 м2</t>
  </si>
  <si>
    <t>т01-01-01-018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</si>
  <si>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</si>
  <si>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Погрузка при автомобильных перевозках мусора строительного с погрузкой вручную</t>
  </si>
  <si>
    <t>12-01-017-01</t>
  </si>
  <si>
    <t>Поправка: Попр.Приказ от 04.09.2019 № 519/пр табл.2 п.1</t>
  </si>
  <si>
    <t>Поправка:Демонтаж (разборка) сборных бетонных и железобетонных строительных конструкций</t>
  </si>
  <si>
    <t>109 %</t>
  </si>
  <si>
    <t>57 %</t>
  </si>
  <si>
    <t>12-01-017-02</t>
  </si>
  <si>
    <t>Поправка: Попр.Приказ от 04.09.2019 № 519/пр табл.2 п.1 Попр.</t>
  </si>
  <si>
    <t>Поправка:Демонтаж (разборка) сборных бетонных и железобетонных строительных конструкций Поправка:до 50мм</t>
  </si>
  <si>
    <t>12-01-014-02</t>
  </si>
  <si>
    <t>т01-01-01-038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</si>
  <si>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</si>
  <si>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07-05-011-08</t>
  </si>
  <si>
    <t>100 ШТ</t>
  </si>
  <si>
    <t>116 %</t>
  </si>
  <si>
    <t>80 %</t>
  </si>
  <si>
    <t>Погрузка при автомобильных перевозках изделий из сборного железобетона, бетона, керамзитобетона массой до 3 т</t>
  </si>
  <si>
    <t>т03-02-01-001</t>
  </si>
  <si>
    <t>Перевозка грузов I класса автомобилями бортовыми грузоподъемностью до 5 т на расстояние до 1 км</t>
  </si>
  <si>
    <t>т01-01-02-003</t>
  </si>
  <si>
    <t>Разгрузка при автомобильных перевозках изделий из сборного железобетона, бетона, керамзитобетона массой до 3 т</t>
  </si>
  <si>
    <t>07-05-011-05</t>
  </si>
  <si>
    <t>07-01-022-16</t>
  </si>
  <si>
    <t>07-01-019-10</t>
  </si>
  <si>
    <t>т01-01-01-005</t>
  </si>
  <si>
    <t>Погрузка при автомобильных перевозках изделий из сборного железобетона, бетона, керамзитобетона массой свыше 6 т</t>
  </si>
  <si>
    <t>т01-01-02-005</t>
  </si>
  <si>
    <t>Разгрузка при автомобильных перевозках изделий из сборного железобетона, бетона, керамзитобетона массой свыше 6 т</t>
  </si>
  <si>
    <t>09-01-001-02</t>
  </si>
  <si>
    <t>Поправка: Попр.Приказ от 04.09.2019 № 519/пр табл.2 п.4 Попр.Приказ от 04.08.2020 № 421/пр прил.10 табл.1 п.2</t>
  </si>
  <si>
    <t>Поправка:Демонтаж (разборка) металлических конструкций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</si>
  <si>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93 %</t>
  </si>
  <si>
    <t>62 %</t>
  </si>
  <si>
    <t>09-03-029-01</t>
  </si>
  <si>
    <t>т01-01-01-015</t>
  </si>
  <si>
    <t>Погрузо-разгрузочные работы при автомобильных перевозках: Погрузка металлических конструкций массой до 1 т</t>
  </si>
  <si>
    <t>т01-01-01-016</t>
  </si>
  <si>
    <t>Погрузка при автомобильных перевозках металлических конструкций массой от 1 до 3 т</t>
  </si>
  <si>
    <t>т01-01-02-015</t>
  </si>
  <si>
    <t>Разгрузка при автомобильных перевозках металлических конструкций массой до 1 т</t>
  </si>
  <si>
    <t>т01-01-02-016</t>
  </si>
  <si>
    <t>Разгрузка при автомобильных перевозках металлических конструкций массой от 1 до 3 т</t>
  </si>
  <si>
    <t>46-04-002-02</t>
  </si>
  <si>
    <t>07-01-011-06</t>
  </si>
  <si>
    <t>07-01-011-05</t>
  </si>
  <si>
    <t>06-03-008-01</t>
  </si>
  <si>
    <t>м2 поверхности резки</t>
  </si>
  <si>
    <t>58 %</t>
  </si>
  <si>
    <t>01.7.17.04-0002</t>
  </si>
  <si>
    <t>м</t>
  </si>
  <si>
    <t>46-04-012-02</t>
  </si>
  <si>
    <t>т01-01-01-045</t>
  </si>
  <si>
    <t>Погрузка при автомобильных перевозках прочих материалов, деталей (с использованием погрузчика)</t>
  </si>
  <si>
    <t>09-04-011-01</t>
  </si>
  <si>
    <t>т03-21-01-001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</si>
  <si>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</si>
  <si>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07-04-005-01</t>
  </si>
  <si>
    <t>т01-01-01-004</t>
  </si>
  <si>
    <t>Погрузка при автомобильных перевозках изделий из сборного железобетона, бетона, керамзитобетона массой от 3 до 6 т</t>
  </si>
  <si>
    <t>т01-01-02-004</t>
  </si>
  <si>
    <t>Разгрузка при автомобильных перевозках изделий из сборного железобетона, бетона, керамзитобетона массой от 3 до 6 т</t>
  </si>
  <si>
    <t>46-04-001-04</t>
  </si>
  <si>
    <t>09-04-009-01</t>
  </si>
  <si>
    <t>09-04-012-01</t>
  </si>
  <si>
    <t>м2</t>
  </si>
  <si>
    <t>46-04-008-02</t>
  </si>
  <si>
    <t>68-12-2</t>
  </si>
  <si>
    <t>100 м3</t>
  </si>
  <si>
    <t>46-04-003-05</t>
  </si>
  <si>
    <t>Раздел Земляные работы.</t>
  </si>
  <si>
    <t>01-01-013-08</t>
  </si>
  <si>
    <t>Поправка: Попр.Прил.1.12 п.3.66 Попр.Приказ от 04.08.2020 № 421/пр прил.10 табл.1 п.2</t>
  </si>
  <si>
    <t>Поправка:Разработка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</si>
  <si>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51-2-3</t>
  </si>
  <si>
    <t>87 %</t>
  </si>
  <si>
    <t>40 %</t>
  </si>
  <si>
    <t>01-02-060-01</t>
  </si>
  <si>
    <t>Перевозка грузов I класса автомобилями-самосвалами грузоподъемностью 10 т работающих вне карьера на расстояние до 1 км</t>
  </si>
  <si>
    <t>т01-01-01-039</t>
  </si>
  <si>
    <t>Погрузо-разгрузочные работы при автомобильных перевозках: Погрузка грунта растительного слоя (земля, перегной)</t>
  </si>
  <si>
    <t>01-02-061-02</t>
  </si>
  <si>
    <t>01-02-001-02</t>
  </si>
  <si>
    <t>01-02-001-08</t>
  </si>
  <si>
    <t>Поправка:5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</si>
  <si>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Итого по акту:  корр_01-01-02 Демонтаж. Цех. утв..</t>
  </si>
  <si>
    <t>Стоимость материалов (всего)</t>
  </si>
  <si>
    <t>01-01-02 Выполнение работ по ликвидации объекта капитального строительства</t>
  </si>
  <si>
    <r>
      <t>Разборка трубопроводов из водогазопроводных труб в зданиях и сооружениях на сварке диаметром: до 50 мм</t>
    </r>
    <r>
      <rPr>
        <i/>
        <sz val="8"/>
        <color rgb="FF003300"/>
        <rFont val="Arial"/>
        <family val="2"/>
        <charset val="204"/>
      </rPr>
      <t xml:space="preserve">
К=(ЭММ, ЗПМ, ОЗП, ТЗ, ТЗМ)*1,2</t>
    </r>
  </si>
  <si>
    <r>
      <t>Разборка трубопроводов из водогазопроводных труб в зданиях и сооружениях на сварке диаметром: свыше 50 до 100 мм</t>
    </r>
    <r>
      <rPr>
        <i/>
        <sz val="8"/>
        <color rgb="FF003300"/>
        <rFont val="Arial"/>
        <family val="2"/>
        <charset val="204"/>
      </rPr>
      <t xml:space="preserve">
К=(ЭММ, ЗПМ, ОЗП, ТЗ, ТЗМ)*1,2</t>
    </r>
  </si>
  <si>
    <r>
      <t>Разборка трубопроводов из водогазопроводных труб в зданиях и сооружениях на сварке диаметром: свыше 100 до 150 мм</t>
    </r>
    <r>
      <rPr>
        <i/>
        <sz val="8"/>
        <color rgb="FF003300"/>
        <rFont val="Arial"/>
        <family val="2"/>
        <charset val="204"/>
      </rPr>
      <t xml:space="preserve">
К=(ЭММ, ЗПМ, ТЗМ)*1,2; (ОЗП, ТЗ)*1,1*1,2</t>
    </r>
  </si>
  <si>
    <r>
      <t>Демонтаж трубопроводов отопления и водоснабжения из стальных электросварных труб диаметром: 160 мм</t>
    </r>
    <r>
      <rPr>
        <i/>
        <sz val="8"/>
        <color rgb="FF003300"/>
        <rFont val="Arial"/>
        <family val="2"/>
        <charset val="204"/>
      </rPr>
      <t xml:space="preserve">
К=МР*0; (ЭММ, ЗПМ, ТЗМ)*0,4*1,2; (ОЗП, ТЗ)*0,4*1,08*1,2; СП*0.85</t>
    </r>
  </si>
  <si>
    <r>
      <t>Демонтаж трубопроводов отопления и водоснабжения из стальных электросварных труб диаметром: 180, 200, 220 мм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ТЗМ)*0,4*1,2; СП*0.85</t>
    </r>
  </si>
  <si>
    <r>
      <t>Демонтаж трубопроводов отопления и водоснабжения из стальных электросварных труб диаметром: 250 мм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ТЗМ)*0,4*1,2; СП*0.85</t>
    </r>
  </si>
  <si>
    <r>
      <t>Снятие задвижек диаметром: до 100 мм</t>
    </r>
    <r>
      <rPr>
        <i/>
        <sz val="8"/>
        <color rgb="FF003300"/>
        <rFont val="Arial"/>
        <family val="2"/>
        <charset val="204"/>
      </rPr>
      <t xml:space="preserve">
К=(ЭММ, ЗПМ, ОЗП, ТЗ, ТЗМ)*1,2</t>
    </r>
  </si>
  <si>
    <r>
      <t>Установка шкафов металлических для санитарно-технических систем: на стене или в нише массой свыше 10 до 20 кг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ТЗМ)*0,4*1,2; СП*0.85</t>
    </r>
  </si>
  <si>
    <r>
      <t>Демонтаж кранов пожарных диаметром 50 мм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ТЗМ)*0,4*1,2; СП*0.85</t>
    </r>
  </si>
  <si>
    <r>
      <t>Демонтаж Профиль перфорированный монтажный длиной 2 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ТЗМ)*0,4*1,2</t>
    </r>
  </si>
  <si>
    <r>
      <t>Демонтаж кабеля(18м(ось 1-3), 132 м(ось 2-24),126м(ось 3-24),66м(ось 15-26),60м(ось 16-26),60м(ось 16-26))</t>
    </r>
    <r>
      <rPr>
        <i/>
        <sz val="8"/>
        <color rgb="FF003300"/>
        <rFont val="Arial"/>
        <family val="2"/>
        <charset val="204"/>
      </rPr>
      <t xml:space="preserve">
К=(ЭММ, ЗПМ, ОЗП, ТЗ, ТЗМ)*1,2</t>
    </r>
  </si>
  <si>
    <t>Раздел Демонтаж сетей и систем  инженерного обоспечения.</t>
  </si>
  <si>
    <t>65-14-4</t>
  </si>
  <si>
    <t>Поправка: Попр.Приказ от 07.07.2022 № 557/пр прил.8 табл.2 п.1.1</t>
  </si>
  <si>
    <t>Поправка:Производство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</t>
  </si>
  <si>
    <t>65-14-5</t>
  </si>
  <si>
    <t>65-14-6</t>
  </si>
  <si>
    <t>Поправка: Попр.ОП п.1.65.3 Попр.Приказ от 07.07.2022 № 557/пр прил.8 табл.2 п.1.1</t>
  </si>
  <si>
    <t>Поправка:При выполнении работ с передвижных подмостей и лестниц на высоте более 3 м от пола: св. 3 до 5 м Поправка:Производство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</t>
  </si>
  <si>
    <t>16-02-005-07</t>
  </si>
  <si>
    <t>Поправка: Попр.Приказ от 14.07.2022 № 571/пр п.83 табл.2 Попр.Прил.16.1 п.3.1 Попр.Приказ от 07.07.2022 № 557/пр прил.8 табл.2 п.1.1</t>
  </si>
  <si>
    <t>Поправка:Демонтаж (разборка) систем инженерно-технического обеспечения Поправка:Прокладка трубопроводов и установка арматуры с передвижных подмостей и лестниц на высоте от пола или сплошного настила св. 3 до 5 м Поправка:Производство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</t>
  </si>
  <si>
    <t>121 %</t>
  </si>
  <si>
    <t>61,2 %</t>
  </si>
  <si>
    <t>16-02-005-08</t>
  </si>
  <si>
    <t>Поправка: Попр.Приказ от 14.07.2022 № 571/пр п.83 табл.2 Попр.Приказ от 07.07.2022 № 557/пр прил.8 табл.2 п.1.1</t>
  </si>
  <si>
    <t>Поправка:Демонтаж (разборка) систем инженерно-технического обеспечения Поправка:Производство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</t>
  </si>
  <si>
    <t>16-02-005-09</t>
  </si>
  <si>
    <t>65-3-13</t>
  </si>
  <si>
    <t>16-08-001-02</t>
  </si>
  <si>
    <t>16-07-001-01</t>
  </si>
  <si>
    <t>м08-02-397-01</t>
  </si>
  <si>
    <t>97 %</t>
  </si>
  <si>
    <t>51 %</t>
  </si>
  <si>
    <t>67-3-1</t>
  </si>
  <si>
    <t>48 %</t>
  </si>
  <si>
    <t>Раздел Вывоз строительного мусора</t>
  </si>
  <si>
    <t>т01-01-02-031</t>
  </si>
  <si>
    <t>Разгрузка при автомобильных перевозках труб металлических с применением автопогрузчиков</t>
  </si>
  <si>
    <t>Итого по акту:  корр_01-01-03  Объекты по трассе жд путей НВ утв..</t>
  </si>
  <si>
    <t>01-01-03 Демонтаж сетей и систем  инженерного обоспечения.</t>
  </si>
  <si>
    <t>Демонтаж сетей и систем  инженерного обоспечения.</t>
  </si>
  <si>
    <r>
      <t>Разработка грунта в котлованах объемом до 500 м3 экскаваторами с ковшом вместимостью 0,4 (0,35-0,45) м3,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</si>
  <si>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r>
      <t>Разработка грунта с погрузкой на автомобили-самосвалы экскаваторами с ковшом вместимостью: 0,65 (0,5-1) м3,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</si>
  <si>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r>
      <t>Разработка грунта вручную в траншеях глубиной до 2 м без креплений с откосами,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</si>
  <si>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
162,38 = [1 590 / 1,2 /  8,16]</t>
    </r>
  </si>
  <si>
    <r>
      <t>Засыпка траншей и котлованов с перемещением грунта до 5 м бульдозерами мощностью: 59 кВт (80 л.с.),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</si>
  <si>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Раздел Фундаменты (131-23-АС3)</t>
  </si>
  <si>
    <t>01-01-006-01</t>
  </si>
  <si>
    <t>Поправка: Попр.Прил.1.12 п.3.66 Попр.Приказ от 04.08.2020 № 421/пр п.58б Попр.Приказ от 07.07.2022 № 557/пр прил.8 табл.2 п.3</t>
  </si>
  <si>
    <t>Поправка:Разработка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</si>
  <si>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39,1 %</t>
  </si>
  <si>
    <t>01-01-013-07</t>
  </si>
  <si>
    <t>01-02-057-01</t>
  </si>
  <si>
    <t>Поправка: Попр.Прил.1.12 п.3.187 Попр.Приказ от 04.08.2020 № 421/пр п.58б Попр.Приказ от 07.07.2022 № 557/пр прил.8 табл.2 п.3</t>
  </si>
  <si>
    <t>Поправка:Доработка вручную, зачистка дна и стенок с выкидкой грунта в котлованах и траншеях, разработанных механизированным способом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</si>
  <si>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34 %</t>
  </si>
  <si>
    <t>Поправка: Попр.Приказ от 04.08.2020 № 421/пр п.58б Попр.Приказ от 07.07.2022 № 557/пр прил.8 табл.2 п.3</t>
  </si>
  <si>
    <t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</si>
  <si>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01-01-033-01</t>
  </si>
  <si>
    <t>Итого по акту:  корр_02-02-01 АС3 утв..</t>
  </si>
  <si>
    <t>02-02-01 Восстановительные работы цеха №121/18. АС 3.</t>
  </si>
  <si>
    <t>Восстановительные работы цеха №121/18. АС 3.</t>
  </si>
  <si>
    <t>02-02-01</t>
  </si>
  <si>
    <r>
      <t>Кабель до 35 кВ с креплением накладными скобами, масса 1 м кабеля: до 2 кг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</si>
  <si>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</si>
  <si>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Герметизация проходов при вводе кабелей во взрывоопасные помещения уплотнительной массой/ прим.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</si>
  <si>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Сверление отверстий: в кирпичных стенах электроперфоратором диаметром до 20 мм, толщина стен 0,5 кирпича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</si>
  <si>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Сверление отверстий: на каждые 0,5 кирпича толщины стен добавлять к расценке 69-2-1</t>
    </r>
    <r>
      <rPr>
        <i/>
        <sz val="8"/>
        <color rgb="FF003300"/>
        <rFont val="Arial"/>
        <family val="2"/>
        <charset val="204"/>
      </rPr>
      <t xml:space="preserve">
К=МР*2; (ЭММ, ЗПМ, ОЗП, ТЗ, ТЗМ)*2*1,15</t>
    </r>
  </si>
  <si>
    <r>
      <t>Сверление отверстий: на каждые 10 мм диаметра свыше 20 мм добавлять к расценке 69-2-1/ (d=30мм)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</si>
  <si>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t>Электроснабжение. ЭС 1.</t>
  </si>
  <si>
    <t>04-01-01</t>
  </si>
  <si>
    <t>04-01-01  ЭС1 утв..</t>
  </si>
  <si>
    <t>Раздел Кабельные линии</t>
  </si>
  <si>
    <t>м08-02-146-03</t>
  </si>
  <si>
    <t>Поправка: Попр.Приказ от 07.07.2022 № 557/пр прил.8 табл.3 п.3</t>
  </si>
  <si>
    <t>Поправка:Производство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</t>
  </si>
  <si>
    <t>01.7.06.07-0002</t>
  </si>
  <si>
    <t>10 м</t>
  </si>
  <si>
    <t>20.2.08.07-0049</t>
  </si>
  <si>
    <t>м08-02-147-11</t>
  </si>
  <si>
    <t>21.1.06.08-0465</t>
  </si>
  <si>
    <t>1000 м</t>
  </si>
  <si>
    <t>м08-02-163-02</t>
  </si>
  <si>
    <t>ЗАО "МПО Электромонтаж", счет-договор № 34</t>
  </si>
  <si>
    <t>м08-02-155-01</t>
  </si>
  <si>
    <t>01.7.07.29-0221</t>
  </si>
  <si>
    <t>кг</t>
  </si>
  <si>
    <t>14.5.01.10-0029</t>
  </si>
  <si>
    <t>69-2-1</t>
  </si>
  <si>
    <t>100 отверстий</t>
  </si>
  <si>
    <t>69-2-2</t>
  </si>
  <si>
    <t>Поправка: Попр. Попр.Приказ от 07.07.2022 № 557/пр прил.8 табл.3 п.3</t>
  </si>
  <si>
    <t>Поправка:375 мм(применит. до 400 мм) Поправка:Производство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</t>
  </si>
  <si>
    <t>69-2-3</t>
  </si>
  <si>
    <t>Итого по акту:  04-01-01  ЭС1 утв..</t>
  </si>
  <si>
    <r>
      <t>Разборка покрытий и оснований: асфальтобетонных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</si>
  <si>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Разработка грунта с погрузкой на автомобили-самосвалы экскаваторами с ковшом вместимостью: 0,5 (0,5-0,63) м3,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</si>
  <si>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Доработка грунта вручную в траншеях глубиной до 2 м без креплений с откосами,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</si>
  <si>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r>
      <t>Погрузка вручную неуплотненного грунта из штабелей и отвалов в транспортные средства,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</si>
  <si>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Раздел Демонтажные работы</t>
  </si>
  <si>
    <t>27-03-008-04</t>
  </si>
  <si>
    <t>Поправка: Попр.Приказ от 07.07.2022 № 557/пр прил.8 табл.2 п.3</t>
  </si>
  <si>
    <t>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</si>
  <si>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147 %</t>
  </si>
  <si>
    <t>113,9 %</t>
  </si>
  <si>
    <t>Раздел Земляные работы</t>
  </si>
  <si>
    <t>01-02-057-02</t>
  </si>
  <si>
    <t>Перевозка грузов</t>
  </si>
  <si>
    <t>06-03-02 Архитектурно-строительные решения. Эстакада для ТС1. АС 4</t>
  </si>
  <si>
    <t>Архитектурно-строительные решения. Эстакада для ТС1. АС 4</t>
  </si>
  <si>
    <r>
      <t>Разработка грунта с погрузкой в автомобили-самосвалы экскаваторами импортного производства с ковшом вместимостью 0,5 (0,5-0,63) м3,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</si>
  <si>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r>
      <t>Разработка грунта вручную в траншеях глубиной до 2 м без креплений с откосами,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</si>
  <si>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Погрузка вручную неуплотненного грунта из штабелей и отвалов в транспортные средства,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</si>
  <si>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162,38 = [1 590 / 1,2 /  8,16]</t>
    </r>
  </si>
  <si>
    <r>
      <t>Засыпка траншей и котлованов с перемещением грунта до 5 м бульдозерами мощностью: 59 кВт (80 л.с.),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</si>
  <si>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Засыпка вручную траншей, пазух котлованов и ям,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</si>
  <si>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Уплотнение грунта пневматическими трамбовками, группа грунтов: 1-2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</si>
  <si>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оснований и покрытий из песчано-гравийных или щебеночно-песчаных смесей: однослойных толщиной 12 см (толщина слоя 200мм)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</si>
  <si>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 каждый 1 см изменения толщины слоя добавлять или исключать к расценкам с 27-04-003-05 по 27-04-003-07</t>
    </r>
    <r>
      <rPr>
        <i/>
        <sz val="8"/>
        <color rgb="FF003300"/>
        <rFont val="Arial"/>
        <family val="2"/>
        <charset val="204"/>
      </rPr>
      <t xml:space="preserve">
К=МР*8; (ЭММ, ЗПМ, ТЗМ)*8*1,25*1,15; (ОЗП, ТЗ)*8*1,15*1,15; СП*0.85</t>
    </r>
  </si>
  <si>
    <r>
      <t>ПГС фракция 20х40</t>
    </r>
    <r>
      <rPr>
        <i/>
        <sz val="8"/>
        <color rgb="FF003300"/>
        <rFont val="Arial"/>
        <family val="2"/>
        <charset val="204"/>
      </rPr>
      <t xml:space="preserve">
К=МР*1,012
106,72 = [1 045 / 1,2 /  8,16]</t>
    </r>
  </si>
  <si>
    <r>
      <t>Устройство подстилающих и выравнивающих слоев оснований: из песка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</si>
  <si>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
99,98 = [979 / 1,2 /  8,16]</t>
    </r>
  </si>
  <si>
    <r>
      <t>Устройство подушек под фундаменты опор мостов: щебеночных / прим. подушка под рельсы</t>
    </r>
    <r>
      <rPr>
        <i/>
        <sz val="8"/>
        <color rgb="FF003300"/>
        <rFont val="Arial"/>
        <family val="2"/>
        <charset val="204"/>
      </rPr>
      <t xml:space="preserve">
К=СП*0.85</t>
    </r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</si>
  <si>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
493,16 = [4 829 / 1,2 /  8,16]</t>
    </r>
  </si>
  <si>
    <r>
      <t>Устройство бетонной подготовки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</si>
  <si>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железобетонных фундаментов общего назначения под колонны объемом: до 3 м3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</si>
  <si>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Дополнительные затраты на устройство: сложных фундаментов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</si>
  <si>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Дополнительные затраты на устройство: колодцев для анкерных болтов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</si>
  <si>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Смеси бетонные тяжелого бетона (БСТ), класс В25 (М350)</t>
    </r>
    <r>
      <rPr>
        <i/>
        <sz val="8"/>
        <color rgb="FF003300"/>
        <rFont val="Arial"/>
        <family val="2"/>
        <charset val="204"/>
      </rPr>
      <t xml:space="preserve">
К=МР*0,8898*0,03; (ЭММ, ЗПМ, ОЗП, ТЗ, ТЗМ)*0,8898</t>
    </r>
  </si>
  <si>
    <r>
      <t>Установка анкерных болтов: при бетонировании со связями из арматуры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</si>
  <si>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Раздел Земляное полотно железнодорожного пути</t>
  </si>
  <si>
    <t>01-01-013-32</t>
  </si>
  <si>
    <t>Поправка: Попр.Прил.1.12 п.3.37 Попр.Приказ от 04.08.2020 № 421/пр п.58б Попр.Приказ от 07.07.2022 № 557/пр прил.8 табл.2 п.3</t>
  </si>
  <si>
    <t>Поправка:Разработка грунта экскаваторами в котлованах: при глубине котлована до 3 м независимо от объема котлована или его площади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</si>
  <si>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01-02-060-02</t>
  </si>
  <si>
    <t>01-02-005-01</t>
  </si>
  <si>
    <t>Раздел Устройство основания строения пути</t>
  </si>
  <si>
    <t>27-04-003-01</t>
  </si>
  <si>
    <t>1000 м2</t>
  </si>
  <si>
    <t>27-04-003-08</t>
  </si>
  <si>
    <t>Поправка: Попр. Попр.Приказ от 04.08.2020 № 421/пр п.58б Попр.Приказ от 07.07.2022 № 557/пр прил.8 табл.2 п.3</t>
  </si>
  <si>
    <t>Поправка: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</si>
  <si>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Поправка: Попр.</t>
  </si>
  <si>
    <t>Поправка:ЗГСР</t>
  </si>
  <si>
    <t>27-04-001-01</t>
  </si>
  <si>
    <t>Поправка:ЗСР</t>
  </si>
  <si>
    <t>30-01-001-01</t>
  </si>
  <si>
    <t>140 %</t>
  </si>
  <si>
    <t>79,05 %</t>
  </si>
  <si>
    <t>Раздел Устройство верхнего строения пути</t>
  </si>
  <si>
    <t>Раздел Устройство фундаментов</t>
  </si>
  <si>
    <t>06-01-001-01</t>
  </si>
  <si>
    <t>Объем: 0,0144=(0,48*3)/100</t>
  </si>
  <si>
    <t>49,3 %</t>
  </si>
  <si>
    <t>04.1.02.05-0003</t>
  </si>
  <si>
    <t>Смеси бетонные тяжелого бетона (БСТ), класс В7,5 (М100)</t>
  </si>
  <si>
    <t>06-01-001-05</t>
  </si>
  <si>
    <t>Объем: 0,054=1,8*3/100</t>
  </si>
  <si>
    <t>08.4.03.03-0002</t>
  </si>
  <si>
    <t>08.4.03.03-0004</t>
  </si>
  <si>
    <t>08.4.03.03-0006</t>
  </si>
  <si>
    <t>06-02-001-08</t>
  </si>
  <si>
    <t>06-02-001-07</t>
  </si>
  <si>
    <t>04.1.02.05-0009</t>
  </si>
  <si>
    <t>Смеси бетонные тяжелого бетона (БСТ), класс В25 (М350)</t>
  </si>
  <si>
    <t>Поправка: Попр. Попр.</t>
  </si>
  <si>
    <t>Поправка:Перевод в оптовые цены 645,75/725,69=0,8898 Поправка:Надбавка на W8 1,5*2=3%</t>
  </si>
  <si>
    <t>06-03-004-03</t>
  </si>
  <si>
    <t>08.4.01.01-0022</t>
  </si>
  <si>
    <t>01.7.15.03-0001</t>
  </si>
  <si>
    <t>Болты анкерные из прямых или гнутых круглых стержней с резьбой в комплекте с гайками и шайбами</t>
  </si>
  <si>
    <t>08.3.08.03-0011</t>
  </si>
  <si>
    <t>Сталь угловая</t>
  </si>
  <si>
    <t>Объем: 0,0135=0,45*3/100</t>
  </si>
  <si>
    <t>Объем: 0,027=0,9*3/100</t>
  </si>
  <si>
    <t>Итого по акту:  02-03-01 АС1 утв..</t>
  </si>
  <si>
    <t>02-03-01 Архитектурно-строительные решения. Часть 1.АС1</t>
  </si>
  <si>
    <t>Архитектурно-строительные решения. Часть 1.АС1</t>
  </si>
  <si>
    <r>
      <t>Разработка грунта вручную в траншеях глубиной до 2 м без креплений с откосами,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</si>
  <si>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Засыпка вручную траншей, пазух котлованов и ям,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</si>
  <si>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Погрузка вручную неуплотненного грунта из штабелей и отвалов в транспортные средства,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</si>
  <si>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Устройство постели при одном кабеле в траншее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</si>
  <si>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На каждый последующий кабель добавлять к расценке 08-02-142-01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</si>
  <si>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Прокладка труб гофрированных ПВХ в земле для защиты одного кабеля диаметром: 110 мм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</si>
  <si>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 каждую последующую трубу добавлять: к расценке 08-02-231-05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</si>
  <si>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Кабель до 35 кВ в проложенных трубах, блоках и коробах, масса 1 м кабеля: до 6 кг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</si>
  <si>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Муфта соединительная эпоксидная для 3-4-жильного кабеля напряжением: до 10 кВ, сечение жил до 70 мм2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</si>
  <si>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Монтаж термоусаживаемой манжеты из трубки для кабеля/применит.</t>
    </r>
    <r>
      <rPr>
        <i/>
        <sz val="8"/>
        <color rgb="FF003300"/>
        <rFont val="Arial"/>
        <family val="2"/>
        <charset val="204"/>
      </rPr>
      <t xml:space="preserve">
К=МР*1,012; (ЭММ, ЗПМ, ОЗП, ТЗ, ТЗМ)*1,15</t>
    </r>
  </si>
  <si>
    <r>
      <t>Герметизация проходов при вводе кабелей во взрывоопасные помещения уплотнительной массой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</si>
  <si>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Кабель до 35 кВ в готовых траншеях без покрытий, масса 1 м: до 6 кг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</si>
  <si>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</si>
  <si>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Покрытие кабеля, проложенного в траншее: кирпичом одного кабеля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</si>
  <si>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Покрытие кабеля, проложенного в траншее: кирпичом каждого последующего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</si>
  <si>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Рукав металлический наружным диаметром: до 60 мм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</si>
  <si>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</si>
  <si>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t>01-02-061-01</t>
  </si>
  <si>
    <t>Поправка: Попр. Попр.Приказ от 07.07.2022 № 557/пр прил.8 табл.2 п.3</t>
  </si>
  <si>
    <t>Поправка:ЗГСР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</si>
  <si>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м08-02-142-01</t>
  </si>
  <si>
    <t>м08-02-142-02</t>
  </si>
  <si>
    <t>м08-02-231-05</t>
  </si>
  <si>
    <t>м08-02-231-10</t>
  </si>
  <si>
    <t>24.3.03.04-0013</t>
  </si>
  <si>
    <t>24.3.03.05-1008</t>
  </si>
  <si>
    <t>22.2.02.23-0021</t>
  </si>
  <si>
    <t>м08-02-148-04</t>
  </si>
  <si>
    <t>ООО "Кабельные системы",счет на оплату № 5</t>
  </si>
  <si>
    <t>м08-02-167-07</t>
  </si>
  <si>
    <t>м08-02-200-01</t>
  </si>
  <si>
    <t>ООО «ТПК «ПАРМА»,Счет на оплату № 10755 от</t>
  </si>
  <si>
    <t>14.2.02.12-0801</t>
  </si>
  <si>
    <t>м08-02-141-04</t>
  </si>
  <si>
    <t>м08-02-412-07</t>
  </si>
  <si>
    <t>21.1.06.08-0025</t>
  </si>
  <si>
    <t>м08-02-143-01</t>
  </si>
  <si>
    <t>м08-02-143-02</t>
  </si>
  <si>
    <t>06.1.01.05-0037</t>
  </si>
  <si>
    <t>1000 ШТ</t>
  </si>
  <si>
    <t>м08-02-411-02</t>
  </si>
  <si>
    <t>01.7.15.04-0011</t>
  </si>
  <si>
    <t>08.1.02.13-0014</t>
  </si>
  <si>
    <t>23.1.02.06-0039</t>
  </si>
  <si>
    <t>10 ШТ</t>
  </si>
  <si>
    <t>м08-04-741-01</t>
  </si>
  <si>
    <t>126 %</t>
  </si>
  <si>
    <t>68 %</t>
  </si>
  <si>
    <t>АО "МЗЭИ",Счет на оплату № 4438 от 12.10.2</t>
  </si>
  <si>
    <t>Итого по акту:  04-01-02 ЭС2 утв..</t>
  </si>
  <si>
    <t>Монтажные работы с НР и СП</t>
  </si>
  <si>
    <t>04-01-02 Переустройство кабельных линий.ЭС2</t>
  </si>
  <si>
    <t>Переустройство кабельных линий.ЭС2</t>
  </si>
  <si>
    <t>04-01-02</t>
  </si>
  <si>
    <r>
      <t>Разработка грунта с погрузкой на автомобили-самосвалы экскаваторами с ковшом вместимостью: 0,5 (0,5-0,63) м3,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</si>
  <si>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r>
      <t>Планировка площадей бульдозерами мощностью: 79 кВт (108 л.с.)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</si>
  <si>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вручную: дна и откосов выемок каналов,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</si>
  <si>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откосов выемок и насыпей экскаваторами, группа грунтов: 1-2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</si>
  <si>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подстилающих и выравнивающих слоев оснований: из щебня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</si>
  <si>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К=МР*1,012; (ЭММ, ЗПМ, ТЗМ)*1,25*1,15; (ОЗП, ТЗ)*1,15*1,15
493,16 = [4 829 / 1,2 /  8,16]</t>
    </r>
  </si>
  <si>
    <r>
      <t>Разборка упорной призмы и конструкции упора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</si>
  <si>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стрелочных переводов на деревянных брусьях на базе, марка перевода: 1/9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</si>
  <si>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звеньями рельсошпальной решетки, шпалы: железобетонные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</si>
  <si>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поэлементно на деревянных шпалах тип рельсов: Р65, на 1 км число шпал 2000 и 1840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</si>
  <si>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</si>
  <si>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контррельсов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</si>
  <si>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Сборка стрелочного перевода блоками при типе рельсов Р65 на деревянных брусьях, марка перевода: 1/9 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</si>
  <si>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</si>
  <si>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Балластировка пути и стрелочных переводов на железобетонных шпалах, балласт: щебеночный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</si>
  <si>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Щебень из плотных горных пород для балластного слоя железнодорожного пути, фракция от 25 до 60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</si>
  <si>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Раздел Сооружение земляного полотна</t>
  </si>
  <si>
    <t>01-01-013-13</t>
  </si>
  <si>
    <t>01-01-036-02</t>
  </si>
  <si>
    <t>01-01-111-01</t>
  </si>
  <si>
    <t>01-01-109-01</t>
  </si>
  <si>
    <t>27-04-001-04</t>
  </si>
  <si>
    <t>28-01-100-01</t>
  </si>
  <si>
    <t>55,25 %</t>
  </si>
  <si>
    <t>28-01-023-02</t>
  </si>
  <si>
    <t>КОМПЛ</t>
  </si>
  <si>
    <t>28-01-006-02</t>
  </si>
  <si>
    <t>КМ ПУТИ</t>
  </si>
  <si>
    <t>28-01-007-01</t>
  </si>
  <si>
    <t>т01-01-01-026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</si>
  <si>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</si>
  <si>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</si>
  <si>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т03-21-01-002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</si>
  <si>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</si>
  <si>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</si>
  <si>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т01-01-02-026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</si>
  <si>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</si>
  <si>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</si>
  <si>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т01-01-01-008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</si>
  <si>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</si>
  <si>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</si>
  <si>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</si>
  <si>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28-01-003-08</t>
  </si>
  <si>
    <t>25.1.05.05-0043</t>
  </si>
  <si>
    <t>АО "НТПК", КП от 30.07.2023г. (п.1)</t>
  </si>
  <si>
    <t>25.1.01.05-0011</t>
  </si>
  <si>
    <t>АО "НТПК", КП от 30.07.2023г. (п.3)</t>
  </si>
  <si>
    <t>25.1.05.01-0002</t>
  </si>
  <si>
    <t>АО "НТПК", КП от 30.07.2023г. (п.2)</t>
  </si>
  <si>
    <t>25.1.05.02-0008</t>
  </si>
  <si>
    <t>25.1.04.02-0001</t>
  </si>
  <si>
    <t>25.1.04.07-0003</t>
  </si>
  <si>
    <t>25.1.06.19-0070</t>
  </si>
  <si>
    <t>АО "НТПК", КП от 30.07.2023г. (п.8)</t>
  </si>
  <si>
    <t>29-03-001-11</t>
  </si>
  <si>
    <t>146 %</t>
  </si>
  <si>
    <t>63,75 %</t>
  </si>
  <si>
    <t>АО "НТПК", КП от 30.07.2023г. (п.7)</t>
  </si>
  <si>
    <t>КОМПЛЕКТ</t>
  </si>
  <si>
    <t>28-01-017-06</t>
  </si>
  <si>
    <t>28-01-018-13</t>
  </si>
  <si>
    <t>ООО "Желдоркомплект", КП № 299/1 от 12.09.</t>
  </si>
  <si>
    <t>28-01-027-04</t>
  </si>
  <si>
    <t>02.2.05.04-0061</t>
  </si>
  <si>
    <t>Итого по акту:  корр_02-01-01 ПЖ  эстакада утв..</t>
  </si>
  <si>
    <t>02-01-01 Верхнее строение пути</t>
  </si>
  <si>
    <t>Верхнее строение пути</t>
  </si>
  <si>
    <t>02-01-01</t>
  </si>
  <si>
    <r>
      <t>Раствор готовый кладочный, цементный, М100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</t>
    </r>
  </si>
  <si>
    <r>
      <t>Заполнение трубопроводов или межтрубного пространства при трубах в футляре: цементным раствором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</si>
  <si>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Протаскивание в футляр полиэтиленовых труб диаметром: 110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</si>
  <si>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фасонных частей стальных сварных диаметром: 300-800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</si>
  <si>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</si>
  <si>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стальных неразрезных кожухов (футляров) в открытых траншеях диаметром: 300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</si>
  <si>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трубопроводов из полиэтиленовых труб диаметром: 110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</si>
  <si>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основания под трубопроводы: песчаного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</si>
  <si>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Засыпка вручную траншей, пазух котлованов и ям,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</si>
  <si>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Засыпка пазух котлованов спецсооружений дренирующим песком / присыпка трубопрвода и подбивка пазух, за минусрм 10 см.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</si>
  <si>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Разработка грунта в траншеях и котлованах глубиной более 3 м вручную с подъемом краном при наличии креплений,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</si>
  <si>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Разработка грунта с погрузкой на автомобили-самосвалы экскаваторами с ковшом вместимостью: 0,65 (0,5-1) м3,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</si>
  <si>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Разработка грунта в траншеях экскаватором «обратная лопата» с ковшом вместимостью 0,65 (0,5-1) м3,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</si>
  <si>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t>Раздел Переустройство хозпитьевого водопровода (В1) к цеху 121/18</t>
  </si>
  <si>
    <t>01-01-009-08</t>
  </si>
  <si>
    <t>01-02-063-02</t>
  </si>
  <si>
    <t>01-02-033-01</t>
  </si>
  <si>
    <t>10 м3</t>
  </si>
  <si>
    <t>34,85 %</t>
  </si>
  <si>
    <t>23-01-001-01</t>
  </si>
  <si>
    <t>117 %</t>
  </si>
  <si>
    <t>62,9 %</t>
  </si>
  <si>
    <t>22-01-021-03</t>
  </si>
  <si>
    <t>км</t>
  </si>
  <si>
    <t>24.3.03.13-0046</t>
  </si>
  <si>
    <t>22-01-015-01</t>
  </si>
  <si>
    <t>23.5.02.02-0101</t>
  </si>
  <si>
    <t>22-02-004-08</t>
  </si>
  <si>
    <t>12.1.02.15-0041</t>
  </si>
  <si>
    <t>22-03-001-06</t>
  </si>
  <si>
    <t>23.8.03.12-0011</t>
  </si>
  <si>
    <t>23.8.04.06-0106</t>
  </si>
  <si>
    <t>22-05-005-01</t>
  </si>
  <si>
    <t>100 м трубы, уложенной в футляр</t>
  </si>
  <si>
    <t>66-38-3</t>
  </si>
  <si>
    <t>104 %</t>
  </si>
  <si>
    <t>60 %</t>
  </si>
  <si>
    <t>04.3.01.09-0011</t>
  </si>
  <si>
    <t>04.3.01.09-0014</t>
  </si>
  <si>
    <t>Итого по акту:  06-01-01 НВК2 утв..</t>
  </si>
  <si>
    <t>06-01-01 Переустройство хозпитьевого водопровода.НВК2</t>
  </si>
  <si>
    <t>Переустройство хозпитьевого водопровода.НВК2</t>
  </si>
  <si>
    <t>06-01-01</t>
  </si>
  <si>
    <r>
      <t>Разработка грунта в траншеях экскаватором «обратная лопата» с ковшом вместимостью 0,5 (0,5-0,63) м3, в отвал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</si>
  <si>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</si>
  <si>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r>
      <t>Разработка грунта вручную в траншеях глубиной до 2 м без креплений с откосами, группа грунтов: 2/ доработка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</si>
  <si>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r>
      <t>Крепление инвентарными щитами стенок траншей шириной до 2 м в грунтах: устойчивых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</si>
  <si>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Нанесение весьма усиленной антикоррозионной битумно-резиновой или битумно-полимерной изоляции на стальные трубопроводы диаметром: 300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</si>
  <si>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Мастика "Ярославна БПХ-2"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</si>
  <si>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полиэтиленовых фасонных частей: отводов, колен, патрубков, переходов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</si>
  <si>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гильз из стальных труб диаметром: 100 мм</t>
    </r>
    <r>
      <rPr>
        <i/>
        <sz val="8"/>
        <color rgb="FF003300"/>
        <rFont val="Arial"/>
        <family val="2"/>
        <charset val="204"/>
      </rPr>
      <t xml:space="preserve">
К=СП*0.85</t>
    </r>
  </si>
  <si>
    <r>
      <t>Укладка трубопроводов из полиэтиленовых труб диаметром: 315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</si>
  <si>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стальных неразрезных кожухов (футляров) в открытых траншеях диаметром: 500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</si>
  <si>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Нанесение весьма усиленной антикоррозионной битумно-резиновой или битумно-полимерной изоляции на стальные трубопроводы диаметром: 500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</si>
  <si>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</si>
  <si>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Протаскивание в футляр полиэтиленовых труб диаметром: 315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</si>
  <si>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гильз из стальных труб диаметром: 200 мм (применит., 315 мм)</t>
    </r>
    <r>
      <rPr>
        <i/>
        <sz val="8"/>
        <color rgb="FF003300"/>
        <rFont val="Arial"/>
        <family val="2"/>
        <charset val="204"/>
      </rPr>
      <t xml:space="preserve">
К=СП*0.85</t>
    </r>
  </si>
  <si>
    <r>
      <t>Установка гильз из стальных труб диаметром: 100 мм (применит.)</t>
    </r>
    <r>
      <rPr>
        <i/>
        <sz val="8"/>
        <color rgb="FF003300"/>
        <rFont val="Arial"/>
        <family val="2"/>
        <charset val="204"/>
      </rPr>
      <t xml:space="preserve">
К=СП*0.85</t>
    </r>
  </si>
  <si>
    <t>01-01-009-14</t>
  </si>
  <si>
    <t>01-02-066-02</t>
  </si>
  <si>
    <t>11.2.13.04-0011</t>
  </si>
  <si>
    <t>Раздел Переустройство хозпитьевого водопровода (В1) на участке В1-1 - В1-1А</t>
  </si>
  <si>
    <t>22-02-003-08</t>
  </si>
  <si>
    <t>01.2.03.03-0002</t>
  </si>
  <si>
    <t>23.1.02.03-0002</t>
  </si>
  <si>
    <t>22-03-002-01</t>
  </si>
  <si>
    <t>24.3.05.01-0011</t>
  </si>
  <si>
    <t>23.8.03.12-0032</t>
  </si>
  <si>
    <t>23.8.03.11-0656</t>
  </si>
  <si>
    <t>29-01-253-01</t>
  </si>
  <si>
    <t>24.3.05.07-0011</t>
  </si>
  <si>
    <t>Раздел Переустройство хозпитьевого водопровода (В1) на участке В1-2 - В1-2А</t>
  </si>
  <si>
    <t>22-01-021-08</t>
  </si>
  <si>
    <t>24.3.03.13-0055</t>
  </si>
  <si>
    <t>22-01-015-03</t>
  </si>
  <si>
    <t>23.5.01.08-0025</t>
  </si>
  <si>
    <t>22-02-003-11</t>
  </si>
  <si>
    <t>22-02-004-11</t>
  </si>
  <si>
    <t>22-05-005-05</t>
  </si>
  <si>
    <t>23.1.02.03-0004</t>
  </si>
  <si>
    <t>24.3.05.01-0003</t>
  </si>
  <si>
    <t>23.8.03.12-0037</t>
  </si>
  <si>
    <t>23.8.03.11-0661</t>
  </si>
  <si>
    <t>29-01-253-03</t>
  </si>
  <si>
    <t>24.3.05.07-0019</t>
  </si>
  <si>
    <t>Раздел Переустройство хозпитьевого водопровода (В1) на участке В1-30 - В1-31</t>
  </si>
  <si>
    <t>Итого по акту:  06-01-02  НВК3 утв..</t>
  </si>
  <si>
    <t>06-01-02  Переустройство хозпитьевого водопровода.НВК3</t>
  </si>
  <si>
    <t>Переустройство хозпитьевого водопровода.НВК3</t>
  </si>
  <si>
    <t>06-01-02</t>
  </si>
  <si>
    <r>
      <t>Разработка грунта в траншеях экскаватором «обратная лопата» с ковшом вместимостью 0,5 (0,5-0,63) м3, в отвал группа грунтов: 2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</si>
  <si>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r>
      <t>Разработка грунта вручную в траншеях глубиной до 2 м без креплений с откосами, группа грунтов: 2/ применит. доработка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</si>
  <si>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r>
      <t>Укладка стальных неразрезных кожухов (футляров) в открытых траншеях диаметром: 400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</si>
  <si>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</si>
  <si>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</si>
  <si>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Протаскивание в футляр полиэтиленовых труб диаметром: 160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</si>
  <si>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основания под трубопроводы: щебеночного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</si>
  <si>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канализационных безнапорных раструбных труб из поливинилхлорида (ПВХ) диаметром: 160 мм/ прим.110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</si>
  <si>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Заделка сальников при проходе труб через фундаменты или стены подвала диаметром: до 200 мм</t>
    </r>
    <r>
      <rPr>
        <i/>
        <sz val="8"/>
        <color rgb="FF003300"/>
        <rFont val="Arial"/>
        <family val="2"/>
        <charset val="204"/>
      </rPr>
      <t xml:space="preserve">
К=СП*0.85</t>
    </r>
  </si>
  <si>
    <t>Раздел Хозбытовая канализация (уч. 10-10А)</t>
  </si>
  <si>
    <t>66-2-4</t>
  </si>
  <si>
    <t>Разборка трубопроводов канализации: из керамических труб диаметром 150 мм</t>
  </si>
  <si>
    <t>Поправка:</t>
  </si>
  <si>
    <t>22-01-015-02</t>
  </si>
  <si>
    <t>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</si>
  <si>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</si>
  <si>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22-02-006-09</t>
  </si>
  <si>
    <t>22-02-005-09</t>
  </si>
  <si>
    <t>22-05-005-02</t>
  </si>
  <si>
    <t>23.1.02.03-0003</t>
  </si>
  <si>
    <t>Кольца центрирующие для труб, диаметр 200 мм / прим. 160</t>
  </si>
  <si>
    <t>Заполнение трубопроводов или межтрубного пространства при трубах в футляре: цементным раствором</t>
  </si>
  <si>
    <t>Раствор готовый кладочный, цементный, М25</t>
  </si>
  <si>
    <t>Раствор готовый кладочный, цементный, М100</t>
  </si>
  <si>
    <t>23-01-001-02</t>
  </si>
  <si>
    <t>23-01-020-01</t>
  </si>
  <si>
    <t>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</si>
  <si>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</si>
  <si>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16-07-006-02</t>
  </si>
  <si>
    <t>24.3.05.07-0015</t>
  </si>
  <si>
    <t>Муфта защитная полиэтиленовая для прохода труб сквозь стену, номинальный наружный диаметр 200 мм</t>
  </si>
  <si>
    <t>Итого по акту:  06-02-01 НВК4 утв..</t>
  </si>
  <si>
    <t>06-02-01 Переустройство хозяйственно-бытовой канализации.НВК4</t>
  </si>
  <si>
    <t>Переустройство хозяйственно-бытовой канализации.НВК4</t>
  </si>
  <si>
    <r>
      <t>Укладка стальных неразрезных кожухов (футляров) в открытых траншеях диаметром: 800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</si>
  <si>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Нанесение весьма усиленной антикоррозионной битумно-резиновой или битумно-полимерной изоляции на стальные трубопроводы диаметром: 800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</si>
  <si>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Протаскивание в футляр полиэтиленовых труб диаметром: 630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</si>
  <si>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Заделка битумом и прядью концов футляра диаметром: 800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</si>
  <si>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трубопроводов канализации из полиэтиленовых труб диаметром: 630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</si>
  <si>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лестниц в существующих тепловых камерах со стенами: бетонными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</si>
  <si>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Установка сборных железобетонных колец горловин колодцев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</si>
  <si>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сборных железобетонных колец горловин колодцев / прим.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</si>
  <si>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люка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</si>
  <si>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Гидроизоляция боковая обмазочная битумная в 2 слоя по выровненной поверхности бутовой кладки, кирпичу, бетону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</si>
  <si>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Раздел Ливневая канализация (колодцы 26-27)</t>
  </si>
  <si>
    <t>Цена Поставщика ООО "Генпоставка"</t>
  </si>
  <si>
    <t>22-01-015-06</t>
  </si>
  <si>
    <t>23.5.01.08-0054</t>
  </si>
  <si>
    <t>22-02-003-14</t>
  </si>
  <si>
    <t>22-05-005-11</t>
  </si>
  <si>
    <t>23.1.02.03-0008</t>
  </si>
  <si>
    <t>22-05-004-05</t>
  </si>
  <si>
    <t>ФУТЛЯР</t>
  </si>
  <si>
    <t>23-01-030-11</t>
  </si>
  <si>
    <t>ООО "НФ Инжиниринг, Счет на оплату № NF-86</t>
  </si>
  <si>
    <t>66-9-2</t>
  </si>
  <si>
    <t>07.5.01.02-0042</t>
  </si>
  <si>
    <t>23-03-008-01</t>
  </si>
  <si>
    <t>05.1.01.09-0042</t>
  </si>
  <si>
    <t>05.1.06.09-0010</t>
  </si>
  <si>
    <t>05.1.06.09-0087</t>
  </si>
  <si>
    <t>23-04-011-01</t>
  </si>
  <si>
    <t>08.1.02.06-0031</t>
  </si>
  <si>
    <t>34-02-016-01</t>
  </si>
  <si>
    <t>98 %</t>
  </si>
  <si>
    <t>22-05-004-03</t>
  </si>
  <si>
    <t>24.3.05.07-0025</t>
  </si>
  <si>
    <t>08-01-003-07</t>
  </si>
  <si>
    <t>58,65 %</t>
  </si>
  <si>
    <t>01.2.03.03-0009</t>
  </si>
  <si>
    <t>01.2.03.05-0010</t>
  </si>
  <si>
    <t>Итого по акту:  06-02-02  НВК5 утв..</t>
  </si>
  <si>
    <t>06-02-02  Переустройство ливневой канализации.НВК5.</t>
  </si>
  <si>
    <t>Переустройство ливневой канализации.НВК5.</t>
  </si>
  <si>
    <r>
      <t>Крепление инвентарными щитами стенок траншей шириной до 2 м в грунтах: неустойчивых и мокрых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</si>
  <si>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Надземная прокладка стальных газопроводов на металлических опорах, диаметр газопровода: 150 мм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ТЗМ)*0,6*1,15; СП*0.85</t>
    </r>
  </si>
  <si>
    <r>
      <t>Монтаж металлических опор высотой: свыше 1 до 2,2 м для надземной прокладки стальных газопроводов диаметром 150 мм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ТЗМ)*0,6*1,15; СП*0.85</t>
    </r>
  </si>
  <si>
    <r>
      <t>Нанесение нормальной антикоррозионной изоляции из полимерных липких лент на стальные трубопроводы диаметром: 250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</si>
  <si>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одиночных полиэтиленовых труб газопроводов в траншею, диаметр газопровода: свыше 280 до 355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</si>
  <si>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Сварка полиэтиленовых труб при помощи соединительных деталей с закладными электронагревателями, диаметр труб: свыше 225 до 315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</si>
  <si>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Заделка битумом и прядью концов футляра диаметром от 200 до 300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</si>
  <si>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Монтаж задвижки стальной с торцами под приварку для надземной установки на стальных газопроводах диаметром: 150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</si>
  <si>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одиночных полиэтиленовых труб газопроводов в траншею, диаметр газопровода: свыше 110 до 225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</si>
  <si>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</si>
  <si>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неразъемного соединения "полиэтилен-сталь" на газопроводе, диаметр газопровода: свыше 110 до 160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</si>
  <si>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Сварка полиэтиленовых труб при помощи соединительных деталей с закладными электронагревателями, диаметр труб: свыше 160 до 225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</si>
  <si>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(Прим.) Покрытие трубы, проложенного в траншее: лентой сигнальной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</si>
  <si>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Устройство контрольной трубки на кожухе перехода газопровода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</si>
  <si>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бетонной подготовки/применит.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</si>
  <si>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неразъемного соединения "полиэтилен-сталь" на газопроводе, диаметр газопровода: до 32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</si>
  <si>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Соединение неразъемное полиэтилен-сталь стандартное размерное отношение SDR11, наружный диаметр 32х32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</si>
  <si>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седловых отводов полиэтиленовых с закладными нагревателями на газопроводе из полиэтиленовых труб диаметром: до 63 мм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</si>
  <si>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Седелка поворотная 360° электросварная без ответной нижней части, ПЭ100, SDR11, диаметр 315х63 мм / прим. 315х32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</si>
  <si>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Установка дополнительных бетонных столбов</t>
    </r>
    <r>
      <rPr>
        <i/>
        <sz val="8"/>
        <color rgb="FF003300"/>
        <rFont val="Arial"/>
        <family val="2"/>
        <charset val="204"/>
      </rPr>
      <t xml:space="preserve">
К=СП*0.85</t>
    </r>
  </si>
  <si>
    <r>
      <t>Столбики сигнальные железобетонные СТ-1, СТ-2</t>
    </r>
    <r>
      <rPr>
        <i/>
        <sz val="8"/>
        <color rgb="FF003300"/>
        <rFont val="Arial"/>
        <family val="2"/>
        <charset val="204"/>
      </rPr>
      <t xml:space="preserve">
К=СП*0.85</t>
    </r>
  </si>
  <si>
    <r>
      <t>Указатель месторасположения трассы кабелей, проложенных в земле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</si>
  <si>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Плакаты предупредительные, путевые сигнальные знаки размер 420х220 мм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</si>
  <si>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Установка металлических столбов высотой до 4 м: с погружением в бетонное основание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</si>
  <si>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Огрунтовка металлических поверхностей за один раз: грунтовкой цинконаполненной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</si>
  <si>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Окраска металлических огрунтованных поверхностей: грунт-краской цинконаполненной однокомпонентной полиуретановой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</si>
  <si>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01-02-066-01</t>
  </si>
  <si>
    <t>24-02-041-05</t>
  </si>
  <si>
    <t>Поправка: Попр.Приказ от 14.07.2022 № 571/пр п.83 табл.2 Попр.Приказ от 07.07.2022 № 557/пр прил.8 табл.2 п.3</t>
  </si>
  <si>
    <t>Поправка:Демонтаж (разборка) сетей инженерно-технического обеспечения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</si>
  <si>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24-02-040-13</t>
  </si>
  <si>
    <t>Погрузка при автомобильных перевозках металлических конструкций массой до 1 т</t>
  </si>
  <si>
    <t>Раздел Монтаж трубопроводов</t>
  </si>
  <si>
    <t>23.5.02.02-0092</t>
  </si>
  <si>
    <t>22-02-008-07</t>
  </si>
  <si>
    <t>01.7.06.03-0002</t>
  </si>
  <si>
    <t>24-02-034-04</t>
  </si>
  <si>
    <t>24.3.03.11-0036</t>
  </si>
  <si>
    <t>24-02-002-11</t>
  </si>
  <si>
    <t>соединение</t>
  </si>
  <si>
    <t>24.3.05.07-0517</t>
  </si>
  <si>
    <t>24-02-004-04</t>
  </si>
  <si>
    <t>24.3.03.13-0050</t>
  </si>
  <si>
    <t>22-05-004-13</t>
  </si>
  <si>
    <t>01.2.01.02-0054</t>
  </si>
  <si>
    <t>04.3.01.09-0019</t>
  </si>
  <si>
    <t>Раствор готовый кладочный, цементный, М400 / 45 кг , расход 225 кг - на  м3</t>
  </si>
  <si>
    <t>24-02-052-04</t>
  </si>
  <si>
    <t>18.1.09.07-0188</t>
  </si>
  <si>
    <t>24-02-034-02</t>
  </si>
  <si>
    <t>24.3.03.11-0030</t>
  </si>
  <si>
    <t>24-02-005-12</t>
  </si>
  <si>
    <t>24.3.05.08-0216</t>
  </si>
  <si>
    <t>24.3.05.08-0228</t>
  </si>
  <si>
    <t>24.3.05.07-0515</t>
  </si>
  <si>
    <t>24-02-010-04</t>
  </si>
  <si>
    <t>23.8.04.08-0014</t>
  </si>
  <si>
    <t>24-02-002-05</t>
  </si>
  <si>
    <t>м08-02-143-05</t>
  </si>
  <si>
    <t>01.7.06.08-0007</t>
  </si>
  <si>
    <t>24-02-081-01</t>
  </si>
  <si>
    <t>установка</t>
  </si>
  <si>
    <t>18.5.08.04-0011</t>
  </si>
  <si>
    <t>18.5.08.04-0001</t>
  </si>
  <si>
    <t>18.5.08.13-0003</t>
  </si>
  <si>
    <t>04.1.01.01-0061</t>
  </si>
  <si>
    <t>24-02-010-01</t>
  </si>
  <si>
    <t>24.3.05.07-0512</t>
  </si>
  <si>
    <t>23.8.04.08-0011</t>
  </si>
  <si>
    <t>24-02-007-01</t>
  </si>
  <si>
    <t>24.3.05.13-0071</t>
  </si>
  <si>
    <t>07-01-055-11</t>
  </si>
  <si>
    <t>62,05 %</t>
  </si>
  <si>
    <t>05.1.02.07-0113</t>
  </si>
  <si>
    <t>м08-02-177-01</t>
  </si>
  <si>
    <t>25.1.06.03-0061</t>
  </si>
  <si>
    <t>09-08-001-01</t>
  </si>
  <si>
    <t>52,7 %</t>
  </si>
  <si>
    <t>07.2.07.11-0002</t>
  </si>
  <si>
    <t>04.1.02.05-0001</t>
  </si>
  <si>
    <t>13-03-002-17</t>
  </si>
  <si>
    <t>94 %</t>
  </si>
  <si>
    <t>43,35 %</t>
  </si>
  <si>
    <t>13-03-004-28</t>
  </si>
  <si>
    <t>Итого по акту:  06-04-01 ГСН утв..</t>
  </si>
  <si>
    <t>06-04-01 Наружные газопроводы. Вынос газопровода среднего давления.</t>
  </si>
  <si>
    <t>Наружные газопроводы. Вынос газопровода среднего давления.</t>
  </si>
  <si>
    <r>
      <t>Устройство круглых сборных железобетонных канализационных колодцев диаметром: 2 м в сухих грунтах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</si>
  <si>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Гидроизоляция боковая обмазочная битумная в 2 слоя по выровненной поверхности бутовой кладки, кирпичу, бетону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</si>
  <si>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Устройство стен и плоских днищ при толщине: до 150 мм прямоугольных сооружений/ стенка рассекатель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</si>
  <si>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Установка закладных деталей весом: до 4 кг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</si>
  <si>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Установка стальных конструкций, остающихся в теле бетона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</si>
  <si>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Огрунтовка металлических поверхностей за один раз: грунтовкой цинконаполненной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</si>
  <si>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Окраска металлических огрунтованных поверхностей: грунт-краской цинконаполненной однокомпонентной полиуретановой (за 2 раза)</t>
    </r>
    <r>
      <rPr>
        <i/>
        <sz val="8"/>
        <color rgb="FF003300"/>
        <rFont val="Arial"/>
        <family val="2"/>
        <charset val="204"/>
      </rPr>
      <t xml:space="preserve">
К=МР*2; (ЭММ, ЗПМ, ОЗП, ТЗ, ТЗМ)*2*1,15; СП*0.85</t>
    </r>
  </si>
  <si>
    <t>Раздел Устройство ливневых сточных вод от трасбордера  (К2)</t>
  </si>
  <si>
    <t>23-03-001-07</t>
  </si>
  <si>
    <t>05.1.01.11-0046</t>
  </si>
  <si>
    <t>05.1.01.09-0071</t>
  </si>
  <si>
    <t>05.1.01.09-0073</t>
  </si>
  <si>
    <t>08.1.02.06-0032</t>
  </si>
  <si>
    <t>07.2.05.01-0032</t>
  </si>
  <si>
    <t>24.3.05.07-0018</t>
  </si>
  <si>
    <t>06-13-001-03</t>
  </si>
  <si>
    <t>04.1.02.02-0009</t>
  </si>
  <si>
    <t>08.4.03.03-0031</t>
  </si>
  <si>
    <t>06-03-004-09</t>
  </si>
  <si>
    <t>08.4.01.02-0013</t>
  </si>
  <si>
    <t>06-03-004-08</t>
  </si>
  <si>
    <t>08.3.01.02-0024</t>
  </si>
  <si>
    <t>08.3.07.01-0060</t>
  </si>
  <si>
    <t>08.3.08.02-0043</t>
  </si>
  <si>
    <t>08.3.05.02-0061</t>
  </si>
  <si>
    <t>Поправка: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</si>
  <si>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Итого по акту:  06-02-03  НВК1 утв..</t>
  </si>
  <si>
    <t>06-02-03  Трубопровод ливневых сточных вод от трансбордера. НВК1</t>
  </si>
  <si>
    <t>Трубопровод ливневых сточных вод от трансбордера. НВК1</t>
  </si>
  <si>
    <r>
      <t>Разработка грунта с перемещением до 10 м бульдозерами мощностью: 79 кВт (108 л.с.),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</si>
  <si>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При перемещении грунта на каждые последующие 10 м добавлять: к расценке 01-01-030-06</t>
    </r>
    <r>
      <rPr>
        <i/>
        <sz val="8"/>
        <color rgb="FF003300"/>
        <rFont val="Arial"/>
        <family val="2"/>
        <charset val="204"/>
      </rPr>
      <t xml:space="preserve">
К=МР*4; (ЭММ, ЗПМ, ТЗМ)*4*1,25*1,15; (ОЗП, ТЗ)*4*1,15*1,15; СП*0.85</t>
    </r>
  </si>
  <si>
    <t>ИНДЕКСЫ ПЕРЕСЧЕТА: МР 13,24</t>
  </si>
  <si>
    <t>Раздел Вертикальная планировка</t>
  </si>
  <si>
    <t>01-01-030-06</t>
  </si>
  <si>
    <t>01-01-030-14</t>
  </si>
  <si>
    <t>Итого по акту:  07-01-01 ГП1 утв..</t>
  </si>
  <si>
    <t>07-01-01 Генеральный план. Трансбордер. ГП1</t>
  </si>
  <si>
    <t>07-01-01</t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</si>
  <si>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71,90 = [704 / 1,2 /  8,16]</t>
    </r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</si>
  <si>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К=1590/1.2/8.16</t>
    </r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</si>
  <si>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</si>
  <si>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r>
      <t>Состав уплотнительный</t>
    </r>
    <r>
      <rPr>
        <i/>
        <sz val="8"/>
        <color rgb="FF003300"/>
        <rFont val="Arial"/>
        <family val="2"/>
        <charset val="204"/>
      </rPr>
      <t xml:space="preserve">
</t>
    </r>
  </si>
  <si>
    <r>
      <t>М0140. Муфта 4ПКТп(б)-1-25/50-Б конц. термоусаж. (1кВ, пласт. из-я, броня) (КВТ Калуга)</t>
    </r>
    <r>
      <rPr>
        <i/>
        <sz val="8"/>
        <color rgb="FF003300"/>
        <rFont val="Arial"/>
        <family val="2"/>
        <charset val="204"/>
      </rPr>
      <t xml:space="preserve">
247,51 = [2 423,6 / 1,2 /  8,16]</t>
    </r>
  </si>
  <si>
    <t>Кабель силовой с алюминиевыми жилами АВВГнг(A)-LS 4х50-1000</t>
  </si>
  <si>
    <t>Скобы анодированные двухлапковые для крепления кабелей, проводов, труб к различным основаниям, СМД 38-40</t>
  </si>
  <si>
    <t>Лента монтажная, тип ЛМ-5</t>
  </si>
  <si>
    <r>
      <t>Сталь арматурная рифленая свариваемая, класс А500С, диаметр 12 мм</t>
    </r>
    <r>
      <rPr>
        <i/>
        <sz val="8"/>
        <color rgb="FF003300"/>
        <rFont val="Arial"/>
        <family val="2"/>
        <charset val="204"/>
      </rPr>
      <t xml:space="preserve">
</t>
    </r>
  </si>
  <si>
    <t>Сталь арматурная рифленая свариваемая, класс А500С, диаметр 8 мм</t>
  </si>
  <si>
    <t>Детали анкерные с резьбой из прямых или гнутых круглых стержней</t>
  </si>
  <si>
    <t>Сталь арматурная рифленая свариваемая, класс А500С, диаметр 16 мм</t>
  </si>
  <si>
    <t>Сталь арматурная рифленая свариваемая, класс А500С, диаметр 12 мм</t>
  </si>
  <si>
    <t>Пена противопожарная, марка "PROMAFOAM-C" (700 мл)</t>
  </si>
  <si>
    <r>
      <t>Оконцеватель термоусаживаемый (капа) ОГТ-5 (66-230)</t>
    </r>
    <r>
      <rPr>
        <i/>
        <sz val="8"/>
        <color rgb="FF003300"/>
        <rFont val="Arial"/>
        <family val="2"/>
        <charset val="204"/>
      </rPr>
      <t xml:space="preserve">
95,38 = [934 / 1,2 /  8,16]</t>
    </r>
  </si>
  <si>
    <r>
      <t>Муфта 3КВТп 10-(25-50)</t>
    </r>
    <r>
      <rPr>
        <i/>
        <sz val="8"/>
        <color rgb="FF003300"/>
        <rFont val="Arial"/>
        <family val="2"/>
        <charset val="204"/>
      </rPr>
      <t xml:space="preserve">
К=МР*1,03*1,012;
148,35 = [1 452,63 / 1,2 /  8,16]</t>
    </r>
  </si>
  <si>
    <r>
      <t>Муфта кабельная 3СТп-10-25/50</t>
    </r>
    <r>
      <rPr>
        <i/>
        <sz val="8"/>
        <color rgb="FF003300"/>
        <rFont val="Arial"/>
        <family val="2"/>
        <charset val="204"/>
      </rPr>
      <t xml:space="preserve">
К=МР*1,03*1,012; 
245,00 = [2 399 / 1,2 /  8,16]</t>
    </r>
  </si>
  <si>
    <t>Хомут металлический с шурупом и резиновым профилем для крепления трубопроводов диаметром: 74-80 мм</t>
  </si>
  <si>
    <t>Рукава металлические, РЗ-Ц-Х, диаметр 60 мм</t>
  </si>
  <si>
    <t>Винты с полукруглой головкой, длина 50 мм</t>
  </si>
  <si>
    <t>Кирпич керамический одинарный, марка 150, размер 250х120х65 мм</t>
  </si>
  <si>
    <t>Кабель силовой с алюминиевыми жилами АСБ 3х50-1000 / Кабель АСБ-6 3х50 (ож)</t>
  </si>
  <si>
    <t>Держатели / кластер</t>
  </si>
  <si>
    <t>Муфта полиэтиленовая для труб дренажных, диаметр 110 мм</t>
  </si>
  <si>
    <t>Трубы муфтовые полиэтиленовые, класс кольцевой жесткости SN8, номинальный наружный диаметр 110 мм / прим.SN12</t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</si>
  <si>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К=МР*1,012; 
99,98 = [979 / 1,2 /  8,16]</t>
    </r>
  </si>
  <si>
    <r>
      <t>Оконцеватель термоусаживаемый (капа) ОГТ-5 (66-230)</t>
    </r>
    <r>
      <rPr>
        <i/>
        <sz val="8"/>
        <color rgb="FF003300"/>
        <rFont val="Arial"/>
        <family val="2"/>
        <charset val="204"/>
      </rPr>
      <t xml:space="preserve">
К=МР*1,03*1,012; 
95,38 = [934 / 1,2 /  8,16]</t>
    </r>
  </si>
  <si>
    <r>
      <t>М0060. Муфта 3СТп-10-70/120 соединит. термоусаж. (10кВ, бум.из-я,броня) (КВТ Калуга)</t>
    </r>
    <r>
      <rPr>
        <i/>
        <sz val="8"/>
        <color rgb="FF003300"/>
        <rFont val="Arial"/>
        <family val="2"/>
        <charset val="204"/>
      </rPr>
      <t xml:space="preserve">
К=МР*1,03*1,012;
996,04 = [9 753,2 / 1,2 /  8,16]</t>
    </r>
  </si>
  <si>
    <r>
      <t>Кабель ААБ-6 3х70</t>
    </r>
    <r>
      <rPr>
        <i/>
        <sz val="8"/>
        <color rgb="FF003300"/>
        <rFont val="Arial"/>
        <family val="2"/>
        <charset val="204"/>
      </rPr>
      <t xml:space="preserve">
К=МР*1,012*1,03; 
81,92 = [802,16 / 1,2 /  8,16]</t>
    </r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</si>
  <si>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К=МР*1,012;
99,98 = [979 / 1,2 /  8,16]</t>
    </r>
  </si>
  <si>
    <r>
      <t>Брус деревянный А4 тип II, пропитка 3-5мм, сечение 160х230</t>
    </r>
    <r>
      <rPr>
        <i/>
        <sz val="8"/>
        <color rgb="FF003300"/>
        <rFont val="Arial"/>
        <family val="2"/>
        <charset val="204"/>
      </rPr>
      <t xml:space="preserve">
К=МР*1,012; 
40 012,25 = [391 800 / 1,2 /  8,16]</t>
    </r>
  </si>
  <si>
    <r>
      <t>Стрелочный перевод тип Р65 марка 1/9 левый, пр.2769.00.000-01</t>
    </r>
    <r>
      <rPr>
        <i/>
        <sz val="8"/>
        <color rgb="FF003300"/>
        <rFont val="Arial"/>
        <family val="2"/>
        <charset val="204"/>
      </rPr>
      <t xml:space="preserve">
К=МР*1,012; 
402 573,53 = [3 942 000 / 1,2 /  8,16]</t>
    </r>
  </si>
  <si>
    <r>
      <t>Стрелочный перевод тип Р65 марка 1/9 правый пр. 2769.00.000</t>
    </r>
    <r>
      <rPr>
        <i/>
        <sz val="8"/>
        <color rgb="FF003300"/>
        <rFont val="Arial"/>
        <family val="2"/>
        <charset val="204"/>
      </rPr>
      <t xml:space="preserve">
К=МР*1,012;
402 573,53 = [3 942 000 / 1,2 /  8,16]</t>
    </r>
  </si>
  <si>
    <r>
      <t>Контррельсовый уголок (с комплектом крепления) СП850 длина 9,3м ПКЖД-65</t>
    </r>
    <r>
      <rPr>
        <i/>
        <sz val="8"/>
        <color rgb="FF003300"/>
        <rFont val="Arial"/>
        <family val="2"/>
        <charset val="204"/>
      </rPr>
      <t xml:space="preserve">
К=МР*1,012;
16 237,75 = [159 000 / 1,2 /  8,16]</t>
    </r>
  </si>
  <si>
    <r>
      <t>Скрепление КД-65 (подкладка КД-65 (1 шт.), болт клеммный М22х75 в сборе (2 шт.), шуруп путевой М24х170 (4 шт.), прокладка ЦП-361 (1 шт.), прокладка ЦП-363 (1 шт.)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</si>
  <si>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Прокладки под подкладку КД65, ЦП361 из смеси РП 101-710</t>
    </r>
    <r>
      <rPr>
        <i/>
        <sz val="8"/>
        <color rgb="FF003300"/>
        <rFont val="Arial"/>
        <family val="2"/>
        <charset val="204"/>
      </rPr>
      <t xml:space="preserve">
</t>
    </r>
  </si>
  <si>
    <r>
      <t>Шурупы путевые, размер 24х170 мм</t>
    </r>
    <r>
      <rPr>
        <i/>
        <sz val="8"/>
        <color rgb="FF003300"/>
        <rFont val="Arial"/>
        <family val="2"/>
        <charset val="204"/>
      </rPr>
      <t xml:space="preserve">
</t>
    </r>
  </si>
  <si>
    <r>
      <t>Болты клеммные для рельсовых скреплений железнодорожного пути с гайками, М22х75 мм</t>
    </r>
    <r>
      <rPr>
        <i/>
        <sz val="8"/>
        <color rgb="FF003300"/>
        <rFont val="Arial"/>
        <family val="2"/>
        <charset val="204"/>
      </rPr>
      <t xml:space="preserve">
</t>
    </r>
  </si>
  <si>
    <r>
      <t>Подкладка раздельного скрепления железнодорожного пути КД-65</t>
    </r>
    <r>
      <rPr>
        <i/>
        <sz val="8"/>
        <color rgb="FF003300"/>
        <rFont val="Arial"/>
        <family val="2"/>
        <charset val="204"/>
      </rPr>
      <t xml:space="preserve">
</t>
    </r>
  </si>
  <si>
    <r>
      <t>Накладка 1Р-65 (194 шт.)</t>
    </r>
    <r>
      <rPr>
        <i/>
        <sz val="8"/>
        <color rgb="FF003300"/>
        <rFont val="Arial"/>
        <family val="2"/>
        <charset val="204"/>
      </rPr>
      <t xml:space="preserve">
К=МР*1,012;
28 084,15 = [275 000 / 1,2 /  8,16]</t>
    </r>
  </si>
  <si>
    <r>
      <t>Шпала деревян. пропит. II тип, пр-во РБ (с доставкой ж/д транспортом до ст.Мытищи код 234808)</t>
    </r>
    <r>
      <rPr>
        <i/>
        <sz val="8"/>
        <color rgb="FF003300"/>
        <rFont val="Arial"/>
        <family val="2"/>
        <charset val="204"/>
      </rPr>
      <t xml:space="preserve">
К=МР*1,012; 
245,10 = [2 400 / 1,2 /  8,16]</t>
    </r>
  </si>
  <si>
    <t>Накладка рельсовая двухголовая 2Р65</t>
  </si>
  <si>
    <r>
      <t>Шпалы деревянные пропитанные, тип I</t>
    </r>
    <r>
      <rPr>
        <i/>
        <sz val="8"/>
        <color rgb="FF003300"/>
        <rFont val="Arial"/>
        <family val="2"/>
        <charset val="204"/>
      </rPr>
      <t xml:space="preserve">
</t>
    </r>
  </si>
  <si>
    <r>
      <t>Рельсы Р-65 НТ260, L-12,5 м (156 шт.)</t>
    </r>
    <r>
      <rPr>
        <i/>
        <sz val="8"/>
        <color rgb="FF003300"/>
        <rFont val="Arial"/>
        <family val="2"/>
        <charset val="204"/>
      </rPr>
      <t xml:space="preserve">
К=МР*1,012; 
16 758,58 = [164 100 / 1,2 /  8,16]</t>
    </r>
  </si>
  <si>
    <t>Рельсы железнодорожные Р-65 категория Т1</t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</si>
  <si>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К=МР*1,012; 
493,16 = [4 829 / 1,2 /  8,16]</t>
    </r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</si>
  <si>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</si>
  <si>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Фасонные части стальные сварные, номинальный диаметр до 800 мм</t>
  </si>
  <si>
    <r>
      <t>Материал рулонный гидроизоляционный изол, резино-битумный, без полимерных добавок</t>
    </r>
    <r>
      <rPr>
        <i/>
        <sz val="8"/>
        <color rgb="FF003300"/>
        <rFont val="Arial"/>
        <family val="2"/>
        <charset val="204"/>
      </rPr>
      <t xml:space="preserve">
</t>
    </r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</si>
  <si>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</si>
  <si>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</si>
  <si>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Муфта защитная полиэтиленовая для прохода труб сквозь стену, номинальный наружный диаметр 110 мм</t>
  </si>
  <si>
    <t>Фланцы стальные плоские приварные из стали ВСт3сп2, ВСт3сп3, номинальное давление 1,0 МПа, номинальный диаметр 100 мм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</si>
  <si>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</si>
  <si>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</si>
  <si>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Кольца центрирующие для труб, диаметр 100 мм</t>
  </si>
  <si>
    <t>Муфта защитная полиэтиленовая для прохода труб сквозь стену, номинальный наружный диаметр 315 мм</t>
  </si>
  <si>
    <t>Фланцы стальные плоские приварные из стали ВСт3сп2, ВСт3сп3, номинальное давление 1,0 МПа, номинальный диаметр 300 мм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</si>
  <si>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</si>
  <si>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Втулка полиэтиленовая под фланец, ПЭ100, стандартное размерное отношение SDR13,6, номинальный наружный диаметр 315 мм</t>
  </si>
  <si>
    <t>Кольца центрирующие для труб, диаметр 300 мм</t>
  </si>
  <si>
    <t>Материал рулонный гидроизоляционный изол, резино-битумный, без полимерных добавок</t>
  </si>
  <si>
    <t>Мастика "Ярославна БПХ-2"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</si>
  <si>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</si>
  <si>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</si>
  <si>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Установка полиэтиленовых фасонных частей: отводов, колен, патрубков, переходов</t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</si>
  <si>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1590/1.2/8.16; </t>
    </r>
  </si>
  <si>
    <t>Щиты из досок, толщина 25 мм</t>
  </si>
  <si>
    <r>
      <t>Щебень известняковый М600 фр. 20/40</t>
    </r>
    <r>
      <rPr>
        <i/>
        <sz val="8"/>
        <color rgb="FF003300"/>
        <rFont val="Arial"/>
        <family val="2"/>
        <charset val="204"/>
      </rPr>
      <t xml:space="preserve">
К=МР*1,012; 
325,21 = [3 184,5 / 1,2 /  8,16]</t>
    </r>
  </si>
  <si>
    <t>Мастика битумная «Еша»</t>
  </si>
  <si>
    <t>Муфта защитная полиэтиленовая для прохода труб сквозь стену, номинальный наружный диаметр 630 мм</t>
  </si>
  <si>
    <t>Люк чугунный тяжелый (ГОСТ 3634-99) марка Т(C250)-В-1-60</t>
  </si>
  <si>
    <t>Плиты перекрытия ПП10-1, бетон B15, объем 0,10 м3, расход арматуры 8,38 кг</t>
  </si>
  <si>
    <t>Плиты перекрытия 2ПП20-2, бетон B15, объем 0,48 м3, расход арматуры 84,49 кг</t>
  </si>
  <si>
    <t>Кольцо опорное КО-6 /бетон B15 (М200), объем 0,02 м3, расход арматуры 1,10 кг</t>
  </si>
  <si>
    <t>Лестницы шахтные</t>
  </si>
  <si>
    <r>
      <t>Труба КОРСИС ПРО DN/OD 630mm SN16 в компл. с растр. и упл.(6м)</t>
    </r>
    <r>
      <rPr>
        <i/>
        <sz val="8"/>
        <color rgb="FF003300"/>
        <rFont val="Arial"/>
        <family val="2"/>
        <charset val="204"/>
      </rPr>
      <t xml:space="preserve">
К=МР/6*1,03*1,012; 
7 180,57 = [70 312,12 / 1,2 /  8,16]</t>
    </r>
  </si>
  <si>
    <t>Кольца центрирующие для труб, диаметр 600 мм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</si>
  <si>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</si>
  <si>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Смеси бетонные тяжелого бетона (БСТ), класс B3,5 (М50)</t>
  </si>
  <si>
    <r>
      <t>Опоры неподвижные из горячекатаных профилей для трубопроводов</t>
    </r>
    <r>
      <rPr>
        <i/>
        <sz val="8"/>
        <color rgb="FF003300"/>
        <rFont val="Arial"/>
        <family val="2"/>
        <charset val="204"/>
      </rPr>
      <t xml:space="preserve">
</t>
    </r>
  </si>
  <si>
    <r>
      <t>Муфта полиэтиленовая электросварная, диаметр 32 мм</t>
    </r>
    <r>
      <rPr>
        <i/>
        <sz val="8"/>
        <color rgb="FF003300"/>
        <rFont val="Arial"/>
        <family val="2"/>
        <charset val="204"/>
      </rPr>
      <t xml:space="preserve">
</t>
    </r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</si>
  <si>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</si>
  <si>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Трубка контрольная</t>
  </si>
  <si>
    <t>Ковер</t>
  </si>
  <si>
    <t>Плита опорная ковера Hawle 3481 диаметром 340 мм</t>
  </si>
  <si>
    <t>Лента сигнальная "Газ" ЛСГ 200</t>
  </si>
  <si>
    <t>Муфта полиэтиленовая электросварная, диаметр 160 мм</t>
  </si>
  <si>
    <t>Соединение неразъемное полиэтилен-сталь стандартное размерное отношение SDR11, наружный диаметр 160х159 мм</t>
  </si>
  <si>
    <t>Отвод литой полиэтиленовый, электросварной 90°, номинальный внутренний диаметр 160 мм</t>
  </si>
  <si>
    <t>Отвод литой полиэтиленовый 45 град., электросварной, диаметр 160 мм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</si>
  <si>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</si>
  <si>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Кран шаровой, номинальное давление 2,5 МПа (25 кгс/см2), номинальный диаметр 150 мм, присоединение к трубопроводу под приварку</t>
  </si>
  <si>
    <t>Битумы нефтяные строительные БН-90/10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</si>
  <si>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</si>
  <si>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Муфта полиэтиленовая электросварная, диаметр 315 мм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</si>
  <si>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</si>
  <si>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Лента поливинилхлоридная для изоляции газонефтепродуктопроводов ПВХ-БК (липкая), толщина 0,4 мм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</si>
  <si>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</si>
  <si>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Прокат толстолистовой горячекатаный в листах, марка стали Ст3, толщина 10-13 мм</t>
  </si>
  <si>
    <t>Сталь угловая равнополочная, марка стали: 18кп, шириной полок 60-100 мм</t>
  </si>
  <si>
    <t>Сталь полосовая: 100х10 мм, марка Ст3сп</t>
  </si>
  <si>
    <t>Двутавры с параллельными гранями полок нормальные «Б», сталь: полуспокойная, № 12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</si>
  <si>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</si>
  <si>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Сталь арматурная, горячекатаная, периодического профиля, класс А-III, диаметр 10 мм</t>
  </si>
  <si>
    <t>Смеси бетонные тяжелого бетона (БСТ) для гидротехнических сооружений на сульфатостойких цементах, класс В25 (М350)</t>
  </si>
  <si>
    <t>Праймер битумный производства «Техно-Николь»</t>
  </si>
  <si>
    <t>Мастика битумная «Еша» применит.</t>
  </si>
  <si>
    <t>Муфта защитная полиэтиленовая для прохода труб сквозь стену, номинальный наружный</t>
  </si>
  <si>
    <t>Ограждения лестничных проемов, лестничные марши, пожарные лестницы</t>
  </si>
  <si>
    <t>Люк чугунный тяжелый (ГОСТ 3634-99) марка Т(C250)-Д-1-60</t>
  </si>
  <si>
    <t>Кольцо стеновое смотровых колодцев КС20.9, бетон B15 (М200), объем 0,59 м3, расход арматуры 19,88 кг</t>
  </si>
  <si>
    <t>Кольцо стеновое смотровых колодцев КС20.6, бетон B15 (М200), объем 0,39 м3, расход арматуры 13,04 кг</t>
  </si>
  <si>
    <t>Плита днища ПН20, бетон B15 (М200), объем 0,59 м3, расход арматуры 79,44 кг</t>
  </si>
  <si>
    <t xml:space="preserve">        </t>
  </si>
  <si>
    <t>расшифровка подписи</t>
  </si>
  <si>
    <t>подпись</t>
  </si>
  <si>
    <t>должность</t>
  </si>
  <si>
    <t>Генподрядчик</t>
  </si>
  <si>
    <t xml:space="preserve">                  Всего с учетом НДС</t>
  </si>
  <si>
    <t xml:space="preserve">      Сумма НДС</t>
  </si>
  <si>
    <t>Итого</t>
  </si>
  <si>
    <t>Всего с НДС 18%:</t>
  </si>
  <si>
    <t>Согласование и услуги 0,15% с НДС</t>
  </si>
  <si>
    <t>НДС 18%</t>
  </si>
  <si>
    <t>Согласование и услуги 0,15%</t>
  </si>
  <si>
    <t>Страхование 0,8% с НДС 18%</t>
  </si>
  <si>
    <t>Страхование 0,8%</t>
  </si>
  <si>
    <t>Прочие с НДС 18%</t>
  </si>
  <si>
    <t>Прочие от СМР</t>
  </si>
  <si>
    <t>Охрана с НДС 18%</t>
  </si>
  <si>
    <t>Охрана</t>
  </si>
  <si>
    <t>04</t>
  </si>
  <si>
    <t>Прочие</t>
  </si>
  <si>
    <t>03</t>
  </si>
  <si>
    <t>в т.ч. оборудование</t>
  </si>
  <si>
    <t>Поставка продукции</t>
  </si>
  <si>
    <t>02</t>
  </si>
  <si>
    <t>Авторский надзор 2,65% с НДС 18%</t>
  </si>
  <si>
    <t>Авторский надзор 2,65%</t>
  </si>
  <si>
    <t>Оборудование с НДС 18%</t>
  </si>
  <si>
    <t>08</t>
  </si>
  <si>
    <t>Всего,с учетом налогов:</t>
  </si>
  <si>
    <t>Налог на добавленную стоимость 20%:</t>
  </si>
  <si>
    <t>Прочие затраты</t>
  </si>
  <si>
    <t>ПНР</t>
  </si>
  <si>
    <t>Оборудование ТБ</t>
  </si>
  <si>
    <t>Оборудование</t>
  </si>
  <si>
    <t>СМР</t>
  </si>
  <si>
    <t>х</t>
  </si>
  <si>
    <t>Всего работ и затрат, включаемых в стоимость работ в том числе:</t>
  </si>
  <si>
    <t>период</t>
  </si>
  <si>
    <t xml:space="preserve">      работ</t>
  </si>
  <si>
    <t>за отчетный</t>
  </si>
  <si>
    <t xml:space="preserve">  проведения</t>
  </si>
  <si>
    <t>порядку</t>
  </si>
  <si>
    <t>в том числе</t>
  </si>
  <si>
    <t xml:space="preserve">    с начала</t>
  </si>
  <si>
    <t>видов работ, оборудования, затрат</t>
  </si>
  <si>
    <t xml:space="preserve">   по</t>
  </si>
  <si>
    <t xml:space="preserve">    Стоимость выполненных работ и затрат,руб.</t>
  </si>
  <si>
    <t xml:space="preserve">  Код</t>
  </si>
  <si>
    <t>Наименование пусковых комплексов, объектов,</t>
  </si>
  <si>
    <t>Номер</t>
  </si>
  <si>
    <t xml:space="preserve">Дата составления   </t>
  </si>
  <si>
    <t xml:space="preserve">Номер документа   </t>
  </si>
  <si>
    <t>МЭ-22/22</t>
  </si>
  <si>
    <t xml:space="preserve">Договор подряда   </t>
  </si>
  <si>
    <t>по ОКДП</t>
  </si>
  <si>
    <t>Вид деятельности</t>
  </si>
  <si>
    <t>Доп. соглашение.</t>
  </si>
  <si>
    <t>Стройка 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</si>
  <si>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</si>
  <si>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от 11.11.99г. № 100</t>
  </si>
  <si>
    <t>Уницированная форма № КС - 3</t>
  </si>
  <si>
    <t>Итого по акту с учетом договорного коэффициента 1,0514</t>
  </si>
  <si>
    <t>всего без НДС с договорным коэффициентом 1,0514</t>
  </si>
  <si>
    <t>Объем в ИД</t>
  </si>
  <si>
    <t>Ссылка</t>
  </si>
  <si>
    <t>Примечание</t>
  </si>
  <si>
    <t>навес 12х8</t>
  </si>
  <si>
    <t>75 склад</t>
  </si>
  <si>
    <t>АОСР 132-23-ВР2/1 от 15.08.2023, п.1</t>
  </si>
  <si>
    <t>АОСР 132-23-ВР2/1 от 15.08.2023, п.2</t>
  </si>
  <si>
    <r>
      <t>Перевозка и утилизация отходов 4-5 класса опасности</t>
    </r>
    <r>
      <rPr>
        <i/>
        <sz val="8"/>
        <color rgb="FFFF0000"/>
        <rFont val="Arial"/>
        <family val="2"/>
        <charset val="204"/>
      </rPr>
      <t xml:space="preserve">
162,38 = [1 590 / 1,2 /  8,16]</t>
    </r>
  </si>
  <si>
    <t>нет в ИД</t>
  </si>
  <si>
    <t>АОСР 132-23-ПОД/Оч.1 от 10.09.2023, п.1</t>
  </si>
  <si>
    <t>Снос здания механического обезвоживания осадков</t>
  </si>
  <si>
    <t>АОСР 132-23-ПОД/Оч.1 от 10.09.2023, п.6</t>
  </si>
  <si>
    <t>АОСР 132-23-ПОД/Оч.1 от 10.09.2023, п.9</t>
  </si>
  <si>
    <t>Ссылка на объем ИД</t>
  </si>
  <si>
    <t>Восстановление щебеночного балласта по СП№40 1/9 и путь №2 на участке т.1-т.3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</si>
  <si>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</si>
  <si>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</si>
  <si>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</si>
  <si>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</si>
  <si>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</si>
  <si>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</si>
  <si>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</si>
  <si>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</si>
  <si>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</si>
  <si>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</si>
  <si>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</si>
  <si>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</si>
  <si>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</si>
  <si>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</si>
  <si>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</si>
  <si>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</si>
  <si>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</si>
  <si>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</si>
  <si>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</si>
  <si>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</si>
  <si>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</si>
  <si>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</si>
  <si>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</si>
  <si>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</si>
  <si>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</si>
  <si>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</si>
  <si>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</si>
  <si>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</si>
  <si>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(17965,11)</t>
  </si>
  <si>
    <t>тыс.руб.</t>
  </si>
  <si>
    <t>в том числе:</t>
  </si>
  <si>
    <t>строительных работ</t>
  </si>
  <si>
    <t>Средства на оплату труда рабочих</t>
  </si>
  <si>
    <t>(77,39)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</si>
  <si>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</si>
  <si>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</si>
  <si>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</si>
  <si>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</si>
  <si>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</si>
  <si>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</si>
  <si>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</si>
  <si>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</si>
  <si>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</si>
  <si>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</si>
  <si>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</si>
  <si>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</si>
  <si>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</si>
  <si>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</si>
  <si>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коэффициенты</t>
  </si>
  <si>
    <t>всего с учетом коэффициентов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</si>
  <si>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</si>
  <si>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</si>
  <si>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</si>
  <si>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</si>
  <si>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</si>
  <si>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</si>
  <si>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</si>
  <si>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</si>
  <si>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</si>
  <si>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</si>
  <si>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</si>
  <si>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</si>
  <si>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</si>
  <si>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М</t>
  </si>
  <si>
    <t>ЗТ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</si>
  <si>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</si>
  <si>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</si>
  <si>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</si>
  <si>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</si>
  <si>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</si>
  <si>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</si>
  <si>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</si>
  <si>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</si>
  <si>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</si>
  <si>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</si>
  <si>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</si>
  <si>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</si>
  <si>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</si>
  <si>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</si>
  <si>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</si>
  <si>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</si>
  <si>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</si>
  <si>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</si>
  <si>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</si>
  <si>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</si>
  <si>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Объем=534,4 / 100</t>
  </si>
  <si>
    <t>ФССЦпг-03-21-01-001</t>
  </si>
  <si>
    <t>1 т груза</t>
  </si>
  <si>
    <t>Объем=173,4*1,81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</si>
  <si>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</si>
  <si>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</si>
  <si>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</si>
  <si>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ФЕР01-01-036-02</t>
  </si>
  <si>
    <t>Планировка площадей бульдозерами мощностью: 79 кВт (108 л.с.)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</si>
  <si>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</si>
  <si>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</si>
  <si>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</si>
  <si>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</si>
  <si>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</si>
  <si>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</si>
  <si>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</si>
  <si>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</si>
  <si>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ФЕР27-04-001-01</t>
  </si>
  <si>
    <t>Устройство подстилающих и выравнивающих слоев оснований: из песка</t>
  </si>
  <si>
    <t>Объем=598,14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</si>
  <si>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</si>
  <si>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</si>
  <si>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</si>
  <si>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</si>
  <si>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Песок карьерный</t>
  </si>
  <si>
    <t>Объем=598,14*1,1</t>
  </si>
  <si>
    <t>Цена=979/1,2/8,16</t>
  </si>
  <si>
    <t xml:space="preserve"> МАТ=1,012 к расх.</t>
  </si>
  <si>
    <t>ФЕР27-04-001-04</t>
  </si>
  <si>
    <t>Устройство подстилающих и выравнивающих слоев оснований: из щебня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</si>
  <si>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</si>
  <si>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</si>
  <si>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</si>
  <si>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</si>
  <si>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</si>
  <si>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</si>
  <si>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</si>
  <si>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</si>
  <si>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</si>
  <si>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</si>
  <si>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</si>
  <si>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</si>
  <si>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</si>
  <si>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</si>
  <si>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</si>
  <si>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</si>
  <si>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</si>
  <si>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</si>
  <si>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</si>
  <si>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</si>
  <si>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</si>
  <si>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</si>
  <si>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</si>
  <si>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</si>
  <si>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</si>
  <si>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</si>
  <si>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</si>
  <si>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</si>
  <si>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</si>
  <si>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</si>
  <si>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</si>
  <si>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</si>
  <si>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</si>
  <si>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</si>
  <si>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</si>
  <si>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</si>
  <si>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</si>
  <si>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</si>
  <si>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</si>
  <si>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</si>
  <si>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</si>
  <si>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</si>
  <si>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</si>
  <si>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</si>
  <si>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(Погрузо-разгрузочные работы)</t>
  </si>
  <si>
    <t>ФССЦпг-01-01-01-015</t>
  </si>
  <si>
    <t>ФССЦпг-03-21-01-002</t>
  </si>
  <si>
    <t>Объем=163,95+45,91</t>
  </si>
  <si>
    <t>ФССЦпг-01-01-02-015</t>
  </si>
  <si>
    <t>ФССЦпг-01-01-02-026</t>
  </si>
  <si>
    <t>ФССЦпг-01-01-01-045</t>
  </si>
  <si>
    <t>ФССЦпг-01-01-01-008</t>
  </si>
  <si>
    <t>ФССЦпг-01-01-01-043</t>
  </si>
  <si>
    <t>Объем=1142,67*0,8</t>
  </si>
  <si>
    <t>ФССЦпг-01-01-01-041</t>
  </si>
  <si>
    <t>Объем=1142,67*0,2</t>
  </si>
  <si>
    <t>Объем=255,36/2,5+68,17/0,6+614,81+20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</si>
  <si>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</si>
  <si>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</si>
  <si>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</si>
  <si>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</si>
  <si>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</si>
  <si>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</si>
  <si>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</si>
  <si>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</si>
  <si>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</si>
  <si>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(Железные дороги)</t>
  </si>
  <si>
    <t>Рельсы Р-65 НТ260, L-12,5 м (156 шт.)</t>
  </si>
  <si>
    <t>Объем=156*0,811</t>
  </si>
  <si>
    <t>Цена=164100/1,2/8,16</t>
  </si>
  <si>
    <t>ЗГСР МАТ=1,012 к расх.</t>
  </si>
  <si>
    <t>ФССЦ-25.1.01.05-0011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</si>
  <si>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</si>
  <si>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</si>
  <si>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</si>
  <si>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</si>
  <si>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</si>
  <si>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</si>
  <si>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</si>
  <si>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</si>
  <si>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</si>
  <si>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</si>
  <si>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</si>
  <si>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</si>
  <si>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38</t>
  </si>
  <si>
    <t>ФССЦ-25.1.06.19-0070</t>
  </si>
  <si>
    <t>Прокладки под подкладку КД65, ЦП361 из смеси РП 101-710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</si>
  <si>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</si>
  <si>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</si>
  <si>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</si>
  <si>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</si>
  <si>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</si>
  <si>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</si>
  <si>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41</t>
  </si>
  <si>
    <t>42</t>
  </si>
  <si>
    <t>Накладка 1Р-65 (48 к-т.) из них 8 к-т (16 шт) ранее разобраные</t>
  </si>
  <si>
    <t>Объем=29,5*40/1000</t>
  </si>
  <si>
    <t>43</t>
  </si>
  <si>
    <t>44</t>
  </si>
  <si>
    <t>45</t>
  </si>
  <si>
    <t>46</t>
  </si>
  <si>
    <t>47</t>
  </si>
  <si>
    <t>48</t>
  </si>
  <si>
    <t>49</t>
  </si>
  <si>
    <t>50</t>
  </si>
  <si>
    <t>Объем=4460-3511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</si>
  <si>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</si>
  <si>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</si>
  <si>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</si>
  <si>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</si>
  <si>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52</t>
  </si>
  <si>
    <t>53</t>
  </si>
  <si>
    <t>Рельсы Р-65 НТ260, L-12,5 м (110 шт.)</t>
  </si>
  <si>
    <t>Объем=110*0,811</t>
  </si>
  <si>
    <t>54</t>
  </si>
  <si>
    <t>ФССЦ-25.1.02.01-0035</t>
  </si>
  <si>
    <t>Шпалы железобетонные Ш1, объем бетона 0,106 м3, расход стали 7,25 кг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</si>
  <si>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</si>
  <si>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</si>
  <si>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</si>
  <si>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</si>
  <si>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56</t>
  </si>
  <si>
    <t>57</t>
  </si>
  <si>
    <t>Накладка 1Р-65 (110 к-т.)</t>
  </si>
  <si>
    <t>Объем=29,5*110/1000</t>
  </si>
  <si>
    <t>58</t>
  </si>
  <si>
    <t>ФССЦ-25.1.04.04-0003</t>
  </si>
  <si>
    <t>Болты для рельсовых стыков железнодорожного пути с гайками, М27х160-180 мм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</si>
  <si>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</si>
  <si>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</si>
  <si>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</si>
  <si>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</si>
  <si>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61</t>
  </si>
  <si>
    <t>ФССЦ-25.1.05.02-0006</t>
  </si>
  <si>
    <t>Подкладка раздельного скрепления железнодорожного пути КБ-65</t>
  </si>
  <si>
    <t>62</t>
  </si>
  <si>
    <t>ФССЦ-25.1.06.19-0051</t>
  </si>
  <si>
    <t>Прокладки повышенной упругости под подкладку КБ, КБ10 ЦП 328 из смеси РП 101-710</t>
  </si>
  <si>
    <t>63</t>
  </si>
  <si>
    <t>ФССЦ-25.1.06.19-0085</t>
  </si>
  <si>
    <t>Прокладки ПБР65х8 ЦП143 (ПБР 65х7 ЦП318) из смеси РП 101-710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</si>
  <si>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</si>
  <si>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</si>
  <si>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</si>
  <si>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</si>
  <si>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65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</si>
  <si>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</si>
  <si>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</si>
  <si>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</si>
  <si>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66</t>
  </si>
  <si>
    <t>ФССЦ-25.1.05.05-0041</t>
  </si>
  <si>
    <t>Рельсы железнодорожные Р-50, категория Т1</t>
  </si>
  <si>
    <t>67</t>
  </si>
  <si>
    <t>68</t>
  </si>
  <si>
    <t>69</t>
  </si>
  <si>
    <t>ФССЦ-25.1.05.01-0004</t>
  </si>
  <si>
    <t>Накладки рельсовые двухголовые Р50</t>
  </si>
  <si>
    <t>70</t>
  </si>
  <si>
    <t>Накладка 1Р-65 (99 шт.)</t>
  </si>
  <si>
    <t>Объем=29,5*99/1000</t>
  </si>
  <si>
    <t>71</t>
  </si>
  <si>
    <t>ФССЦ-25.1.06.19-0073</t>
  </si>
  <si>
    <t>Прокладки под подкладку КД-50 из смеси РП 101-710</t>
  </si>
  <si>
    <t>72</t>
  </si>
  <si>
    <t>73</t>
  </si>
  <si>
    <t>74</t>
  </si>
  <si>
    <t>ФССЦ-25.1.05.02-0007</t>
  </si>
  <si>
    <t>Подкладка раздельного скрепления железнодорожного пути КД-50</t>
  </si>
  <si>
    <t>75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</si>
  <si>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</si>
  <si>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</si>
  <si>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</si>
  <si>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76</t>
  </si>
  <si>
    <t>ФЕР29-03-001-11</t>
  </si>
  <si>
    <t>Укладка контррельсов</t>
  </si>
  <si>
    <t>Объем=31,36/1000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</si>
  <si>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</si>
  <si>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</si>
  <si>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</si>
  <si>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</si>
  <si>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77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</si>
  <si>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</si>
  <si>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</si>
  <si>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</si>
  <si>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78</t>
  </si>
  <si>
    <t>ФССЦ-25.1.03.07-0011</t>
  </si>
  <si>
    <t>Шплинт для путевых работ</t>
  </si>
  <si>
    <t>79</t>
  </si>
  <si>
    <t>ФССЦ-25.1.04.04-0002</t>
  </si>
  <si>
    <t>Болты для рельсовых стыков железнодорожного пути с гайками, М24х150-160 мм</t>
  </si>
  <si>
    <t>80</t>
  </si>
  <si>
    <t>81</t>
  </si>
  <si>
    <t>ФССЦ-25.1.05.06-0001</t>
  </si>
  <si>
    <t>Рельсы контррельсовые РК-50</t>
  </si>
  <si>
    <t>82</t>
  </si>
  <si>
    <t>ФССЦ-26.1.02.04-0004</t>
  </si>
  <si>
    <t>Прокладки под контррельс</t>
  </si>
  <si>
    <t>83</t>
  </si>
  <si>
    <t>ФССЦ-26.1.02.04-0006</t>
  </si>
  <si>
    <t>Прокладки под подкладки удлиненные</t>
  </si>
  <si>
    <t>84</t>
  </si>
  <si>
    <t>Контррельсовый уголок (с комплектом крепления) СП850 длина 9,3м ПКЖД-65</t>
  </si>
  <si>
    <t>комплект</t>
  </si>
  <si>
    <t>Цена=159000/1,2/8,16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</si>
  <si>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</si>
  <si>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</si>
  <si>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</si>
  <si>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</si>
  <si>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</si>
  <si>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</si>
  <si>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</si>
  <si>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87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</si>
  <si>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</si>
  <si>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</si>
  <si>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</si>
  <si>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</si>
  <si>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</si>
  <si>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</si>
  <si>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</si>
  <si>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</si>
  <si>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Стрелочный перевод тип Р65 марка 1/9 правый пр. 2769.00.000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</si>
  <si>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</si>
  <si>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</si>
  <si>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</si>
  <si>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</si>
  <si>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</si>
  <si>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</si>
  <si>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</si>
  <si>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</si>
  <si>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</si>
  <si>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</si>
  <si>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</si>
  <si>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</si>
  <si>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</si>
  <si>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</si>
  <si>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</si>
  <si>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</si>
  <si>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</si>
  <si>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</si>
  <si>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Цена=391800/1,2/8,16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</si>
  <si>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</si>
  <si>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</si>
  <si>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</si>
  <si>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</si>
  <si>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</si>
  <si>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</si>
  <si>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</si>
  <si>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</si>
  <si>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Цена=3327000,00/1,2/8,16</t>
  </si>
  <si>
    <t>101</t>
  </si>
  <si>
    <t>Брус деревянный Б3 тип II, пропитка 3-5мм</t>
  </si>
  <si>
    <t>Цена=348200/1,2/8,16</t>
  </si>
  <si>
    <t>102</t>
  </si>
  <si>
    <t>ФЕР28-01-099-01</t>
  </si>
  <si>
    <t>Устройство упоров тупиковых рельсовых / старогодний</t>
  </si>
  <si>
    <t>103</t>
  </si>
  <si>
    <t>ФССЦ-25.1.05.07-0001</t>
  </si>
  <si>
    <t>Рельсы железнодорожные старогодные</t>
  </si>
  <si>
    <t>104</t>
  </si>
  <si>
    <t>105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</si>
  <si>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</si>
  <si>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</si>
  <si>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</si>
  <si>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</si>
  <si>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107</t>
  </si>
  <si>
    <t>ФССЦ-25.1.01.05-0013</t>
  </si>
  <si>
    <t>Шпалы деревянные пропитанные, тип III</t>
  </si>
  <si>
    <t>108</t>
  </si>
  <si>
    <t>ФССЦ-25.1.03.02-0001</t>
  </si>
  <si>
    <t>Костыли для железных дорог широкой колеи, сечение 16х16 мм, длина 165 мм</t>
  </si>
  <si>
    <t>109</t>
  </si>
  <si>
    <t>110</t>
  </si>
  <si>
    <t>111</t>
  </si>
  <si>
    <t>ФССЦ-25.1.05.02-0002</t>
  </si>
  <si>
    <t>Подкладка костыльного скрепления железнодорожного пути Д-50</t>
  </si>
  <si>
    <t>112</t>
  </si>
  <si>
    <t>113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</si>
  <si>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</si>
  <si>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</si>
  <si>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</si>
  <si>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115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</si>
  <si>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</si>
  <si>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</si>
  <si>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</si>
  <si>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</si>
  <si>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</si>
  <si>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</si>
  <si>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</si>
  <si>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</si>
  <si>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117</t>
  </si>
  <si>
    <t>Объем=(178,2+222,75+213,864)*1,17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</si>
  <si>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</si>
  <si>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</si>
  <si>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</si>
  <si>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</si>
  <si>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119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</si>
  <si>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</si>
  <si>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</si>
  <si>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</si>
  <si>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121</t>
  </si>
  <si>
    <t>Объем=--1283,49</t>
  </si>
  <si>
    <t>122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</si>
  <si>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</si>
  <si>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</si>
  <si>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</si>
  <si>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</si>
  <si>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</si>
  <si>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</si>
  <si>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</si>
  <si>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</si>
  <si>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</si>
  <si>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</si>
  <si>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</si>
  <si>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</si>
  <si>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</si>
  <si>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</si>
  <si>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123</t>
  </si>
  <si>
    <t>ФЕР09-03-012-12</t>
  </si>
  <si>
    <t>Демонтаж опорных стоек для пролетов: до 24 м</t>
  </si>
  <si>
    <t>Объем=0,76+0,68+0,597+0,582+1,136+0,865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</si>
  <si>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</si>
  <si>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</si>
  <si>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</si>
  <si>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</si>
  <si>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</si>
  <si>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</si>
  <si>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</si>
  <si>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</si>
  <si>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</si>
  <si>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125</t>
  </si>
  <si>
    <t>Объем=4,62+6,82</t>
  </si>
  <si>
    <t>126</t>
  </si>
  <si>
    <t>127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</si>
  <si>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</si>
  <si>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</si>
  <si>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</si>
  <si>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</si>
  <si>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</si>
  <si>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</si>
  <si>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</si>
  <si>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</si>
  <si>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</si>
  <si>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</si>
  <si>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</si>
  <si>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</si>
  <si>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130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</si>
  <si>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</si>
  <si>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</si>
  <si>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131</t>
  </si>
  <si>
    <t>Объем=(30+19,2)*2,5*0,2</t>
  </si>
  <si>
    <t>132</t>
  </si>
  <si>
    <t>(Перевозка грузов (грунт, мусор и подобное))</t>
  </si>
  <si>
    <t>Объем=30+19,2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</si>
  <si>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</si>
  <si>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</si>
  <si>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</si>
  <si>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</si>
  <si>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Объем=(26,24+26,24+26,24+26,24+26,24+26,24) / 1000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</si>
  <si>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</si>
  <si>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</si>
  <si>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</si>
  <si>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Объем=(0,5+0,5+0,5+0,5+0,5+0,5) / 100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</si>
  <si>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</si>
  <si>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</si>
  <si>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</si>
  <si>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</si>
  <si>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</si>
  <si>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</si>
  <si>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Объем=(41,5+0,5)*6</t>
  </si>
  <si>
    <t>137</t>
  </si>
  <si>
    <t>ФССЦпг-01-01-01-039</t>
  </si>
  <si>
    <t>Объем=7,9+7,9+7,9+7,9+7,9+7,9</t>
  </si>
  <si>
    <t>138</t>
  </si>
  <si>
    <t>Объем=(41,5+0,5+7,9)*6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</si>
  <si>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</si>
  <si>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</si>
  <si>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</si>
  <si>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Объем=(31,1+31,1+31,1+31,1+31,1+31,1) / 1000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</si>
  <si>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</si>
  <si>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</si>
  <si>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</si>
  <si>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</si>
  <si>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</si>
  <si>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</si>
  <si>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</si>
  <si>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</si>
  <si>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>Итоги по смете:</t>
  </si>
  <si>
    <t xml:space="preserve">  ВСЕГО </t>
  </si>
  <si>
    <t xml:space="preserve">  ВСЕГО по смете</t>
  </si>
  <si>
    <t xml:space="preserve">Итого </t>
  </si>
  <si>
    <t>Повышающий договорной коэффициент-1,05136042</t>
  </si>
  <si>
    <t>ВСЕГО по смете</t>
  </si>
  <si>
    <t>ВСЕГО по смете с НДС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</si>
  <si>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</si>
  <si>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</si>
  <si>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</si>
  <si>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</si>
  <si>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</si>
  <si>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</si>
  <si>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</si>
  <si>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131-23-ПЖ-10 от 20.09.23-411,6</t>
  </si>
  <si>
    <t>131-23-ПЖ-10 от 20.09.23-41,2</t>
  </si>
  <si>
    <t>131-23-ПЖ-14 от 30.09.23-СП40-1/9
131-23-ПЖ-16 от 05.10.23-СП42-1/9
131-23-ПЖ-17 от 07.10.23-СП41-1/9</t>
  </si>
  <si>
    <t>131-23-ПЖ-17 от 07.10.23-СП41-1/9</t>
  </si>
  <si>
    <t xml:space="preserve">131-23-ПЖ-16 от 05.10.23-СП42-1/9
</t>
  </si>
  <si>
    <t>131-23-ПЖ-01</t>
  </si>
  <si>
    <t>131-23-ПЖ-02</t>
  </si>
  <si>
    <t>131-23-ПЖ-03</t>
  </si>
  <si>
    <t>131-23-ПЖ-04</t>
  </si>
  <si>
    <t>132-23-ПЖ-07</t>
  </si>
  <si>
    <t>132-23-ПЖ-08</t>
  </si>
  <si>
    <t>132-23-ПЖ-09</t>
  </si>
  <si>
    <t>132-23-ПЖ-10</t>
  </si>
  <si>
    <t>132-23-ПЖ-10.1</t>
  </si>
  <si>
    <t>132-23-ПЖ-11</t>
  </si>
  <si>
    <t>132-23-ПЖ-12</t>
  </si>
  <si>
    <t>132-23-ПЖ-13</t>
  </si>
  <si>
    <t>132-23-ПЖ-14</t>
  </si>
  <si>
    <t>132-23-ПЖ-15</t>
  </si>
  <si>
    <t>132-23-ПЖ-16</t>
  </si>
  <si>
    <t>132-23-ПЖ-17</t>
  </si>
  <si>
    <t>132-23-ПЖ-18</t>
  </si>
  <si>
    <t>Демонтаж ж/д пути № 19 от т.1 до т.10</t>
  </si>
  <si>
    <t xml:space="preserve">Демонтаж ж/д пути №23 от т.1 до т.15 </t>
  </si>
  <si>
    <t xml:space="preserve">Демонтаж ж/д пути №2 на участке т.1-т.2, демонтаж стрелочного перевода СП№8 1/9 на участке т.3-т.4, демонтаж ж/д </t>
  </si>
  <si>
    <t>Разборка существующего балласта на участках т.1-т.5, т.6-т.7</t>
  </si>
  <si>
    <t>Восстановление щебеночного балласта по СП№42 1/9 на участке т.1-т.2</t>
  </si>
  <si>
    <t>Восстановление щебеночного балласта по СП№41 1/9 на участке т.1-т.2</t>
  </si>
  <si>
    <t>Разработка грунта под проектируемый железнодорожный путь №1 на участке т.1-т.2</t>
  </si>
  <si>
    <t>Планировка поверхности под проектируемый железнодорожный путь №1 на участке т.1-т.2</t>
  </si>
  <si>
    <t>Укладка геотекстиля шириной 3м в котлован под проектируемый железнодорожный путь №1 (т.1-т.2,т.3-т.4)</t>
  </si>
  <si>
    <t>Засыпка песком в траншее под проектируемый железнодорожный путь №1 (т.1-т.2, т.3-т.4)</t>
  </si>
  <si>
    <t>Засыпка щебнем в траншее под проектируемый железнодорожный путь №1 (т.1-т.2, т.3-т.4)</t>
  </si>
  <si>
    <t>Устройство стрелочного перевода СП№40 1/9 на деревянных брусьях на участке т.1-т.2</t>
  </si>
  <si>
    <t>Устройство новой рельсошпальной решетки на деревянных шпалах пути №2 на участке т.1-т.2</t>
  </si>
  <si>
    <t>Устройство стрелочного перевода СП№42 1/9 на деревянных брусьях на участке т.1-т.2</t>
  </si>
  <si>
    <t>Устройство стрелочного перевода СП№41 1/9 на деревянных брусьях на участке т.1-т.2</t>
  </si>
  <si>
    <t>Устройство новой рельсошпальной решетки на железобетонных шпалах пути №1 на участке т.1-т.2,т.3-т.4</t>
  </si>
  <si>
    <t>132-23-ПЖ-19</t>
  </si>
  <si>
    <t>132-23-ПЖ-20</t>
  </si>
  <si>
    <t>132-23-ПЖ-21</t>
  </si>
  <si>
    <t>132-23-ПЖ-22</t>
  </si>
  <si>
    <t>132-23-ПЖ-23</t>
  </si>
  <si>
    <t>132-23-ПЖ-24</t>
  </si>
  <si>
    <t>132-23-ПЖ-25</t>
  </si>
  <si>
    <t>132-23-ПЖ-26</t>
  </si>
  <si>
    <t>132-23-ПЖ-27</t>
  </si>
  <si>
    <t>132-23-ПЖ-28</t>
  </si>
  <si>
    <t>132-23-ПЖ-29</t>
  </si>
  <si>
    <t>132-23-ПЖ-30</t>
  </si>
  <si>
    <t>132-23-ПЖ-31</t>
  </si>
  <si>
    <t>132-23-ПЖ-32</t>
  </si>
  <si>
    <t>132-23-ПЖ-33</t>
  </si>
  <si>
    <t>132-23-ПЖ-34</t>
  </si>
  <si>
    <t>132-23-ПЖ-35</t>
  </si>
  <si>
    <t>132-23-ПЖ-36</t>
  </si>
  <si>
    <t>Дата</t>
  </si>
  <si>
    <t>Выполненные работы</t>
  </si>
  <si>
    <t>Демонтаж стрелочного перевода СП№8 1/9 на деревянных брусьях на участке т.1-т.2.</t>
  </si>
  <si>
    <t>Демонтаж железнодорожного пути № 1 на железобетонных шпалах на участке т.1-т.3</t>
  </si>
  <si>
    <t>Демонтаж железнодорожного пути № 1 на железобетонных шпалах на участке т.1-т.2, т.3-т.4.</t>
  </si>
  <si>
    <t>Разборка существующего балласта на участках т.1-т.2, т.3-т.4.</t>
  </si>
  <si>
    <t>Восстановление щебеночного балласта под путь №2 на участке т.1-т.2</t>
  </si>
  <si>
    <t>Разработка грунта под проектируемый стрелочный перевод СП40 1/9 (т.1-т.5)</t>
  </si>
  <si>
    <t>Разработка грунта под проектируемый железнодорожный путь №1 (т.1-т.2, т.3-т.4)</t>
  </si>
  <si>
    <t>Планировка поверхности под проектируемый железнодорожный путь №1 (т.1-т.2)</t>
  </si>
  <si>
    <t>Разработка грунта под проектируемый стрелочный перевод СП42 1/9 (т.1-т.5)</t>
  </si>
  <si>
    <t>Укладка геотекстиля шириной 3м в котлован под проектируемый стрелочный перевод СП40 1/9 (т.1-т.5)</t>
  </si>
  <si>
    <t>Укладка геотекстиля шириной 3м в котлован под проектируемый железнодорожный путь №1 (т.1-т.4, т.5-т.8)</t>
  </si>
  <si>
    <t>Засыпка песком в траншее под проектируемый стрелочный перевод СП40 1/9 (т.1-т.5)</t>
  </si>
  <si>
    <t>Засыпка песком в траншее под проектируемый железнодорожный путь №1 (т.1-т.4, т.5-т.8)</t>
  </si>
  <si>
    <t>Засыпка песком в траншее под проектируемый стрелочный перевод СП42 1/9 (т.1-т.5)</t>
  </si>
  <si>
    <t>Засыпка щебнем в траншее под проектируемый стрелочный перевод СП40 1/9 (т.1-т.5)</t>
  </si>
  <si>
    <t>Засыпка щебнем в траншее под проектируемый железнодорожный путь №1 (т.1-т.4, т.5-т.8)</t>
  </si>
  <si>
    <t>Засыпка щебнем в траншее под проектируемый стрелочный перевод СП42 1/9 (т.1-т.5)</t>
  </si>
  <si>
    <t>ПЖ-7 вкл в себя</t>
  </si>
  <si>
    <t>ПЖ-10</t>
  </si>
  <si>
    <t>ПЖ-11</t>
  </si>
  <si>
    <t>ПЖ-10.1</t>
  </si>
  <si>
    <t>ПЖ-13</t>
  </si>
  <si>
    <t>Задвоения</t>
  </si>
  <si>
    <t>131-23-ГСН-01 от 28.08.23
прил.1 в ИТОГО</t>
  </si>
  <si>
    <t>не было, нет в ид</t>
  </si>
  <si>
    <t>Талоны предоставим</t>
  </si>
  <si>
    <t>131-23-ГСН-02 от 31.08.23
прил.1 в ИТОГО</t>
  </si>
  <si>
    <t>1822,25+56,36</t>
  </si>
  <si>
    <t>131-23-ГСН-03 от 12.09.23
прил.1 лист-2</t>
  </si>
  <si>
    <t>24,48+35,28</t>
  </si>
  <si>
    <t>мат+2%</t>
  </si>
  <si>
    <t>131-23-ГСН-05 от 15.09.23
прил.1 в ИТОГО</t>
  </si>
  <si>
    <t>не выполнялось, нет ид</t>
  </si>
  <si>
    <t>см. п.2</t>
  </si>
  <si>
    <t>см. п.2 КС</t>
  </si>
  <si>
    <t>51,72+38,78+101,22+16,6+23,93</t>
  </si>
  <si>
    <t>131-23-ГСН-04 от 14.09.23
все где песок</t>
  </si>
  <si>
    <t>131-23-ГСН-04 от 14.09.23
прил-1</t>
  </si>
  <si>
    <t>см. п.7+п.8 КС + 10%</t>
  </si>
  <si>
    <t>131-23-ГСН-03 от 12.09.23
прил-1, лист-1</t>
  </si>
  <si>
    <t>см. п.31 КС, кратно 12</t>
  </si>
  <si>
    <t>131-23-ГСН-03 от 12.09.23
прил-1, лист-2</t>
  </si>
  <si>
    <t>2 футляра</t>
  </si>
  <si>
    <t>8+12</t>
  </si>
  <si>
    <t>131-23-ГСН-03 от 12.09.23
прил-1, лист-2 п.3</t>
  </si>
  <si>
    <r>
      <t>Механическая резка полиэтиленовых труб, диаметр труб: свыше 160 до 225 мм</t>
    </r>
    <r>
      <rPr>
        <i/>
        <sz val="8"/>
        <color rgb="FFFF0000"/>
        <rFont val="Arial"/>
        <family val="2"/>
        <charset val="204"/>
      </rPr>
      <t xml:space="preserve">
К=(ЭММ, ЗПМ, ТЗМ)*1,25*1,15; (ОЗП, ТЗ)*1,15*1,15; СП*0.85</t>
    </r>
  </si>
  <si>
    <t>х/з посчитано как 6 сварок с обрезкой 2 концов и 4 конца футляров</t>
  </si>
  <si>
    <t>нет ИД</t>
  </si>
  <si>
    <t>131-23-НК4-01 от 11.08.23, прил.1</t>
  </si>
  <si>
    <t>131-23-НК4-02 от 14.08.23, прил.1</t>
  </si>
  <si>
    <t>с кф 1,1</t>
  </si>
  <si>
    <t>см. п.23</t>
  </si>
  <si>
    <t>131-23-НК4-03 от 15.08.23, прил.1</t>
  </si>
  <si>
    <t>труба 160 !!!!</t>
  </si>
  <si>
    <t>см. п.12</t>
  </si>
  <si>
    <t>см. п. 20</t>
  </si>
  <si>
    <t>131-23-НК4-03 от 15.08.23, прил.2</t>
  </si>
  <si>
    <t>в паспорте: укомплектовано муфтой и упл/кольцами</t>
  </si>
  <si>
    <t>131-23-НК4-04 от 14.08.23, прил.1</t>
  </si>
  <si>
    <t>см. п.9</t>
  </si>
  <si>
    <t>88,69x0,95</t>
  </si>
  <si>
    <t>131-23-НК4-05 от 18.08.23, прил.1</t>
  </si>
  <si>
    <t>88,69x0,05</t>
  </si>
  <si>
    <t>131-23-НВК5-01 от 21.09.23, прил.1</t>
  </si>
  <si>
    <t>131-23-НВК5-03 от 21.09.23, прил.1</t>
  </si>
  <si>
    <t>с Кф 1,1</t>
  </si>
  <si>
    <t>см. п.14</t>
  </si>
  <si>
    <t>131-23-НВК5-04 от 22.09.23, прил.1</t>
  </si>
  <si>
    <t>с кф 1,01</t>
  </si>
  <si>
    <t>см. п.16</t>
  </si>
  <si>
    <t>см. п. 7</t>
  </si>
  <si>
    <t>с кф. 1,01</t>
  </si>
  <si>
    <t>131-23-НВК5-04 от 22.09.23, прил.5</t>
  </si>
  <si>
    <t>см. п. 9</t>
  </si>
  <si>
    <t>131-23-НВК5-04 от 22.09.23, прил.1, п.4</t>
  </si>
  <si>
    <t>131-23-НВК5-04 от 22.09.23, прил.1, п.3</t>
  </si>
  <si>
    <t>смесью цементной</t>
  </si>
  <si>
    <r>
      <t>Пробивка отверстий в колодцах и коробках железобетонных</t>
    </r>
    <r>
      <rPr>
        <i/>
        <sz val="8"/>
        <color rgb="FFFF0000"/>
        <rFont val="Arial"/>
        <family val="2"/>
        <charset val="204"/>
      </rPr>
      <t xml:space="preserve">
К=(ЭММ, ЗПМ, ТЗМ)*1,25*1,15; (ОЗП, ТЗ)*1,15*1,15; СП*0.85</t>
    </r>
  </si>
  <si>
    <t>по факту врезки 2шт</t>
  </si>
  <si>
    <r>
      <t>Заделка битумом и прядью концов футляра диаметром: 600 мм  / прим установка защитной муфты</t>
    </r>
    <r>
      <rPr>
        <i/>
        <sz val="8"/>
        <rFont val="Arial"/>
        <family val="2"/>
        <charset val="204"/>
      </rPr>
      <t xml:space="preserve">
К=(ЭММ, ЗПМ, ТЗМ)*1,25*1,15; (ОЗП, ТЗ)*1,15*1,15; СП*0.85</t>
    </r>
  </si>
  <si>
    <t>131-23-НВК5-05 от 24.09.23, прил.1</t>
  </si>
  <si>
    <t>см. п.4</t>
  </si>
  <si>
    <t>все в утилизацию</t>
  </si>
  <si>
    <r>
      <t>Разработка грунта с погрузкой на автомобили-самосвалы экскаваторами с ковшом вместимостью: 0,5 (0,5-0,63) м3, группа грунтов 2</t>
    </r>
    <r>
      <rPr>
        <i/>
        <sz val="8"/>
        <rFont val="Arial"/>
        <family val="2"/>
        <charset val="204"/>
      </rPr>
      <t xml:space="preserve">
К=(ЭММ, ЗПМ, ТЗМ)*1,2*1,25*1,15; (ОЗП, ТЗ)*1,2*1,15*1,15; СП*0.85</t>
    </r>
  </si>
  <si>
    <r>
      <t>Разработка грунта в траншеях экскаватором «обратная лопата» с ковшом вместимостью 0,5 (0,5-0,63) м3, в отвал группа грунтов: 2</t>
    </r>
    <r>
      <rPr>
        <i/>
        <sz val="8"/>
        <rFont val="Arial"/>
        <family val="2"/>
        <charset val="204"/>
      </rPr>
      <t xml:space="preserve">
К=(ЭММ, ЗПМ, ТЗМ)*1,2*1,25*1,15; (ОЗП, ТЗ)*1,2*1,15*1,15; СП*0.85</t>
    </r>
  </si>
  <si>
    <r>
      <t>Перевозка и утилизация отходов 4-5 класса опасности</t>
    </r>
    <r>
      <rPr>
        <i/>
        <sz val="8"/>
        <color rgb="FFFF0000"/>
        <rFont val="Arial"/>
        <family val="2"/>
        <charset val="204"/>
      </rPr>
      <t xml:space="preserve">
194,85 = [1 590 /  8,16]</t>
    </r>
  </si>
  <si>
    <t>ид на утилизацию нет, талоны есть</t>
  </si>
  <si>
    <t>99,91-88,69(обр. засыпки)</t>
  </si>
  <si>
    <t>131-23-ПЖ-19 от 19.09.23</t>
  </si>
  <si>
    <t>СП8</t>
  </si>
  <si>
    <t>131-23-ПЖ-20 от 20.09.23 - 31,035+8,27
131-23-ПЖ-21 от 20.09.23 - 95+31,035</t>
  </si>
  <si>
    <t>131-23-ПЖ-12 от 23.09.23 - 82,3м3</t>
  </si>
  <si>
    <t>131-23-ПЖ-07 от 14.09.23-80,46м3
131-23-ПЖ-08 от 16.09.23-37,7м3
131-23-ПЖ-09 от 19.09.23-37,7м3
131-23-ПЖ-13 от 24.09.23-144,06м3</t>
  </si>
  <si>
    <t>131-23-ПЖ-15 от 03.10.23</t>
  </si>
  <si>
    <t>131-23-ПЖ-15 от 03.10.23 - 73шт</t>
  </si>
  <si>
    <t>65кг-1м</t>
  </si>
  <si>
    <t>131-23-ПЖ-15 от 03.10.23 - 5148кг</t>
  </si>
  <si>
    <t>29,5кг/шт</t>
  </si>
  <si>
    <t>131-23-ПЖ-15 от 03.10.23 - 20шт</t>
  </si>
  <si>
    <t>нет ид</t>
  </si>
  <si>
    <t>см.п.10</t>
  </si>
  <si>
    <t>см.п.12</t>
  </si>
  <si>
    <t>с кф. 1,26</t>
  </si>
  <si>
    <t>нет ид, талонами можно подьтвердить</t>
  </si>
  <si>
    <t>нет ИД, забракована техзаказчиком</t>
  </si>
  <si>
    <t>нет данных, замечания к весу изделий у техзаказчика, если это пересчитывается грандсметой пусть Настя пересчитат</t>
  </si>
  <si>
    <t>вывоз подписан, на разработку нужно делать ИД</t>
  </si>
  <si>
    <r>
      <t>Кабель до 35 кВ по установленным конструкциям и лоткам с креплением по всей длине, масса 1 м кабеля: до 2 кг</t>
    </r>
    <r>
      <rPr>
        <i/>
        <sz val="8"/>
        <color rgb="FFFF0000"/>
        <rFont val="Arial"/>
        <family val="2"/>
        <charset val="204"/>
      </rPr>
      <t xml:space="preserve">
К=(ЭММ, ЗПМ, ОЗП, ТЗ, ТЗМ)*1,15</t>
    </r>
  </si>
  <si>
    <t>по факту по проложенным кронштейнам(лоткам)</t>
  </si>
  <si>
    <t>131-23-ЭС1-02 от 11.08.23, 293,71+67,24</t>
  </si>
  <si>
    <t>кабель не закупался</t>
  </si>
  <si>
    <t>Порубочный билет</t>
  </si>
  <si>
    <r>
      <t>Валка деревьев с корня без корчевки пня мягколиственных и твердолиственных пород (кроме породы тополь) при диаметре ствола: до 48 см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</si>
  <si>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Корчевка пней твердых пород вручную с засыпкой ям от корчевки в городских условиях, диаметр пня: до 45 см</t>
    </r>
    <r>
      <rPr>
        <i/>
        <sz val="8"/>
        <rFont val="Arial"/>
        <family val="2"/>
        <charset val="204"/>
      </rPr>
      <t xml:space="preserve">
К=(ЭММ, ЗПМ, ОЗП, ТЗ, ТЗМ)*1,15</t>
    </r>
  </si>
  <si>
    <r>
      <t>Установка железобетонных оград из панелей длиной: 4 м (Демонтаж железобетонных оград из панелей длиной: 4 м)</t>
    </r>
    <r>
      <rPr>
        <i/>
        <sz val="8"/>
        <rFont val="Arial"/>
        <family val="2"/>
        <charset val="204"/>
      </rPr>
      <t xml:space="preserve">
К=МР*0; (ЭММ, ЗПМ, ОЗП, ТЗ, ТЗМ)*0,8*1,15</t>
    </r>
  </si>
  <si>
    <t>навес 24х4</t>
  </si>
  <si>
    <r>
      <t>Перевозка и утилизация отходов 4-5 класса опасности</t>
    </r>
    <r>
      <rPr>
        <i/>
        <sz val="8"/>
        <rFont val="Arial"/>
        <family val="2"/>
        <charset val="204"/>
      </rPr>
      <t xml:space="preserve">
162,38 = [1 590 / 1,2 /  8,16]</t>
    </r>
  </si>
  <si>
    <t>Акт вывоза</t>
  </si>
  <si>
    <t>п.20+21 80%</t>
  </si>
  <si>
    <t>п.20+21 20%</t>
  </si>
  <si>
    <t>см. п.25+26 20%</t>
  </si>
  <si>
    <t>см. п.25+26 80%</t>
  </si>
  <si>
    <t>Снос здания очистных сооружений 23х6</t>
  </si>
  <si>
    <t>см. п.32+33 80%</t>
  </si>
  <si>
    <t>см. п.32+33 20%</t>
  </si>
  <si>
    <t>Демонтаж ж/б резервуара</t>
  </si>
  <si>
    <t>АОСР 132-23-ПОД/Оч.1 от 10.09.2023, п.8</t>
  </si>
  <si>
    <t>АОСР 132-23-ПОД/Оч.1 от 10.09.2023, п.4</t>
  </si>
  <si>
    <t>АОСР 132-23-ПОД/Оч.1 от 10.09.2023, п.7</t>
  </si>
  <si>
    <t>п.42 80%</t>
  </si>
  <si>
    <t>п.42 20%</t>
  </si>
  <si>
    <t>прочие</t>
  </si>
  <si>
    <t>АОСР132-23-ПОД/1, прил-1, ИЧ лист 1</t>
  </si>
  <si>
    <t>в ИД 1548,72 х 0,05 = 77,44м3</t>
  </si>
  <si>
    <t>в ИД общее 139,4 на п.6+7</t>
  </si>
  <si>
    <t>в ИД 61,5, будет исправлено</t>
  </si>
  <si>
    <t>1548,72*0,04+77,44+154,87</t>
  </si>
  <si>
    <t>АОСР132-23-ПОД/1, прил-1, ИЧ лист 2</t>
  </si>
  <si>
    <t>к ИД приложены талоны</t>
  </si>
  <si>
    <t>в ИД 12+8,60</t>
  </si>
  <si>
    <t>в ИД 252+12+8,6</t>
  </si>
  <si>
    <t>приложены талоны</t>
  </si>
  <si>
    <t>АОСР132-23-ПОД/1, прил-1, ИЧ лист 3</t>
  </si>
  <si>
    <t>п.1 - 13шт</t>
  </si>
  <si>
    <t>АОСР132-23-ПОД/1, прил-1, ИЧ лист 4</t>
  </si>
  <si>
    <t>22шт</t>
  </si>
  <si>
    <t>АОСР132-23-ПОД/1, прил-1, ИЧ лист 3 + лист 4</t>
  </si>
  <si>
    <t>3,975+1,3+0,971+5,533+0,22</t>
  </si>
  <si>
    <t>АОСР132-23-ПОД/1, прил-1, ИЧ лист  5, п.4</t>
  </si>
  <si>
    <t>АОСР132-23-ПОД/1, прил-1, ИЧ лист 5, п.1</t>
  </si>
  <si>
    <t>АОСР132-23-ПОД/1, прил-1, ИЧ лист 6, п.1</t>
  </si>
  <si>
    <t>АОСР132-23-ПОД/1, прил-1, ИЧ лист 6, п.9</t>
  </si>
  <si>
    <t>АОСР132-23-ПОД/1, прил-1, ИЧ лист 6, п.11</t>
  </si>
  <si>
    <t>АОСР132-23-ПОД/1, прил-1, ИЧ лист 6, п.8</t>
  </si>
  <si>
    <t>АОСР132-23-ПОД/1, прил-1, ИЧ лист 6, п.4+5+6</t>
  </si>
  <si>
    <t>АОСР132-23-ПОД/1, прил-1, ИЧ лист 6, п.10</t>
  </si>
  <si>
    <t>АОСР132-23-ПОД/2, прил-1</t>
  </si>
  <si>
    <t>см. п.74 80%</t>
  </si>
  <si>
    <t>см. п.74 20%</t>
  </si>
  <si>
    <t>см. п.74, талоны</t>
  </si>
  <si>
    <t>3,4+17,66</t>
  </si>
  <si>
    <t>АОСР132-23-ПОД/1, прил-1, ИЧ лист  6, п.3, лист 3, п.6</t>
  </si>
  <si>
    <t>см. п. 35</t>
  </si>
  <si>
    <t>см. п. 35, талоны</t>
  </si>
  <si>
    <t>в ид нет, резали колонны</t>
  </si>
  <si>
    <t>АОСР132-23-ПОД/1, прил-1, ИЧ лист 6, п.2</t>
  </si>
  <si>
    <t>208,35/0,24</t>
  </si>
  <si>
    <t>см. п. 70, талоны</t>
  </si>
  <si>
    <t>см. п. 70 80%</t>
  </si>
  <si>
    <t>см. п. 70 20%</t>
  </si>
  <si>
    <t>п.31</t>
  </si>
  <si>
    <t>п.30</t>
  </si>
  <si>
    <t>п.30+31</t>
  </si>
  <si>
    <t>п.47</t>
  </si>
  <si>
    <t>п.47, талоны</t>
  </si>
  <si>
    <t>п.50</t>
  </si>
  <si>
    <t>АОСР132-23-ПОД/1, прил-1, ИЧ лист 5, п.2</t>
  </si>
  <si>
    <t>п.39+40</t>
  </si>
  <si>
    <t>п.39+40, талоны</t>
  </si>
  <si>
    <t>п.64+65+66</t>
  </si>
  <si>
    <t>п.60</t>
  </si>
  <si>
    <t>п.21+22</t>
  </si>
  <si>
    <t>талоны</t>
  </si>
  <si>
    <t>п.60, талоны</t>
  </si>
  <si>
    <t>п.54</t>
  </si>
  <si>
    <t>п.54, талоны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</si>
</sst>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-* #,##0.00\ _₽_-;\-* #,##0.00\ _₽_-;_-* &quot;-&quot;??\ _₽_-;_-@_-"/>
    <numFmt numFmtId="165" formatCode="0.000000"/>
    <numFmt numFmtId="166" formatCode="General;\-General;"/>
    <numFmt numFmtId="167" formatCode="_-* #,##0\ _₽_-;\-* #,##0\ _₽_-;_-* &quot;-&quot;??\ _₽_-;_-@_-"/>
    <numFmt numFmtId="168" formatCode="0.000"/>
    <numFmt numFmtId="169" formatCode="#,##0.00\ _₽"/>
    <numFmt numFmtId="170" formatCode="_-* #,##0.00_р_._-;\-* #,##0.00_р_._-;_-* &quot;-&quot;??_р_._-;_-@_-"/>
    <numFmt numFmtId="171" formatCode="_-* #,##0&quot;р.&quot;_-;\-* #,##0&quot;р.&quot;_-;_-* &quot;-&quot;&quot;р.&quot;_-;_-@_-"/>
    <numFmt numFmtId="172" formatCode="#,##0.000"/>
    <numFmt numFmtId="173" formatCode="#,##0.000000"/>
    <numFmt numFmtId="174" formatCode="#,##0.00000"/>
    <numFmt numFmtId="175" formatCode="#,##0.0000"/>
    <numFmt numFmtId="176" formatCode="0.0000000"/>
    <numFmt numFmtId="177" formatCode="#,##0.0"/>
    <numFmt numFmtId="178" formatCode="dd&quot;.&quot;mm&quot;.&quot;yyyy"/>
    <numFmt numFmtId="179" formatCode="#,##0.00;[Red]\-\ #,##0.00"/>
    <numFmt numFmtId="180" formatCode="#,##0.00####;[Red]\-\ #,##0.00####"/>
    <numFmt numFmtId="181" formatCode="#,##0_р_."/>
    <numFmt numFmtId="182" formatCode="#,##0.00_р_."/>
    <numFmt numFmtId="183" formatCode="#,##0.00_ ;\-#,##0.00\ "/>
    <numFmt numFmtId="184" formatCode="#,##0.00&quot;р.&quot;;\-#,##0.00&quot;р.&quot;"/>
    <numFmt numFmtId="185" formatCode="[$-F800]dddd\,\ mmmm\ dd\,\ yyyy"/>
    <numFmt numFmtId="186" formatCode="0.0"/>
    <numFmt numFmtId="187" formatCode="0.00000"/>
    <numFmt numFmtId="188" formatCode="0.0000"/>
    <numFmt numFmtId="189" formatCode="#,##0.00_ ;[Red]\-#,##0.00\ "/>
  </numFmts>
  <fonts count="10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Verdana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2"/>
      <color rgb="FFFF0000"/>
      <name val="Verdana"/>
      <family val="2"/>
      <charset val="204"/>
    </font>
    <font>
      <sz val="12"/>
      <name val="Verdana"/>
      <family val="2"/>
      <charset val="204"/>
    </font>
    <font>
      <u/>
      <sz val="12"/>
      <color rgb="FFFF0000"/>
      <name val="Verdana"/>
      <family val="2"/>
      <charset val="204"/>
    </font>
    <font>
      <u/>
      <sz val="12"/>
      <color theme="1"/>
      <name val="Verdana"/>
      <family val="2"/>
      <charset val="204"/>
    </font>
    <font>
      <u/>
      <sz val="12"/>
      <name val="Verdana"/>
      <family val="2"/>
      <charset val="204"/>
    </font>
    <font>
      <b/>
      <sz val="12"/>
      <name val="Verdana"/>
      <family val="2"/>
      <charset val="204"/>
    </font>
    <font>
      <sz val="12"/>
      <color rgb="FF000000"/>
      <name val="Verdana"/>
      <family val="2"/>
      <charset val="204"/>
    </font>
    <font>
      <sz val="16"/>
      <color theme="1"/>
      <name val="Verdana"/>
      <family val="2"/>
      <charset val="204"/>
    </font>
    <font>
      <sz val="16"/>
      <name val="Verdana"/>
      <family val="2"/>
      <charset val="204"/>
    </font>
    <font>
      <b/>
      <sz val="16"/>
      <name val="Verdana"/>
      <family val="2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b/>
      <sz val="14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9"/>
      <name val="Tahoma"/>
      <family val="2"/>
      <charset val="204"/>
    </font>
    <font>
      <sz val="10"/>
      <name val="Tahoma"/>
      <family val="2"/>
      <charset val="204"/>
    </font>
    <font>
      <sz val="9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rgb="FF003300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3300"/>
      <name val="Arial"/>
      <family val="2"/>
      <charset val="204"/>
    </font>
    <font>
      <b/>
      <i/>
      <sz val="8"/>
      <color rgb="FF0033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6"/>
      <name val="Arial"/>
      <family val="2"/>
      <charset val="204"/>
    </font>
    <font>
      <sz val="10"/>
      <name val="Arial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sz val="11"/>
      <name val="Arial"/>
      <family val="2"/>
      <charset val="204"/>
    </font>
    <font>
      <u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sz val="11"/>
      <name val="Calibri"/>
      <charset val="1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Calibri"/>
      <charset val="204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7030A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9"/>
      <color rgb="FF7030A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4">
    <xf numFmtId="0" fontId="0" fillId="0" borderId="0"/>
    <xf numFmtId="0" fontId="5" fillId="0" borderId="0"/>
    <xf numFmtId="0" fontId="5" fillId="0" borderId="0"/>
    <xf numFmtId="0" fontId="7" fillId="0" borderId="0">
      <alignment vertical="top"/>
      <protection locked="0"/>
    </xf>
    <xf numFmtId="0" fontId="6" fillId="0" borderId="0">
      <alignment horizontal="right" vertical="top" wrapText="1"/>
    </xf>
    <xf numFmtId="0" fontId="6" fillId="0" borderId="9" applyFill="0" applyProtection="0">
      <alignment horizontal="center"/>
    </xf>
    <xf numFmtId="0" fontId="5" fillId="0" borderId="0"/>
    <xf numFmtId="0" fontId="10" fillId="0" borderId="0"/>
    <xf numFmtId="0" fontId="11" fillId="0" borderId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/>
    <xf numFmtId="0" fontId="4" fillId="0" borderId="0"/>
    <xf numFmtId="0" fontId="17" fillId="0" borderId="0"/>
    <xf numFmtId="0" fontId="17" fillId="0" borderId="0"/>
    <xf numFmtId="0" fontId="11" fillId="0" borderId="0" applyProtection="0"/>
    <xf numFmtId="0" fontId="6" fillId="0" borderId="0">
      <alignment horizont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3" fillId="0" borderId="0"/>
    <xf numFmtId="0" fontId="2" fillId="0" borderId="0"/>
    <xf numFmtId="0" fontId="28" fillId="0" borderId="9" applyBorder="0" applyAlignment="0">
      <alignment horizontal="center" wrapText="1"/>
    </xf>
    <xf numFmtId="0" fontId="6" fillId="0" borderId="0">
      <alignment horizontal="left" vertical="top"/>
    </xf>
    <xf numFmtId="0" fontId="1" fillId="0" borderId="0"/>
    <xf numFmtId="164" fontId="56" fillId="0" borderId="0" applyFont="0" applyFill="0" applyBorder="0" applyAlignment="0" applyProtection="0"/>
    <xf numFmtId="0" fontId="57" fillId="0" borderId="0"/>
    <xf numFmtId="0" fontId="28" fillId="0" borderId="0"/>
    <xf numFmtId="0" fontId="68" fillId="0" borderId="0"/>
    <xf numFmtId="0" fontId="11" fillId="0" borderId="0"/>
    <xf numFmtId="170" fontId="11" fillId="0" borderId="0" applyFont="0" applyFill="0" applyBorder="0" applyAlignment="0" applyProtection="0"/>
    <xf numFmtId="0" fontId="71" fillId="0" borderId="0"/>
    <xf numFmtId="0" fontId="28" fillId="0" borderId="0"/>
    <xf numFmtId="0" fontId="84" fillId="0" borderId="0"/>
    <xf numFmtId="0" fontId="83" fillId="0" borderId="0"/>
  </cellStyleXfs>
  <cellXfs count="1244">
    <xf numFmtId="0" fontId="0" fillId="0" borderId="0" xfId="0"/>
    <xf numFmtId="0" fontId="6" fillId="0" borderId="0" xfId="2" applyFont="1"/>
    <xf numFmtId="49" fontId="6" fillId="0" borderId="0" xfId="3" applyNumberFormat="1" applyFont="1" applyAlignment="1">
      <alignment horizontal="right" vertical="top"/>
      <protection locked="0"/>
    </xf>
    <xf numFmtId="49" fontId="6" fillId="0" borderId="10" xfId="3" applyNumberFormat="1" applyFont="1" applyBorder="1" applyAlignment="1">
      <protection locked="0"/>
    </xf>
    <xf numFmtId="0" fontId="6" fillId="0" borderId="0" xfId="5" applyBorder="1">
      <alignment horizontal="center"/>
    </xf>
    <xf numFmtId="0" fontId="6" fillId="0" borderId="0" xfId="3" applyFont="1" applyAlignment="1" applyProtection="1"/>
    <xf numFmtId="0" fontId="6" fillId="0" borderId="0" xfId="3" applyFont="1" applyAlignment="1" applyProtection="1">
      <alignment horizontal="left"/>
    </xf>
    <xf numFmtId="49" fontId="9" fillId="0" borderId="0" xfId="3" applyNumberFormat="1" applyFont="1" applyAlignment="1">
      <alignment horizontal="center" vertical="top"/>
      <protection locked="0"/>
    </xf>
    <xf numFmtId="0" fontId="6" fillId="0" borderId="0" xfId="4">
      <alignment horizontal="right" vertical="top" wrapText="1"/>
    </xf>
    <xf numFmtId="0" fontId="6" fillId="0" borderId="0" xfId="3" applyFont="1" applyAlignment="1" applyProtection="1">
      <alignment horizontal="left" vertical="top"/>
    </xf>
    <xf numFmtId="166" fontId="6" fillId="0" borderId="0" xfId="3" applyNumberFormat="1" applyFont="1" applyAlignment="1">
      <alignment horizontal="left" vertical="top" wrapText="1"/>
      <protection locked="0"/>
    </xf>
    <xf numFmtId="49" fontId="6" fillId="0" borderId="0" xfId="3" applyNumberFormat="1" applyFont="1" applyAlignment="1">
      <alignment horizontal="left" vertical="top"/>
      <protection locked="0"/>
    </xf>
    <xf numFmtId="49" fontId="6" fillId="0" borderId="10" xfId="3" applyNumberFormat="1" applyFont="1" applyBorder="1">
      <alignment vertical="top"/>
      <protection locked="0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>
      <alignment horizontal="center" vertical="top"/>
    </xf>
    <xf numFmtId="0" fontId="6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 wrapText="1"/>
    </xf>
    <xf numFmtId="0" fontId="6" fillId="0" borderId="0" xfId="2" applyFont="1" applyAlignment="1">
      <alignment horizontal="right" vertical="top" wrapText="1"/>
    </xf>
    <xf numFmtId="0" fontId="6" fillId="0" borderId="0" xfId="6" applyFont="1"/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right"/>
    </xf>
    <xf numFmtId="0" fontId="6" fillId="2" borderId="0" xfId="2" applyFont="1" applyFill="1"/>
    <xf numFmtId="0" fontId="6" fillId="2" borderId="5" xfId="2" applyFont="1" applyFill="1" applyBorder="1"/>
    <xf numFmtId="0" fontId="6" fillId="0" borderId="5" xfId="2" applyFont="1" applyBorder="1"/>
    <xf numFmtId="0" fontId="9" fillId="0" borderId="5" xfId="2" applyFont="1" applyBorder="1" applyAlignment="1">
      <alignment horizont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/>
    <xf numFmtId="49" fontId="6" fillId="0" borderId="9" xfId="2" applyNumberFormat="1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8" fillId="0" borderId="0" xfId="2" applyFont="1" applyAlignment="1">
      <alignment horizontal="center"/>
    </xf>
    <xf numFmtId="14" fontId="6" fillId="0" borderId="9" xfId="7" applyNumberFormat="1" applyFont="1" applyBorder="1" applyAlignment="1">
      <alignment horizontal="center"/>
    </xf>
    <xf numFmtId="0" fontId="6" fillId="0" borderId="0" xfId="8" applyFont="1"/>
    <xf numFmtId="0" fontId="6" fillId="0" borderId="0" xfId="8" applyFont="1" applyAlignment="1">
      <alignment horizontal="center" vertical="top"/>
    </xf>
    <xf numFmtId="0" fontId="6" fillId="0" borderId="0" xfId="8" applyFont="1" applyAlignment="1">
      <alignment horizontal="left" vertical="top" wrapText="1"/>
    </xf>
    <xf numFmtId="0" fontId="6" fillId="0" borderId="0" xfId="8" applyFont="1" applyAlignment="1">
      <alignment horizontal="center" vertical="top" wrapText="1"/>
    </xf>
    <xf numFmtId="0" fontId="6" fillId="0" borderId="0" xfId="8" applyFont="1" applyAlignment="1">
      <alignment horizontal="right" vertical="top"/>
    </xf>
    <xf numFmtId="0" fontId="6" fillId="0" borderId="9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9" xfId="8" applyFont="1" applyBorder="1" applyAlignment="1">
      <alignment horizontal="center"/>
    </xf>
    <xf numFmtId="49" fontId="6" fillId="0" borderId="15" xfId="8" applyNumberFormat="1" applyFont="1" applyBorder="1" applyAlignment="1">
      <alignment horizontal="center" vertical="top" wrapText="1"/>
    </xf>
    <xf numFmtId="49" fontId="6" fillId="0" borderId="13" xfId="8" applyNumberFormat="1" applyFont="1" applyBorder="1" applyAlignment="1">
      <alignment horizontal="center" vertical="top" wrapText="1"/>
    </xf>
    <xf numFmtId="0" fontId="6" fillId="0" borderId="13" xfId="8" applyFont="1" applyBorder="1" applyAlignment="1">
      <alignment horizontal="left" vertical="top" wrapText="1"/>
    </xf>
    <xf numFmtId="0" fontId="6" fillId="0" borderId="13" xfId="8" applyFont="1" applyBorder="1" applyAlignment="1">
      <alignment horizontal="center" vertical="top" wrapText="1"/>
    </xf>
    <xf numFmtId="0" fontId="6" fillId="0" borderId="13" xfId="8" applyFont="1" applyBorder="1" applyAlignment="1">
      <alignment horizontal="right" vertical="top"/>
    </xf>
    <xf numFmtId="0" fontId="6" fillId="0" borderId="13" xfId="8" applyFont="1" applyBorder="1" applyAlignment="1">
      <alignment horizontal="right" vertical="top" wrapText="1"/>
    </xf>
    <xf numFmtId="49" fontId="9" fillId="0" borderId="15" xfId="8" applyNumberFormat="1" applyFont="1" applyBorder="1" applyAlignment="1">
      <alignment horizontal="center" vertical="top"/>
    </xf>
    <xf numFmtId="49" fontId="9" fillId="0" borderId="13" xfId="8" applyNumberFormat="1" applyFont="1" applyBorder="1" applyAlignment="1">
      <alignment horizontal="center" vertical="top"/>
    </xf>
    <xf numFmtId="0" fontId="9" fillId="0" borderId="13" xfId="8" applyFont="1" applyBorder="1" applyAlignment="1">
      <alignment horizontal="left" vertical="top" wrapText="1"/>
    </xf>
    <xf numFmtId="0" fontId="9" fillId="0" borderId="13" xfId="8" applyFont="1" applyBorder="1" applyAlignment="1">
      <alignment horizontal="center" vertical="top"/>
    </xf>
    <xf numFmtId="0" fontId="9" fillId="0" borderId="13" xfId="8" applyFont="1" applyBorder="1" applyAlignment="1">
      <alignment horizontal="right" vertical="top" wrapText="1"/>
    </xf>
    <xf numFmtId="0" fontId="9" fillId="0" borderId="13" xfId="8" applyFont="1" applyBorder="1" applyAlignment="1">
      <alignment horizontal="right" vertical="top"/>
    </xf>
    <xf numFmtId="0" fontId="8" fillId="0" borderId="13" xfId="8" applyFont="1" applyBorder="1" applyAlignment="1">
      <alignment horizontal="right" vertical="top" wrapText="1"/>
    </xf>
    <xf numFmtId="0" fontId="8" fillId="0" borderId="13" xfId="8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 wrapText="1"/>
    </xf>
    <xf numFmtId="0" fontId="8" fillId="0" borderId="13" xfId="2" applyFont="1" applyBorder="1" applyAlignment="1">
      <alignment horizontal="right" vertical="top"/>
    </xf>
    <xf numFmtId="167" fontId="8" fillId="0" borderId="13" xfId="10" applyNumberFormat="1" applyFont="1" applyFill="1" applyBorder="1" applyAlignment="1" applyProtection="1">
      <alignment horizontal="right" vertical="top" wrapText="1"/>
    </xf>
    <xf numFmtId="167" fontId="8" fillId="0" borderId="13" xfId="2" applyNumberFormat="1" applyFont="1" applyBorder="1" applyAlignment="1">
      <alignment horizontal="right" vertical="top" wrapText="1"/>
    </xf>
    <xf numFmtId="164" fontId="8" fillId="0" borderId="13" xfId="10" applyFont="1" applyFill="1" applyBorder="1" applyAlignment="1" applyProtection="1">
      <alignment horizontal="right" vertical="top" wrapText="1"/>
    </xf>
    <xf numFmtId="49" fontId="6" fillId="0" borderId="0" xfId="2" applyNumberFormat="1" applyFont="1" applyAlignment="1">
      <alignment horizontal="center" vertical="top"/>
    </xf>
    <xf numFmtId="0" fontId="6" fillId="2" borderId="0" xfId="2" applyFont="1" applyFill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right" vertical="top"/>
    </xf>
    <xf numFmtId="0" fontId="6" fillId="2" borderId="0" xfId="2" applyFont="1" applyFill="1" applyAlignment="1">
      <alignment horizontal="right" vertical="top" wrapText="1"/>
    </xf>
    <xf numFmtId="49" fontId="6" fillId="2" borderId="10" xfId="3" applyNumberFormat="1" applyFont="1" applyFill="1" applyBorder="1" applyAlignment="1">
      <protection locked="0"/>
    </xf>
    <xf numFmtId="0" fontId="6" fillId="2" borderId="0" xfId="3" applyFont="1" applyFill="1" applyAlignment="1" applyProtection="1">
      <alignment horizontal="left"/>
    </xf>
    <xf numFmtId="49" fontId="6" fillId="2" borderId="0" xfId="3" applyNumberFormat="1" applyFont="1" applyFill="1" applyAlignment="1">
      <alignment horizontal="left" vertical="top"/>
      <protection locked="0"/>
    </xf>
    <xf numFmtId="0" fontId="6" fillId="0" borderId="0" xfId="2" applyFont="1" applyAlignment="1">
      <alignment horizontal="left"/>
    </xf>
    <xf numFmtId="0" fontId="6" fillId="2" borderId="0" xfId="2" applyFont="1" applyFill="1" applyAlignment="1">
      <alignment horizontal="left"/>
    </xf>
    <xf numFmtId="49" fontId="6" fillId="2" borderId="10" xfId="3" applyNumberFormat="1" applyFont="1" applyFill="1" applyBorder="1">
      <alignment vertical="top"/>
      <protection locked="0"/>
    </xf>
    <xf numFmtId="0" fontId="6" fillId="0" borderId="10" xfId="2" applyFont="1" applyBorder="1"/>
    <xf numFmtId="0" fontId="6" fillId="2" borderId="0" xfId="3" applyFont="1" applyFill="1" applyAlignment="1" applyProtection="1"/>
    <xf numFmtId="0" fontId="12" fillId="0" borderId="0" xfId="2" applyFont="1"/>
    <xf numFmtId="0" fontId="13" fillId="0" borderId="0" xfId="2" applyFont="1"/>
    <xf numFmtId="0" fontId="14" fillId="2" borderId="0" xfId="12" applyFont="1" applyFill="1"/>
    <xf numFmtId="0" fontId="15" fillId="2" borderId="0" xfId="12" applyFont="1" applyFill="1" applyAlignment="1">
      <alignment horizontal="center" vertical="center"/>
    </xf>
    <xf numFmtId="0" fontId="16" fillId="2" borderId="0" xfId="12" applyFont="1" applyFill="1"/>
    <xf numFmtId="0" fontId="16" fillId="0" borderId="0" xfId="12" applyFont="1"/>
    <xf numFmtId="0" fontId="18" fillId="2" borderId="0" xfId="13" applyFont="1" applyFill="1" applyAlignment="1">
      <alignment vertical="center"/>
    </xf>
    <xf numFmtId="0" fontId="15" fillId="2" borderId="0" xfId="13" applyFont="1" applyFill="1" applyAlignment="1">
      <alignment horizontal="center" vertical="center"/>
    </xf>
    <xf numFmtId="0" fontId="20" fillId="2" borderId="0" xfId="13" applyFont="1" applyFill="1" applyAlignment="1">
      <alignment vertical="top"/>
    </xf>
    <xf numFmtId="0" fontId="18" fillId="2" borderId="0" xfId="13" applyFont="1" applyFill="1" applyAlignment="1">
      <alignment vertical="center" wrapText="1"/>
    </xf>
    <xf numFmtId="0" fontId="14" fillId="2" borderId="0" xfId="14" applyFont="1" applyFill="1"/>
    <xf numFmtId="0" fontId="15" fillId="2" borderId="0" xfId="13" applyFont="1" applyFill="1" applyAlignment="1">
      <alignment horizontal="center" vertical="center" wrapText="1"/>
    </xf>
    <xf numFmtId="0" fontId="16" fillId="2" borderId="0" xfId="13" applyFont="1" applyFill="1" applyAlignment="1">
      <alignment vertical="center" wrapText="1"/>
    </xf>
    <xf numFmtId="0" fontId="21" fillId="2" borderId="0" xfId="13" applyFont="1" applyFill="1" applyAlignment="1">
      <alignment horizontal="center" vertical="center"/>
    </xf>
    <xf numFmtId="0" fontId="22" fillId="2" borderId="0" xfId="13" applyFont="1" applyFill="1" applyAlignment="1">
      <alignment vertical="center"/>
    </xf>
    <xf numFmtId="0" fontId="14" fillId="2" borderId="0" xfId="14" applyFont="1" applyFill="1" applyAlignment="1">
      <alignment horizontal="center"/>
    </xf>
    <xf numFmtId="0" fontId="14" fillId="0" borderId="9" xfId="12" applyFont="1" applyBorder="1" applyAlignment="1">
      <alignment horizontal="center" vertical="center"/>
    </xf>
    <xf numFmtId="0" fontId="15" fillId="0" borderId="16" xfId="12" applyFont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center"/>
    </xf>
    <xf numFmtId="4" fontId="15" fillId="0" borderId="0" xfId="12" applyNumberFormat="1" applyFont="1" applyAlignment="1">
      <alignment horizontal="center" vertical="center"/>
    </xf>
    <xf numFmtId="4" fontId="16" fillId="0" borderId="0" xfId="12" applyNumberFormat="1" applyFont="1"/>
    <xf numFmtId="0" fontId="20" fillId="2" borderId="17" xfId="12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 wrapText="1"/>
    </xf>
    <xf numFmtId="0" fontId="20" fillId="2" borderId="17" xfId="12" applyFont="1" applyFill="1" applyBorder="1" applyAlignment="1">
      <alignment horizontal="left" vertical="center" wrapText="1"/>
    </xf>
    <xf numFmtId="3" fontId="20" fillId="2" borderId="17" xfId="12" applyNumberFormat="1" applyFont="1" applyFill="1" applyBorder="1" applyAlignment="1">
      <alignment horizontal="center" vertical="center"/>
    </xf>
    <xf numFmtId="4" fontId="20" fillId="2" borderId="17" xfId="12" applyNumberFormat="1" applyFont="1" applyFill="1" applyBorder="1" applyAlignment="1">
      <alignment horizontal="center" vertical="center"/>
    </xf>
    <xf numFmtId="4" fontId="18" fillId="2" borderId="17" xfId="12" applyNumberFormat="1" applyFont="1" applyFill="1" applyBorder="1" applyAlignment="1">
      <alignment horizontal="center" vertical="center"/>
    </xf>
    <xf numFmtId="0" fontId="14" fillId="2" borderId="15" xfId="12" applyFont="1" applyFill="1" applyBorder="1"/>
    <xf numFmtId="0" fontId="19" fillId="2" borderId="15" xfId="12" applyFont="1" applyFill="1" applyBorder="1" applyAlignment="1">
      <alignment horizontal="center" vertical="center"/>
    </xf>
    <xf numFmtId="4" fontId="19" fillId="2" borderId="15" xfId="12" applyNumberFormat="1" applyFont="1" applyFill="1" applyBorder="1" applyAlignment="1">
      <alignment horizontal="center" vertical="center"/>
    </xf>
    <xf numFmtId="4" fontId="23" fillId="0" borderId="0" xfId="12" applyNumberFormat="1" applyFont="1"/>
    <xf numFmtId="0" fontId="15" fillId="0" borderId="0" xfId="12" applyFont="1" applyAlignment="1">
      <alignment horizontal="center" vertical="center"/>
    </xf>
    <xf numFmtId="4" fontId="14" fillId="2" borderId="0" xfId="12" applyNumberFormat="1" applyFont="1" applyFill="1"/>
    <xf numFmtId="4" fontId="15" fillId="2" borderId="0" xfId="12" applyNumberFormat="1" applyFont="1" applyFill="1" applyAlignment="1">
      <alignment horizontal="center" vertical="center"/>
    </xf>
    <xf numFmtId="4" fontId="23" fillId="2" borderId="0" xfId="12" applyNumberFormat="1" applyFont="1" applyFill="1"/>
    <xf numFmtId="0" fontId="14" fillId="0" borderId="0" xfId="12" applyFont="1"/>
    <xf numFmtId="0" fontId="6" fillId="2" borderId="0" xfId="12" applyFont="1" applyFill="1" applyAlignment="1">
      <alignment horizontal="right" wrapText="1"/>
    </xf>
    <xf numFmtId="0" fontId="24" fillId="2" borderId="0" xfId="12" applyFont="1" applyFill="1"/>
    <xf numFmtId="0" fontId="6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vertical="top" wrapText="1"/>
    </xf>
    <xf numFmtId="0" fontId="20" fillId="2" borderId="0" xfId="15" applyFont="1" applyFill="1" applyAlignment="1">
      <alignment horizontal="left"/>
    </xf>
    <xf numFmtId="0" fontId="20" fillId="2" borderId="0" xfId="12" applyFont="1" applyFill="1" applyAlignment="1">
      <alignment vertical="top" wrapText="1"/>
    </xf>
    <xf numFmtId="49" fontId="6" fillId="2" borderId="0" xfId="12" applyNumberFormat="1" applyFont="1" applyFill="1" applyAlignment="1">
      <alignment horizontal="center" vertical="top" wrapText="1"/>
    </xf>
    <xf numFmtId="0" fontId="20" fillId="2" borderId="10" xfId="12" applyFont="1" applyFill="1" applyBorder="1" applyAlignment="1">
      <alignment vertical="top" wrapText="1"/>
    </xf>
    <xf numFmtId="0" fontId="20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0" xfId="15" applyFont="1" applyFill="1" applyAlignment="1">
      <alignment horizontal="left" vertical="center"/>
    </xf>
    <xf numFmtId="49" fontId="6" fillId="2" borderId="0" xfId="12" applyNumberFormat="1" applyFont="1" applyFill="1" applyAlignment="1">
      <alignment horizontal="center" vertical="center" wrapText="1"/>
    </xf>
    <xf numFmtId="0" fontId="20" fillId="2" borderId="10" xfId="12" applyFont="1" applyFill="1" applyBorder="1" applyAlignment="1">
      <alignment horizontal="left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center" vertical="center" wrapText="1"/>
    </xf>
    <xf numFmtId="0" fontId="20" fillId="2" borderId="2" xfId="12" applyFont="1" applyFill="1" applyBorder="1" applyAlignment="1">
      <alignment horizontal="left" vertical="top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0" xfId="16" applyFont="1" applyFill="1" applyAlignment="1">
      <alignment horizontal="left"/>
    </xf>
    <xf numFmtId="0" fontId="25" fillId="2" borderId="0" xfId="12" applyFont="1" applyFill="1" applyAlignment="1">
      <alignment vertical="top" wrapText="1"/>
    </xf>
    <xf numFmtId="0" fontId="20" fillId="2" borderId="1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/>
    </xf>
    <xf numFmtId="49" fontId="18" fillId="2" borderId="9" xfId="12" applyNumberFormat="1" applyFont="1" applyFill="1" applyBorder="1" applyAlignment="1">
      <alignment horizontal="center" vertical="center" wrapText="1"/>
    </xf>
    <xf numFmtId="0" fontId="18" fillId="2" borderId="9" xfId="12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center" vertical="center" wrapText="1"/>
    </xf>
    <xf numFmtId="0" fontId="20" fillId="2" borderId="9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 wrapText="1"/>
    </xf>
    <xf numFmtId="0" fontId="6" fillId="2" borderId="0" xfId="12" applyFont="1" applyFill="1"/>
    <xf numFmtId="0" fontId="20" fillId="2" borderId="0" xfId="12" applyFont="1" applyFill="1" applyAlignment="1">
      <alignment horizontal="center" vertical="top" wrapText="1"/>
    </xf>
    <xf numFmtId="16" fontId="20" fillId="2" borderId="0" xfId="12" applyNumberFormat="1" applyFont="1" applyFill="1" applyAlignment="1">
      <alignment horizontal="center" vertical="top" wrapText="1"/>
    </xf>
    <xf numFmtId="14" fontId="20" fillId="2" borderId="0" xfId="12" applyNumberFormat="1" applyFont="1" applyFill="1" applyAlignment="1">
      <alignment horizontal="center" vertical="top" wrapText="1"/>
    </xf>
    <xf numFmtId="0" fontId="20" fillId="2" borderId="9" xfId="12" applyFont="1" applyFill="1" applyBorder="1" applyAlignment="1">
      <alignment horizontal="center" vertical="center" wrapText="1"/>
    </xf>
    <xf numFmtId="0" fontId="26" fillId="2" borderId="9" xfId="12" applyFont="1" applyFill="1" applyBorder="1" applyAlignment="1">
      <alignment horizontal="center" vertical="center"/>
    </xf>
    <xf numFmtId="0" fontId="8" fillId="2" borderId="9" xfId="12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top" wrapText="1"/>
    </xf>
    <xf numFmtId="2" fontId="18" fillId="2" borderId="3" xfId="12" applyNumberFormat="1" applyFont="1" applyFill="1" applyBorder="1" applyAlignment="1">
      <alignment horizontal="center" vertical="center" wrapText="1"/>
    </xf>
    <xf numFmtId="4" fontId="8" fillId="2" borderId="9" xfId="12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 applyAlignment="1">
      <alignment horizontal="center" vertical="center"/>
    </xf>
    <xf numFmtId="2" fontId="18" fillId="2" borderId="9" xfId="12" applyNumberFormat="1" applyFont="1" applyFill="1" applyBorder="1" applyAlignment="1">
      <alignment horizontal="center" vertical="center" wrapText="1"/>
    </xf>
    <xf numFmtId="4" fontId="6" fillId="2" borderId="3" xfId="12" applyNumberFormat="1" applyFont="1" applyFill="1" applyBorder="1" applyAlignment="1">
      <alignment horizontal="center" vertical="center" wrapText="1"/>
    </xf>
    <xf numFmtId="4" fontId="24" fillId="2" borderId="9" xfId="12" applyNumberFormat="1" applyFont="1" applyFill="1" applyBorder="1" applyAlignment="1">
      <alignment horizontal="center" vertical="center"/>
    </xf>
    <xf numFmtId="4" fontId="6" fillId="2" borderId="9" xfId="12" applyNumberFormat="1" applyFont="1" applyFill="1" applyBorder="1" applyAlignment="1">
      <alignment horizontal="center" vertical="center"/>
    </xf>
    <xf numFmtId="0" fontId="24" fillId="2" borderId="9" xfId="12" applyFont="1" applyFill="1" applyBorder="1"/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8" fillId="2" borderId="3" xfId="12" applyNumberFormat="1" applyFont="1" applyFill="1" applyBorder="1" applyAlignment="1">
      <alignment horizontal="center" vertical="center" wrapText="1"/>
    </xf>
    <xf numFmtId="4" fontId="26" fillId="2" borderId="9" xfId="12" applyNumberFormat="1" applyFont="1" applyFill="1" applyBorder="1" applyAlignment="1">
      <alignment horizontal="center"/>
    </xf>
    <xf numFmtId="4" fontId="16" fillId="2" borderId="0" xfId="12" applyNumberFormat="1" applyFont="1" applyFill="1"/>
    <xf numFmtId="169" fontId="20" fillId="2" borderId="9" xfId="12" applyNumberFormat="1" applyFont="1" applyFill="1" applyBorder="1" applyAlignment="1">
      <alignment horizontal="center" vertical="center" wrapText="1"/>
    </xf>
    <xf numFmtId="4" fontId="24" fillId="2" borderId="9" xfId="17" applyNumberFormat="1" applyFont="1" applyFill="1" applyBorder="1" applyAlignment="1">
      <alignment horizontal="center" vertical="center"/>
    </xf>
    <xf numFmtId="4" fontId="6" fillId="2" borderId="9" xfId="17" applyNumberFormat="1" applyFont="1" applyFill="1" applyBorder="1" applyAlignment="1">
      <alignment horizontal="center" vertical="center"/>
    </xf>
    <xf numFmtId="4" fontId="24" fillId="2" borderId="9" xfId="12" applyNumberFormat="1" applyFont="1" applyFill="1" applyBorder="1" applyAlignment="1">
      <alignment horizontal="center"/>
    </xf>
    <xf numFmtId="4" fontId="8" fillId="2" borderId="9" xfId="17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/>
    <xf numFmtId="4" fontId="18" fillId="2" borderId="0" xfId="12" applyNumberFormat="1" applyFont="1" applyFill="1" applyAlignment="1">
      <alignment horizontal="center" vertical="top" wrapText="1"/>
    </xf>
    <xf numFmtId="4" fontId="6" fillId="2" borderId="0" xfId="12" applyNumberFormat="1" applyFont="1" applyFill="1"/>
    <xf numFmtId="3" fontId="20" fillId="2" borderId="0" xfId="12" applyNumberFormat="1" applyFont="1" applyFill="1" applyAlignment="1">
      <alignment horizontal="right" vertical="top" wrapText="1"/>
    </xf>
    <xf numFmtId="2" fontId="24" fillId="2" borderId="0" xfId="12" applyNumberFormat="1" applyFont="1" applyFill="1"/>
    <xf numFmtId="0" fontId="20" fillId="2" borderId="10" xfId="12" applyFont="1" applyFill="1" applyBorder="1" applyAlignment="1">
      <alignment horizontal="right" vertical="top" wrapText="1"/>
    </xf>
    <xf numFmtId="0" fontId="8" fillId="2" borderId="0" xfId="12" applyFont="1" applyFill="1" applyAlignment="1">
      <alignment horizontal="center" wrapText="1"/>
    </xf>
    <xf numFmtId="4" fontId="24" fillId="2" borderId="0" xfId="12" applyNumberFormat="1" applyFont="1" applyFill="1"/>
    <xf numFmtId="0" fontId="20" fillId="2" borderId="10" xfId="12" applyFont="1" applyFill="1" applyBorder="1" applyAlignment="1">
      <alignment wrapText="1"/>
    </xf>
    <xf numFmtId="0" fontId="20" fillId="2" borderId="10" xfId="12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left" vertical="top" wrapText="1"/>
    </xf>
    <xf numFmtId="0" fontId="27" fillId="2" borderId="0" xfId="12" applyFont="1" applyFill="1"/>
    <xf numFmtId="0" fontId="20" fillId="2" borderId="0" xfId="12" applyFont="1" applyFill="1" applyAlignment="1">
      <alignment horizontal="left" vertical="top" wrapText="1"/>
    </xf>
    <xf numFmtId="0" fontId="29" fillId="0" borderId="0" xfId="19" applyFont="1"/>
    <xf numFmtId="0" fontId="31" fillId="0" borderId="0" xfId="19" applyFont="1"/>
    <xf numFmtId="0" fontId="32" fillId="0" borderId="0" xfId="19" applyFont="1"/>
    <xf numFmtId="0" fontId="33" fillId="0" borderId="0" xfId="19" applyFont="1" applyAlignment="1">
      <alignment horizontal="center" vertical="center"/>
    </xf>
    <xf numFmtId="0" fontId="34" fillId="0" borderId="0" xfId="19" applyFont="1" applyAlignment="1">
      <alignment horizontal="center" vertical="center"/>
    </xf>
    <xf numFmtId="0" fontId="35" fillId="0" borderId="0" xfId="19" applyFont="1" applyAlignment="1">
      <alignment horizontal="center" vertical="center"/>
    </xf>
    <xf numFmtId="0" fontId="31" fillId="0" borderId="0" xfId="19" applyFont="1" applyAlignment="1">
      <alignment horizontal="center" vertical="center"/>
    </xf>
    <xf numFmtId="0" fontId="29" fillId="0" borderId="0" xfId="19" applyFont="1" applyAlignment="1">
      <alignment horizontal="center" vertical="center"/>
    </xf>
    <xf numFmtId="0" fontId="32" fillId="0" borderId="0" xfId="19" applyFont="1" applyAlignment="1">
      <alignment horizontal="center" vertical="center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9" xfId="19" applyFont="1" applyFill="1" applyBorder="1" applyAlignment="1">
      <alignment horizontal="center" vertical="center" wrapText="1"/>
    </xf>
    <xf numFmtId="0" fontId="29" fillId="2" borderId="9" xfId="19" applyFont="1" applyFill="1" applyBorder="1" applyAlignment="1">
      <alignment horizontal="center" vertical="center" wrapText="1"/>
    </xf>
    <xf numFmtId="0" fontId="37" fillId="2" borderId="9" xfId="19" applyFont="1" applyFill="1" applyBorder="1" applyAlignment="1">
      <alignment vertical="center" wrapText="1"/>
    </xf>
    <xf numFmtId="4" fontId="29" fillId="2" borderId="9" xfId="19" applyNumberFormat="1" applyFont="1" applyFill="1" applyBorder="1" applyAlignment="1">
      <alignment horizontal="center" vertical="center" wrapText="1"/>
    </xf>
    <xf numFmtId="168" fontId="30" fillId="2" borderId="9" xfId="19" applyNumberFormat="1" applyFont="1" applyFill="1" applyBorder="1" applyAlignment="1">
      <alignment horizontal="center" vertical="center" wrapText="1"/>
    </xf>
    <xf numFmtId="165" fontId="36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right" vertical="center" wrapText="1"/>
    </xf>
    <xf numFmtId="165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right" vertical="center" wrapText="1"/>
    </xf>
    <xf numFmtId="4" fontId="29" fillId="2" borderId="9" xfId="19" applyNumberFormat="1" applyFont="1" applyFill="1" applyBorder="1" applyAlignment="1">
      <alignment horizontal="right" vertical="center" wrapText="1"/>
    </xf>
    <xf numFmtId="172" fontId="32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center" vertical="center" wrapText="1"/>
    </xf>
    <xf numFmtId="168" fontId="36" fillId="2" borderId="9" xfId="19" applyNumberFormat="1" applyFont="1" applyFill="1" applyBorder="1" applyAlignment="1">
      <alignment horizontal="center" vertical="center" wrapText="1"/>
    </xf>
    <xf numFmtId="0" fontId="38" fillId="0" borderId="0" xfId="19" applyFont="1"/>
    <xf numFmtId="165" fontId="38" fillId="0" borderId="0" xfId="19" applyNumberFormat="1" applyFont="1"/>
    <xf numFmtId="172" fontId="30" fillId="2" borderId="9" xfId="19" applyNumberFormat="1" applyFont="1" applyFill="1" applyBorder="1" applyAlignment="1">
      <alignment horizontal="center" vertical="center" wrapText="1"/>
    </xf>
    <xf numFmtId="173" fontId="36" fillId="2" borderId="9" xfId="19" applyNumberFormat="1" applyFont="1" applyFill="1" applyBorder="1" applyAlignment="1">
      <alignment horizontal="center" vertical="center" wrapText="1"/>
    </xf>
    <xf numFmtId="173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center" vertical="center" wrapText="1"/>
    </xf>
    <xf numFmtId="172" fontId="32" fillId="2" borderId="9" xfId="19" applyNumberFormat="1" applyFont="1" applyFill="1" applyBorder="1" applyAlignment="1">
      <alignment horizontal="right" vertical="center" wrapText="1"/>
    </xf>
    <xf numFmtId="0" fontId="38" fillId="0" borderId="0" xfId="19" applyFont="1" applyAlignment="1">
      <alignment horizontal="left"/>
    </xf>
    <xf numFmtId="0" fontId="32" fillId="2" borderId="9" xfId="19" applyFont="1" applyFill="1" applyBorder="1" applyAlignment="1">
      <alignment vertical="center" wrapText="1"/>
    </xf>
    <xf numFmtId="172" fontId="36" fillId="2" borderId="9" xfId="19" applyNumberFormat="1" applyFont="1" applyFill="1" applyBorder="1" applyAlignment="1">
      <alignment horizontal="center" vertical="center" wrapText="1"/>
    </xf>
    <xf numFmtId="0" fontId="32" fillId="2" borderId="9" xfId="19" applyFont="1" applyFill="1" applyBorder="1"/>
    <xf numFmtId="173" fontId="32" fillId="2" borderId="9" xfId="19" applyNumberFormat="1" applyFont="1" applyFill="1" applyBorder="1" applyAlignment="1">
      <alignment horizontal="center" vertical="center" wrapText="1"/>
    </xf>
    <xf numFmtId="0" fontId="39" fillId="3" borderId="0" xfId="19" applyFont="1" applyFill="1" applyAlignment="1">
      <alignment horizontal="left"/>
    </xf>
    <xf numFmtId="0" fontId="39" fillId="3" borderId="0" xfId="19" applyFont="1" applyFill="1"/>
    <xf numFmtId="0" fontId="39" fillId="3" borderId="0" xfId="19" applyFont="1" applyFill="1" applyAlignment="1">
      <alignment horizontal="center"/>
    </xf>
    <xf numFmtId="0" fontId="32" fillId="3" borderId="0" xfId="19" applyFont="1" applyFill="1"/>
    <xf numFmtId="174" fontId="32" fillId="2" borderId="9" xfId="19" applyNumberFormat="1" applyFont="1" applyFill="1" applyBorder="1" applyAlignment="1">
      <alignment horizontal="center" vertical="center" wrapText="1"/>
    </xf>
    <xf numFmtId="168" fontId="39" fillId="3" borderId="0" xfId="19" applyNumberFormat="1" applyFont="1" applyFill="1" applyAlignment="1">
      <alignment horizontal="center"/>
    </xf>
    <xf numFmtId="172" fontId="39" fillId="3" borderId="0" xfId="19" applyNumberFormat="1" applyFont="1" applyFill="1"/>
    <xf numFmtId="173" fontId="36" fillId="0" borderId="9" xfId="19" applyNumberFormat="1" applyFont="1" applyBorder="1" applyAlignment="1">
      <alignment horizontal="center" vertical="center" wrapText="1"/>
    </xf>
    <xf numFmtId="4" fontId="32" fillId="0" borderId="9" xfId="19" applyNumberFormat="1" applyFont="1" applyBorder="1" applyAlignment="1">
      <alignment horizontal="right" vertical="center" wrapText="1"/>
    </xf>
    <xf numFmtId="173" fontId="32" fillId="0" borderId="9" xfId="19" applyNumberFormat="1" applyFont="1" applyBorder="1" applyAlignment="1">
      <alignment horizontal="center" vertical="center" wrapText="1"/>
    </xf>
    <xf numFmtId="0" fontId="39" fillId="0" borderId="0" xfId="19" applyFont="1" applyAlignment="1">
      <alignment horizontal="left"/>
    </xf>
    <xf numFmtId="0" fontId="39" fillId="0" borderId="0" xfId="19" applyFont="1"/>
    <xf numFmtId="172" fontId="39" fillId="0" borderId="0" xfId="19" applyNumberFormat="1" applyFont="1"/>
    <xf numFmtId="4" fontId="32" fillId="0" borderId="9" xfId="19" applyNumberFormat="1" applyFont="1" applyBorder="1" applyAlignment="1">
      <alignment horizontal="center" vertical="center" wrapText="1"/>
    </xf>
    <xf numFmtId="175" fontId="32" fillId="2" borderId="9" xfId="19" applyNumberFormat="1" applyFont="1" applyFill="1" applyBorder="1" applyAlignment="1">
      <alignment horizontal="right" vertical="center" wrapText="1"/>
    </xf>
    <xf numFmtId="174" fontId="32" fillId="2" borderId="9" xfId="19" applyNumberFormat="1" applyFont="1" applyFill="1" applyBorder="1" applyAlignment="1">
      <alignment horizontal="right" vertical="center" wrapText="1"/>
    </xf>
    <xf numFmtId="4" fontId="36" fillId="2" borderId="9" xfId="19" applyNumberFormat="1" applyFont="1" applyFill="1" applyBorder="1" applyAlignment="1">
      <alignment horizontal="right" vertical="center" wrapText="1"/>
    </xf>
    <xf numFmtId="172" fontId="36" fillId="2" borderId="9" xfId="19" applyNumberFormat="1" applyFont="1" applyFill="1" applyBorder="1" applyAlignment="1">
      <alignment horizontal="right" vertical="center" wrapText="1"/>
    </xf>
    <xf numFmtId="175" fontId="36" fillId="2" borderId="9" xfId="19" applyNumberFormat="1" applyFont="1" applyFill="1" applyBorder="1" applyAlignment="1">
      <alignment horizontal="right" vertical="center" wrapText="1"/>
    </xf>
    <xf numFmtId="175" fontId="38" fillId="0" borderId="0" xfId="19" applyNumberFormat="1" applyFont="1"/>
    <xf numFmtId="49" fontId="38" fillId="0" borderId="0" xfId="19" applyNumberFormat="1" applyFont="1"/>
    <xf numFmtId="174" fontId="38" fillId="0" borderId="0" xfId="19" applyNumberFormat="1" applyFont="1"/>
    <xf numFmtId="4" fontId="31" fillId="0" borderId="0" xfId="19" applyNumberFormat="1" applyFont="1"/>
    <xf numFmtId="4" fontId="29" fillId="0" borderId="0" xfId="19" applyNumberFormat="1" applyFont="1"/>
    <xf numFmtId="2" fontId="32" fillId="0" borderId="0" xfId="19" applyNumberFormat="1" applyFont="1"/>
    <xf numFmtId="176" fontId="38" fillId="0" borderId="0" xfId="19" applyNumberFormat="1" applyFont="1"/>
    <xf numFmtId="2" fontId="31" fillId="0" borderId="0" xfId="19" applyNumberFormat="1" applyFont="1"/>
    <xf numFmtId="2" fontId="29" fillId="0" borderId="0" xfId="19" applyNumberFormat="1" applyFont="1"/>
    <xf numFmtId="4" fontId="32" fillId="0" borderId="0" xfId="19" applyNumberFormat="1" applyFont="1"/>
    <xf numFmtId="0" fontId="29" fillId="0" borderId="0" xfId="19" applyFont="1" applyAlignment="1">
      <alignment vertical="center" wrapText="1"/>
    </xf>
    <xf numFmtId="0" fontId="34" fillId="0" borderId="0" xfId="19" applyFont="1" applyAlignment="1">
      <alignment horizontal="justify" vertical="center" wrapText="1"/>
    </xf>
    <xf numFmtId="0" fontId="32" fillId="0" borderId="0" xfId="19" applyFont="1" applyAlignment="1">
      <alignment horizontal="right" vertical="top" wrapText="1"/>
    </xf>
    <xf numFmtId="0" fontId="31" fillId="0" borderId="0" xfId="19" applyFont="1" applyAlignment="1">
      <alignment horizontal="right" vertical="top" wrapText="1"/>
    </xf>
    <xf numFmtId="172" fontId="32" fillId="0" borderId="0" xfId="19" applyNumberFormat="1" applyFont="1" applyAlignment="1">
      <alignment horizontal="right" vertical="top" wrapText="1"/>
    </xf>
    <xf numFmtId="3" fontId="39" fillId="0" borderId="0" xfId="19" applyNumberFormat="1" applyFont="1" applyAlignment="1">
      <alignment horizontal="right" vertical="top" wrapText="1"/>
    </xf>
    <xf numFmtId="0" fontId="32" fillId="0" borderId="10" xfId="19" applyFont="1" applyBorder="1" applyAlignment="1">
      <alignment horizontal="right" vertical="top" wrapText="1"/>
    </xf>
    <xf numFmtId="0" fontId="31" fillId="0" borderId="10" xfId="19" applyFont="1" applyBorder="1" applyAlignment="1">
      <alignment horizontal="right" vertical="top" wrapText="1"/>
    </xf>
    <xf numFmtId="0" fontId="32" fillId="0" borderId="0" xfId="19" applyFont="1" applyAlignment="1">
      <alignment vertical="top"/>
    </xf>
    <xf numFmtId="0" fontId="32" fillId="0" borderId="0" xfId="19" applyFont="1" applyAlignment="1">
      <alignment horizontal="center" vertical="top" wrapText="1"/>
    </xf>
    <xf numFmtId="168" fontId="32" fillId="0" borderId="0" xfId="19" applyNumberFormat="1" applyFont="1" applyAlignment="1">
      <alignment horizontal="right" vertical="top" wrapText="1"/>
    </xf>
    <xf numFmtId="0" fontId="32" fillId="0" borderId="0" xfId="19" applyFont="1" applyAlignment="1">
      <alignment vertical="top" wrapText="1"/>
    </xf>
    <xf numFmtId="0" fontId="32" fillId="0" borderId="10" xfId="19" applyFont="1" applyBorder="1" applyAlignment="1">
      <alignment wrapText="1"/>
    </xf>
    <xf numFmtId="0" fontId="32" fillId="0" borderId="10" xfId="19" applyFont="1" applyBorder="1" applyAlignment="1">
      <alignment horizontal="center" vertical="top" wrapText="1"/>
    </xf>
    <xf numFmtId="175" fontId="32" fillId="2" borderId="9" xfId="19" applyNumberFormat="1" applyFont="1" applyFill="1" applyBorder="1" applyAlignment="1">
      <alignment horizontal="center" vertical="center" wrapText="1"/>
    </xf>
    <xf numFmtId="49" fontId="39" fillId="0" borderId="0" xfId="19" applyNumberFormat="1" applyFont="1" applyAlignment="1">
      <alignment horizontal="left"/>
    </xf>
    <xf numFmtId="4" fontId="36" fillId="2" borderId="9" xfId="19" applyNumberFormat="1" applyFont="1" applyFill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49" fontId="6" fillId="0" borderId="0" xfId="2" applyNumberFormat="1" applyFont="1" applyAlignment="1">
      <alignment horizontal="center"/>
    </xf>
    <xf numFmtId="0" fontId="12" fillId="0" borderId="0" xfId="8" applyFont="1"/>
    <xf numFmtId="0" fontId="6" fillId="2" borderId="9" xfId="12" applyFont="1" applyFill="1" applyBorder="1"/>
    <xf numFmtId="0" fontId="41" fillId="2" borderId="0" xfId="12" applyFont="1" applyFill="1"/>
    <xf numFmtId="0" fontId="6" fillId="0" borderId="0" xfId="2" applyFont="1" applyAlignment="1">
      <alignment horizontal="left" vertical="top" wrapText="1"/>
    </xf>
    <xf numFmtId="164" fontId="6" fillId="0" borderId="0" xfId="2" applyNumberFormat="1" applyFont="1"/>
    <xf numFmtId="0" fontId="42" fillId="0" borderId="0" xfId="8" applyFont="1"/>
    <xf numFmtId="0" fontId="20" fillId="2" borderId="18" xfId="12" applyFont="1" applyFill="1" applyBorder="1" applyAlignment="1">
      <alignment horizontal="center" vertical="center"/>
    </xf>
    <xf numFmtId="49" fontId="20" fillId="2" borderId="18" xfId="12" applyNumberFormat="1" applyFont="1" applyFill="1" applyBorder="1" applyAlignment="1">
      <alignment horizontal="center" vertical="center" wrapText="1"/>
    </xf>
    <xf numFmtId="0" fontId="20" fillId="2" borderId="18" xfId="12" applyFont="1" applyFill="1" applyBorder="1" applyAlignment="1">
      <alignment horizontal="left" vertical="center" wrapText="1"/>
    </xf>
    <xf numFmtId="3" fontId="20" fillId="2" borderId="18" xfId="12" applyNumberFormat="1" applyFont="1" applyFill="1" applyBorder="1" applyAlignment="1">
      <alignment horizontal="center" vertical="center"/>
    </xf>
    <xf numFmtId="4" fontId="20" fillId="2" borderId="18" xfId="12" applyNumberFormat="1" applyFont="1" applyFill="1" applyBorder="1" applyAlignment="1">
      <alignment horizontal="center" vertical="center"/>
    </xf>
    <xf numFmtId="4" fontId="18" fillId="2" borderId="18" xfId="12" applyNumberFormat="1" applyFont="1" applyFill="1" applyBorder="1" applyAlignment="1">
      <alignment horizontal="center" vertical="center"/>
    </xf>
    <xf numFmtId="4" fontId="8" fillId="2" borderId="0" xfId="12" applyNumberFormat="1" applyFont="1" applyFill="1" applyAlignment="1">
      <alignment horizontal="left" wrapText="1"/>
    </xf>
    <xf numFmtId="4" fontId="44" fillId="2" borderId="0" xfId="12" applyNumberFormat="1" applyFont="1" applyFill="1" applyAlignment="1">
      <alignment horizontal="left" vertical="top" wrapText="1"/>
    </xf>
    <xf numFmtId="4" fontId="43" fillId="2" borderId="0" xfId="12" applyNumberFormat="1" applyFont="1" applyFill="1" applyAlignment="1">
      <alignment horizontal="center" vertical="top" wrapText="1"/>
    </xf>
    <xf numFmtId="0" fontId="24" fillId="2" borderId="0" xfId="12" applyFont="1" applyFill="1" applyAlignment="1">
      <alignment horizontal="center" vertical="center"/>
    </xf>
    <xf numFmtId="0" fontId="24" fillId="2" borderId="9" xfId="12" applyFont="1" applyFill="1" applyBorder="1" applyAlignment="1">
      <alignment horizontal="center" vertical="center"/>
    </xf>
    <xf numFmtId="3" fontId="24" fillId="2" borderId="9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13" fillId="0" borderId="0" xfId="8" applyFont="1"/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right" vertical="top" wrapText="1"/>
    </xf>
    <xf numFmtId="0" fontId="12" fillId="0" borderId="0" xfId="8" applyFont="1" applyAlignment="1">
      <alignment horizontal="center"/>
    </xf>
    <xf numFmtId="0" fontId="12" fillId="0" borderId="0" xfId="8" applyFont="1" applyAlignment="1">
      <alignment horizontal="right" vertical="top" wrapText="1"/>
    </xf>
    <xf numFmtId="0" fontId="20" fillId="2" borderId="15" xfId="12" applyFont="1" applyFill="1" applyBorder="1" applyAlignment="1">
      <alignment horizontal="center" vertical="center"/>
    </xf>
    <xf numFmtId="49" fontId="20" fillId="2" borderId="15" xfId="12" applyNumberFormat="1" applyFont="1" applyFill="1" applyBorder="1" applyAlignment="1">
      <alignment horizontal="center" vertical="center"/>
    </xf>
    <xf numFmtId="0" fontId="20" fillId="2" borderId="15" xfId="12" applyFont="1" applyFill="1" applyBorder="1" applyAlignment="1">
      <alignment horizontal="left" vertical="center" wrapText="1"/>
    </xf>
    <xf numFmtId="3" fontId="20" fillId="2" borderId="15" xfId="12" applyNumberFormat="1" applyFont="1" applyFill="1" applyBorder="1" applyAlignment="1">
      <alignment horizontal="center" vertical="center"/>
    </xf>
    <xf numFmtId="4" fontId="20" fillId="2" borderId="15" xfId="12" applyNumberFormat="1" applyFont="1" applyFill="1" applyBorder="1" applyAlignment="1">
      <alignment horizontal="center" vertical="center"/>
    </xf>
    <xf numFmtId="4" fontId="18" fillId="2" borderId="15" xfId="12" applyNumberFormat="1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/>
    </xf>
    <xf numFmtId="0" fontId="49" fillId="0" borderId="0" xfId="8" applyFont="1"/>
    <xf numFmtId="0" fontId="49" fillId="0" borderId="0" xfId="8" applyFont="1" applyAlignment="1">
      <alignment horizontal="center"/>
    </xf>
    <xf numFmtId="0" fontId="49" fillId="0" borderId="0" xfId="8" applyFont="1" applyAlignment="1">
      <alignment horizontal="right" vertical="top" wrapText="1"/>
    </xf>
    <xf numFmtId="0" fontId="50" fillId="2" borderId="0" xfId="12" applyFont="1" applyFill="1"/>
    <xf numFmtId="0" fontId="51" fillId="2" borderId="0" xfId="12" applyFont="1" applyFill="1"/>
    <xf numFmtId="0" fontId="50" fillId="2" borderId="0" xfId="12" applyFont="1" applyFill="1" applyAlignment="1">
      <alignment horizontal="center" vertical="center"/>
    </xf>
    <xf numFmtId="0" fontId="52" fillId="2" borderId="9" xfId="12" applyFont="1" applyFill="1" applyBorder="1" applyAlignment="1">
      <alignment horizontal="center" vertical="center"/>
    </xf>
    <xf numFmtId="0" fontId="53" fillId="2" borderId="9" xfId="12" applyFont="1" applyFill="1" applyBorder="1" applyAlignment="1">
      <alignment horizontal="center" vertical="center"/>
    </xf>
    <xf numFmtId="4" fontId="53" fillId="2" borderId="9" xfId="12" applyNumberFormat="1" applyFont="1" applyFill="1" applyBorder="1" applyAlignment="1">
      <alignment horizontal="center" vertical="center"/>
    </xf>
    <xf numFmtId="4" fontId="51" fillId="2" borderId="9" xfId="12" applyNumberFormat="1" applyFont="1" applyFill="1" applyBorder="1" applyAlignment="1">
      <alignment horizontal="center" vertical="center"/>
    </xf>
    <xf numFmtId="0" fontId="51" fillId="2" borderId="9" xfId="12" applyFont="1" applyFill="1" applyBorder="1" applyAlignment="1">
      <alignment horizontal="center" vertical="center"/>
    </xf>
    <xf numFmtId="4" fontId="51" fillId="2" borderId="9" xfId="17" applyNumberFormat="1" applyFont="1" applyFill="1" applyBorder="1" applyAlignment="1">
      <alignment horizontal="center" vertical="center"/>
    </xf>
    <xf numFmtId="4" fontId="53" fillId="2" borderId="9" xfId="17" applyNumberFormat="1" applyFont="1" applyFill="1" applyBorder="1" applyAlignment="1">
      <alignment horizontal="center" vertical="center"/>
    </xf>
    <xf numFmtId="4" fontId="51" fillId="2" borderId="0" xfId="12" applyNumberFormat="1" applyFont="1" applyFill="1"/>
    <xf numFmtId="0" fontId="54" fillId="2" borderId="0" xfId="12" applyFont="1" applyFill="1"/>
    <xf numFmtId="3" fontId="51" fillId="2" borderId="9" xfId="12" applyNumberFormat="1" applyFont="1" applyFill="1" applyBorder="1" applyAlignment="1">
      <alignment horizontal="center" vertical="center"/>
    </xf>
    <xf numFmtId="4" fontId="41" fillId="2" borderId="0" xfId="12" applyNumberFormat="1" applyFont="1" applyFill="1"/>
    <xf numFmtId="4" fontId="51" fillId="2" borderId="0" xfId="12" applyNumberFormat="1" applyFont="1" applyFill="1" applyAlignment="1">
      <alignment horizontal="center" vertical="center"/>
    </xf>
    <xf numFmtId="0" fontId="51" fillId="2" borderId="0" xfId="12" applyFont="1" applyFill="1" applyAlignment="1">
      <alignment horizontal="center" vertical="center"/>
    </xf>
    <xf numFmtId="4" fontId="55" fillId="2" borderId="0" xfId="12" applyNumberFormat="1" applyFont="1" applyFill="1" applyAlignment="1">
      <alignment horizontal="left" vertical="top" wrapText="1"/>
    </xf>
    <xf numFmtId="2" fontId="51" fillId="2" borderId="0" xfId="12" applyNumberFormat="1" applyFont="1" applyFill="1"/>
    <xf numFmtId="0" fontId="20" fillId="2" borderId="0" xfId="12" applyFont="1" applyFill="1"/>
    <xf numFmtId="0" fontId="14" fillId="0" borderId="0" xfId="12" applyFont="1" applyFill="1"/>
    <xf numFmtId="0" fontId="15" fillId="0" borderId="0" xfId="12" applyFont="1" applyFill="1" applyAlignment="1">
      <alignment horizontal="center" vertical="center"/>
    </xf>
    <xf numFmtId="0" fontId="16" fillId="0" borderId="0" xfId="12" applyFont="1" applyFill="1"/>
    <xf numFmtId="0" fontId="18" fillId="0" borderId="0" xfId="13" applyFont="1" applyFill="1" applyAlignment="1">
      <alignment vertical="center"/>
    </xf>
    <xf numFmtId="0" fontId="15" fillId="0" borderId="0" xfId="13" applyFont="1" applyFill="1" applyAlignment="1">
      <alignment horizontal="center" vertical="center"/>
    </xf>
    <xf numFmtId="0" fontId="20" fillId="0" borderId="0" xfId="13" applyFont="1" applyFill="1" applyAlignment="1">
      <alignment vertical="top"/>
    </xf>
    <xf numFmtId="0" fontId="18" fillId="0" borderId="0" xfId="13" applyFont="1" applyFill="1" applyAlignment="1">
      <alignment vertical="center" wrapText="1"/>
    </xf>
    <xf numFmtId="0" fontId="14" fillId="0" borderId="0" xfId="14" applyFont="1" applyFill="1"/>
    <xf numFmtId="0" fontId="15" fillId="0" borderId="0" xfId="13" applyFont="1" applyFill="1" applyAlignment="1">
      <alignment horizontal="center" vertical="center" wrapText="1"/>
    </xf>
    <xf numFmtId="0" fontId="16" fillId="0" borderId="0" xfId="13" applyFont="1" applyFill="1" applyAlignment="1">
      <alignment vertical="center" wrapText="1"/>
    </xf>
    <xf numFmtId="0" fontId="21" fillId="0" borderId="0" xfId="13" applyFont="1" applyFill="1" applyAlignment="1">
      <alignment horizontal="center" vertical="center"/>
    </xf>
    <xf numFmtId="0" fontId="22" fillId="0" borderId="0" xfId="13" applyFont="1" applyFill="1" applyAlignment="1">
      <alignment vertical="center"/>
    </xf>
    <xf numFmtId="0" fontId="14" fillId="0" borderId="0" xfId="14" applyFont="1" applyFill="1" applyAlignment="1">
      <alignment horizontal="center"/>
    </xf>
    <xf numFmtId="0" fontId="14" fillId="0" borderId="9" xfId="12" applyFont="1" applyFill="1" applyBorder="1" applyAlignment="1">
      <alignment horizontal="center" vertical="center"/>
    </xf>
    <xf numFmtId="0" fontId="14" fillId="0" borderId="9" xfId="12" applyFont="1" applyFill="1" applyBorder="1" applyAlignment="1">
      <alignment horizontal="center" vertical="center" wrapText="1"/>
    </xf>
    <xf numFmtId="4" fontId="16" fillId="0" borderId="9" xfId="12" applyNumberFormat="1" applyFont="1" applyFill="1" applyBorder="1" applyAlignment="1">
      <alignment horizontal="center" vertical="center" wrapText="1"/>
    </xf>
    <xf numFmtId="0" fontId="14" fillId="0" borderId="9" xfId="12" applyFont="1" applyFill="1" applyBorder="1" applyAlignment="1">
      <alignment horizontal="center" vertical="center" wrapText="1" shrinkToFit="1"/>
    </xf>
    <xf numFmtId="0" fontId="20" fillId="0" borderId="9" xfId="12" applyFont="1" applyFill="1" applyBorder="1" applyAlignment="1">
      <alignment horizontal="center" vertical="center"/>
    </xf>
    <xf numFmtId="0" fontId="20" fillId="0" borderId="9" xfId="12" applyFont="1" applyFill="1" applyBorder="1" applyAlignment="1">
      <alignment horizontal="left" vertical="center" wrapText="1"/>
    </xf>
    <xf numFmtId="3" fontId="20" fillId="0" borderId="9" xfId="12" applyNumberFormat="1" applyFont="1" applyFill="1" applyBorder="1" applyAlignment="1">
      <alignment horizontal="center" vertical="center"/>
    </xf>
    <xf numFmtId="177" fontId="20" fillId="0" borderId="9" xfId="12" applyNumberFormat="1" applyFont="1" applyFill="1" applyBorder="1" applyAlignment="1">
      <alignment horizontal="center" vertical="center"/>
    </xf>
    <xf numFmtId="4" fontId="18" fillId="0" borderId="9" xfId="12" applyNumberFormat="1" applyFont="1" applyFill="1" applyBorder="1" applyAlignment="1">
      <alignment horizontal="center" vertical="center"/>
    </xf>
    <xf numFmtId="4" fontId="16" fillId="0" borderId="0" xfId="12" applyNumberFormat="1" applyFont="1" applyFill="1"/>
    <xf numFmtId="4" fontId="15" fillId="0" borderId="9" xfId="12" applyNumberFormat="1" applyFont="1" applyFill="1" applyBorder="1" applyAlignment="1">
      <alignment horizontal="center" vertical="center"/>
    </xf>
    <xf numFmtId="49" fontId="20" fillId="0" borderId="9" xfId="12" applyNumberFormat="1" applyFont="1" applyFill="1" applyBorder="1" applyAlignment="1">
      <alignment horizontal="center" vertical="center" wrapText="1"/>
    </xf>
    <xf numFmtId="0" fontId="14" fillId="0" borderId="9" xfId="12" applyFont="1" applyFill="1" applyBorder="1"/>
    <xf numFmtId="0" fontId="19" fillId="0" borderId="9" xfId="12" applyFont="1" applyFill="1" applyBorder="1" applyAlignment="1">
      <alignment horizontal="center" vertical="center"/>
    </xf>
    <xf numFmtId="4" fontId="19" fillId="0" borderId="9" xfId="12" applyNumberFormat="1" applyFont="1" applyFill="1" applyBorder="1" applyAlignment="1">
      <alignment horizontal="center" vertical="center"/>
    </xf>
    <xf numFmtId="4" fontId="23" fillId="0" borderId="0" xfId="12" applyNumberFormat="1" applyFont="1" applyFill="1"/>
    <xf numFmtId="4" fontId="14" fillId="0" borderId="0" xfId="12" applyNumberFormat="1" applyFont="1" applyFill="1"/>
    <xf numFmtId="4" fontId="15" fillId="0" borderId="0" xfId="12" applyNumberFormat="1" applyFont="1" applyFill="1" applyAlignment="1">
      <alignment horizontal="center" vertical="center"/>
    </xf>
    <xf numFmtId="0" fontId="61" fillId="0" borderId="11" xfId="25" applyFont="1" applyBorder="1" applyAlignment="1">
      <alignment vertical="top" wrapText="1"/>
    </xf>
    <xf numFmtId="0" fontId="63" fillId="0" borderId="0" xfId="25" applyFont="1" applyAlignment="1">
      <alignment wrapText="1"/>
    </xf>
    <xf numFmtId="0" fontId="64" fillId="0" borderId="0" xfId="25" applyFont="1"/>
    <xf numFmtId="0" fontId="59" fillId="0" borderId="0" xfId="25" applyFont="1" applyAlignment="1">
      <alignment wrapText="1"/>
    </xf>
    <xf numFmtId="0" fontId="59" fillId="0" borderId="0" xfId="25" applyFont="1" applyAlignment="1">
      <alignment horizontal="right" wrapText="1"/>
    </xf>
    <xf numFmtId="0" fontId="59" fillId="0" borderId="22" xfId="25" applyFont="1" applyBorder="1" applyAlignment="1">
      <alignment horizontal="center" wrapText="1"/>
    </xf>
    <xf numFmtId="0" fontId="59" fillId="0" borderId="19" xfId="25" applyFont="1" applyBorder="1" applyAlignment="1">
      <alignment horizontal="center" wrapText="1"/>
    </xf>
    <xf numFmtId="0" fontId="59" fillId="0" borderId="22" xfId="25" applyFont="1" applyBorder="1" applyAlignment="1">
      <alignment horizontal="center" vertical="center" wrapText="1"/>
    </xf>
    <xf numFmtId="0" fontId="59" fillId="0" borderId="28" xfId="25" applyFont="1" applyBorder="1" applyAlignment="1">
      <alignment horizontal="center" vertical="center" wrapText="1"/>
    </xf>
    <xf numFmtId="178" fontId="59" fillId="0" borderId="19" xfId="25" applyNumberFormat="1" applyFont="1" applyBorder="1" applyAlignment="1">
      <alignment horizontal="center" wrapText="1"/>
    </xf>
    <xf numFmtId="178" fontId="59" fillId="0" borderId="30" xfId="25" applyNumberFormat="1" applyFont="1" applyBorder="1" applyAlignment="1">
      <alignment horizontal="center" wrapText="1"/>
    </xf>
    <xf numFmtId="0" fontId="63" fillId="0" borderId="0" xfId="25" applyFont="1" applyAlignment="1">
      <alignment horizontal="center" wrapText="1"/>
    </xf>
    <xf numFmtId="0" fontId="64" fillId="0" borderId="0" xfId="25" applyFont="1"/>
    <xf numFmtId="0" fontId="59" fillId="0" borderId="30" xfId="25" applyFont="1" applyBorder="1" applyAlignment="1">
      <alignment horizontal="center" vertical="center" wrapText="1"/>
    </xf>
    <xf numFmtId="0" fontId="66" fillId="0" borderId="9" xfId="25" applyFont="1" applyBorder="1" applyAlignment="1">
      <alignment horizontal="left" vertical="top" wrapText="1"/>
    </xf>
    <xf numFmtId="0" fontId="67" fillId="0" borderId="9" xfId="25" applyFont="1" applyBorder="1" applyAlignment="1">
      <alignment horizontal="right" vertical="top" wrapText="1"/>
    </xf>
    <xf numFmtId="0" fontId="66" fillId="0" borderId="9" xfId="25" applyFont="1" applyBorder="1" applyAlignment="1">
      <alignment horizontal="right"/>
    </xf>
    <xf numFmtId="180" fontId="66" fillId="0" borderId="9" xfId="25" applyNumberFormat="1" applyFont="1" applyBorder="1" applyAlignment="1">
      <alignment horizontal="right"/>
    </xf>
    <xf numFmtId="179" fontId="66" fillId="0" borderId="9" xfId="25" applyNumberFormat="1" applyFont="1" applyBorder="1" applyAlignment="1">
      <alignment horizontal="right"/>
    </xf>
    <xf numFmtId="0" fontId="64" fillId="0" borderId="11" xfId="25" applyFont="1" applyBorder="1"/>
    <xf numFmtId="0" fontId="64" fillId="0" borderId="11" xfId="25" applyFont="1" applyBorder="1" applyAlignment="1">
      <alignment horizontal="left" vertical="top"/>
    </xf>
    <xf numFmtId="0" fontId="64" fillId="0" borderId="11" xfId="25" applyFont="1" applyBorder="1" applyAlignment="1">
      <alignment horizontal="right" vertical="top"/>
    </xf>
    <xf numFmtId="179" fontId="64" fillId="0" borderId="11" xfId="25" applyNumberFormat="1" applyFont="1" applyBorder="1" applyAlignment="1">
      <alignment horizontal="right" vertical="top"/>
    </xf>
    <xf numFmtId="0" fontId="65" fillId="0" borderId="11" xfId="25" applyFont="1" applyBorder="1" applyAlignment="1">
      <alignment horizontal="left" vertical="top"/>
    </xf>
    <xf numFmtId="0" fontId="65" fillId="0" borderId="11" xfId="25" applyFont="1" applyBorder="1" applyAlignment="1">
      <alignment horizontal="right" vertical="top"/>
    </xf>
    <xf numFmtId="179" fontId="65" fillId="0" borderId="11" xfId="25" applyNumberFormat="1" applyFont="1" applyBorder="1" applyAlignment="1">
      <alignment horizontal="right" vertical="top"/>
    </xf>
    <xf numFmtId="179" fontId="64" fillId="0" borderId="9" xfId="25" applyNumberFormat="1" applyFont="1" applyBorder="1" applyAlignment="1">
      <alignment horizontal="right"/>
    </xf>
    <xf numFmtId="0" fontId="64" fillId="0" borderId="9" xfId="25" applyFont="1" applyBorder="1"/>
    <xf numFmtId="179" fontId="65" fillId="0" borderId="9" xfId="25" applyNumberFormat="1" applyFont="1" applyBorder="1" applyAlignment="1">
      <alignment horizontal="right"/>
    </xf>
    <xf numFmtId="0" fontId="65" fillId="0" borderId="9" xfId="25" applyFont="1" applyBorder="1"/>
    <xf numFmtId="0" fontId="65" fillId="0" borderId="0" xfId="25" applyFont="1"/>
    <xf numFmtId="179" fontId="62" fillId="0" borderId="9" xfId="25" applyNumberFormat="1" applyFont="1" applyBorder="1" applyAlignment="1">
      <alignment horizontal="right"/>
    </xf>
    <xf numFmtId="0" fontId="62" fillId="0" borderId="9" xfId="25" applyFont="1" applyBorder="1"/>
    <xf numFmtId="0" fontId="62" fillId="0" borderId="0" xfId="25" applyFont="1"/>
    <xf numFmtId="164" fontId="20" fillId="0" borderId="9" xfId="24" applyFont="1" applyFill="1" applyBorder="1" applyAlignment="1">
      <alignment horizontal="center" vertical="center"/>
    </xf>
    <xf numFmtId="0" fontId="59" fillId="0" borderId="28" xfId="25" applyFont="1" applyBorder="1" applyAlignment="1">
      <alignment horizontal="center" vertical="center" wrapText="1"/>
    </xf>
    <xf numFmtId="0" fontId="59" fillId="0" borderId="0" xfId="25" applyFont="1" applyAlignment="1">
      <alignment horizontal="right" wrapText="1"/>
    </xf>
    <xf numFmtId="0" fontId="64" fillId="0" borderId="0" xfId="25" applyFont="1"/>
    <xf numFmtId="0" fontId="59" fillId="0" borderId="19" xfId="25" applyFont="1" applyBorder="1" applyAlignment="1">
      <alignment horizontal="center" wrapText="1"/>
    </xf>
    <xf numFmtId="0" fontId="61" fillId="0" borderId="11" xfId="26" applyFont="1" applyBorder="1" applyAlignment="1">
      <alignment vertical="top" wrapText="1"/>
    </xf>
    <xf numFmtId="0" fontId="63" fillId="0" borderId="0" xfId="26" applyFont="1" applyAlignment="1">
      <alignment wrapText="1"/>
    </xf>
    <xf numFmtId="0" fontId="64" fillId="0" borderId="0" xfId="26" applyFont="1"/>
    <xf numFmtId="0" fontId="59" fillId="0" borderId="0" xfId="26" applyFont="1" applyAlignment="1">
      <alignment wrapText="1"/>
    </xf>
    <xf numFmtId="0" fontId="59" fillId="0" borderId="0" xfId="26" applyFont="1" applyAlignment="1">
      <alignment horizontal="right" wrapText="1"/>
    </xf>
    <xf numFmtId="0" fontId="63" fillId="0" borderId="0" xfId="26" applyFont="1" applyAlignment="1">
      <alignment horizontal="center" wrapText="1"/>
    </xf>
    <xf numFmtId="0" fontId="64" fillId="0" borderId="0" xfId="26" applyFont="1"/>
    <xf numFmtId="0" fontId="59" fillId="0" borderId="30" xfId="26" applyFont="1" applyBorder="1" applyAlignment="1">
      <alignment horizontal="center" vertical="center" wrapText="1"/>
    </xf>
    <xf numFmtId="0" fontId="66" fillId="0" borderId="11" xfId="26" applyFont="1" applyBorder="1" applyAlignment="1">
      <alignment horizontal="left" vertical="top" wrapText="1"/>
    </xf>
    <xf numFmtId="0" fontId="66" fillId="0" borderId="11" xfId="26" applyFont="1" applyBorder="1" applyAlignment="1">
      <alignment horizontal="right"/>
    </xf>
    <xf numFmtId="180" fontId="66" fillId="0" borderId="11" xfId="26" applyNumberFormat="1" applyFont="1" applyBorder="1" applyAlignment="1">
      <alignment horizontal="right"/>
    </xf>
    <xf numFmtId="179" fontId="66" fillId="0" borderId="11" xfId="26" applyNumberFormat="1" applyFont="1" applyBorder="1" applyAlignment="1">
      <alignment horizontal="right"/>
    </xf>
    <xf numFmtId="0" fontId="66" fillId="0" borderId="9" xfId="26" applyFont="1" applyBorder="1" applyAlignment="1">
      <alignment horizontal="left" vertical="top" wrapText="1"/>
    </xf>
    <xf numFmtId="0" fontId="67" fillId="0" borderId="9" xfId="26" applyFont="1" applyBorder="1" applyAlignment="1">
      <alignment horizontal="right" vertical="top" wrapText="1"/>
    </xf>
    <xf numFmtId="0" fontId="66" fillId="0" borderId="9" xfId="26" applyFont="1" applyBorder="1" applyAlignment="1">
      <alignment horizontal="right"/>
    </xf>
    <xf numFmtId="180" fontId="66" fillId="0" borderId="9" xfId="26" applyNumberFormat="1" applyFont="1" applyBorder="1" applyAlignment="1">
      <alignment horizontal="right"/>
    </xf>
    <xf numFmtId="179" fontId="66" fillId="0" borderId="9" xfId="26" applyNumberFormat="1" applyFont="1" applyBorder="1" applyAlignment="1">
      <alignment horizontal="right"/>
    </xf>
    <xf numFmtId="0" fontId="64" fillId="0" borderId="11" xfId="26" applyFont="1" applyBorder="1"/>
    <xf numFmtId="0" fontId="64" fillId="0" borderId="11" xfId="26" applyFont="1" applyBorder="1" applyAlignment="1">
      <alignment horizontal="left" vertical="top"/>
    </xf>
    <xf numFmtId="0" fontId="64" fillId="0" borderId="11" xfId="26" applyFont="1" applyBorder="1" applyAlignment="1">
      <alignment horizontal="right" vertical="top"/>
    </xf>
    <xf numFmtId="179" fontId="64" fillId="0" borderId="11" xfId="26" applyNumberFormat="1" applyFont="1" applyBorder="1" applyAlignment="1">
      <alignment horizontal="right" vertical="top"/>
    </xf>
    <xf numFmtId="0" fontId="65" fillId="0" borderId="11" xfId="26" applyFont="1" applyBorder="1" applyAlignment="1">
      <alignment horizontal="left" vertical="top"/>
    </xf>
    <xf numFmtId="0" fontId="65" fillId="0" borderId="11" xfId="26" applyFont="1" applyBorder="1" applyAlignment="1">
      <alignment horizontal="right" vertical="top"/>
    </xf>
    <xf numFmtId="179" fontId="65" fillId="0" borderId="11" xfId="26" applyNumberFormat="1" applyFont="1" applyBorder="1" applyAlignment="1">
      <alignment horizontal="right" vertical="top"/>
    </xf>
    <xf numFmtId="0" fontId="64" fillId="0" borderId="9" xfId="26" applyFont="1" applyBorder="1"/>
    <xf numFmtId="0" fontId="65" fillId="0" borderId="9" xfId="26" applyFont="1" applyBorder="1" applyAlignment="1">
      <alignment horizontal="left" vertical="top"/>
    </xf>
    <xf numFmtId="0" fontId="65" fillId="0" borderId="9" xfId="26" applyFont="1" applyBorder="1" applyAlignment="1">
      <alignment horizontal="right" vertical="top"/>
    </xf>
    <xf numFmtId="179" fontId="65" fillId="0" borderId="9" xfId="26" applyNumberFormat="1" applyFont="1" applyBorder="1" applyAlignment="1">
      <alignment horizontal="right" vertical="top"/>
    </xf>
    <xf numFmtId="179" fontId="64" fillId="0" borderId="9" xfId="26" applyNumberFormat="1" applyFont="1" applyBorder="1" applyAlignment="1">
      <alignment horizontal="right"/>
    </xf>
    <xf numFmtId="179" fontId="65" fillId="0" borderId="9" xfId="26" applyNumberFormat="1" applyFont="1" applyBorder="1" applyAlignment="1">
      <alignment horizontal="right"/>
    </xf>
    <xf numFmtId="0" fontId="65" fillId="0" borderId="9" xfId="26" applyFont="1" applyBorder="1"/>
    <xf numFmtId="0" fontId="65" fillId="0" borderId="0" xfId="26" applyFont="1"/>
    <xf numFmtId="0" fontId="64" fillId="0" borderId="10" xfId="25" applyFont="1" applyBorder="1"/>
    <xf numFmtId="0" fontId="65" fillId="0" borderId="0" xfId="25" applyFont="1" applyAlignment="1">
      <alignment horizontal="right"/>
    </xf>
    <xf numFmtId="0" fontId="62" fillId="0" borderId="10" xfId="25" applyFont="1" applyBorder="1" applyAlignment="1">
      <alignment horizontal="center" wrapText="1"/>
    </xf>
    <xf numFmtId="0" fontId="59" fillId="0" borderId="0" xfId="25" applyFont="1" applyAlignment="1">
      <alignment horizontal="right" wrapText="1"/>
    </xf>
    <xf numFmtId="0" fontId="59" fillId="0" borderId="19" xfId="25" applyFont="1" applyBorder="1" applyAlignment="1">
      <alignment horizontal="center" wrapText="1"/>
    </xf>
    <xf numFmtId="0" fontId="64" fillId="0" borderId="0" xfId="25" applyFont="1"/>
    <xf numFmtId="0" fontId="59" fillId="0" borderId="28" xfId="25" applyFont="1" applyBorder="1" applyAlignment="1">
      <alignment horizontal="center" vertical="center" wrapText="1"/>
    </xf>
    <xf numFmtId="0" fontId="59" fillId="0" borderId="0" xfId="26" applyFont="1" applyAlignment="1">
      <alignment horizontal="right" wrapText="1"/>
    </xf>
    <xf numFmtId="0" fontId="64" fillId="0" borderId="0" xfId="26" applyFont="1"/>
    <xf numFmtId="0" fontId="63" fillId="0" borderId="0" xfId="26" applyFont="1" applyAlignment="1">
      <alignment horizontal="center" wrapText="1"/>
    </xf>
    <xf numFmtId="0" fontId="61" fillId="0" borderId="11" xfId="27" applyFont="1" applyBorder="1" applyAlignment="1">
      <alignment vertical="top" wrapText="1"/>
    </xf>
    <xf numFmtId="0" fontId="63" fillId="0" borderId="0" xfId="27" applyFont="1" applyAlignment="1">
      <alignment wrapText="1"/>
    </xf>
    <xf numFmtId="0" fontId="64" fillId="0" borderId="0" xfId="27" applyFont="1"/>
    <xf numFmtId="0" fontId="59" fillId="0" borderId="0" xfId="27" applyFont="1" applyAlignment="1">
      <alignment wrapText="1"/>
    </xf>
    <xf numFmtId="0" fontId="59" fillId="0" borderId="0" xfId="27" applyFont="1" applyAlignment="1">
      <alignment horizontal="right" wrapText="1"/>
    </xf>
    <xf numFmtId="0" fontId="63" fillId="0" borderId="0" xfId="27" applyFont="1" applyAlignment="1">
      <alignment horizontal="center" wrapText="1"/>
    </xf>
    <xf numFmtId="0" fontId="59" fillId="0" borderId="30" xfId="27" applyFont="1" applyBorder="1" applyAlignment="1">
      <alignment horizontal="center" vertical="center" wrapText="1"/>
    </xf>
    <xf numFmtId="0" fontId="66" fillId="0" borderId="11" xfId="27" applyFont="1" applyBorder="1" applyAlignment="1">
      <alignment horizontal="left" vertical="top" wrapText="1"/>
    </xf>
    <xf numFmtId="0" fontId="66" fillId="0" borderId="11" xfId="27" applyFont="1" applyBorder="1" applyAlignment="1">
      <alignment horizontal="right"/>
    </xf>
    <xf numFmtId="180" fontId="66" fillId="0" borderId="11" xfId="27" applyNumberFormat="1" applyFont="1" applyBorder="1" applyAlignment="1">
      <alignment horizontal="right"/>
    </xf>
    <xf numFmtId="179" fontId="66" fillId="0" borderId="11" xfId="27" applyNumberFormat="1" applyFont="1" applyBorder="1" applyAlignment="1">
      <alignment horizontal="right"/>
    </xf>
    <xf numFmtId="0" fontId="66" fillId="0" borderId="9" xfId="27" applyFont="1" applyBorder="1" applyAlignment="1">
      <alignment horizontal="left" vertical="top" wrapText="1"/>
    </xf>
    <xf numFmtId="0" fontId="67" fillId="0" borderId="9" xfId="27" applyFont="1" applyBorder="1" applyAlignment="1">
      <alignment horizontal="right" vertical="top" wrapText="1"/>
    </xf>
    <xf numFmtId="0" fontId="66" fillId="0" borderId="9" xfId="27" applyFont="1" applyBorder="1" applyAlignment="1">
      <alignment horizontal="right"/>
    </xf>
    <xf numFmtId="180" fontId="66" fillId="0" borderId="9" xfId="27" applyNumberFormat="1" applyFont="1" applyBorder="1" applyAlignment="1">
      <alignment horizontal="right"/>
    </xf>
    <xf numFmtId="179" fontId="66" fillId="0" borderId="9" xfId="27" applyNumberFormat="1" applyFont="1" applyBorder="1" applyAlignment="1">
      <alignment horizontal="right"/>
    </xf>
    <xf numFmtId="0" fontId="64" fillId="0" borderId="11" xfId="27" applyFont="1" applyBorder="1"/>
    <xf numFmtId="0" fontId="64" fillId="0" borderId="11" xfId="27" applyFont="1" applyBorder="1" applyAlignment="1">
      <alignment horizontal="left" vertical="top"/>
    </xf>
    <xf numFmtId="0" fontId="64" fillId="0" borderId="11" xfId="27" applyFont="1" applyBorder="1" applyAlignment="1">
      <alignment horizontal="right" vertical="top"/>
    </xf>
    <xf numFmtId="179" fontId="64" fillId="0" borderId="11" xfId="27" applyNumberFormat="1" applyFont="1" applyBorder="1" applyAlignment="1">
      <alignment horizontal="right" vertical="top"/>
    </xf>
    <xf numFmtId="0" fontId="65" fillId="0" borderId="11" xfId="27" applyFont="1" applyBorder="1" applyAlignment="1">
      <alignment horizontal="left" vertical="top"/>
    </xf>
    <xf numFmtId="0" fontId="65" fillId="0" borderId="11" xfId="27" applyFont="1" applyBorder="1" applyAlignment="1">
      <alignment horizontal="right" vertical="top"/>
    </xf>
    <xf numFmtId="179" fontId="65" fillId="0" borderId="11" xfId="27" applyNumberFormat="1" applyFont="1" applyBorder="1" applyAlignment="1">
      <alignment horizontal="right" vertical="top"/>
    </xf>
    <xf numFmtId="0" fontId="64" fillId="0" borderId="9" xfId="27" applyFont="1" applyBorder="1"/>
    <xf numFmtId="0" fontId="65" fillId="0" borderId="9" xfId="27" applyFont="1" applyBorder="1" applyAlignment="1">
      <alignment horizontal="left" vertical="top"/>
    </xf>
    <xf numFmtId="0" fontId="65" fillId="0" borderId="9" xfId="27" applyFont="1" applyBorder="1" applyAlignment="1">
      <alignment horizontal="right" vertical="top"/>
    </xf>
    <xf numFmtId="179" fontId="65" fillId="0" borderId="9" xfId="27" applyNumberFormat="1" applyFont="1" applyBorder="1" applyAlignment="1">
      <alignment horizontal="right" vertical="top"/>
    </xf>
    <xf numFmtId="179" fontId="64" fillId="0" borderId="9" xfId="27" applyNumberFormat="1" applyFont="1" applyBorder="1" applyAlignment="1">
      <alignment horizontal="right"/>
    </xf>
    <xf numFmtId="179" fontId="65" fillId="0" borderId="9" xfId="27" applyNumberFormat="1" applyFont="1" applyBorder="1" applyAlignment="1">
      <alignment horizontal="right"/>
    </xf>
    <xf numFmtId="0" fontId="65" fillId="0" borderId="9" xfId="27" applyFont="1" applyBorder="1"/>
    <xf numFmtId="0" fontId="65" fillId="0" borderId="0" xfId="27" applyFont="1"/>
    <xf numFmtId="0" fontId="64" fillId="0" borderId="0" xfId="26" applyFont="1" applyAlignment="1">
      <alignment vertical="top" wrapText="1"/>
    </xf>
    <xf numFmtId="0" fontId="64" fillId="0" borderId="0" xfId="26" applyFont="1"/>
    <xf numFmtId="0" fontId="61" fillId="0" borderId="9" xfId="26" applyFont="1" applyBorder="1" applyAlignment="1">
      <alignment vertical="top" wrapText="1"/>
    </xf>
    <xf numFmtId="0" fontId="64" fillId="0" borderId="0" xfId="25" applyFont="1"/>
    <xf numFmtId="0" fontId="28" fillId="0" borderId="0" xfId="28" applyFont="1"/>
    <xf numFmtId="170" fontId="28" fillId="0" borderId="0" xfId="29" applyFont="1"/>
    <xf numFmtId="0" fontId="69" fillId="0" borderId="0" xfId="28" applyFont="1"/>
    <xf numFmtId="170" fontId="69" fillId="0" borderId="0" xfId="29" applyFont="1"/>
    <xf numFmtId="0" fontId="64" fillId="0" borderId="0" xfId="28" applyFont="1"/>
    <xf numFmtId="0" fontId="70" fillId="0" borderId="0" xfId="28" applyFont="1" applyAlignment="1">
      <alignment horizontal="left"/>
    </xf>
    <xf numFmtId="0" fontId="70" fillId="0" borderId="0" xfId="28" applyFont="1"/>
    <xf numFmtId="0" fontId="70" fillId="0" borderId="0" xfId="28" applyFont="1" applyAlignment="1">
      <alignment horizontal="right"/>
    </xf>
    <xf numFmtId="0" fontId="69" fillId="0" borderId="0" xfId="30" applyFont="1"/>
    <xf numFmtId="0" fontId="69" fillId="0" borderId="0" xfId="28" applyFont="1" applyAlignment="1">
      <alignment horizontal="center"/>
    </xf>
    <xf numFmtId="0" fontId="69" fillId="0" borderId="0" xfId="28" applyFont="1" applyAlignment="1">
      <alignment horizontal="left" vertical="top"/>
    </xf>
    <xf numFmtId="170" fontId="28" fillId="0" borderId="0" xfId="28" applyNumberFormat="1" applyFont="1"/>
    <xf numFmtId="170" fontId="70" fillId="0" borderId="0" xfId="29" applyFont="1"/>
    <xf numFmtId="170" fontId="72" fillId="0" borderId="0" xfId="29" applyFont="1"/>
    <xf numFmtId="0" fontId="73" fillId="0" borderId="0" xfId="28" applyFont="1"/>
    <xf numFmtId="0" fontId="74" fillId="0" borderId="0" xfId="28" applyFont="1"/>
    <xf numFmtId="170" fontId="73" fillId="0" borderId="0" xfId="29" applyFont="1"/>
    <xf numFmtId="0" fontId="75" fillId="0" borderId="0" xfId="28" applyFont="1"/>
    <xf numFmtId="181" fontId="28" fillId="0" borderId="0" xfId="28" applyNumberFormat="1" applyFont="1"/>
    <xf numFmtId="182" fontId="28" fillId="0" borderId="33" xfId="28" applyNumberFormat="1" applyFont="1" applyBorder="1" applyAlignment="1">
      <alignment horizontal="right"/>
    </xf>
    <xf numFmtId="0" fontId="64" fillId="0" borderId="0" xfId="28" applyFont="1" applyAlignment="1">
      <alignment horizontal="right"/>
    </xf>
    <xf numFmtId="4" fontId="28" fillId="0" borderId="34" xfId="28" applyNumberFormat="1" applyFont="1" applyBorder="1"/>
    <xf numFmtId="4" fontId="28" fillId="0" borderId="35" xfId="28" applyNumberFormat="1" applyFont="1" applyBorder="1" applyAlignment="1">
      <alignment horizontal="center"/>
    </xf>
    <xf numFmtId="4" fontId="28" fillId="0" borderId="36" xfId="28" applyNumberFormat="1" applyFont="1" applyBorder="1" applyAlignment="1">
      <alignment horizontal="center"/>
    </xf>
    <xf numFmtId="0" fontId="28" fillId="0" borderId="37" xfId="28" applyFont="1" applyBorder="1"/>
    <xf numFmtId="0" fontId="13" fillId="0" borderId="38" xfId="28" applyFont="1" applyBorder="1"/>
    <xf numFmtId="49" fontId="28" fillId="0" borderId="38" xfId="28" applyNumberFormat="1" applyFont="1" applyBorder="1" applyAlignment="1">
      <alignment horizontal="center"/>
    </xf>
    <xf numFmtId="49" fontId="28" fillId="0" borderId="37" xfId="28" applyNumberFormat="1" applyFont="1" applyBorder="1" applyAlignment="1">
      <alignment horizontal="center"/>
    </xf>
    <xf numFmtId="4" fontId="28" fillId="0" borderId="39" xfId="28" applyNumberFormat="1" applyFont="1" applyBorder="1" applyAlignment="1">
      <alignment horizontal="center"/>
    </xf>
    <xf numFmtId="4" fontId="28" fillId="0" borderId="4" xfId="28" applyNumberFormat="1" applyFont="1" applyBorder="1" applyAlignment="1">
      <alignment horizontal="center"/>
    </xf>
    <xf numFmtId="4" fontId="28" fillId="0" borderId="6" xfId="28" applyNumberFormat="1" applyFont="1" applyBorder="1" applyAlignment="1">
      <alignment horizontal="center"/>
    </xf>
    <xf numFmtId="0" fontId="28" fillId="0" borderId="11" xfId="28" applyFont="1" applyBorder="1"/>
    <xf numFmtId="0" fontId="13" fillId="0" borderId="5" xfId="28" applyFont="1" applyBorder="1"/>
    <xf numFmtId="49" fontId="28" fillId="0" borderId="5" xfId="28" applyNumberFormat="1" applyFont="1" applyBorder="1" applyAlignment="1">
      <alignment horizontal="center"/>
    </xf>
    <xf numFmtId="49" fontId="28" fillId="0" borderId="11" xfId="28" applyNumberFormat="1" applyFont="1" applyBorder="1" applyAlignment="1">
      <alignment horizontal="center"/>
    </xf>
    <xf numFmtId="4" fontId="28" fillId="0" borderId="40" xfId="28" applyNumberFormat="1" applyFont="1" applyBorder="1" applyAlignment="1">
      <alignment horizontal="center"/>
    </xf>
    <xf numFmtId="4" fontId="28" fillId="0" borderId="1" xfId="28" applyNumberFormat="1" applyFont="1" applyBorder="1" applyAlignment="1">
      <alignment horizontal="center"/>
    </xf>
    <xf numFmtId="4" fontId="28" fillId="0" borderId="3" xfId="28" applyNumberFormat="1" applyFont="1" applyBorder="1" applyAlignment="1">
      <alignment horizontal="center"/>
    </xf>
    <xf numFmtId="0" fontId="28" fillId="0" borderId="9" xfId="28" applyFont="1" applyBorder="1"/>
    <xf numFmtId="0" fontId="13" fillId="0" borderId="2" xfId="28" applyFont="1" applyBorder="1"/>
    <xf numFmtId="49" fontId="28" fillId="0" borderId="2" xfId="28" applyNumberFormat="1" applyFont="1" applyBorder="1" applyAlignment="1">
      <alignment horizontal="center"/>
    </xf>
    <xf numFmtId="49" fontId="28" fillId="0" borderId="9" xfId="28" applyNumberFormat="1" applyFont="1" applyBorder="1" applyAlignment="1">
      <alignment horizontal="center"/>
    </xf>
    <xf numFmtId="0" fontId="13" fillId="0" borderId="4" xfId="28" applyFont="1" applyBorder="1"/>
    <xf numFmtId="49" fontId="28" fillId="0" borderId="4" xfId="28" applyNumberFormat="1" applyFont="1" applyBorder="1" applyAlignment="1">
      <alignment horizontal="center"/>
    </xf>
    <xf numFmtId="4" fontId="28" fillId="0" borderId="41" xfId="28" applyNumberFormat="1" applyFont="1" applyBorder="1" applyAlignment="1">
      <alignment horizontal="center"/>
    </xf>
    <xf numFmtId="4" fontId="28" fillId="0" borderId="0" xfId="28" applyNumberFormat="1" applyFont="1" applyAlignment="1">
      <alignment horizontal="center"/>
    </xf>
    <xf numFmtId="4" fontId="28" fillId="0" borderId="9" xfId="28" applyNumberFormat="1" applyFont="1" applyBorder="1" applyAlignment="1">
      <alignment horizontal="center"/>
    </xf>
    <xf numFmtId="0" fontId="13" fillId="0" borderId="1" xfId="28" applyFont="1" applyBorder="1"/>
    <xf numFmtId="49" fontId="28" fillId="0" borderId="1" xfId="28" applyNumberFormat="1" applyFont="1" applyBorder="1" applyAlignment="1">
      <alignment horizontal="center"/>
    </xf>
    <xf numFmtId="4" fontId="28" fillId="0" borderId="11" xfId="28" applyNumberFormat="1" applyFont="1" applyBorder="1" applyAlignment="1">
      <alignment horizontal="center"/>
    </xf>
    <xf numFmtId="181" fontId="28" fillId="0" borderId="39" xfId="28" applyNumberFormat="1" applyFont="1" applyBorder="1" applyAlignment="1">
      <alignment horizontal="center"/>
    </xf>
    <xf numFmtId="0" fontId="28" fillId="0" borderId="5" xfId="28" applyFont="1" applyBorder="1"/>
    <xf numFmtId="182" fontId="28" fillId="0" borderId="40" xfId="28" applyNumberFormat="1" applyFont="1" applyBorder="1" applyAlignment="1">
      <alignment horizontal="center"/>
    </xf>
    <xf numFmtId="0" fontId="28" fillId="0" borderId="1" xfId="28" applyFont="1" applyBorder="1"/>
    <xf numFmtId="0" fontId="28" fillId="0" borderId="3" xfId="28" applyFont="1" applyBorder="1"/>
    <xf numFmtId="181" fontId="28" fillId="0" borderId="40" xfId="28" applyNumberFormat="1" applyFont="1" applyBorder="1" applyAlignment="1">
      <alignment horizontal="center"/>
    </xf>
    <xf numFmtId="0" fontId="28" fillId="0" borderId="1" xfId="28" applyFont="1" applyBorder="1" applyAlignment="1">
      <alignment horizontal="center"/>
    </xf>
    <xf numFmtId="0" fontId="28" fillId="0" borderId="3" xfId="28" applyFont="1" applyBorder="1" applyAlignment="1">
      <alignment horizontal="center"/>
    </xf>
    <xf numFmtId="182" fontId="28" fillId="0" borderId="1" xfId="28" applyNumberFormat="1" applyFont="1" applyBorder="1" applyAlignment="1">
      <alignment horizontal="center"/>
    </xf>
    <xf numFmtId="182" fontId="28" fillId="0" borderId="3" xfId="28" applyNumberFormat="1" applyFont="1" applyBorder="1" applyAlignment="1">
      <alignment horizontal="center"/>
    </xf>
    <xf numFmtId="181" fontId="28" fillId="0" borderId="42" xfId="28" applyNumberFormat="1" applyFont="1" applyBorder="1" applyAlignment="1">
      <alignment horizontal="right"/>
    </xf>
    <xf numFmtId="0" fontId="28" fillId="0" borderId="10" xfId="28" applyFont="1" applyBorder="1" applyAlignment="1">
      <alignment horizontal="center"/>
    </xf>
    <xf numFmtId="0" fontId="28" fillId="0" borderId="15" xfId="28" applyFont="1" applyBorder="1"/>
    <xf numFmtId="0" fontId="13" fillId="0" borderId="12" xfId="28" applyFont="1" applyBorder="1"/>
    <xf numFmtId="49" fontId="28" fillId="0" borderId="12" xfId="28" applyNumberFormat="1" applyFont="1" applyBorder="1" applyAlignment="1">
      <alignment horizontal="center"/>
    </xf>
    <xf numFmtId="49" fontId="28" fillId="0" borderId="15" xfId="28" applyNumberFormat="1" applyFont="1" applyBorder="1" applyAlignment="1">
      <alignment horizontal="center"/>
    </xf>
    <xf numFmtId="182" fontId="28" fillId="0" borderId="42" xfId="28" applyNumberFormat="1" applyFont="1" applyBorder="1" applyAlignment="1">
      <alignment horizontal="right"/>
    </xf>
    <xf numFmtId="182" fontId="28" fillId="0" borderId="10" xfId="28" applyNumberFormat="1" applyFont="1" applyBorder="1" applyAlignment="1">
      <alignment horizontal="center"/>
    </xf>
    <xf numFmtId="182" fontId="28" fillId="0" borderId="42" xfId="28" applyNumberFormat="1" applyFont="1" applyBorder="1" applyAlignment="1">
      <alignment horizontal="center"/>
    </xf>
    <xf numFmtId="182" fontId="28" fillId="0" borderId="12" xfId="28" applyNumberFormat="1" applyFont="1" applyBorder="1" applyAlignment="1">
      <alignment horizontal="center"/>
    </xf>
    <xf numFmtId="182" fontId="28" fillId="0" borderId="13" xfId="28" applyNumberFormat="1" applyFont="1" applyBorder="1" applyAlignment="1">
      <alignment horizontal="center"/>
    </xf>
    <xf numFmtId="182" fontId="28" fillId="0" borderId="11" xfId="28" applyNumberFormat="1" applyFont="1" applyBorder="1" applyAlignment="1">
      <alignment horizontal="center"/>
    </xf>
    <xf numFmtId="182" fontId="28" fillId="0" borderId="39" xfId="28" applyNumberFormat="1" applyFont="1" applyBorder="1" applyAlignment="1">
      <alignment horizontal="center"/>
    </xf>
    <xf numFmtId="182" fontId="28" fillId="0" borderId="9" xfId="28" applyNumberFormat="1" applyFont="1" applyBorder="1" applyAlignment="1">
      <alignment horizontal="center"/>
    </xf>
    <xf numFmtId="49" fontId="28" fillId="0" borderId="0" xfId="28" applyNumberFormat="1" applyFont="1" applyAlignment="1">
      <alignment horizontal="center"/>
    </xf>
    <xf numFmtId="49" fontId="28" fillId="0" borderId="43" xfId="28" applyNumberFormat="1" applyFont="1" applyBorder="1" applyAlignment="1">
      <alignment horizontal="center"/>
    </xf>
    <xf numFmtId="182" fontId="28" fillId="0" borderId="15" xfId="28" applyNumberFormat="1" applyFont="1" applyBorder="1" applyAlignment="1">
      <alignment horizontal="center"/>
    </xf>
    <xf numFmtId="49" fontId="28" fillId="0" borderId="10" xfId="28" applyNumberFormat="1" applyFont="1" applyBorder="1" applyAlignment="1">
      <alignment horizontal="center"/>
    </xf>
    <xf numFmtId="170" fontId="69" fillId="0" borderId="9" xfId="29" applyFont="1" applyBorder="1" applyAlignment="1">
      <alignment horizontal="center"/>
    </xf>
    <xf numFmtId="49" fontId="69" fillId="0" borderId="0" xfId="28" applyNumberFormat="1" applyFont="1" applyAlignment="1">
      <alignment horizontal="center"/>
    </xf>
    <xf numFmtId="170" fontId="75" fillId="0" borderId="0" xfId="29" applyFont="1"/>
    <xf numFmtId="183" fontId="75" fillId="0" borderId="0" xfId="28" applyNumberFormat="1" applyFont="1"/>
    <xf numFmtId="182" fontId="11" fillId="0" borderId="9" xfId="28" applyNumberFormat="1" applyBorder="1" applyAlignment="1">
      <alignment horizontal="center"/>
    </xf>
    <xf numFmtId="4" fontId="69" fillId="0" borderId="0" xfId="30" applyNumberFormat="1" applyFont="1"/>
    <xf numFmtId="184" fontId="75" fillId="0" borderId="0" xfId="28" applyNumberFormat="1" applyFont="1"/>
    <xf numFmtId="184" fontId="28" fillId="0" borderId="0" xfId="29" applyNumberFormat="1" applyFont="1"/>
    <xf numFmtId="184" fontId="73" fillId="0" borderId="0" xfId="28" applyNumberFormat="1" applyFont="1"/>
    <xf numFmtId="182" fontId="28" fillId="0" borderId="33" xfId="28" applyNumberFormat="1" applyFont="1" applyBorder="1" applyAlignment="1">
      <alignment horizontal="center"/>
    </xf>
    <xf numFmtId="0" fontId="28" fillId="0" borderId="33" xfId="28" applyFont="1" applyBorder="1" applyAlignment="1">
      <alignment horizontal="center"/>
    </xf>
    <xf numFmtId="49" fontId="28" fillId="0" borderId="33" xfId="28" applyNumberFormat="1" applyFont="1" applyBorder="1" applyAlignment="1">
      <alignment horizontal="center"/>
    </xf>
    <xf numFmtId="0" fontId="28" fillId="0" borderId="37" xfId="28" applyFont="1" applyBorder="1" applyAlignment="1">
      <alignment horizontal="center"/>
    </xf>
    <xf numFmtId="0" fontId="64" fillId="0" borderId="13" xfId="28" applyFont="1" applyBorder="1" applyAlignment="1">
      <alignment horizontal="center"/>
    </xf>
    <xf numFmtId="0" fontId="64" fillId="0" borderId="15" xfId="28" applyFont="1" applyBorder="1"/>
    <xf numFmtId="0" fontId="28" fillId="0" borderId="13" xfId="28" applyFont="1" applyBorder="1"/>
    <xf numFmtId="0" fontId="64" fillId="0" borderId="8" xfId="28" applyFont="1" applyBorder="1" applyAlignment="1">
      <alignment horizontal="center"/>
    </xf>
    <xf numFmtId="0" fontId="64" fillId="0" borderId="14" xfId="28" applyFont="1" applyBorder="1" applyAlignment="1">
      <alignment horizontal="center"/>
    </xf>
    <xf numFmtId="0" fontId="28" fillId="0" borderId="8" xfId="28" applyFont="1" applyBorder="1"/>
    <xf numFmtId="0" fontId="28" fillId="0" borderId="2" xfId="28" applyFont="1" applyBorder="1"/>
    <xf numFmtId="0" fontId="64" fillId="0" borderId="2" xfId="28" applyFont="1" applyBorder="1"/>
    <xf numFmtId="0" fontId="64" fillId="0" borderId="6" xfId="28" applyFont="1" applyBorder="1" applyAlignment="1">
      <alignment horizontal="center"/>
    </xf>
    <xf numFmtId="0" fontId="64" fillId="0" borderId="11" xfId="28" applyFont="1" applyBorder="1" applyAlignment="1">
      <alignment horizontal="center"/>
    </xf>
    <xf numFmtId="0" fontId="13" fillId="0" borderId="0" xfId="28" applyFont="1"/>
    <xf numFmtId="170" fontId="64" fillId="0" borderId="0" xfId="29" applyFont="1" applyBorder="1"/>
    <xf numFmtId="0" fontId="76" fillId="0" borderId="0" xfId="28" applyFont="1"/>
    <xf numFmtId="170" fontId="76" fillId="0" borderId="0" xfId="29" applyFont="1"/>
    <xf numFmtId="183" fontId="76" fillId="0" borderId="0" xfId="28" applyNumberFormat="1" applyFont="1"/>
    <xf numFmtId="14" fontId="28" fillId="0" borderId="33" xfId="28" applyNumberFormat="1" applyFont="1" applyBorder="1" applyAlignment="1">
      <alignment horizontal="center"/>
    </xf>
    <xf numFmtId="14" fontId="28" fillId="0" borderId="45" xfId="28" applyNumberFormat="1" applyFont="1" applyBorder="1" applyAlignment="1">
      <alignment horizontal="center"/>
    </xf>
    <xf numFmtId="0" fontId="28" fillId="0" borderId="46" xfId="28" applyFont="1" applyBorder="1" applyAlignment="1">
      <alignment horizontal="center"/>
    </xf>
    <xf numFmtId="0" fontId="76" fillId="0" borderId="33" xfId="28" applyFont="1" applyBorder="1" applyAlignment="1">
      <alignment horizontal="center"/>
    </xf>
    <xf numFmtId="0" fontId="28" fillId="0" borderId="7" xfId="28" applyFont="1" applyBorder="1"/>
    <xf numFmtId="0" fontId="76" fillId="0" borderId="47" xfId="28" applyFont="1" applyBorder="1" applyAlignment="1">
      <alignment horizontal="right"/>
    </xf>
    <xf numFmtId="0" fontId="76" fillId="0" borderId="0" xfId="28" applyFont="1" applyAlignment="1">
      <alignment horizontal="center"/>
    </xf>
    <xf numFmtId="0" fontId="76" fillId="0" borderId="48" xfId="28" applyFont="1" applyBorder="1" applyAlignment="1">
      <alignment horizontal="center"/>
    </xf>
    <xf numFmtId="0" fontId="76" fillId="0" borderId="49" xfId="28" applyFont="1" applyBorder="1" applyAlignment="1">
      <alignment horizontal="center"/>
    </xf>
    <xf numFmtId="14" fontId="76" fillId="0" borderId="0" xfId="28" applyNumberFormat="1" applyFont="1" applyAlignment="1">
      <alignment horizontal="center"/>
    </xf>
    <xf numFmtId="0" fontId="76" fillId="0" borderId="0" xfId="28" applyFont="1" applyAlignment="1">
      <alignment horizontal="right"/>
    </xf>
    <xf numFmtId="185" fontId="77" fillId="0" borderId="0" xfId="28" applyNumberFormat="1" applyFont="1" applyAlignment="1">
      <alignment horizontal="center"/>
    </xf>
    <xf numFmtId="0" fontId="77" fillId="0" borderId="0" xfId="28" applyFont="1"/>
    <xf numFmtId="184" fontId="76" fillId="0" borderId="0" xfId="28" applyNumberFormat="1" applyFont="1"/>
    <xf numFmtId="0" fontId="64" fillId="0" borderId="0" xfId="28" applyFont="1" applyAlignment="1">
      <alignment horizontal="center"/>
    </xf>
    <xf numFmtId="4" fontId="20" fillId="0" borderId="0" xfId="28" applyNumberFormat="1" applyFont="1"/>
    <xf numFmtId="14" fontId="11" fillId="0" borderId="33" xfId="28" applyNumberFormat="1" applyBorder="1" applyAlignment="1">
      <alignment horizontal="center"/>
    </xf>
    <xf numFmtId="0" fontId="64" fillId="0" borderId="9" xfId="28" applyFont="1" applyBorder="1" applyAlignment="1">
      <alignment horizontal="center"/>
    </xf>
    <xf numFmtId="14" fontId="76" fillId="0" borderId="0" xfId="28" applyNumberFormat="1" applyFont="1"/>
    <xf numFmtId="49" fontId="11" fillId="0" borderId="33" xfId="28" applyNumberFormat="1" applyBorder="1" applyAlignment="1">
      <alignment horizontal="center"/>
    </xf>
    <xf numFmtId="0" fontId="28" fillId="0" borderId="0" xfId="28" applyFont="1" applyAlignment="1">
      <alignment vertical="center" wrapText="1"/>
    </xf>
    <xf numFmtId="0" fontId="79" fillId="0" borderId="0" xfId="28" applyFont="1" applyAlignment="1">
      <alignment vertical="center" wrapText="1"/>
    </xf>
    <xf numFmtId="183" fontId="28" fillId="0" borderId="0" xfId="28" applyNumberFormat="1" applyFont="1"/>
    <xf numFmtId="0" fontId="28" fillId="0" borderId="0" xfId="28" applyFont="1" applyAlignment="1">
      <alignment vertical="top"/>
    </xf>
    <xf numFmtId="170" fontId="76" fillId="0" borderId="0" xfId="29" applyFont="1" applyBorder="1"/>
    <xf numFmtId="0" fontId="28" fillId="0" borderId="9" xfId="28" applyFont="1" applyBorder="1" applyAlignment="1">
      <alignment horizontal="center"/>
    </xf>
    <xf numFmtId="0" fontId="79" fillId="0" borderId="0" xfId="28" applyFont="1"/>
    <xf numFmtId="0" fontId="28" fillId="0" borderId="9" xfId="30" applyFont="1" applyBorder="1" applyAlignment="1">
      <alignment horizontal="center"/>
    </xf>
    <xf numFmtId="0" fontId="64" fillId="0" borderId="0" xfId="30" applyFont="1" applyAlignment="1">
      <alignment horizontal="center"/>
    </xf>
    <xf numFmtId="0" fontId="77" fillId="0" borderId="0" xfId="31" applyFont="1" applyBorder="1"/>
    <xf numFmtId="184" fontId="77" fillId="0" borderId="0" xfId="29" applyNumberFormat="1" applyFont="1" applyBorder="1" applyAlignment="1">
      <alignment horizontal="center" wrapText="1"/>
    </xf>
    <xf numFmtId="10" fontId="77" fillId="0" borderId="0" xfId="31" applyNumberFormat="1" applyFont="1" applyBorder="1" applyAlignment="1">
      <alignment horizontal="center"/>
    </xf>
    <xf numFmtId="185" fontId="77" fillId="0" borderId="0" xfId="31" applyNumberFormat="1" applyFont="1" applyBorder="1" applyAlignment="1">
      <alignment horizontal="center"/>
    </xf>
    <xf numFmtId="0" fontId="62" fillId="0" borderId="0" xfId="25" applyFont="1" applyBorder="1" applyAlignment="1">
      <alignment horizontal="left" wrapText="1"/>
    </xf>
    <xf numFmtId="179" fontId="62" fillId="0" borderId="0" xfId="25" applyNumberFormat="1" applyFont="1" applyBorder="1" applyAlignment="1">
      <alignment horizontal="right"/>
    </xf>
    <xf numFmtId="0" fontId="62" fillId="0" borderId="0" xfId="25" applyFont="1" applyBorder="1"/>
    <xf numFmtId="0" fontId="59" fillId="0" borderId="0" xfId="25" applyFont="1" applyAlignment="1">
      <alignment horizontal="right" wrapText="1"/>
    </xf>
    <xf numFmtId="0" fontId="59" fillId="0" borderId="19" xfId="25" applyFont="1" applyBorder="1" applyAlignment="1">
      <alignment horizontal="center" wrapText="1"/>
    </xf>
    <xf numFmtId="0" fontId="64" fillId="0" borderId="0" xfId="25" applyFont="1"/>
    <xf numFmtId="0" fontId="59" fillId="0" borderId="28" xfId="25" applyFont="1" applyBorder="1" applyAlignment="1">
      <alignment horizontal="center" vertical="center" wrapText="1"/>
    </xf>
    <xf numFmtId="0" fontId="59" fillId="0" borderId="0" xfId="26" applyFont="1" applyAlignment="1">
      <alignment horizontal="right" wrapText="1"/>
    </xf>
    <xf numFmtId="0" fontId="64" fillId="0" borderId="0" xfId="26" applyFont="1"/>
    <xf numFmtId="0" fontId="63" fillId="0" borderId="0" xfId="26" applyFont="1" applyAlignment="1">
      <alignment horizontal="center" wrapText="1"/>
    </xf>
    <xf numFmtId="0" fontId="66" fillId="4" borderId="11" xfId="25" applyFont="1" applyFill="1" applyBorder="1" applyAlignment="1">
      <alignment horizontal="left" vertical="top" wrapText="1"/>
    </xf>
    <xf numFmtId="0" fontId="66" fillId="4" borderId="11" xfId="25" applyFont="1" applyFill="1" applyBorder="1" applyAlignment="1">
      <alignment horizontal="right"/>
    </xf>
    <xf numFmtId="180" fontId="66" fillId="4" borderId="11" xfId="25" applyNumberFormat="1" applyFont="1" applyFill="1" applyBorder="1" applyAlignment="1">
      <alignment horizontal="right"/>
    </xf>
    <xf numFmtId="179" fontId="66" fillId="4" borderId="11" xfId="25" applyNumberFormat="1" applyFont="1" applyFill="1" applyBorder="1" applyAlignment="1">
      <alignment horizontal="right"/>
    </xf>
    <xf numFmtId="0" fontId="64" fillId="4" borderId="0" xfId="25" applyFont="1" applyFill="1"/>
    <xf numFmtId="0" fontId="66" fillId="5" borderId="11" xfId="25" applyFont="1" applyFill="1" applyBorder="1" applyAlignment="1">
      <alignment horizontal="left" vertical="top" wrapText="1"/>
    </xf>
    <xf numFmtId="0" fontId="66" fillId="5" borderId="11" xfId="25" applyFont="1" applyFill="1" applyBorder="1" applyAlignment="1">
      <alignment horizontal="right"/>
    </xf>
    <xf numFmtId="180" fontId="66" fillId="5" borderId="11" xfId="25" applyNumberFormat="1" applyFont="1" applyFill="1" applyBorder="1" applyAlignment="1">
      <alignment horizontal="right"/>
    </xf>
    <xf numFmtId="179" fontId="66" fillId="5" borderId="11" xfId="25" applyNumberFormat="1" applyFont="1" applyFill="1" applyBorder="1" applyAlignment="1">
      <alignment horizontal="right"/>
    </xf>
    <xf numFmtId="0" fontId="64" fillId="5" borderId="0" xfId="25" applyFont="1" applyFill="1"/>
    <xf numFmtId="0" fontId="64" fillId="0" borderId="0" xfId="25" applyFont="1" applyAlignment="1">
      <alignment horizontal="center" vertical="center" wrapText="1"/>
    </xf>
    <xf numFmtId="0" fontId="65" fillId="4" borderId="9" xfId="25" applyFont="1" applyFill="1" applyBorder="1" applyAlignment="1">
      <alignment horizontal="center" vertical="center" wrapText="1"/>
    </xf>
    <xf numFmtId="0" fontId="64" fillId="4" borderId="9" xfId="25" applyFont="1" applyFill="1" applyBorder="1" applyAlignment="1">
      <alignment horizontal="center" vertical="center" wrapText="1"/>
    </xf>
    <xf numFmtId="0" fontId="64" fillId="5" borderId="9" xfId="25" applyFont="1" applyFill="1" applyBorder="1" applyAlignment="1">
      <alignment horizontal="center" vertical="center" wrapText="1"/>
    </xf>
    <xf numFmtId="0" fontId="65" fillId="0" borderId="0" xfId="25" applyFont="1" applyAlignment="1">
      <alignment horizontal="center" vertical="center" wrapText="1"/>
    </xf>
    <xf numFmtId="0" fontId="62" fillId="0" borderId="0" xfId="25" applyFont="1" applyAlignment="1">
      <alignment horizontal="center" vertical="center" wrapText="1"/>
    </xf>
    <xf numFmtId="0" fontId="65" fillId="0" borderId="9" xfId="25" applyFont="1" applyBorder="1" applyAlignment="1">
      <alignment horizontal="center" vertical="center" wrapText="1"/>
    </xf>
    <xf numFmtId="0" fontId="64" fillId="0" borderId="0" xfId="26" applyFont="1" applyAlignment="1">
      <alignment horizontal="center" vertical="center"/>
    </xf>
    <xf numFmtId="0" fontId="64" fillId="0" borderId="0" xfId="25" applyFont="1" applyAlignment="1">
      <alignment horizontal="center" vertical="center"/>
    </xf>
    <xf numFmtId="0" fontId="65" fillId="0" borderId="0" xfId="26" applyFont="1" applyAlignment="1">
      <alignment horizontal="center" vertical="center"/>
    </xf>
    <xf numFmtId="0" fontId="65" fillId="0" borderId="0" xfId="25" applyFont="1" applyAlignment="1">
      <alignment horizontal="center" vertical="center"/>
    </xf>
    <xf numFmtId="0" fontId="62" fillId="0" borderId="0" xfId="25" applyFont="1" applyAlignment="1">
      <alignment horizontal="center" vertical="center"/>
    </xf>
    <xf numFmtId="0" fontId="65" fillId="0" borderId="1" xfId="26" applyFont="1" applyBorder="1" applyAlignment="1"/>
    <xf numFmtId="0" fontId="65" fillId="0" borderId="2" xfId="26" applyFont="1" applyBorder="1" applyAlignment="1"/>
    <xf numFmtId="0" fontId="65" fillId="0" borderId="3" xfId="26" applyFont="1" applyBorder="1" applyAlignment="1"/>
    <xf numFmtId="0" fontId="83" fillId="0" borderId="0" xfId="32" applyFont="1"/>
    <xf numFmtId="0" fontId="85" fillId="0" borderId="0" xfId="32" applyFont="1" applyAlignment="1">
      <alignment horizontal="right"/>
    </xf>
    <xf numFmtId="49" fontId="85" fillId="0" borderId="0" xfId="32" applyNumberFormat="1" applyFont="1"/>
    <xf numFmtId="49" fontId="85" fillId="0" borderId="0" xfId="32" applyNumberFormat="1" applyFont="1" applyAlignment="1">
      <alignment horizontal="right"/>
    </xf>
    <xf numFmtId="0" fontId="85" fillId="0" borderId="0" xfId="32" applyFont="1"/>
    <xf numFmtId="49" fontId="85" fillId="0" borderId="0" xfId="32" applyNumberFormat="1" applyFont="1" applyAlignment="1">
      <alignment horizontal="left" vertical="top"/>
    </xf>
    <xf numFmtId="49" fontId="85" fillId="0" borderId="0" xfId="32" applyNumberFormat="1" applyFont="1" applyAlignment="1">
      <alignment vertical="top"/>
    </xf>
    <xf numFmtId="49" fontId="85" fillId="0" borderId="0" xfId="32" applyNumberFormat="1" applyFont="1" applyAlignment="1">
      <alignment wrapText="1"/>
    </xf>
    <xf numFmtId="0" fontId="85" fillId="0" borderId="0" xfId="32" applyFont="1" applyAlignment="1">
      <alignment wrapText="1"/>
    </xf>
    <xf numFmtId="49" fontId="86" fillId="0" borderId="0" xfId="32" applyNumberFormat="1" applyFont="1" applyAlignment="1">
      <alignment vertical="top" wrapText="1"/>
    </xf>
    <xf numFmtId="49" fontId="85" fillId="0" borderId="0" xfId="32" applyNumberFormat="1" applyFont="1" applyAlignment="1">
      <alignment vertical="top" wrapText="1"/>
    </xf>
    <xf numFmtId="49" fontId="85" fillId="0" borderId="0" xfId="32" applyNumberFormat="1" applyFont="1" applyAlignment="1">
      <alignment horizontal="left"/>
    </xf>
    <xf numFmtId="0" fontId="83" fillId="0" borderId="0" xfId="33"/>
    <xf numFmtId="0" fontId="85" fillId="0" borderId="0" xfId="33" applyFont="1" applyAlignment="1">
      <alignment wrapText="1"/>
    </xf>
    <xf numFmtId="49" fontId="87" fillId="0" borderId="0" xfId="33" applyNumberFormat="1" applyFont="1" applyAlignment="1">
      <alignment horizontal="center" vertical="top"/>
    </xf>
    <xf numFmtId="49" fontId="88" fillId="0" borderId="0" xfId="32" applyNumberFormat="1" applyFont="1" applyAlignment="1">
      <alignment horizontal="center"/>
    </xf>
    <xf numFmtId="49" fontId="89" fillId="0" borderId="10" xfId="32" applyNumberFormat="1" applyFont="1" applyBorder="1" applyAlignment="1">
      <alignment horizontal="center"/>
    </xf>
    <xf numFmtId="49" fontId="89" fillId="0" borderId="0" xfId="32" applyNumberFormat="1" applyFont="1"/>
    <xf numFmtId="49" fontId="87" fillId="0" borderId="0" xfId="32" applyNumberFormat="1" applyFont="1"/>
    <xf numFmtId="49" fontId="89" fillId="0" borderId="0" xfId="32" applyNumberFormat="1" applyFont="1" applyAlignment="1">
      <alignment horizontal="right" vertical="top"/>
    </xf>
    <xf numFmtId="49" fontId="87" fillId="0" borderId="0" xfId="32" applyNumberFormat="1" applyFont="1" applyAlignment="1">
      <alignment horizontal="center"/>
    </xf>
    <xf numFmtId="49" fontId="90" fillId="0" borderId="0" xfId="32" applyNumberFormat="1" applyFont="1" applyAlignment="1">
      <alignment horizontal="left"/>
    </xf>
    <xf numFmtId="49" fontId="85" fillId="0" borderId="0" xfId="32" applyNumberFormat="1" applyFont="1" applyAlignment="1">
      <alignment horizontal="center"/>
    </xf>
    <xf numFmtId="0" fontId="85" fillId="0" borderId="0" xfId="32" applyFont="1" applyAlignment="1">
      <alignment horizontal="center"/>
    </xf>
    <xf numFmtId="4" fontId="85" fillId="0" borderId="10" xfId="32" applyNumberFormat="1" applyFont="1" applyBorder="1"/>
    <xf numFmtId="49" fontId="89" fillId="0" borderId="10" xfId="32" applyNumberFormat="1" applyFont="1" applyBorder="1" applyAlignment="1">
      <alignment horizontal="right"/>
    </xf>
    <xf numFmtId="0" fontId="85" fillId="0" borderId="0" xfId="32" applyFont="1" applyAlignment="1">
      <alignment horizontal="left"/>
    </xf>
    <xf numFmtId="0" fontId="85" fillId="0" borderId="0" xfId="32" applyFont="1" applyAlignment="1">
      <alignment vertical="center" wrapText="1"/>
    </xf>
    <xf numFmtId="0" fontId="87" fillId="0" borderId="0" xfId="32" applyFont="1"/>
    <xf numFmtId="4" fontId="85" fillId="0" borderId="0" xfId="32" applyNumberFormat="1" applyFont="1"/>
    <xf numFmtId="49" fontId="89" fillId="0" borderId="0" xfId="32" applyNumberFormat="1" applyFont="1" applyAlignment="1">
      <alignment horizontal="right"/>
    </xf>
    <xf numFmtId="0" fontId="90" fillId="0" borderId="0" xfId="32" applyFont="1"/>
    <xf numFmtId="49" fontId="85" fillId="0" borderId="10" xfId="32" applyNumberFormat="1" applyFont="1" applyBorder="1" applyAlignment="1">
      <alignment horizontal="right"/>
    </xf>
    <xf numFmtId="49" fontId="89" fillId="0" borderId="2" xfId="32" applyNumberFormat="1" applyFont="1" applyBorder="1" applyAlignment="1">
      <alignment horizontal="right"/>
    </xf>
    <xf numFmtId="49" fontId="89" fillId="0" borderId="0" xfId="32" applyNumberFormat="1" applyFont="1" applyAlignment="1">
      <alignment vertical="center"/>
    </xf>
    <xf numFmtId="0" fontId="89" fillId="0" borderId="9" xfId="32" applyFont="1" applyBorder="1" applyAlignment="1">
      <alignment horizontal="center" vertical="center" wrapText="1"/>
    </xf>
    <xf numFmtId="49" fontId="89" fillId="0" borderId="9" xfId="32" applyNumberFormat="1" applyFont="1" applyBorder="1" applyAlignment="1">
      <alignment horizontal="center" vertical="center"/>
    </xf>
    <xf numFmtId="0" fontId="89" fillId="0" borderId="9" xfId="32" applyFont="1" applyBorder="1" applyAlignment="1">
      <alignment horizontal="center" vertical="center"/>
    </xf>
    <xf numFmtId="0" fontId="91" fillId="0" borderId="0" xfId="32" applyFont="1" applyAlignment="1">
      <alignment wrapText="1"/>
    </xf>
    <xf numFmtId="49" fontId="92" fillId="0" borderId="4" xfId="32" applyNumberFormat="1" applyFont="1" applyBorder="1" applyAlignment="1">
      <alignment horizontal="center" vertical="top" wrapText="1"/>
    </xf>
    <xf numFmtId="49" fontId="92" fillId="0" borderId="5" xfId="32" applyNumberFormat="1" applyFont="1" applyBorder="1" applyAlignment="1">
      <alignment horizontal="left" vertical="top" wrapText="1"/>
    </xf>
    <xf numFmtId="49" fontId="92" fillId="0" borderId="5" xfId="32" applyNumberFormat="1" applyFont="1" applyBorder="1" applyAlignment="1">
      <alignment horizontal="center" vertical="top" wrapText="1"/>
    </xf>
    <xf numFmtId="0" fontId="92" fillId="0" borderId="5" xfId="32" applyFont="1" applyBorder="1" applyAlignment="1">
      <alignment horizontal="center" vertical="top" wrapText="1"/>
    </xf>
    <xf numFmtId="1" fontId="92" fillId="0" borderId="5" xfId="32" applyNumberFormat="1" applyFont="1" applyBorder="1" applyAlignment="1">
      <alignment horizontal="center" vertical="top" wrapText="1"/>
    </xf>
    <xf numFmtId="168" fontId="92" fillId="0" borderId="5" xfId="32" applyNumberFormat="1" applyFont="1" applyBorder="1" applyAlignment="1">
      <alignment horizontal="center" vertical="top" wrapText="1"/>
    </xf>
    <xf numFmtId="0" fontId="92" fillId="0" borderId="5" xfId="32" applyFont="1" applyBorder="1" applyAlignment="1">
      <alignment horizontal="right" vertical="top" wrapText="1"/>
    </xf>
    <xf numFmtId="0" fontId="92" fillId="0" borderId="6" xfId="32" applyFont="1" applyBorder="1" applyAlignment="1">
      <alignment horizontal="right" vertical="top" wrapText="1"/>
    </xf>
    <xf numFmtId="0" fontId="92" fillId="0" borderId="0" xfId="32" applyFont="1" applyAlignment="1">
      <alignment wrapText="1"/>
    </xf>
    <xf numFmtId="49" fontId="89" fillId="0" borderId="7" xfId="32" applyNumberFormat="1" applyFont="1" applyBorder="1" applyAlignment="1">
      <alignment horizontal="center" vertical="top" wrapText="1"/>
    </xf>
    <xf numFmtId="49" fontId="89" fillId="0" borderId="0" xfId="32" applyNumberFormat="1" applyFont="1" applyAlignment="1">
      <alignment horizontal="left" vertical="top" wrapText="1"/>
    </xf>
    <xf numFmtId="0" fontId="89" fillId="0" borderId="0" xfId="32" applyFont="1" applyAlignment="1">
      <alignment wrapText="1"/>
    </xf>
    <xf numFmtId="49" fontId="89" fillId="0" borderId="7" xfId="32" applyNumberFormat="1" applyFont="1" applyBorder="1" applyAlignment="1">
      <alignment vertical="center" wrapText="1"/>
    </xf>
    <xf numFmtId="49" fontId="89" fillId="0" borderId="0" xfId="32" applyNumberFormat="1" applyFont="1" applyAlignment="1">
      <alignment horizontal="right" vertical="top" wrapText="1"/>
    </xf>
    <xf numFmtId="49" fontId="89" fillId="0" borderId="7" xfId="32" applyNumberFormat="1" applyFont="1" applyBorder="1" applyAlignment="1">
      <alignment horizontal="center" vertical="center" wrapText="1"/>
    </xf>
    <xf numFmtId="49" fontId="89" fillId="0" borderId="0" xfId="32" applyNumberFormat="1" applyFont="1" applyAlignment="1">
      <alignment horizontal="center" vertical="top" wrapText="1"/>
    </xf>
    <xf numFmtId="0" fontId="89" fillId="0" borderId="0" xfId="32" applyFont="1" applyAlignment="1">
      <alignment horizontal="center" vertical="top" wrapText="1"/>
    </xf>
    <xf numFmtId="2" fontId="89" fillId="0" borderId="0" xfId="32" applyNumberFormat="1" applyFont="1" applyAlignment="1">
      <alignment horizontal="right" vertical="top" wrapText="1"/>
    </xf>
    <xf numFmtId="168" fontId="89" fillId="0" borderId="0" xfId="32" applyNumberFormat="1" applyFont="1" applyAlignment="1">
      <alignment horizontal="center" vertical="top" wrapText="1"/>
    </xf>
    <xf numFmtId="2" fontId="89" fillId="0" borderId="0" xfId="32" applyNumberFormat="1" applyFont="1" applyAlignment="1">
      <alignment horizontal="center" vertical="top" wrapText="1"/>
    </xf>
    <xf numFmtId="4" fontId="89" fillId="0" borderId="8" xfId="32" applyNumberFormat="1" applyFont="1" applyBorder="1" applyAlignment="1">
      <alignment horizontal="right" vertical="top" wrapText="1"/>
    </xf>
    <xf numFmtId="4" fontId="89" fillId="0" borderId="0" xfId="32" applyNumberFormat="1" applyFont="1" applyAlignment="1">
      <alignment horizontal="right" vertical="top" wrapText="1"/>
    </xf>
    <xf numFmtId="2" fontId="89" fillId="0" borderId="8" xfId="32" applyNumberFormat="1" applyFont="1" applyBorder="1" applyAlignment="1">
      <alignment horizontal="right" vertical="top" wrapText="1"/>
    </xf>
    <xf numFmtId="49" fontId="89" fillId="0" borderId="7" xfId="32" applyNumberFormat="1" applyFont="1" applyBorder="1" applyAlignment="1">
      <alignment horizontal="right" vertical="top" wrapText="1"/>
    </xf>
    <xf numFmtId="186" fontId="89" fillId="0" borderId="0" xfId="32" applyNumberFormat="1" applyFont="1" applyAlignment="1">
      <alignment horizontal="center" vertical="top" wrapText="1"/>
    </xf>
    <xf numFmtId="176" fontId="89" fillId="0" borderId="0" xfId="32" applyNumberFormat="1" applyFont="1" applyAlignment="1">
      <alignment horizontal="center" vertical="top" wrapText="1"/>
    </xf>
    <xf numFmtId="0" fontId="89" fillId="0" borderId="0" xfId="32" applyFont="1" applyAlignment="1">
      <alignment horizontal="right" vertical="top" wrapText="1"/>
    </xf>
    <xf numFmtId="0" fontId="89" fillId="0" borderId="8" xfId="32" applyFont="1" applyBorder="1" applyAlignment="1">
      <alignment horizontal="right" vertical="top" wrapText="1"/>
    </xf>
    <xf numFmtId="187" fontId="89" fillId="0" borderId="0" xfId="32" applyNumberFormat="1" applyFont="1" applyAlignment="1">
      <alignment horizontal="center" vertical="top" wrapText="1"/>
    </xf>
    <xf numFmtId="49" fontId="89" fillId="0" borderId="5" xfId="32" applyNumberFormat="1" applyFont="1" applyBorder="1" applyAlignment="1">
      <alignment horizontal="center" vertical="top" wrapText="1"/>
    </xf>
    <xf numFmtId="0" fontId="89" fillId="0" borderId="5" xfId="32" applyFont="1" applyBorder="1" applyAlignment="1">
      <alignment horizontal="center" vertical="top" wrapText="1"/>
    </xf>
    <xf numFmtId="4" fontId="89" fillId="0" borderId="5" xfId="32" applyNumberFormat="1" applyFont="1" applyBorder="1" applyAlignment="1">
      <alignment horizontal="right" vertical="top" wrapText="1"/>
    </xf>
    <xf numFmtId="4" fontId="89" fillId="0" borderId="6" xfId="32" applyNumberFormat="1" applyFont="1" applyBorder="1" applyAlignment="1">
      <alignment horizontal="right" vertical="top" wrapText="1"/>
    </xf>
    <xf numFmtId="1" fontId="89" fillId="0" borderId="0" xfId="32" applyNumberFormat="1" applyFont="1" applyAlignment="1">
      <alignment horizontal="center" vertical="top" wrapText="1"/>
    </xf>
    <xf numFmtId="49" fontId="92" fillId="0" borderId="7" xfId="32" applyNumberFormat="1" applyFont="1" applyBorder="1" applyAlignment="1">
      <alignment horizontal="center" vertical="top" wrapText="1"/>
    </xf>
    <xf numFmtId="49" fontId="92" fillId="0" borderId="0" xfId="32" applyNumberFormat="1" applyFont="1" applyAlignment="1">
      <alignment horizontal="left" vertical="top" wrapText="1"/>
    </xf>
    <xf numFmtId="4" fontId="92" fillId="0" borderId="5" xfId="32" applyNumberFormat="1" applyFont="1" applyBorder="1" applyAlignment="1">
      <alignment horizontal="right" vertical="top" wrapText="1"/>
    </xf>
    <xf numFmtId="4" fontId="92" fillId="0" borderId="6" xfId="32" applyNumberFormat="1" applyFont="1" applyBorder="1" applyAlignment="1">
      <alignment horizontal="right" vertical="top" wrapText="1"/>
    </xf>
    <xf numFmtId="165" fontId="89" fillId="0" borderId="0" xfId="32" applyNumberFormat="1" applyFont="1" applyAlignment="1">
      <alignment horizontal="center" vertical="top" wrapText="1"/>
    </xf>
    <xf numFmtId="2" fontId="89" fillId="0" borderId="5" xfId="32" applyNumberFormat="1" applyFont="1" applyBorder="1" applyAlignment="1">
      <alignment horizontal="right" vertical="top" wrapText="1"/>
    </xf>
    <xf numFmtId="188" fontId="89" fillId="0" borderId="0" xfId="32" applyNumberFormat="1" applyFont="1" applyAlignment="1">
      <alignment horizontal="center" vertical="top" wrapText="1"/>
    </xf>
    <xf numFmtId="2" fontId="92" fillId="0" borderId="5" xfId="32" applyNumberFormat="1" applyFont="1" applyBorder="1" applyAlignment="1">
      <alignment horizontal="right" vertical="top" wrapText="1"/>
    </xf>
    <xf numFmtId="2" fontId="92" fillId="0" borderId="5" xfId="32" applyNumberFormat="1" applyFont="1" applyBorder="1" applyAlignment="1">
      <alignment horizontal="center" vertical="top" wrapText="1"/>
    </xf>
    <xf numFmtId="188" fontId="92" fillId="0" borderId="5" xfId="32" applyNumberFormat="1" applyFont="1" applyBorder="1" applyAlignment="1">
      <alignment horizontal="center" vertical="top" wrapText="1"/>
    </xf>
    <xf numFmtId="165" fontId="92" fillId="0" borderId="5" xfId="32" applyNumberFormat="1" applyFont="1" applyBorder="1" applyAlignment="1">
      <alignment horizontal="center" vertical="top" wrapText="1"/>
    </xf>
    <xf numFmtId="186" fontId="92" fillId="0" borderId="5" xfId="32" applyNumberFormat="1" applyFont="1" applyBorder="1" applyAlignment="1">
      <alignment horizontal="center" vertical="top" wrapText="1"/>
    </xf>
    <xf numFmtId="49" fontId="92" fillId="0" borderId="0" xfId="32" applyNumberFormat="1" applyFont="1" applyAlignment="1">
      <alignment horizontal="center" vertical="top" wrapText="1"/>
    </xf>
    <xf numFmtId="0" fontId="92" fillId="0" borderId="0" xfId="32" applyFont="1" applyAlignment="1">
      <alignment horizontal="left" vertical="top" wrapText="1"/>
    </xf>
    <xf numFmtId="0" fontId="92" fillId="0" borderId="0" xfId="32" applyFont="1" applyAlignment="1">
      <alignment horizontal="center" vertical="top" wrapText="1"/>
    </xf>
    <xf numFmtId="0" fontId="92" fillId="0" borderId="0" xfId="32" applyFont="1" applyAlignment="1">
      <alignment horizontal="right" vertical="top" wrapText="1"/>
    </xf>
    <xf numFmtId="49" fontId="89" fillId="0" borderId="4" xfId="32" applyNumberFormat="1" applyFont="1" applyBorder="1"/>
    <xf numFmtId="49" fontId="92" fillId="0" borderId="5" xfId="32" applyNumberFormat="1" applyFont="1" applyBorder="1" applyAlignment="1">
      <alignment horizontal="right" vertical="top" wrapText="1"/>
    </xf>
    <xf numFmtId="0" fontId="92" fillId="0" borderId="5" xfId="32" applyFont="1" applyBorder="1" applyAlignment="1">
      <alignment horizontal="right" vertical="top"/>
    </xf>
    <xf numFmtId="0" fontId="92" fillId="0" borderId="5" xfId="32" applyFont="1" applyBorder="1" applyAlignment="1">
      <alignment horizontal="center" vertical="top"/>
    </xf>
    <xf numFmtId="0" fontId="92" fillId="0" borderId="6" xfId="32" applyFont="1" applyBorder="1" applyAlignment="1">
      <alignment horizontal="right" vertical="top"/>
    </xf>
    <xf numFmtId="49" fontId="89" fillId="0" borderId="7" xfId="32" applyNumberFormat="1" applyFont="1" applyBorder="1"/>
    <xf numFmtId="4" fontId="89" fillId="0" borderId="0" xfId="32" applyNumberFormat="1" applyFont="1" applyAlignment="1">
      <alignment horizontal="right" vertical="top"/>
    </xf>
    <xf numFmtId="0" fontId="89" fillId="0" borderId="0" xfId="32" applyFont="1" applyAlignment="1">
      <alignment horizontal="center" vertical="top"/>
    </xf>
    <xf numFmtId="0" fontId="89" fillId="0" borderId="8" xfId="32" applyFont="1" applyBorder="1" applyAlignment="1">
      <alignment horizontal="right" vertical="top"/>
    </xf>
    <xf numFmtId="0" fontId="89" fillId="0" borderId="0" xfId="32" applyFont="1" applyAlignment="1">
      <alignment horizontal="right" vertical="top"/>
    </xf>
    <xf numFmtId="2" fontId="89" fillId="0" borderId="0" xfId="32" applyNumberFormat="1" applyFont="1" applyAlignment="1">
      <alignment horizontal="right" vertical="top"/>
    </xf>
    <xf numFmtId="49" fontId="92" fillId="0" borderId="0" xfId="32" applyNumberFormat="1" applyFont="1" applyAlignment="1">
      <alignment horizontal="right" vertical="top" wrapText="1"/>
    </xf>
    <xf numFmtId="4" fontId="92" fillId="0" borderId="0" xfId="32" applyNumberFormat="1" applyFont="1" applyAlignment="1">
      <alignment horizontal="right" vertical="top"/>
    </xf>
    <xf numFmtId="0" fontId="92" fillId="0" borderId="0" xfId="32" applyFont="1" applyAlignment="1">
      <alignment horizontal="center" vertical="top"/>
    </xf>
    <xf numFmtId="0" fontId="92" fillId="0" borderId="8" xfId="32" applyFont="1" applyBorder="1" applyAlignment="1">
      <alignment horizontal="right" vertical="top"/>
    </xf>
    <xf numFmtId="187" fontId="92" fillId="0" borderId="5" xfId="32" applyNumberFormat="1" applyFont="1" applyBorder="1" applyAlignment="1">
      <alignment horizontal="center" vertical="top" wrapText="1"/>
    </xf>
    <xf numFmtId="2" fontId="92" fillId="0" borderId="6" xfId="32" applyNumberFormat="1" applyFont="1" applyBorder="1" applyAlignment="1">
      <alignment horizontal="right" vertical="top" wrapText="1"/>
    </xf>
    <xf numFmtId="2" fontId="89" fillId="0" borderId="6" xfId="32" applyNumberFormat="1" applyFont="1" applyBorder="1" applyAlignment="1">
      <alignment horizontal="right" vertical="top" wrapText="1"/>
    </xf>
    <xf numFmtId="49" fontId="89" fillId="0" borderId="0" xfId="32" applyNumberFormat="1" applyFont="1" applyAlignment="1">
      <alignment vertical="top"/>
    </xf>
    <xf numFmtId="0" fontId="89" fillId="0" borderId="0" xfId="32" applyFont="1" applyAlignment="1">
      <alignment vertical="top"/>
    </xf>
    <xf numFmtId="0" fontId="89" fillId="6" borderId="0" xfId="32" applyFont="1" applyFill="1"/>
    <xf numFmtId="4" fontId="89" fillId="0" borderId="8" xfId="32" applyNumberFormat="1" applyFont="1" applyBorder="1" applyAlignment="1">
      <alignment horizontal="right" vertical="top"/>
    </xf>
    <xf numFmtId="4" fontId="92" fillId="0" borderId="8" xfId="32" applyNumberFormat="1" applyFont="1" applyBorder="1" applyAlignment="1">
      <alignment horizontal="right" vertical="top"/>
    </xf>
    <xf numFmtId="49" fontId="89" fillId="0" borderId="7" xfId="33" applyNumberFormat="1" applyFont="1" applyBorder="1"/>
    <xf numFmtId="49" fontId="92" fillId="0" borderId="0" xfId="33" applyNumberFormat="1" applyFont="1" applyAlignment="1">
      <alignment horizontal="right" vertical="top" wrapText="1"/>
    </xf>
    <xf numFmtId="4" fontId="92" fillId="0" borderId="0" xfId="33" applyNumberFormat="1" applyFont="1" applyAlignment="1">
      <alignment horizontal="right" vertical="top"/>
    </xf>
    <xf numFmtId="0" fontId="92" fillId="0" borderId="0" xfId="33" applyFont="1" applyAlignment="1">
      <alignment horizontal="center" vertical="top"/>
    </xf>
    <xf numFmtId="4" fontId="94" fillId="0" borderId="8" xfId="33" applyNumberFormat="1" applyFont="1" applyBorder="1" applyAlignment="1">
      <alignment horizontal="right" vertical="top"/>
    </xf>
    <xf numFmtId="0" fontId="92" fillId="0" borderId="0" xfId="33" applyFont="1" applyAlignment="1">
      <alignment wrapText="1"/>
    </xf>
    <xf numFmtId="4" fontId="92" fillId="0" borderId="8" xfId="33" applyNumberFormat="1" applyFont="1" applyBorder="1" applyAlignment="1">
      <alignment horizontal="right" vertical="top"/>
    </xf>
    <xf numFmtId="4" fontId="83" fillId="0" borderId="0" xfId="33" applyNumberFormat="1"/>
    <xf numFmtId="49" fontId="94" fillId="0" borderId="7" xfId="33" applyNumberFormat="1" applyFont="1" applyBorder="1"/>
    <xf numFmtId="49" fontId="94" fillId="0" borderId="0" xfId="33" applyNumberFormat="1" applyFont="1" applyAlignment="1">
      <alignment horizontal="right" vertical="top" wrapText="1"/>
    </xf>
    <xf numFmtId="4" fontId="94" fillId="0" borderId="0" xfId="33" applyNumberFormat="1" applyFont="1" applyAlignment="1">
      <alignment horizontal="right" vertical="top"/>
    </xf>
    <xf numFmtId="0" fontId="94" fillId="0" borderId="0" xfId="33" applyFont="1" applyAlignment="1">
      <alignment horizontal="center" vertical="top"/>
    </xf>
    <xf numFmtId="0" fontId="10" fillId="0" borderId="0" xfId="33" applyFont="1"/>
    <xf numFmtId="0" fontId="94" fillId="0" borderId="0" xfId="33" applyFont="1" applyAlignment="1">
      <alignment wrapText="1"/>
    </xf>
    <xf numFmtId="49" fontId="89" fillId="0" borderId="12" xfId="33" applyNumberFormat="1" applyFont="1" applyBorder="1"/>
    <xf numFmtId="49" fontId="92" fillId="0" borderId="10" xfId="33" applyNumberFormat="1" applyFont="1" applyBorder="1" applyAlignment="1">
      <alignment horizontal="right" vertical="top" wrapText="1"/>
    </xf>
    <xf numFmtId="4" fontId="92" fillId="0" borderId="10" xfId="33" applyNumberFormat="1" applyFont="1" applyBorder="1" applyAlignment="1">
      <alignment horizontal="right" vertical="top"/>
    </xf>
    <xf numFmtId="0" fontId="92" fillId="0" borderId="10" xfId="33" applyFont="1" applyBorder="1" applyAlignment="1">
      <alignment horizontal="center" vertical="top"/>
    </xf>
    <xf numFmtId="4" fontId="92" fillId="0" borderId="13" xfId="33" applyNumberFormat="1" applyFont="1" applyBorder="1" applyAlignment="1">
      <alignment horizontal="right" vertical="top"/>
    </xf>
    <xf numFmtId="0" fontId="85" fillId="0" borderId="0" xfId="32" applyFont="1" applyAlignment="1">
      <alignment horizontal="right" vertical="top"/>
    </xf>
    <xf numFmtId="0" fontId="85" fillId="0" borderId="0" xfId="32" applyFont="1" applyAlignment="1">
      <alignment vertical="top"/>
    </xf>
    <xf numFmtId="0" fontId="85" fillId="0" borderId="0" xfId="32" applyFont="1" applyAlignment="1">
      <alignment vertical="top" wrapText="1"/>
    </xf>
    <xf numFmtId="0" fontId="87" fillId="0" borderId="0" xfId="32" applyFont="1" applyAlignment="1">
      <alignment horizontal="center" vertical="center"/>
    </xf>
    <xf numFmtId="0" fontId="92" fillId="0" borderId="0" xfId="32" applyFont="1" applyAlignment="1">
      <alignment vertical="top" wrapText="1"/>
    </xf>
    <xf numFmtId="0" fontId="89" fillId="0" borderId="0" xfId="32" applyFont="1"/>
    <xf numFmtId="0" fontId="64" fillId="0" borderId="9" xfId="26" applyFont="1" applyBorder="1" applyAlignment="1">
      <alignment horizontal="center" vertical="center" wrapText="1"/>
    </xf>
    <xf numFmtId="0" fontId="66" fillId="5" borderId="11" xfId="26" applyFont="1" applyFill="1" applyBorder="1" applyAlignment="1">
      <alignment horizontal="left" vertical="top" wrapText="1"/>
    </xf>
    <xf numFmtId="0" fontId="66" fillId="5" borderId="11" xfId="26" applyFont="1" applyFill="1" applyBorder="1" applyAlignment="1">
      <alignment horizontal="right"/>
    </xf>
    <xf numFmtId="180" fontId="66" fillId="5" borderId="11" xfId="26" applyNumberFormat="1" applyFont="1" applyFill="1" applyBorder="1" applyAlignment="1">
      <alignment horizontal="right"/>
    </xf>
    <xf numFmtId="179" fontId="66" fillId="5" borderId="11" xfId="26" applyNumberFormat="1" applyFont="1" applyFill="1" applyBorder="1" applyAlignment="1">
      <alignment horizontal="right"/>
    </xf>
    <xf numFmtId="0" fontId="64" fillId="5" borderId="9" xfId="26" applyFont="1" applyFill="1" applyBorder="1" applyAlignment="1">
      <alignment horizontal="center" vertical="center"/>
    </xf>
    <xf numFmtId="0" fontId="64" fillId="5" borderId="9" xfId="26" applyFont="1" applyFill="1" applyBorder="1" applyAlignment="1">
      <alignment horizontal="center" vertical="center" wrapText="1"/>
    </xf>
    <xf numFmtId="0" fontId="64" fillId="5" borderId="0" xfId="26" applyFont="1" applyFill="1"/>
    <xf numFmtId="0" fontId="0" fillId="0" borderId="0" xfId="0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96" fillId="0" borderId="9" xfId="0" applyFont="1" applyBorder="1" applyAlignment="1">
      <alignment horizontal="center" vertical="center"/>
    </xf>
    <xf numFmtId="0" fontId="96" fillId="0" borderId="9" xfId="0" applyFont="1" applyBorder="1" applyAlignment="1">
      <alignment horizontal="left" vertical="center"/>
    </xf>
    <xf numFmtId="14" fontId="0" fillId="0" borderId="9" xfId="0" applyNumberFormat="1" applyBorder="1" applyAlignment="1">
      <alignment horizontal="center" vertical="center"/>
    </xf>
    <xf numFmtId="14" fontId="96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97" fillId="3" borderId="9" xfId="0" applyFont="1" applyFill="1" applyBorder="1" applyAlignment="1">
      <alignment horizontal="center" vertical="center"/>
    </xf>
    <xf numFmtId="0" fontId="97" fillId="3" borderId="0" xfId="0" applyFont="1" applyFill="1" applyAlignment="1">
      <alignment horizontal="center" vertical="center"/>
    </xf>
    <xf numFmtId="0" fontId="66" fillId="4" borderId="11" xfId="26" applyFont="1" applyFill="1" applyBorder="1" applyAlignment="1">
      <alignment horizontal="left" vertical="top" wrapText="1"/>
    </xf>
    <xf numFmtId="0" fontId="66" fillId="4" borderId="11" xfId="26" applyFont="1" applyFill="1" applyBorder="1" applyAlignment="1">
      <alignment horizontal="right"/>
    </xf>
    <xf numFmtId="180" fontId="66" fillId="4" borderId="11" xfId="26" applyNumberFormat="1" applyFont="1" applyFill="1" applyBorder="1" applyAlignment="1">
      <alignment horizontal="right"/>
    </xf>
    <xf numFmtId="179" fontId="66" fillId="4" borderId="11" xfId="26" applyNumberFormat="1" applyFont="1" applyFill="1" applyBorder="1" applyAlignment="1">
      <alignment horizontal="right"/>
    </xf>
    <xf numFmtId="0" fontId="64" fillId="4" borderId="0" xfId="26" applyFont="1" applyFill="1"/>
    <xf numFmtId="0" fontId="64" fillId="4" borderId="9" xfId="26" applyFont="1" applyFill="1" applyBorder="1" applyAlignment="1">
      <alignment horizontal="center" vertical="center"/>
    </xf>
    <xf numFmtId="0" fontId="64" fillId="4" borderId="9" xfId="26" applyFont="1" applyFill="1" applyBorder="1" applyAlignment="1">
      <alignment horizontal="center" vertical="center" wrapText="1"/>
    </xf>
    <xf numFmtId="0" fontId="64" fillId="5" borderId="0" xfId="26" applyFont="1" applyFill="1" applyAlignment="1">
      <alignment horizontal="center" vertical="center"/>
    </xf>
    <xf numFmtId="0" fontId="65" fillId="0" borderId="11" xfId="26" applyFont="1" applyBorder="1" applyAlignment="1">
      <alignment horizontal="centerContinuous" wrapText="1"/>
    </xf>
    <xf numFmtId="0" fontId="64" fillId="0" borderId="0" xfId="26" applyFont="1" applyAlignment="1">
      <alignment horizontal="center" vertical="center" wrapText="1"/>
    </xf>
    <xf numFmtId="0" fontId="65" fillId="0" borderId="0" xfId="26" applyFont="1" applyAlignment="1">
      <alignment horizontal="center" vertical="center" wrapText="1"/>
    </xf>
    <xf numFmtId="0" fontId="64" fillId="5" borderId="0" xfId="26" applyFont="1" applyFill="1" applyAlignment="1">
      <alignment horizontal="center" vertical="center" wrapText="1"/>
    </xf>
    <xf numFmtId="0" fontId="81" fillId="5" borderId="11" xfId="26" applyFont="1" applyFill="1" applyBorder="1" applyAlignment="1">
      <alignment horizontal="left" vertical="top" wrapText="1"/>
    </xf>
    <xf numFmtId="0" fontId="81" fillId="5" borderId="11" xfId="26" applyFont="1" applyFill="1" applyBorder="1" applyAlignment="1">
      <alignment horizontal="right"/>
    </xf>
    <xf numFmtId="180" fontId="81" fillId="5" borderId="11" xfId="26" applyNumberFormat="1" applyFont="1" applyFill="1" applyBorder="1" applyAlignment="1">
      <alignment horizontal="right"/>
    </xf>
    <xf numFmtId="179" fontId="81" fillId="5" borderId="11" xfId="26" applyNumberFormat="1" applyFont="1" applyFill="1" applyBorder="1" applyAlignment="1">
      <alignment horizontal="right"/>
    </xf>
    <xf numFmtId="0" fontId="80" fillId="5" borderId="0" xfId="26" applyFont="1" applyFill="1"/>
    <xf numFmtId="0" fontId="80" fillId="5" borderId="9" xfId="26" applyFont="1" applyFill="1" applyBorder="1" applyAlignment="1">
      <alignment horizontal="center" vertical="center" wrapText="1"/>
    </xf>
    <xf numFmtId="0" fontId="80" fillId="5" borderId="0" xfId="26" applyFont="1" applyFill="1" applyAlignment="1">
      <alignment horizontal="center" vertical="center"/>
    </xf>
    <xf numFmtId="4" fontId="98" fillId="0" borderId="0" xfId="26" applyNumberFormat="1" applyFont="1" applyAlignment="1">
      <alignment horizontal="center" vertical="center"/>
    </xf>
    <xf numFmtId="4" fontId="98" fillId="0" borderId="0" xfId="25" applyNumberFormat="1" applyFont="1" applyAlignment="1">
      <alignment horizontal="center" vertical="center"/>
    </xf>
    <xf numFmtId="4" fontId="98" fillId="5" borderId="0" xfId="26" applyNumberFormat="1" applyFont="1" applyFill="1" applyAlignment="1">
      <alignment horizontal="center" vertical="center"/>
    </xf>
    <xf numFmtId="4" fontId="100" fillId="0" borderId="0" xfId="25" applyNumberFormat="1" applyFont="1" applyAlignment="1">
      <alignment horizontal="center" vertical="center"/>
    </xf>
    <xf numFmtId="4" fontId="98" fillId="0" borderId="9" xfId="26" applyNumberFormat="1" applyFont="1" applyBorder="1" applyAlignment="1">
      <alignment horizontal="center" vertical="center"/>
    </xf>
    <xf numFmtId="4" fontId="99" fillId="0" borderId="9" xfId="26" applyNumberFormat="1" applyFont="1" applyBorder="1" applyAlignment="1">
      <alignment horizontal="center" vertical="center"/>
    </xf>
    <xf numFmtId="4" fontId="98" fillId="0" borderId="9" xfId="25" applyNumberFormat="1" applyFont="1" applyBorder="1" applyAlignment="1">
      <alignment horizontal="center" vertical="center"/>
    </xf>
    <xf numFmtId="4" fontId="99" fillId="0" borderId="9" xfId="25" applyNumberFormat="1" applyFont="1" applyBorder="1" applyAlignment="1">
      <alignment horizontal="center" vertical="center"/>
    </xf>
    <xf numFmtId="4" fontId="100" fillId="0" borderId="9" xfId="25" applyNumberFormat="1" applyFont="1" applyBorder="1" applyAlignment="1">
      <alignment horizontal="center" vertical="center"/>
    </xf>
    <xf numFmtId="189" fontId="64" fillId="5" borderId="0" xfId="26" applyNumberFormat="1" applyFont="1" applyFill="1" applyAlignment="1">
      <alignment horizontal="center" vertical="center"/>
    </xf>
    <xf numFmtId="4" fontId="80" fillId="0" borderId="9" xfId="26" applyNumberFormat="1" applyFont="1" applyBorder="1" applyAlignment="1">
      <alignment horizontal="center" vertical="center"/>
    </xf>
    <xf numFmtId="0" fontId="80" fillId="0" borderId="0" xfId="26" applyFont="1"/>
    <xf numFmtId="0" fontId="80" fillId="0" borderId="0" xfId="26" applyFont="1" applyAlignment="1">
      <alignment horizontal="center" vertical="center"/>
    </xf>
    <xf numFmtId="0" fontId="20" fillId="5" borderId="9" xfId="12" applyFont="1" applyFill="1" applyBorder="1" applyAlignment="1">
      <alignment horizontal="center" vertical="center"/>
    </xf>
    <xf numFmtId="49" fontId="20" fillId="5" borderId="9" xfId="12" applyNumberFormat="1" applyFont="1" applyFill="1" applyBorder="1" applyAlignment="1">
      <alignment horizontal="center" vertical="center" wrapText="1"/>
    </xf>
    <xf numFmtId="0" fontId="20" fillId="5" borderId="9" xfId="12" applyFont="1" applyFill="1" applyBorder="1" applyAlignment="1">
      <alignment horizontal="left" vertical="center" wrapText="1"/>
    </xf>
    <xf numFmtId="164" fontId="20" fillId="5" borderId="9" xfId="24" applyFont="1" applyFill="1" applyBorder="1" applyAlignment="1">
      <alignment horizontal="center" vertical="center"/>
    </xf>
    <xf numFmtId="177" fontId="20" fillId="5" borderId="9" xfId="12" applyNumberFormat="1" applyFont="1" applyFill="1" applyBorder="1" applyAlignment="1">
      <alignment horizontal="center" vertical="center"/>
    </xf>
    <xf numFmtId="4" fontId="18" fillId="5" borderId="9" xfId="12" applyNumberFormat="1" applyFont="1" applyFill="1" applyBorder="1" applyAlignment="1">
      <alignment horizontal="center" vertical="center"/>
    </xf>
    <xf numFmtId="4" fontId="15" fillId="5" borderId="9" xfId="12" applyNumberFormat="1" applyFont="1" applyFill="1" applyBorder="1" applyAlignment="1">
      <alignment horizontal="center" vertical="center"/>
    </xf>
    <xf numFmtId="3" fontId="20" fillId="5" borderId="9" xfId="12" applyNumberFormat="1" applyFont="1" applyFill="1" applyBorder="1" applyAlignment="1">
      <alignment horizontal="center" vertical="center"/>
    </xf>
    <xf numFmtId="4" fontId="16" fillId="5" borderId="0" xfId="12" applyNumberFormat="1" applyFont="1" applyFill="1"/>
    <xf numFmtId="0" fontId="16" fillId="5" borderId="0" xfId="12" applyFont="1" applyFill="1"/>
    <xf numFmtId="0" fontId="20" fillId="4" borderId="9" xfId="12" applyFont="1" applyFill="1" applyBorder="1" applyAlignment="1">
      <alignment horizontal="center" vertical="center"/>
    </xf>
    <xf numFmtId="49" fontId="20" fillId="4" borderId="9" xfId="12" applyNumberFormat="1" applyFont="1" applyFill="1" applyBorder="1" applyAlignment="1">
      <alignment horizontal="center" vertical="center" wrapText="1"/>
    </xf>
    <xf numFmtId="0" fontId="20" fillId="4" borderId="9" xfId="12" applyFont="1" applyFill="1" applyBorder="1" applyAlignment="1">
      <alignment horizontal="left" vertical="center" wrapText="1"/>
    </xf>
    <xf numFmtId="164" fontId="20" fillId="4" borderId="9" xfId="24" applyFont="1" applyFill="1" applyBorder="1" applyAlignment="1">
      <alignment horizontal="center" vertical="center"/>
    </xf>
    <xf numFmtId="177" fontId="20" fillId="4" borderId="9" xfId="12" applyNumberFormat="1" applyFont="1" applyFill="1" applyBorder="1" applyAlignment="1">
      <alignment horizontal="center" vertical="center"/>
    </xf>
    <xf numFmtId="4" fontId="18" fillId="4" borderId="9" xfId="12" applyNumberFormat="1" applyFont="1" applyFill="1" applyBorder="1" applyAlignment="1">
      <alignment horizontal="center" vertical="center"/>
    </xf>
    <xf numFmtId="4" fontId="15" fillId="4" borderId="9" xfId="12" applyNumberFormat="1" applyFont="1" applyFill="1" applyBorder="1" applyAlignment="1">
      <alignment horizontal="center" vertical="center"/>
    </xf>
    <xf numFmtId="3" fontId="20" fillId="4" borderId="9" xfId="12" applyNumberFormat="1" applyFont="1" applyFill="1" applyBorder="1" applyAlignment="1">
      <alignment horizontal="center" vertical="center"/>
    </xf>
    <xf numFmtId="4" fontId="16" fillId="4" borderId="0" xfId="12" applyNumberFormat="1" applyFont="1" applyFill="1"/>
    <xf numFmtId="0" fontId="16" fillId="4" borderId="0" xfId="12" applyFont="1" applyFill="1"/>
    <xf numFmtId="0" fontId="80" fillId="0" borderId="0" xfId="26" applyFont="1" applyAlignment="1">
      <alignment horizontal="left" vertical="center"/>
    </xf>
    <xf numFmtId="0" fontId="65" fillId="5" borderId="11" xfId="26" applyFont="1" applyFill="1" applyBorder="1" applyAlignment="1">
      <alignment horizontal="left" vertical="top" wrapText="1"/>
    </xf>
    <xf numFmtId="0" fontId="65" fillId="5" borderId="11" xfId="26" applyFont="1" applyFill="1" applyBorder="1" applyAlignment="1">
      <alignment horizontal="right"/>
    </xf>
    <xf numFmtId="180" fontId="65" fillId="5" borderId="11" xfId="26" applyNumberFormat="1" applyFont="1" applyFill="1" applyBorder="1" applyAlignment="1">
      <alignment horizontal="right"/>
    </xf>
    <xf numFmtId="179" fontId="65" fillId="5" borderId="11" xfId="26" applyNumberFormat="1" applyFont="1" applyFill="1" applyBorder="1" applyAlignment="1">
      <alignment horizontal="right"/>
    </xf>
    <xf numFmtId="0" fontId="65" fillId="4" borderId="11" xfId="26" applyFont="1" applyFill="1" applyBorder="1" applyAlignment="1">
      <alignment horizontal="left" vertical="top" wrapText="1"/>
    </xf>
    <xf numFmtId="0" fontId="65" fillId="4" borderId="11" xfId="26" applyFont="1" applyFill="1" applyBorder="1" applyAlignment="1">
      <alignment horizontal="right"/>
    </xf>
    <xf numFmtId="180" fontId="65" fillId="4" borderId="11" xfId="26" applyNumberFormat="1" applyFont="1" applyFill="1" applyBorder="1" applyAlignment="1">
      <alignment horizontal="right"/>
    </xf>
    <xf numFmtId="179" fontId="65" fillId="4" borderId="11" xfId="26" applyNumberFormat="1" applyFont="1" applyFill="1" applyBorder="1" applyAlignment="1">
      <alignment horizontal="right"/>
    </xf>
    <xf numFmtId="0" fontId="80" fillId="5" borderId="9" xfId="26" applyFont="1" applyFill="1" applyBorder="1" applyAlignment="1">
      <alignment horizontal="center" vertical="center"/>
    </xf>
    <xf numFmtId="0" fontId="66" fillId="5" borderId="9" xfId="26" applyFont="1" applyFill="1" applyBorder="1" applyAlignment="1">
      <alignment horizontal="left" vertical="top" wrapText="1"/>
    </xf>
    <xf numFmtId="0" fontId="67" fillId="5" borderId="9" xfId="26" applyFont="1" applyFill="1" applyBorder="1" applyAlignment="1">
      <alignment horizontal="right" vertical="top" wrapText="1"/>
    </xf>
    <xf numFmtId="0" fontId="66" fillId="5" borderId="9" xfId="26" applyFont="1" applyFill="1" applyBorder="1" applyAlignment="1">
      <alignment horizontal="right"/>
    </xf>
    <xf numFmtId="180" fontId="66" fillId="5" borderId="9" xfId="26" applyNumberFormat="1" applyFont="1" applyFill="1" applyBorder="1" applyAlignment="1">
      <alignment horizontal="right"/>
    </xf>
    <xf numFmtId="179" fontId="66" fillId="5" borderId="9" xfId="26" applyNumberFormat="1" applyFont="1" applyFill="1" applyBorder="1" applyAlignment="1">
      <alignment horizontal="right"/>
    </xf>
    <xf numFmtId="0" fontId="64" fillId="5" borderId="11" xfId="26" applyFont="1" applyFill="1" applyBorder="1"/>
    <xf numFmtId="0" fontId="61" fillId="5" borderId="11" xfId="26" applyFont="1" applyFill="1" applyBorder="1" applyAlignment="1">
      <alignment vertical="top" wrapText="1"/>
    </xf>
    <xf numFmtId="0" fontId="65" fillId="5" borderId="11" xfId="26" applyFont="1" applyFill="1" applyBorder="1" applyAlignment="1">
      <alignment horizontal="left" vertical="top"/>
    </xf>
    <xf numFmtId="0" fontId="65" fillId="5" borderId="11" xfId="26" applyFont="1" applyFill="1" applyBorder="1" applyAlignment="1">
      <alignment horizontal="right" vertical="top"/>
    </xf>
    <xf numFmtId="179" fontId="65" fillId="5" borderId="11" xfId="26" applyNumberFormat="1" applyFont="1" applyFill="1" applyBorder="1" applyAlignment="1">
      <alignment horizontal="right" vertical="top"/>
    </xf>
    <xf numFmtId="0" fontId="64" fillId="5" borderId="9" xfId="26" applyFont="1" applyFill="1" applyBorder="1" applyAlignment="1">
      <alignment horizontal="left" vertical="center"/>
    </xf>
    <xf numFmtId="0" fontId="64" fillId="5" borderId="9" xfId="26" applyFont="1" applyFill="1" applyBorder="1"/>
    <xf numFmtId="0" fontId="65" fillId="5" borderId="9" xfId="26" applyFont="1" applyFill="1" applyBorder="1" applyAlignment="1">
      <alignment horizontal="left" vertical="top"/>
    </xf>
    <xf numFmtId="0" fontId="65" fillId="5" borderId="9" xfId="26" applyFont="1" applyFill="1" applyBorder="1" applyAlignment="1">
      <alignment horizontal="right" vertical="top"/>
    </xf>
    <xf numFmtId="179" fontId="65" fillId="5" borderId="9" xfId="26" applyNumberFormat="1" applyFont="1" applyFill="1" applyBorder="1" applyAlignment="1">
      <alignment horizontal="right" vertical="top"/>
    </xf>
    <xf numFmtId="0" fontId="80" fillId="5" borderId="9" xfId="26" applyFont="1" applyFill="1" applyBorder="1" applyAlignment="1">
      <alignment horizontal="left" vertical="center"/>
    </xf>
    <xf numFmtId="0" fontId="80" fillId="0" borderId="0" xfId="27" applyFont="1"/>
    <xf numFmtId="49" fontId="20" fillId="4" borderId="9" xfId="12" applyNumberFormat="1" applyFont="1" applyFill="1" applyBorder="1" applyAlignment="1">
      <alignment horizontal="center" vertical="center"/>
    </xf>
    <xf numFmtId="0" fontId="80" fillId="0" borderId="9" xfId="26" applyFont="1" applyBorder="1" applyAlignment="1">
      <alignment horizontal="center" vertical="center" wrapText="1"/>
    </xf>
    <xf numFmtId="4" fontId="64" fillId="0" borderId="0" xfId="26" applyNumberFormat="1" applyFont="1"/>
    <xf numFmtId="179" fontId="62" fillId="0" borderId="0" xfId="25" applyNumberFormat="1" applyFont="1" applyAlignment="1">
      <alignment horizontal="center" vertical="center"/>
    </xf>
    <xf numFmtId="4" fontId="62" fillId="0" borderId="0" xfId="25" applyNumberFormat="1" applyFont="1" applyAlignment="1">
      <alignment horizontal="center" vertical="center"/>
    </xf>
    <xf numFmtId="10" fontId="64" fillId="0" borderId="0" xfId="26" applyNumberFormat="1" applyFont="1"/>
    <xf numFmtId="0" fontId="65" fillId="5" borderId="11" xfId="25" applyFont="1" applyFill="1" applyBorder="1" applyAlignment="1">
      <alignment horizontal="left" vertical="top" wrapText="1"/>
    </xf>
    <xf numFmtId="0" fontId="65" fillId="5" borderId="11" xfId="25" applyFont="1" applyFill="1" applyBorder="1" applyAlignment="1">
      <alignment horizontal="right"/>
    </xf>
    <xf numFmtId="180" fontId="65" fillId="5" borderId="11" xfId="25" applyNumberFormat="1" applyFont="1" applyFill="1" applyBorder="1" applyAlignment="1">
      <alignment horizontal="right"/>
    </xf>
    <xf numFmtId="179" fontId="65" fillId="5" borderId="11" xfId="25" applyNumberFormat="1" applyFont="1" applyFill="1" applyBorder="1" applyAlignment="1">
      <alignment horizontal="right"/>
    </xf>
    <xf numFmtId="0" fontId="20" fillId="2" borderId="0" xfId="12" applyFont="1" applyFill="1" applyAlignment="1">
      <alignment horizontal="left" vertical="top" wrapText="1"/>
    </xf>
    <xf numFmtId="0" fontId="18" fillId="2" borderId="0" xfId="12" applyFont="1" applyFill="1" applyAlignment="1">
      <alignment horizontal="left" wrapText="1"/>
    </xf>
    <xf numFmtId="0" fontId="18" fillId="2" borderId="10" xfId="12" applyFont="1" applyFill="1" applyBorder="1" applyAlignment="1">
      <alignment horizontal="center" wrapText="1"/>
    </xf>
    <xf numFmtId="0" fontId="20" fillId="2" borderId="0" xfId="12" applyFont="1" applyFill="1" applyAlignment="1">
      <alignment horizontal="center" vertical="top" wrapText="1"/>
    </xf>
    <xf numFmtId="0" fontId="20" fillId="2" borderId="5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center" vertical="center" wrapText="1"/>
    </xf>
    <xf numFmtId="0" fontId="20" fillId="2" borderId="0" xfId="12" applyFont="1" applyFill="1" applyAlignment="1">
      <alignment horizontal="left" wrapText="1"/>
    </xf>
    <xf numFmtId="0" fontId="18" fillId="2" borderId="1" xfId="12" applyFont="1" applyFill="1" applyBorder="1" applyAlignment="1">
      <alignment horizontal="right" vertical="center" wrapText="1"/>
    </xf>
    <xf numFmtId="0" fontId="18" fillId="2" borderId="2" xfId="12" applyFont="1" applyFill="1" applyBorder="1" applyAlignment="1">
      <alignment horizontal="right" vertical="center" wrapText="1"/>
    </xf>
    <xf numFmtId="0" fontId="18" fillId="2" borderId="3" xfId="12" applyFont="1" applyFill="1" applyBorder="1" applyAlignment="1">
      <alignment horizontal="right" vertical="center" wrapText="1"/>
    </xf>
    <xf numFmtId="169" fontId="18" fillId="2" borderId="1" xfId="12" applyNumberFormat="1" applyFont="1" applyFill="1" applyBorder="1" applyAlignment="1">
      <alignment horizontal="center" vertical="center" wrapText="1"/>
    </xf>
    <xf numFmtId="169" fontId="18" fillId="2" borderId="2" xfId="12" applyNumberFormat="1" applyFont="1" applyFill="1" applyBorder="1" applyAlignment="1">
      <alignment horizontal="center" vertical="center" wrapText="1"/>
    </xf>
    <xf numFmtId="169" fontId="18" fillId="2" borderId="3" xfId="12" applyNumberFormat="1" applyFont="1" applyFill="1" applyBorder="1" applyAlignment="1">
      <alignment horizontal="center" vertical="center" wrapText="1"/>
    </xf>
    <xf numFmtId="4" fontId="18" fillId="2" borderId="1" xfId="12" applyNumberFormat="1" applyFont="1" applyFill="1" applyBorder="1" applyAlignment="1">
      <alignment horizontal="center" vertical="center" wrapText="1"/>
    </xf>
    <xf numFmtId="4" fontId="18" fillId="2" borderId="2" xfId="12" applyNumberFormat="1" applyFont="1" applyFill="1" applyBorder="1" applyAlignment="1">
      <alignment horizontal="center" vertical="center" wrapText="1"/>
    </xf>
    <xf numFmtId="4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right" vertical="center" wrapText="1"/>
    </xf>
    <xf numFmtId="0" fontId="20" fillId="2" borderId="2" xfId="12" applyFont="1" applyFill="1" applyBorder="1" applyAlignment="1">
      <alignment horizontal="right" vertical="center" wrapText="1"/>
    </xf>
    <xf numFmtId="0" fontId="20" fillId="2" borderId="3" xfId="12" applyFont="1" applyFill="1" applyBorder="1" applyAlignment="1">
      <alignment horizontal="right" vertical="center" wrapText="1"/>
    </xf>
    <xf numFmtId="169" fontId="20" fillId="2" borderId="1" xfId="12" applyNumberFormat="1" applyFont="1" applyFill="1" applyBorder="1" applyAlignment="1">
      <alignment horizontal="center" vertical="center" wrapText="1"/>
    </xf>
    <xf numFmtId="169" fontId="20" fillId="2" borderId="2" xfId="12" applyNumberFormat="1" applyFont="1" applyFill="1" applyBorder="1" applyAlignment="1">
      <alignment horizontal="center" vertical="center" wrapText="1"/>
    </xf>
    <xf numFmtId="169" fontId="20" fillId="2" borderId="3" xfId="12" applyNumberFormat="1" applyFont="1" applyFill="1" applyBorder="1" applyAlignment="1">
      <alignment horizontal="center" vertical="center" wrapText="1"/>
    </xf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20" fillId="2" borderId="3" xfId="12" applyNumberFormat="1" applyFont="1" applyFill="1" applyBorder="1" applyAlignment="1">
      <alignment horizontal="center" vertical="center" wrapText="1"/>
    </xf>
    <xf numFmtId="49" fontId="20" fillId="2" borderId="1" xfId="12" applyNumberFormat="1" applyFont="1" applyFill="1" applyBorder="1" applyAlignment="1">
      <alignment horizontal="left" vertical="center" wrapText="1"/>
    </xf>
    <xf numFmtId="49" fontId="20" fillId="2" borderId="3" xfId="12" applyNumberFormat="1" applyFont="1" applyFill="1" applyBorder="1" applyAlignment="1">
      <alignment horizontal="left" vertical="center" wrapText="1"/>
    </xf>
    <xf numFmtId="0" fontId="20" fillId="2" borderId="9" xfId="12" applyFont="1" applyFill="1" applyBorder="1" applyAlignment="1">
      <alignment horizontal="center" vertical="center" wrapText="1"/>
    </xf>
    <xf numFmtId="4" fontId="8" fillId="2" borderId="11" xfId="12" applyNumberFormat="1" applyFont="1" applyFill="1" applyBorder="1" applyAlignment="1">
      <alignment horizontal="center" vertical="center" wrapText="1"/>
    </xf>
    <xf numFmtId="4" fontId="8" fillId="2" borderId="15" xfId="12" applyNumberFormat="1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left" vertical="center" wrapText="1"/>
    </xf>
    <xf numFmtId="0" fontId="18" fillId="2" borderId="3" xfId="12" applyFont="1" applyFill="1" applyBorder="1" applyAlignment="1">
      <alignment horizontal="left" vertical="center" wrapText="1"/>
    </xf>
    <xf numFmtId="0" fontId="20" fillId="2" borderId="10" xfId="12" applyFont="1" applyFill="1" applyBorder="1" applyAlignment="1">
      <alignment horizontal="center" vertical="top" wrapText="1"/>
    </xf>
    <xf numFmtId="0" fontId="20" fillId="2" borderId="4" xfId="12" applyFont="1" applyFill="1" applyBorder="1" applyAlignment="1">
      <alignment horizontal="center" vertical="center" wrapText="1"/>
    </xf>
    <xf numFmtId="0" fontId="20" fillId="2" borderId="5" xfId="12" applyFont="1" applyFill="1" applyBorder="1" applyAlignment="1">
      <alignment horizontal="center" vertical="center" wrapText="1"/>
    </xf>
    <xf numFmtId="0" fontId="20" fillId="2" borderId="12" xfId="12" applyFont="1" applyFill="1" applyBorder="1" applyAlignment="1">
      <alignment horizontal="center" vertical="center" wrapText="1"/>
    </xf>
    <xf numFmtId="0" fontId="20" fillId="2" borderId="10" xfId="12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center" wrapText="1"/>
    </xf>
    <xf numFmtId="0" fontId="20" fillId="2" borderId="2" xfId="12" applyFont="1" applyFill="1" applyBorder="1" applyAlignment="1">
      <alignment horizontal="center" vertical="center" wrapText="1"/>
    </xf>
    <xf numFmtId="0" fontId="20" fillId="2" borderId="3" xfId="12" applyFont="1" applyFill="1" applyBorder="1" applyAlignment="1">
      <alignment horizontal="center" vertical="center" wrapText="1"/>
    </xf>
    <xf numFmtId="0" fontId="20" fillId="2" borderId="9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center" wrapText="1"/>
    </xf>
    <xf numFmtId="49" fontId="20" fillId="2" borderId="2" xfId="12" applyNumberFormat="1" applyFont="1" applyFill="1" applyBorder="1" applyAlignment="1">
      <alignment horizontal="center" vertical="center" wrapText="1"/>
    </xf>
    <xf numFmtId="49" fontId="20" fillId="2" borderId="3" xfId="12" applyNumberFormat="1" applyFont="1" applyFill="1" applyBorder="1" applyAlignment="1">
      <alignment horizontal="center" vertical="center" wrapText="1"/>
    </xf>
    <xf numFmtId="14" fontId="20" fillId="2" borderId="1" xfId="12" applyNumberFormat="1" applyFont="1" applyFill="1" applyBorder="1" applyAlignment="1">
      <alignment horizontal="center" vertical="center" wrapText="1"/>
    </xf>
    <xf numFmtId="14" fontId="20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top" wrapText="1"/>
    </xf>
    <xf numFmtId="49" fontId="18" fillId="2" borderId="1" xfId="12" applyNumberFormat="1" applyFont="1" applyFill="1" applyBorder="1" applyAlignment="1">
      <alignment horizontal="center" vertical="center" wrapText="1"/>
    </xf>
    <xf numFmtId="49" fontId="18" fillId="2" borderId="2" xfId="12" applyNumberFormat="1" applyFont="1" applyFill="1" applyBorder="1" applyAlignment="1">
      <alignment horizontal="center" vertical="center" wrapText="1"/>
    </xf>
    <xf numFmtId="49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left" vertical="center" wrapText="1"/>
    </xf>
    <xf numFmtId="0" fontId="20" fillId="2" borderId="12" xfId="12" applyFont="1" applyFill="1" applyBorder="1" applyAlignment="1">
      <alignment horizontal="center" vertical="top" wrapText="1"/>
    </xf>
    <xf numFmtId="0" fontId="20" fillId="2" borderId="13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center" wrapText="1"/>
    </xf>
    <xf numFmtId="0" fontId="20" fillId="2" borderId="8" xfId="12" applyFont="1" applyFill="1" applyBorder="1" applyAlignment="1">
      <alignment horizontal="right" vertical="center" wrapText="1"/>
    </xf>
    <xf numFmtId="49" fontId="18" fillId="2" borderId="1" xfId="12" applyNumberFormat="1" applyFont="1" applyFill="1" applyBorder="1" applyAlignment="1">
      <alignment horizontal="center" vertical="center"/>
    </xf>
    <xf numFmtId="49" fontId="18" fillId="2" borderId="2" xfId="12" applyNumberFormat="1" applyFont="1" applyFill="1" applyBorder="1" applyAlignment="1">
      <alignment horizontal="center" vertical="center"/>
    </xf>
    <xf numFmtId="49" fontId="18" fillId="2" borderId="3" xfId="12" applyNumberFormat="1" applyFont="1" applyFill="1" applyBorder="1" applyAlignment="1">
      <alignment horizontal="center" vertical="center"/>
    </xf>
    <xf numFmtId="0" fontId="20" fillId="2" borderId="0" xfId="12" applyFont="1" applyFill="1" applyAlignment="1">
      <alignment horizontal="right" wrapText="1"/>
    </xf>
    <xf numFmtId="0" fontId="20" fillId="2" borderId="1" xfId="12" quotePrefix="1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horizontal="center" vertical="top" wrapText="1"/>
    </xf>
    <xf numFmtId="0" fontId="20" fillId="2" borderId="6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87" fillId="0" borderId="5" xfId="32" applyFont="1" applyBorder="1" applyAlignment="1">
      <alignment horizontal="center" vertical="top"/>
    </xf>
    <xf numFmtId="0" fontId="89" fillId="0" borderId="0" xfId="32" applyFont="1" applyAlignment="1">
      <alignment horizontal="left" vertical="top" wrapText="1"/>
    </xf>
    <xf numFmtId="49" fontId="94" fillId="0" borderId="0" xfId="33" applyNumberFormat="1" applyFont="1" applyAlignment="1">
      <alignment horizontal="left" vertical="top" wrapText="1"/>
    </xf>
    <xf numFmtId="49" fontId="93" fillId="0" borderId="10" xfId="33" applyNumberFormat="1" applyFont="1" applyBorder="1" applyAlignment="1">
      <alignment horizontal="left" vertical="top" wrapText="1"/>
    </xf>
    <xf numFmtId="49" fontId="92" fillId="0" borderId="10" xfId="33" applyNumberFormat="1" applyFont="1" applyBorder="1" applyAlignment="1">
      <alignment horizontal="left" vertical="top" wrapText="1"/>
    </xf>
    <xf numFmtId="49" fontId="85" fillId="0" borderId="10" xfId="32" applyNumberFormat="1" applyFont="1" applyBorder="1" applyAlignment="1">
      <alignment vertical="top" wrapText="1"/>
    </xf>
    <xf numFmtId="49" fontId="85" fillId="0" borderId="10" xfId="32" applyNumberFormat="1" applyFont="1" applyBorder="1" applyAlignment="1">
      <alignment horizontal="right" vertical="top" wrapText="1"/>
    </xf>
    <xf numFmtId="49" fontId="93" fillId="0" borderId="0" xfId="33" applyNumberFormat="1" applyFont="1" applyAlignment="1">
      <alignment horizontal="left" vertical="top" wrapText="1"/>
    </xf>
    <xf numFmtId="49" fontId="92" fillId="0" borderId="0" xfId="33" applyNumberFormat="1" applyFont="1" applyAlignment="1">
      <alignment horizontal="left" vertical="top" wrapText="1"/>
    </xf>
    <xf numFmtId="49" fontId="89" fillId="0" borderId="0" xfId="32" applyNumberFormat="1" applyFont="1" applyAlignment="1">
      <alignment horizontal="left" vertical="top" wrapText="1"/>
    </xf>
    <xf numFmtId="49" fontId="93" fillId="0" borderId="0" xfId="32" applyNumberFormat="1" applyFont="1" applyAlignment="1">
      <alignment horizontal="left" vertical="top" wrapText="1"/>
    </xf>
    <xf numFmtId="49" fontId="92" fillId="0" borderId="0" xfId="32" applyNumberFormat="1" applyFont="1" applyAlignment="1">
      <alignment horizontal="left" vertical="top" wrapText="1"/>
    </xf>
    <xf numFmtId="49" fontId="92" fillId="0" borderId="5" xfId="32" applyNumberFormat="1" applyFont="1" applyBorder="1" applyAlignment="1">
      <alignment horizontal="left" vertical="top" wrapText="1"/>
    </xf>
    <xf numFmtId="49" fontId="89" fillId="0" borderId="5" xfId="32" applyNumberFormat="1" applyFont="1" applyBorder="1" applyAlignment="1">
      <alignment horizontal="left" vertical="top" wrapText="1"/>
    </xf>
    <xf numFmtId="0" fontId="89" fillId="0" borderId="8" xfId="32" applyFont="1" applyBorder="1" applyAlignment="1">
      <alignment horizontal="left" vertical="top" wrapText="1"/>
    </xf>
    <xf numFmtId="49" fontId="89" fillId="0" borderId="8" xfId="32" applyNumberFormat="1" applyFont="1" applyBorder="1" applyAlignment="1">
      <alignment horizontal="left" vertical="top" wrapText="1"/>
    </xf>
    <xf numFmtId="49" fontId="92" fillId="0" borderId="1" xfId="32" applyNumberFormat="1" applyFont="1" applyBorder="1" applyAlignment="1">
      <alignment horizontal="left" vertical="center" wrapText="1"/>
    </xf>
    <xf numFmtId="49" fontId="92" fillId="0" borderId="2" xfId="32" applyNumberFormat="1" applyFont="1" applyBorder="1" applyAlignment="1">
      <alignment horizontal="left" vertical="center" wrapText="1"/>
    </xf>
    <xf numFmtId="49" fontId="92" fillId="0" borderId="3" xfId="32" applyNumberFormat="1" applyFont="1" applyBorder="1" applyAlignment="1">
      <alignment horizontal="left" vertical="center" wrapText="1"/>
    </xf>
    <xf numFmtId="49" fontId="91" fillId="0" borderId="1" xfId="32" applyNumberFormat="1" applyFont="1" applyBorder="1" applyAlignment="1">
      <alignment horizontal="left" vertical="center" wrapText="1"/>
    </xf>
    <xf numFmtId="49" fontId="91" fillId="0" borderId="2" xfId="32" applyNumberFormat="1" applyFont="1" applyBorder="1" applyAlignment="1">
      <alignment horizontal="left" vertical="center" wrapText="1"/>
    </xf>
    <xf numFmtId="49" fontId="91" fillId="0" borderId="3" xfId="32" applyNumberFormat="1" applyFont="1" applyBorder="1" applyAlignment="1">
      <alignment horizontal="left" vertical="center" wrapText="1"/>
    </xf>
    <xf numFmtId="0" fontId="89" fillId="0" borderId="9" xfId="32" applyFont="1" applyBorder="1" applyAlignment="1">
      <alignment horizontal="center" vertical="center" wrapText="1"/>
    </xf>
    <xf numFmtId="0" fontId="89" fillId="0" borderId="9" xfId="32" applyFont="1" applyBorder="1" applyAlignment="1">
      <alignment horizontal="center" vertical="center"/>
    </xf>
    <xf numFmtId="0" fontId="85" fillId="0" borderId="2" xfId="32" applyFont="1" applyBorder="1" applyAlignment="1">
      <alignment horizontal="center"/>
    </xf>
    <xf numFmtId="49" fontId="89" fillId="0" borderId="9" xfId="32" applyNumberFormat="1" applyFont="1" applyBorder="1" applyAlignment="1">
      <alignment horizontal="center" vertical="center" wrapText="1"/>
    </xf>
    <xf numFmtId="49" fontId="85" fillId="0" borderId="10" xfId="32" applyNumberFormat="1" applyFont="1" applyBorder="1" applyAlignment="1">
      <alignment horizontal="left" wrapText="1"/>
    </xf>
    <xf numFmtId="0" fontId="85" fillId="0" borderId="2" xfId="32" applyFont="1" applyBorder="1" applyAlignment="1">
      <alignment horizontal="left" wrapText="1"/>
    </xf>
    <xf numFmtId="49" fontId="85" fillId="0" borderId="0" xfId="32" applyNumberFormat="1" applyFont="1" applyAlignment="1">
      <alignment horizontal="left" vertical="top" wrapText="1"/>
    </xf>
    <xf numFmtId="0" fontId="85" fillId="0" borderId="0" xfId="32" applyFont="1" applyAlignment="1">
      <alignment horizontal="left" vertical="top" wrapText="1"/>
    </xf>
    <xf numFmtId="49" fontId="87" fillId="0" borderId="5" xfId="32" applyNumberFormat="1" applyFont="1" applyBorder="1" applyAlignment="1">
      <alignment horizontal="center" vertical="top"/>
    </xf>
    <xf numFmtId="49" fontId="64" fillId="0" borderId="10" xfId="32" applyNumberFormat="1" applyFont="1" applyBorder="1" applyAlignment="1">
      <alignment horizontal="left" wrapText="1"/>
    </xf>
    <xf numFmtId="49" fontId="87" fillId="0" borderId="5" xfId="32" applyNumberFormat="1" applyFont="1" applyBorder="1" applyAlignment="1">
      <alignment horizontal="center"/>
    </xf>
    <xf numFmtId="49" fontId="85" fillId="0" borderId="10" xfId="32" applyNumberFormat="1" applyFont="1" applyBorder="1" applyAlignment="1">
      <alignment wrapText="1"/>
    </xf>
    <xf numFmtId="4" fontId="85" fillId="0" borderId="2" xfId="32" applyNumberFormat="1" applyFont="1" applyBorder="1" applyAlignment="1">
      <alignment horizontal="right"/>
    </xf>
    <xf numFmtId="49" fontId="64" fillId="0" borderId="0" xfId="33" applyNumberFormat="1" applyFont="1" applyAlignment="1">
      <alignment horizontal="center" wrapText="1"/>
    </xf>
    <xf numFmtId="49" fontId="85" fillId="0" borderId="0" xfId="33" applyNumberFormat="1" applyFont="1" applyAlignment="1">
      <alignment horizontal="center" wrapText="1"/>
    </xf>
    <xf numFmtId="49" fontId="87" fillId="0" borderId="5" xfId="33" applyNumberFormat="1" applyFont="1" applyBorder="1" applyAlignment="1">
      <alignment horizontal="center" vertical="top"/>
    </xf>
    <xf numFmtId="49" fontId="88" fillId="0" borderId="0" xfId="32" applyNumberFormat="1" applyFont="1" applyAlignment="1">
      <alignment horizontal="center"/>
    </xf>
    <xf numFmtId="49" fontId="64" fillId="0" borderId="10" xfId="32" applyNumberFormat="1" applyFont="1" applyBorder="1" applyAlignment="1">
      <alignment horizontal="center" wrapText="1"/>
    </xf>
    <xf numFmtId="49" fontId="85" fillId="0" borderId="10" xfId="32" applyNumberFormat="1" applyFont="1" applyBorder="1" applyAlignment="1">
      <alignment horizontal="center" wrapText="1"/>
    </xf>
    <xf numFmtId="49" fontId="85" fillId="0" borderId="0" xfId="32" applyNumberFormat="1" applyFont="1" applyAlignment="1">
      <alignment horizontal="left" vertical="top"/>
    </xf>
    <xf numFmtId="0" fontId="78" fillId="0" borderId="9" xfId="30" applyFont="1" applyBorder="1" applyAlignment="1">
      <alignment horizontal="center"/>
    </xf>
    <xf numFmtId="0" fontId="28" fillId="0" borderId="12" xfId="28" applyFont="1" applyBorder="1" applyAlignment="1">
      <alignment horizontal="center"/>
    </xf>
    <xf numFmtId="0" fontId="28" fillId="0" borderId="10" xfId="28" applyFont="1" applyBorder="1" applyAlignment="1">
      <alignment horizontal="center"/>
    </xf>
    <xf numFmtId="0" fontId="28" fillId="0" borderId="13" xfId="28" applyFont="1" applyBorder="1" applyAlignment="1">
      <alignment horizontal="center"/>
    </xf>
    <xf numFmtId="14" fontId="78" fillId="0" borderId="9" xfId="30" applyNumberFormat="1" applyFont="1" applyBorder="1" applyAlignment="1">
      <alignment horizontal="center"/>
    </xf>
    <xf numFmtId="0" fontId="76" fillId="0" borderId="46" xfId="28" applyFont="1" applyBorder="1" applyAlignment="1">
      <alignment horizontal="center"/>
    </xf>
    <xf numFmtId="0" fontId="76" fillId="0" borderId="44" xfId="28" applyFont="1" applyBorder="1" applyAlignment="1">
      <alignment horizontal="center"/>
    </xf>
    <xf numFmtId="0" fontId="64" fillId="0" borderId="4" xfId="28" applyFont="1" applyBorder="1" applyAlignment="1">
      <alignment horizontal="center"/>
    </xf>
    <xf numFmtId="0" fontId="64" fillId="0" borderId="5" xfId="28" applyFont="1" applyBorder="1" applyAlignment="1">
      <alignment horizontal="center"/>
    </xf>
    <xf numFmtId="0" fontId="64" fillId="0" borderId="6" xfId="28" applyFont="1" applyBorder="1" applyAlignment="1">
      <alignment horizontal="center"/>
    </xf>
    <xf numFmtId="0" fontId="64" fillId="0" borderId="7" xfId="28" applyFont="1" applyBorder="1" applyAlignment="1">
      <alignment horizontal="center"/>
    </xf>
    <xf numFmtId="0" fontId="64" fillId="0" borderId="0" xfId="28" applyFont="1" applyAlignment="1">
      <alignment horizontal="center"/>
    </xf>
    <xf numFmtId="0" fontId="64" fillId="0" borderId="8" xfId="28" applyFont="1" applyBorder="1" applyAlignment="1">
      <alignment horizontal="center"/>
    </xf>
    <xf numFmtId="0" fontId="28" fillId="0" borderId="10" xfId="28" applyFont="1" applyBorder="1" applyAlignment="1">
      <alignment horizontal="left" wrapText="1"/>
    </xf>
    <xf numFmtId="0" fontId="28" fillId="0" borderId="10" xfId="28" applyFont="1" applyBorder="1" applyAlignment="1">
      <alignment vertical="top" wrapText="1"/>
    </xf>
    <xf numFmtId="0" fontId="28" fillId="0" borderId="10" xfId="30" applyFont="1" applyBorder="1" applyAlignment="1">
      <alignment vertical="top" wrapText="1"/>
    </xf>
    <xf numFmtId="0" fontId="64" fillId="0" borderId="0" xfId="28" applyFont="1" applyAlignment="1">
      <alignment horizontal="right"/>
    </xf>
    <xf numFmtId="0" fontId="28" fillId="0" borderId="35" xfId="28" applyFont="1" applyBorder="1" applyAlignment="1">
      <alignment horizontal="center"/>
    </xf>
    <xf numFmtId="0" fontId="28" fillId="0" borderId="38" xfId="28" applyFont="1" applyBorder="1" applyAlignment="1">
      <alignment horizontal="center"/>
    </xf>
    <xf numFmtId="0" fontId="28" fillId="0" borderId="36" xfId="28" applyFont="1" applyBorder="1" applyAlignment="1">
      <alignment horizontal="center"/>
    </xf>
    <xf numFmtId="2" fontId="13" fillId="0" borderId="46" xfId="28" applyNumberFormat="1" applyFont="1" applyBorder="1" applyAlignment="1">
      <alignment wrapText="1"/>
    </xf>
    <xf numFmtId="2" fontId="13" fillId="0" borderId="45" xfId="28" applyNumberFormat="1" applyFont="1" applyBorder="1" applyAlignment="1">
      <alignment wrapText="1"/>
    </xf>
    <xf numFmtId="2" fontId="13" fillId="0" borderId="44" xfId="28" applyNumberFormat="1" applyFont="1" applyBorder="1" applyAlignment="1">
      <alignment wrapText="1"/>
    </xf>
    <xf numFmtId="0" fontId="13" fillId="0" borderId="1" xfId="28" applyFont="1" applyBorder="1"/>
    <xf numFmtId="0" fontId="13" fillId="0" borderId="2" xfId="28" applyFont="1" applyBorder="1"/>
    <xf numFmtId="0" fontId="13" fillId="0" borderId="3" xfId="28" applyFont="1" applyBorder="1"/>
    <xf numFmtId="0" fontId="62" fillId="0" borderId="0" xfId="28" applyFont="1"/>
    <xf numFmtId="0" fontId="69" fillId="0" borderId="0" xfId="30" applyFont="1" applyAlignment="1">
      <alignment horizontal="left" wrapText="1"/>
    </xf>
    <xf numFmtId="0" fontId="69" fillId="0" borderId="0" xfId="30" applyFont="1" applyAlignment="1">
      <alignment horizontal="left"/>
    </xf>
    <xf numFmtId="0" fontId="69" fillId="0" borderId="10" xfId="30" applyFont="1" applyBorder="1" applyAlignment="1">
      <alignment horizontal="left"/>
    </xf>
    <xf numFmtId="0" fontId="70" fillId="0" borderId="5" xfId="28" applyFont="1" applyBorder="1" applyAlignment="1">
      <alignment horizontal="center"/>
    </xf>
    <xf numFmtId="0" fontId="69" fillId="0" borderId="0" xfId="28" applyFont="1" applyAlignment="1">
      <alignment horizontal="center"/>
    </xf>
    <xf numFmtId="0" fontId="69" fillId="0" borderId="0" xfId="28" applyFont="1" applyAlignment="1">
      <alignment horizontal="left" vertical="top" wrapText="1"/>
    </xf>
    <xf numFmtId="0" fontId="69" fillId="0" borderId="10" xfId="28" applyFont="1" applyBorder="1" applyAlignment="1">
      <alignment horizontal="left"/>
    </xf>
    <xf numFmtId="0" fontId="70" fillId="0" borderId="0" xfId="28" applyFont="1" applyAlignment="1">
      <alignment horizontal="center"/>
    </xf>
    <xf numFmtId="0" fontId="18" fillId="0" borderId="0" xfId="13" applyFont="1" applyFill="1" applyAlignment="1">
      <alignment horizontal="center" vertical="center"/>
    </xf>
    <xf numFmtId="0" fontId="14" fillId="0" borderId="10" xfId="13" applyFont="1" applyFill="1" applyBorder="1" applyAlignment="1">
      <alignment horizontal="left" wrapText="1"/>
    </xf>
    <xf numFmtId="0" fontId="20" fillId="0" borderId="5" xfId="13" applyFont="1" applyFill="1" applyBorder="1" applyAlignment="1">
      <alignment horizontal="center" vertical="top"/>
    </xf>
    <xf numFmtId="0" fontId="14" fillId="0" borderId="10" xfId="13" applyFont="1" applyFill="1" applyBorder="1" applyAlignment="1">
      <alignment horizontal="left" vertical="center" wrapText="1"/>
    </xf>
    <xf numFmtId="0" fontId="62" fillId="0" borderId="9" xfId="25" applyFont="1" applyBorder="1" applyAlignment="1">
      <alignment horizontal="left" wrapText="1"/>
    </xf>
    <xf numFmtId="0" fontId="59" fillId="0" borderId="0" xfId="25" applyFont="1" applyAlignment="1">
      <alignment horizontal="right" wrapText="1"/>
    </xf>
    <xf numFmtId="0" fontId="59" fillId="0" borderId="21" xfId="25" applyFont="1" applyBorder="1" applyAlignment="1">
      <alignment horizontal="right" wrapText="1"/>
    </xf>
    <xf numFmtId="0" fontId="59" fillId="0" borderId="19" xfId="25" applyFont="1" applyBorder="1" applyAlignment="1">
      <alignment horizontal="center" wrapText="1"/>
    </xf>
    <xf numFmtId="0" fontId="59" fillId="0" borderId="20" xfId="25" applyFont="1" applyBorder="1" applyAlignment="1">
      <alignment horizontal="center" wrapText="1"/>
    </xf>
    <xf numFmtId="0" fontId="58" fillId="0" borderId="0" xfId="25" applyFont="1" applyAlignment="1">
      <alignment horizontal="left" wrapText="1"/>
    </xf>
    <xf numFmtId="0" fontId="59" fillId="0" borderId="0" xfId="25" applyFont="1" applyAlignment="1">
      <alignment horizontal="left" wrapText="1"/>
    </xf>
    <xf numFmtId="0" fontId="59" fillId="0" borderId="0" xfId="25" applyFont="1" applyAlignment="1">
      <alignment horizontal="right" vertical="center" wrapText="1"/>
    </xf>
    <xf numFmtId="0" fontId="64" fillId="0" borderId="22" xfId="25" applyFont="1" applyBorder="1" applyAlignment="1">
      <alignment horizontal="center"/>
    </xf>
    <xf numFmtId="0" fontId="64" fillId="0" borderId="23" xfId="25" applyFont="1" applyBorder="1" applyAlignment="1">
      <alignment horizontal="center"/>
    </xf>
    <xf numFmtId="0" fontId="64" fillId="0" borderId="25" xfId="25" applyFont="1" applyBorder="1" applyAlignment="1">
      <alignment horizontal="center"/>
    </xf>
    <xf numFmtId="0" fontId="64" fillId="0" borderId="26" xfId="25" applyFont="1" applyBorder="1" applyAlignment="1">
      <alignment horizontal="center"/>
    </xf>
    <xf numFmtId="0" fontId="64" fillId="0" borderId="24" xfId="25" applyFont="1" applyBorder="1" applyAlignment="1">
      <alignment wrapText="1"/>
    </xf>
    <xf numFmtId="0" fontId="59" fillId="0" borderId="27" xfId="25" applyFont="1" applyBorder="1" applyAlignment="1">
      <alignment horizontal="center" wrapText="1"/>
    </xf>
    <xf numFmtId="0" fontId="64" fillId="0" borderId="19" xfId="25" applyFont="1" applyBorder="1" applyAlignment="1">
      <alignment horizontal="center"/>
    </xf>
    <xf numFmtId="0" fontId="64" fillId="0" borderId="20" xfId="25" applyFont="1" applyBorder="1" applyAlignment="1">
      <alignment horizontal="center"/>
    </xf>
    <xf numFmtId="0" fontId="64" fillId="0" borderId="24" xfId="25" applyFont="1" applyBorder="1" applyAlignment="1">
      <alignment horizontal="left" wrapText="1"/>
    </xf>
    <xf numFmtId="179" fontId="64" fillId="0" borderId="0" xfId="25" applyNumberFormat="1" applyFont="1"/>
    <xf numFmtId="0" fontId="64" fillId="0" borderId="0" xfId="25" applyFont="1"/>
    <xf numFmtId="178" fontId="64" fillId="0" borderId="19" xfId="25" applyNumberFormat="1" applyFont="1" applyBorder="1" applyAlignment="1">
      <alignment horizontal="center"/>
    </xf>
    <xf numFmtId="178" fontId="64" fillId="0" borderId="20" xfId="25" applyNumberFormat="1" applyFont="1" applyBorder="1" applyAlignment="1">
      <alignment horizontal="center"/>
    </xf>
    <xf numFmtId="0" fontId="59" fillId="0" borderId="28" xfId="25" applyFont="1" applyBorder="1" applyAlignment="1">
      <alignment horizontal="center" vertical="center" wrapText="1"/>
    </xf>
    <xf numFmtId="0" fontId="59" fillId="0" borderId="29" xfId="25" applyFont="1" applyBorder="1" applyAlignment="1">
      <alignment horizontal="center" vertical="center" wrapText="1"/>
    </xf>
    <xf numFmtId="0" fontId="59" fillId="0" borderId="19" xfId="25" applyFont="1" applyBorder="1" applyAlignment="1">
      <alignment horizontal="center" vertical="center" wrapText="1"/>
    </xf>
    <xf numFmtId="0" fontId="59" fillId="0" borderId="20" xfId="25" applyFont="1" applyBorder="1" applyAlignment="1">
      <alignment horizontal="center" vertical="center" wrapText="1"/>
    </xf>
    <xf numFmtId="0" fontId="63" fillId="0" borderId="0" xfId="25" applyFont="1" applyAlignment="1">
      <alignment horizontal="center" wrapText="1"/>
    </xf>
    <xf numFmtId="0" fontId="59" fillId="0" borderId="32" xfId="25" applyFont="1" applyBorder="1" applyAlignment="1">
      <alignment horizontal="center" vertical="center" wrapText="1"/>
    </xf>
    <xf numFmtId="0" fontId="59" fillId="0" borderId="31" xfId="25" applyFont="1" applyBorder="1" applyAlignment="1">
      <alignment horizontal="center" vertical="center" wrapText="1"/>
    </xf>
    <xf numFmtId="0" fontId="65" fillId="0" borderId="11" xfId="25" applyFont="1" applyBorder="1" applyAlignment="1">
      <alignment horizontal="center" wrapText="1"/>
    </xf>
    <xf numFmtId="0" fontId="65" fillId="0" borderId="9" xfId="25" applyFont="1" applyBorder="1" applyAlignment="1">
      <alignment horizontal="left" wrapText="1"/>
    </xf>
    <xf numFmtId="0" fontId="64" fillId="0" borderId="9" xfId="25" applyFont="1" applyBorder="1" applyAlignment="1">
      <alignment horizontal="left" wrapText="1"/>
    </xf>
    <xf numFmtId="0" fontId="64" fillId="0" borderId="9" xfId="26" applyFont="1" applyBorder="1" applyAlignment="1">
      <alignment horizontal="left" wrapText="1"/>
    </xf>
    <xf numFmtId="0" fontId="65" fillId="0" borderId="9" xfId="26" applyFont="1" applyBorder="1" applyAlignment="1">
      <alignment horizontal="left" wrapText="1"/>
    </xf>
    <xf numFmtId="0" fontId="65" fillId="0" borderId="11" xfId="26" applyFont="1" applyBorder="1" applyAlignment="1">
      <alignment horizontal="center" wrapText="1"/>
    </xf>
    <xf numFmtId="0" fontId="59" fillId="0" borderId="19" xfId="26" applyFont="1" applyBorder="1" applyAlignment="1">
      <alignment horizontal="center" vertical="center" wrapText="1"/>
    </xf>
    <xf numFmtId="0" fontId="59" fillId="0" borderId="20" xfId="26" applyFont="1" applyBorder="1" applyAlignment="1">
      <alignment horizontal="center" vertical="center" wrapText="1"/>
    </xf>
    <xf numFmtId="0" fontId="59" fillId="0" borderId="0" xfId="26" applyFont="1" applyAlignment="1">
      <alignment horizontal="right" wrapText="1"/>
    </xf>
    <xf numFmtId="179" fontId="64" fillId="0" borderId="0" xfId="26" applyNumberFormat="1" applyFont="1"/>
    <xf numFmtId="0" fontId="64" fillId="0" borderId="0" xfId="26" applyFont="1"/>
    <xf numFmtId="0" fontId="59" fillId="0" borderId="28" xfId="26" applyFont="1" applyBorder="1" applyAlignment="1">
      <alignment horizontal="center" vertical="center" wrapText="1"/>
    </xf>
    <xf numFmtId="0" fontId="59" fillId="0" borderId="32" xfId="26" applyFont="1" applyBorder="1" applyAlignment="1">
      <alignment horizontal="center" vertical="center" wrapText="1"/>
    </xf>
    <xf numFmtId="0" fontId="59" fillId="0" borderId="29" xfId="26" applyFont="1" applyBorder="1" applyAlignment="1">
      <alignment horizontal="center" vertical="center" wrapText="1"/>
    </xf>
    <xf numFmtId="0" fontId="59" fillId="0" borderId="31" xfId="26" applyFont="1" applyBorder="1" applyAlignment="1">
      <alignment horizontal="center" vertical="center" wrapText="1"/>
    </xf>
    <xf numFmtId="0" fontId="63" fillId="0" borderId="0" xfId="26" applyFont="1" applyAlignment="1">
      <alignment horizontal="center" wrapText="1"/>
    </xf>
    <xf numFmtId="0" fontId="59" fillId="0" borderId="27" xfId="26" applyFont="1" applyBorder="1" applyAlignment="1">
      <alignment horizontal="center" wrapText="1"/>
    </xf>
    <xf numFmtId="0" fontId="64" fillId="0" borderId="22" xfId="26" applyFont="1" applyBorder="1" applyAlignment="1">
      <alignment horizontal="center"/>
    </xf>
    <xf numFmtId="0" fontId="64" fillId="0" borderId="23" xfId="26" applyFont="1" applyBorder="1" applyAlignment="1">
      <alignment horizontal="center"/>
    </xf>
    <xf numFmtId="0" fontId="64" fillId="0" borderId="25" xfId="26" applyFont="1" applyBorder="1" applyAlignment="1">
      <alignment horizontal="center"/>
    </xf>
    <xf numFmtId="0" fontId="64" fillId="0" borderId="26" xfId="26" applyFont="1" applyBorder="1" applyAlignment="1">
      <alignment horizontal="center"/>
    </xf>
    <xf numFmtId="0" fontId="59" fillId="0" borderId="0" xfId="26" applyFont="1" applyAlignment="1">
      <alignment horizontal="left" wrapText="1"/>
    </xf>
    <xf numFmtId="0" fontId="64" fillId="0" borderId="24" xfId="26" applyFont="1" applyBorder="1" applyAlignment="1">
      <alignment wrapText="1"/>
    </xf>
    <xf numFmtId="0" fontId="59" fillId="0" borderId="21" xfId="26" applyFont="1" applyBorder="1" applyAlignment="1">
      <alignment horizontal="right" wrapText="1"/>
    </xf>
    <xf numFmtId="0" fontId="59" fillId="0" borderId="19" xfId="26" applyFont="1" applyBorder="1" applyAlignment="1">
      <alignment horizontal="center" wrapText="1"/>
    </xf>
    <xf numFmtId="0" fontId="59" fillId="0" borderId="20" xfId="26" applyFont="1" applyBorder="1" applyAlignment="1">
      <alignment horizontal="center" wrapText="1"/>
    </xf>
    <xf numFmtId="0" fontId="58" fillId="0" borderId="0" xfId="26" applyFont="1" applyAlignment="1">
      <alignment horizontal="left" wrapText="1"/>
    </xf>
    <xf numFmtId="0" fontId="59" fillId="0" borderId="0" xfId="26" applyFont="1" applyAlignment="1">
      <alignment horizontal="right" vertical="center" wrapText="1"/>
    </xf>
    <xf numFmtId="0" fontId="59" fillId="0" borderId="0" xfId="27" applyFont="1" applyAlignment="1">
      <alignment horizontal="right" wrapText="1"/>
    </xf>
    <xf numFmtId="0" fontId="59" fillId="0" borderId="21" xfId="27" applyFont="1" applyBorder="1" applyAlignment="1">
      <alignment horizontal="right" wrapText="1"/>
    </xf>
    <xf numFmtId="0" fontId="59" fillId="0" borderId="19" xfId="27" applyFont="1" applyBorder="1" applyAlignment="1">
      <alignment horizontal="center" wrapText="1"/>
    </xf>
    <xf numFmtId="0" fontId="59" fillId="0" borderId="20" xfId="27" applyFont="1" applyBorder="1" applyAlignment="1">
      <alignment horizontal="center" wrapText="1"/>
    </xf>
    <xf numFmtId="0" fontId="58" fillId="0" borderId="0" xfId="27" applyFont="1" applyAlignment="1">
      <alignment horizontal="left" wrapText="1"/>
    </xf>
    <xf numFmtId="0" fontId="59" fillId="0" borderId="0" xfId="27" applyFont="1" applyAlignment="1">
      <alignment horizontal="left" wrapText="1"/>
    </xf>
    <xf numFmtId="0" fontId="59" fillId="0" borderId="0" xfId="27" applyFont="1" applyAlignment="1">
      <alignment horizontal="right" vertical="center" wrapText="1"/>
    </xf>
    <xf numFmtId="0" fontId="64" fillId="0" borderId="22" xfId="27" applyFont="1" applyBorder="1" applyAlignment="1">
      <alignment horizontal="center"/>
    </xf>
    <xf numFmtId="0" fontId="64" fillId="0" borderId="23" xfId="27" applyFont="1" applyBorder="1" applyAlignment="1">
      <alignment horizontal="center"/>
    </xf>
    <xf numFmtId="0" fontId="64" fillId="0" borderId="25" xfId="27" applyFont="1" applyBorder="1" applyAlignment="1">
      <alignment horizontal="center"/>
    </xf>
    <xf numFmtId="0" fontId="64" fillId="0" borderId="26" xfId="27" applyFont="1" applyBorder="1" applyAlignment="1">
      <alignment horizontal="center"/>
    </xf>
    <xf numFmtId="0" fontId="64" fillId="0" borderId="24" xfId="27" applyFont="1" applyBorder="1" applyAlignment="1">
      <alignment wrapText="1"/>
    </xf>
    <xf numFmtId="0" fontId="59" fillId="0" borderId="27" xfId="27" applyFont="1" applyBorder="1" applyAlignment="1">
      <alignment horizontal="center" wrapText="1"/>
    </xf>
    <xf numFmtId="0" fontId="63" fillId="0" borderId="0" xfId="27" applyFont="1" applyAlignment="1">
      <alignment horizontal="center" wrapText="1"/>
    </xf>
    <xf numFmtId="179" fontId="64" fillId="0" borderId="0" xfId="27" applyNumberFormat="1" applyFont="1"/>
    <xf numFmtId="0" fontId="64" fillId="0" borderId="0" xfId="27" applyFont="1"/>
    <xf numFmtId="0" fontId="59" fillId="0" borderId="28" xfId="27" applyFont="1" applyBorder="1" applyAlignment="1">
      <alignment horizontal="center" vertical="center" wrapText="1"/>
    </xf>
    <xf numFmtId="0" fontId="59" fillId="0" borderId="32" xfId="27" applyFont="1" applyBorder="1" applyAlignment="1">
      <alignment horizontal="center" vertical="center" wrapText="1"/>
    </xf>
    <xf numFmtId="0" fontId="59" fillId="0" borderId="29" xfId="27" applyFont="1" applyBorder="1" applyAlignment="1">
      <alignment horizontal="center" vertical="center" wrapText="1"/>
    </xf>
    <xf numFmtId="0" fontId="59" fillId="0" borderId="19" xfId="27" applyFont="1" applyBorder="1" applyAlignment="1">
      <alignment horizontal="center" vertical="center" wrapText="1"/>
    </xf>
    <xf numFmtId="0" fontId="59" fillId="0" borderId="20" xfId="27" applyFont="1" applyBorder="1" applyAlignment="1">
      <alignment horizontal="center" vertical="center" wrapText="1"/>
    </xf>
    <xf numFmtId="0" fontId="59" fillId="0" borderId="31" xfId="27" applyFont="1" applyBorder="1" applyAlignment="1">
      <alignment horizontal="center" vertical="center" wrapText="1"/>
    </xf>
    <xf numFmtId="0" fontId="65" fillId="0" borderId="11" xfId="27" applyFont="1" applyBorder="1" applyAlignment="1">
      <alignment horizontal="center" wrapText="1"/>
    </xf>
    <xf numFmtId="0" fontId="65" fillId="0" borderId="9" xfId="27" applyFont="1" applyBorder="1" applyAlignment="1">
      <alignment horizontal="left" wrapText="1"/>
    </xf>
    <xf numFmtId="0" fontId="64" fillId="0" borderId="9" xfId="27" applyFont="1" applyBorder="1" applyAlignment="1">
      <alignment horizontal="left" wrapText="1"/>
    </xf>
    <xf numFmtId="0" fontId="62" fillId="0" borderId="1" xfId="25" applyFont="1" applyBorder="1" applyAlignment="1">
      <alignment horizontal="left" wrapText="1"/>
    </xf>
    <xf numFmtId="0" fontId="62" fillId="0" borderId="2" xfId="25" applyFont="1" applyBorder="1" applyAlignment="1">
      <alignment horizontal="left" wrapText="1"/>
    </xf>
    <xf numFmtId="0" fontId="62" fillId="0" borderId="3" xfId="25" applyFont="1" applyBorder="1" applyAlignment="1">
      <alignment horizontal="left" wrapText="1"/>
    </xf>
    <xf numFmtId="0" fontId="64" fillId="0" borderId="1" xfId="25" applyFont="1" applyBorder="1" applyAlignment="1">
      <alignment horizontal="left" wrapText="1"/>
    </xf>
    <xf numFmtId="0" fontId="64" fillId="0" borderId="2" xfId="25" applyFont="1" applyBorder="1" applyAlignment="1">
      <alignment horizontal="left" wrapText="1"/>
    </xf>
    <xf numFmtId="0" fontId="64" fillId="0" borderId="3" xfId="25" applyFont="1" applyBorder="1" applyAlignment="1">
      <alignment horizontal="left" wrapText="1"/>
    </xf>
    <xf numFmtId="0" fontId="64" fillId="0" borderId="1" xfId="26" applyFont="1" applyBorder="1" applyAlignment="1">
      <alignment horizontal="left" wrapText="1"/>
    </xf>
    <xf numFmtId="0" fontId="64" fillId="0" borderId="2" xfId="26" applyFont="1" applyBorder="1" applyAlignment="1">
      <alignment horizontal="left" wrapText="1"/>
    </xf>
    <xf numFmtId="0" fontId="64" fillId="0" borderId="3" xfId="26" applyFont="1" applyBorder="1" applyAlignment="1">
      <alignment horizontal="left" wrapText="1"/>
    </xf>
    <xf numFmtId="0" fontId="65" fillId="0" borderId="1" xfId="26" applyFont="1" applyBorder="1" applyAlignment="1">
      <alignment horizontal="left" wrapText="1"/>
    </xf>
    <xf numFmtId="0" fontId="65" fillId="0" borderId="2" xfId="26" applyFont="1" applyBorder="1" applyAlignment="1">
      <alignment horizontal="left" wrapText="1"/>
    </xf>
    <xf numFmtId="0" fontId="65" fillId="0" borderId="3" xfId="26" applyFont="1" applyBorder="1" applyAlignment="1">
      <alignment horizontal="left" wrapText="1"/>
    </xf>
    <xf numFmtId="0" fontId="65" fillId="0" borderId="1" xfId="25" applyFont="1" applyBorder="1" applyAlignment="1">
      <alignment horizontal="left" wrapText="1"/>
    </xf>
    <xf numFmtId="0" fontId="65" fillId="0" borderId="2" xfId="25" applyFont="1" applyBorder="1" applyAlignment="1">
      <alignment horizontal="left" wrapText="1"/>
    </xf>
    <xf numFmtId="0" fontId="65" fillId="0" borderId="3" xfId="25" applyFont="1" applyBorder="1" applyAlignment="1">
      <alignment horizontal="left" wrapText="1"/>
    </xf>
    <xf numFmtId="0" fontId="65" fillId="0" borderId="1" xfId="26" applyFont="1" applyBorder="1" applyAlignment="1">
      <alignment horizontal="center" wrapText="1"/>
    </xf>
    <xf numFmtId="0" fontId="65" fillId="0" borderId="2" xfId="26" applyFont="1" applyBorder="1" applyAlignment="1">
      <alignment horizontal="center" wrapText="1"/>
    </xf>
    <xf numFmtId="0" fontId="65" fillId="0" borderId="3" xfId="26" applyFont="1" applyBorder="1" applyAlignment="1">
      <alignment horizontal="center" wrapText="1"/>
    </xf>
    <xf numFmtId="49" fontId="8" fillId="0" borderId="1" xfId="2" applyNumberFormat="1" applyFont="1" applyBorder="1" applyAlignment="1">
      <alignment horizontal="right" vertical="top" wrapText="1"/>
    </xf>
    <xf numFmtId="49" fontId="8" fillId="0" borderId="2" xfId="2" applyNumberFormat="1" applyFont="1" applyBorder="1" applyAlignment="1">
      <alignment horizontal="right" vertical="top" wrapText="1"/>
    </xf>
    <xf numFmtId="49" fontId="8" fillId="0" borderId="3" xfId="2" applyNumberFormat="1" applyFont="1" applyBorder="1" applyAlignment="1">
      <alignment horizontal="right" vertical="top" wrapText="1"/>
    </xf>
    <xf numFmtId="49" fontId="9" fillId="0" borderId="5" xfId="3" applyNumberFormat="1" applyFont="1" applyBorder="1" applyAlignment="1">
      <alignment horizontal="center" vertical="top"/>
      <protection locked="0"/>
    </xf>
    <xf numFmtId="49" fontId="9" fillId="0" borderId="5" xfId="3" applyNumberFormat="1" applyFont="1" applyBorder="1" applyAlignment="1">
      <alignment horizontal="center" vertical="top" wrapText="1"/>
      <protection locked="0"/>
    </xf>
    <xf numFmtId="49" fontId="6" fillId="0" borderId="7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8" xfId="2" applyNumberFormat="1" applyFont="1" applyBorder="1" applyAlignment="1">
      <alignment horizontal="center"/>
    </xf>
    <xf numFmtId="0" fontId="6" fillId="0" borderId="0" xfId="2" applyFont="1" applyAlignment="1">
      <alignment horizontal="right"/>
    </xf>
    <xf numFmtId="0" fontId="6" fillId="0" borderId="8" xfId="2" applyFont="1" applyBorder="1" applyAlignment="1">
      <alignment horizontal="right"/>
    </xf>
    <xf numFmtId="49" fontId="6" fillId="0" borderId="1" xfId="2" applyNumberFormat="1" applyFont="1" applyBorder="1" applyAlignment="1">
      <alignment horizontal="center"/>
    </xf>
    <xf numFmtId="49" fontId="6" fillId="0" borderId="2" xfId="2" applyNumberFormat="1" applyFont="1" applyBorder="1" applyAlignment="1">
      <alignment horizontal="center"/>
    </xf>
    <xf numFmtId="49" fontId="6" fillId="0" borderId="3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8" xfId="2" applyFont="1" applyBorder="1" applyAlignment="1">
      <alignment horizontal="center"/>
    </xf>
    <xf numFmtId="49" fontId="6" fillId="0" borderId="15" xfId="8" applyNumberFormat="1" applyFont="1" applyBorder="1" applyAlignment="1">
      <alignment horizontal="left" vertical="top" wrapText="1"/>
    </xf>
    <xf numFmtId="49" fontId="6" fillId="0" borderId="13" xfId="8" applyNumberFormat="1" applyFont="1" applyBorder="1" applyAlignment="1">
      <alignment horizontal="left" vertical="top"/>
    </xf>
    <xf numFmtId="49" fontId="8" fillId="0" borderId="15" xfId="8" applyNumberFormat="1" applyFont="1" applyBorder="1" applyAlignment="1">
      <alignment horizontal="left" vertical="top" wrapText="1"/>
    </xf>
    <xf numFmtId="49" fontId="8" fillId="0" borderId="13" xfId="8" applyNumberFormat="1" applyFont="1" applyBorder="1" applyAlignment="1">
      <alignment horizontal="left" vertical="top"/>
    </xf>
    <xf numFmtId="0" fontId="6" fillId="0" borderId="1" xfId="8" applyFont="1" applyBorder="1" applyAlignment="1">
      <alignment horizontal="center" vertical="center" wrapText="1"/>
    </xf>
    <xf numFmtId="0" fontId="6" fillId="0" borderId="3" xfId="8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/>
    </xf>
    <xf numFmtId="49" fontId="6" fillId="0" borderId="5" xfId="2" applyNumberFormat="1" applyFont="1" applyBorder="1" applyAlignment="1">
      <alignment horizontal="center"/>
    </xf>
    <xf numFmtId="49" fontId="6" fillId="0" borderId="6" xfId="2" applyNumberFormat="1" applyFont="1" applyBorder="1" applyAlignment="1">
      <alignment horizontal="center"/>
    </xf>
    <xf numFmtId="0" fontId="6" fillId="0" borderId="0" xfId="2" applyFont="1" applyAlignment="1">
      <alignment horizontal="left" vertical="top" wrapText="1"/>
    </xf>
    <xf numFmtId="0" fontId="6" fillId="0" borderId="7" xfId="2" applyFont="1" applyBorder="1" applyAlignment="1">
      <alignment horizontal="center"/>
    </xf>
    <xf numFmtId="49" fontId="18" fillId="0" borderId="9" xfId="8" applyNumberFormat="1" applyFont="1" applyBorder="1" applyAlignment="1">
      <alignment horizontal="left" vertical="top" wrapText="1"/>
    </xf>
    <xf numFmtId="49" fontId="6" fillId="0" borderId="3" xfId="8" applyNumberFormat="1" applyFont="1" applyBorder="1" applyAlignment="1">
      <alignment horizontal="left" vertical="top"/>
    </xf>
    <xf numFmtId="49" fontId="6" fillId="0" borderId="9" xfId="2" applyNumberFormat="1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/>
    </xf>
    <xf numFmtId="0" fontId="6" fillId="0" borderId="0" xfId="2" applyFont="1" applyAlignment="1">
      <alignment horizontal="left" vertical="top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10" xfId="2" applyFont="1" applyBorder="1" applyAlignment="1">
      <alignment horizontal="left" vertical="center" wrapText="1"/>
    </xf>
    <xf numFmtId="49" fontId="6" fillId="0" borderId="7" xfId="2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18" fillId="2" borderId="0" xfId="13" applyFont="1" applyFill="1" applyAlignment="1">
      <alignment horizontal="center" vertical="center"/>
    </xf>
    <xf numFmtId="0" fontId="14" fillId="2" borderId="10" xfId="13" applyFont="1" applyFill="1" applyBorder="1" applyAlignment="1">
      <alignment horizontal="left" wrapText="1"/>
    </xf>
    <xf numFmtId="0" fontId="20" fillId="2" borderId="5" xfId="13" applyFont="1" applyFill="1" applyBorder="1" applyAlignment="1">
      <alignment horizontal="center" vertical="top"/>
    </xf>
    <xf numFmtId="0" fontId="14" fillId="2" borderId="10" xfId="13" applyFont="1" applyFill="1" applyBorder="1" applyAlignment="1">
      <alignment horizontal="left" vertical="center" wrapText="1"/>
    </xf>
    <xf numFmtId="0" fontId="32" fillId="0" borderId="5" xfId="19" applyFont="1" applyBorder="1" applyAlignment="1">
      <alignment horizontal="center" vertical="top" wrapText="1"/>
    </xf>
    <xf numFmtId="0" fontId="32" fillId="0" borderId="0" xfId="19" applyFont="1" applyAlignment="1">
      <alignment horizontal="center" vertical="top" wrapText="1"/>
    </xf>
    <xf numFmtId="0" fontId="32" fillId="0" borderId="0" xfId="19" applyFont="1" applyAlignment="1">
      <alignment horizontal="left" wrapText="1"/>
    </xf>
    <xf numFmtId="0" fontId="32" fillId="2" borderId="9" xfId="19" applyFont="1" applyFill="1" applyBorder="1" applyAlignment="1">
      <alignment horizontal="center" vertical="center" wrapText="1"/>
    </xf>
    <xf numFmtId="0" fontId="32" fillId="0" borderId="0" xfId="19" applyFont="1" applyAlignment="1">
      <alignment horizontal="center"/>
    </xf>
    <xf numFmtId="0" fontId="40" fillId="0" borderId="0" xfId="19" applyFont="1" applyAlignment="1">
      <alignment horizontal="center" vertical="top" wrapText="1"/>
    </xf>
    <xf numFmtId="0" fontId="36" fillId="0" borderId="0" xfId="19" applyFont="1" applyAlignment="1">
      <alignment horizontal="left" wrapText="1"/>
    </xf>
    <xf numFmtId="0" fontId="36" fillId="2" borderId="1" xfId="19" applyFont="1" applyFill="1" applyBorder="1" applyAlignment="1">
      <alignment horizontal="right" vertical="center" wrapText="1"/>
    </xf>
    <xf numFmtId="0" fontId="36" fillId="2" borderId="2" xfId="19" applyFont="1" applyFill="1" applyBorder="1" applyAlignment="1">
      <alignment horizontal="right" vertical="center" wrapText="1"/>
    </xf>
    <xf numFmtId="0" fontId="36" fillId="2" borderId="3" xfId="19" applyFont="1" applyFill="1" applyBorder="1" applyAlignment="1">
      <alignment horizontal="right" vertical="center" wrapText="1"/>
    </xf>
    <xf numFmtId="0" fontId="32" fillId="0" borderId="0" xfId="19" applyFont="1" applyAlignment="1">
      <alignment horizontal="left" vertical="top" wrapText="1"/>
    </xf>
    <xf numFmtId="0" fontId="36" fillId="0" borderId="0" xfId="19" applyFont="1" applyAlignment="1">
      <alignment horizontal="center" vertical="top" wrapText="1"/>
    </xf>
    <xf numFmtId="0" fontId="32" fillId="0" borderId="0" xfId="19" applyFont="1" applyAlignment="1">
      <alignment horizontal="center" vertical="center" wrapText="1"/>
    </xf>
    <xf numFmtId="0" fontId="30" fillId="0" borderId="0" xfId="19" applyFont="1" applyAlignment="1">
      <alignment horizontal="left" vertical="center"/>
    </xf>
    <xf numFmtId="0" fontId="30" fillId="0" borderId="0" xfId="19" applyFont="1" applyAlignment="1">
      <alignment horizontal="left" wrapText="1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1" xfId="19" applyFont="1" applyFill="1" applyBorder="1" applyAlignment="1">
      <alignment horizontal="center" vertical="center" wrapText="1"/>
    </xf>
    <xf numFmtId="0" fontId="32" fillId="2" borderId="3" xfId="19" applyFont="1" applyFill="1" applyBorder="1" applyAlignment="1">
      <alignment horizontal="center" vertical="center" wrapText="1"/>
    </xf>
    <xf numFmtId="0" fontId="65" fillId="4" borderId="11" xfId="25" applyFont="1" applyFill="1" applyBorder="1" applyAlignment="1">
      <alignment horizontal="left" vertical="top" wrapText="1"/>
    </xf>
    <xf numFmtId="0" fontId="65" fillId="4" borderId="11" xfId="25" applyFont="1" applyFill="1" applyBorder="1" applyAlignment="1">
      <alignment horizontal="right"/>
    </xf>
    <xf numFmtId="180" fontId="65" fillId="4" borderId="11" xfId="25" applyNumberFormat="1" applyFont="1" applyFill="1" applyBorder="1" applyAlignment="1">
      <alignment horizontal="right"/>
    </xf>
    <xf numFmtId="179" fontId="65" fillId="4" borderId="11" xfId="25" applyNumberFormat="1" applyFont="1" applyFill="1" applyBorder="1" applyAlignment="1">
      <alignment horizontal="right"/>
    </xf>
    <xf numFmtId="49" fontId="20" fillId="5" borderId="9" xfId="12" applyNumberFormat="1" applyFont="1" applyFill="1" applyBorder="1" applyAlignment="1">
      <alignment horizontal="center" vertical="center"/>
    </xf>
    <xf numFmtId="4" fontId="16" fillId="5" borderId="9" xfId="12" applyNumberFormat="1" applyFont="1" applyFill="1" applyBorder="1"/>
    <xf numFmtId="0" fontId="64" fillId="0" borderId="0" xfId="26" applyFont="1" applyFill="1"/>
    <xf numFmtId="0" fontId="66" fillId="0" borderId="9" xfId="26" applyFont="1" applyFill="1" applyBorder="1" applyAlignment="1">
      <alignment horizontal="left" vertical="top" wrapText="1"/>
    </xf>
    <xf numFmtId="0" fontId="67" fillId="0" borderId="9" xfId="26" applyFont="1" applyFill="1" applyBorder="1" applyAlignment="1">
      <alignment horizontal="right" vertical="top" wrapText="1"/>
    </xf>
    <xf numFmtId="0" fontId="66" fillId="0" borderId="9" xfId="26" applyFont="1" applyFill="1" applyBorder="1" applyAlignment="1">
      <alignment horizontal="right"/>
    </xf>
    <xf numFmtId="180" fontId="66" fillId="0" borderId="9" xfId="26" applyNumberFormat="1" applyFont="1" applyFill="1" applyBorder="1" applyAlignment="1">
      <alignment horizontal="right"/>
    </xf>
    <xf numFmtId="179" fontId="66" fillId="0" borderId="9" xfId="26" applyNumberFormat="1" applyFont="1" applyFill="1" applyBorder="1" applyAlignment="1">
      <alignment horizontal="right"/>
    </xf>
    <xf numFmtId="0" fontId="64" fillId="0" borderId="0" xfId="26" applyFont="1" applyFill="1" applyAlignment="1">
      <alignment horizontal="center" vertical="center" wrapText="1"/>
    </xf>
    <xf numFmtId="0" fontId="64" fillId="0" borderId="11" xfId="26" applyFont="1" applyFill="1" applyBorder="1"/>
    <xf numFmtId="0" fontId="61" fillId="0" borderId="11" xfId="26" applyFont="1" applyFill="1" applyBorder="1" applyAlignment="1">
      <alignment vertical="top" wrapText="1"/>
    </xf>
    <xf numFmtId="0" fontId="65" fillId="0" borderId="11" xfId="26" applyFont="1" applyFill="1" applyBorder="1" applyAlignment="1">
      <alignment horizontal="left" vertical="top"/>
    </xf>
    <xf numFmtId="0" fontId="65" fillId="0" borderId="11" xfId="26" applyFont="1" applyFill="1" applyBorder="1" applyAlignment="1">
      <alignment horizontal="right" vertical="top"/>
    </xf>
    <xf numFmtId="179" fontId="65" fillId="0" borderId="11" xfId="26" applyNumberFormat="1" applyFont="1" applyFill="1" applyBorder="1" applyAlignment="1">
      <alignment horizontal="right" vertical="top"/>
    </xf>
    <xf numFmtId="164" fontId="66" fillId="5" borderId="11" xfId="24" applyFont="1" applyFill="1" applyBorder="1" applyAlignment="1">
      <alignment horizontal="right" wrapText="1"/>
    </xf>
  </cellXfs>
  <cellStyles count="34">
    <cellStyle name="Денежный [0] 2" xfId="18" xr:uid="{00000000-0005-0000-0000-000000000000}"/>
    <cellStyle name="Итоги" xfId="4" xr:uid="{00000000-0005-0000-0000-000001000000}"/>
    <cellStyle name="ЛокСмета" xfId="5" xr:uid="{00000000-0005-0000-0000-000002000000}"/>
    <cellStyle name="Обычный" xfId="0" builtinId="0"/>
    <cellStyle name="Обычный 10" xfId="3" xr:uid="{00000000-0005-0000-0000-000004000000}"/>
    <cellStyle name="Обычный 10 2" xfId="28" xr:uid="{00000000-0005-0000-0000-000005000000}"/>
    <cellStyle name="Обычный 11" xfId="30" xr:uid="{00000000-0005-0000-0000-000006000000}"/>
    <cellStyle name="Обычный 12" xfId="32" xr:uid="{155C751A-3B5C-4328-870B-680D2E4CDE2B}"/>
    <cellStyle name="Обычный 2" xfId="8" xr:uid="{00000000-0005-0000-0000-000007000000}"/>
    <cellStyle name="Обычный 2 2" xfId="13" xr:uid="{00000000-0005-0000-0000-000008000000}"/>
    <cellStyle name="Обычный 2 3" xfId="7" xr:uid="{00000000-0005-0000-0000-000009000000}"/>
    <cellStyle name="Обычный 2 4" xfId="2" xr:uid="{00000000-0005-0000-0000-00000A000000}"/>
    <cellStyle name="Обычный 2 5" xfId="31" xr:uid="{00000000-0005-0000-0000-00000B000000}"/>
    <cellStyle name="Обычный 2 6" xfId="33" xr:uid="{F8BC0302-84A1-463F-B56B-B3807D452DE7}"/>
    <cellStyle name="Обычный 29" xfId="1" xr:uid="{00000000-0005-0000-0000-00000C000000}"/>
    <cellStyle name="Обычный 3" xfId="12" xr:uid="{00000000-0005-0000-0000-00000D000000}"/>
    <cellStyle name="Обычный 3 2" xfId="14" xr:uid="{00000000-0005-0000-0000-00000E000000}"/>
    <cellStyle name="Обычный 31 2" xfId="6" xr:uid="{00000000-0005-0000-0000-00000F000000}"/>
    <cellStyle name="Обычный 4" xfId="19" xr:uid="{00000000-0005-0000-0000-000010000000}"/>
    <cellStyle name="Обычный 5" xfId="20" xr:uid="{00000000-0005-0000-0000-000011000000}"/>
    <cellStyle name="Обычный 5 2" xfId="23" xr:uid="{00000000-0005-0000-0000-000012000000}"/>
    <cellStyle name="Обычный 6" xfId="25" xr:uid="{00000000-0005-0000-0000-000013000000}"/>
    <cellStyle name="Обычный 7" xfId="26" xr:uid="{00000000-0005-0000-0000-000014000000}"/>
    <cellStyle name="Обычный 8" xfId="27" xr:uid="{00000000-0005-0000-0000-000015000000}"/>
    <cellStyle name="Обычный 9" xfId="11" xr:uid="{00000000-0005-0000-0000-000016000000}"/>
    <cellStyle name="Обычный_Мои данные" xfId="15" xr:uid="{00000000-0005-0000-0000-000017000000}"/>
    <cellStyle name="ПИР" xfId="21" xr:uid="{00000000-0005-0000-0000-000018000000}"/>
    <cellStyle name="Титул" xfId="16" xr:uid="{00000000-0005-0000-0000-000019000000}"/>
    <cellStyle name="Финансовый" xfId="24" builtinId="3"/>
    <cellStyle name="Финансовый 2" xfId="9" xr:uid="{00000000-0005-0000-0000-00001B000000}"/>
    <cellStyle name="Финансовый 2 2" xfId="10" xr:uid="{00000000-0005-0000-0000-00001C000000}"/>
    <cellStyle name="Финансовый 2 3" xfId="29" xr:uid="{00000000-0005-0000-0000-00001D000000}"/>
    <cellStyle name="Финансовый 3" xfId="17" xr:uid="{00000000-0005-0000-0000-00001E000000}"/>
    <cellStyle name="Хвост" xfId="22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1%20&#1071;&#1085;&#1090;&#1072;&#1088;&#1100;-&#1085;&#1072;&#1073;&#1077;&#1088;&#1077;&#1078;&#1085;&#1072;&#1103;\&#1082;&#1089;-2,3\&#1084;&#1072;&#1088;&#1090;\!!!%20&#1056;&#1045;&#1045;&#1057;&#1058;&#1056;%20&#1084;&#1072;&#1088;&#1090;+&#1082;&#1089;-3%20&#8470;9%20&#1082;&#1089;-2%20(&#8470;51-55)_29.0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73;&#1098;&#1077;&#1082;&#1090;&#1099;/&#1052;&#1042;&#1052;/&#1055;&#1059;&#1058;&#1068;%20417/&#1047;&#1072;&#1082;&#1088;&#1099;&#1090;&#1080;&#1077;/&#1053;&#1086;&#1074;&#1072;&#1103;%20&#1087;&#1072;&#1087;&#1082;&#1072;/&#1074;&#1099;&#1087;&#1086;&#1083;&#1085;&#1077;&#1085;&#1080;&#1077;%20&#1086;&#1082;&#1090;&#1103;&#1073;&#1088;&#1100;/&#1074;&#1099;&#1087;&#1086;&#1083;&#1085;&#1077;&#1085;&#1080;&#1077;%20&#1086;&#1082;&#1090;&#1103;&#1073;&#1088;&#1100;/05-03-01%20&#1055;&#1046;%20&#1089;%20&#1086;&#1090;&#1084;&#1077;&#1090;&#1082;&#1072;&#1084;&#1080;%20&#1074;&#1099;&#1087;&#1086;&#1083;&#1085;&#1077;&#1085;&#1080;&#1103;%2009.10.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&#1071;&#1085;&#1090;&#1072;&#1088;&#1100;\&#1082;&#1089;-2,3\&#1086;&#1082;&#1090;&#1103;&#1073;&#1088;&#1100;\09.11.22%20!!!%20&#1056;&#1045;&#1045;&#1057;&#1058;&#1056;%20&#1086;&#1082;&#1090;&#1103;&#1073;&#1088;&#1100;+&#1082;&#1089;-3%20&#8470;4,%20&#1082;&#1089;-2%20(&#8470;20-28)_&#1071;&#1085;&#1090;&#1072;&#1088;&#1100;_&#1082;&#1086;&#1088;&#1088;.%2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март"/>
      <sheetName val="р март"/>
      <sheetName val="51 02-01-01 (2016)"/>
      <sheetName val="43 02-01-01(2016)-100%"/>
      <sheetName val="52 02-01-01 ДОБ"/>
      <sheetName val="53_06-01-01 ДОБ "/>
      <sheetName val="54_02-01-03 ДОБ"/>
      <sheetName val="№10_(Непредвиденные расходы "/>
      <sheetName val="кс-3 январь-2"/>
      <sheetName val="р январь-2"/>
      <sheetName val="46_02-01-01(2016)"/>
      <sheetName val="М-29 нояб"/>
    </sheetNames>
    <sheetDataSet>
      <sheetData sheetId="0"/>
      <sheetData sheetId="1">
        <row r="11">
          <cell r="E11">
            <v>6377978</v>
          </cell>
        </row>
        <row r="12">
          <cell r="E12">
            <v>3611065</v>
          </cell>
        </row>
        <row r="13">
          <cell r="E13">
            <v>6097</v>
          </cell>
        </row>
        <row r="14">
          <cell r="E14">
            <v>551265</v>
          </cell>
        </row>
        <row r="15">
          <cell r="E15">
            <v>46418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-03-01 (в.5) ПЖ - ЛСР по Мето"/>
    </sheetNames>
    <sheetDataSet>
      <sheetData sheetId="0">
        <row r="892">
          <cell r="U892">
            <v>76799412.425999999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окт"/>
      <sheetName val="р октябрь"/>
      <sheetName val="20_01-02-01(2016)"/>
      <sheetName val="21_01-02-01 ДОБ"/>
      <sheetName val="22_02-01-01 (2016)"/>
      <sheetName val="23_02-01-01 ДОБ "/>
      <sheetName val="24_02-01-02(2016)"/>
      <sheetName val="25_02-01-03 ДОБ "/>
      <sheetName val="26_09-02-01ДОБ"/>
      <sheetName val="М-29 окт"/>
      <sheetName val="М-29-ЯНТАРЬ (авгус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68"/>
  <sheetViews>
    <sheetView view="pageBreakPreview" topLeftCell="C52" zoomScale="90" zoomScaleNormal="82" zoomScaleSheetLayoutView="90" workbookViewId="0">
      <selection activeCell="N25" sqref="N25:O25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8.6640625" style="115" customWidth="1"/>
    <col min="17" max="19" width="10.6640625" style="306" customWidth="1" outlineLevel="1"/>
    <col min="20" max="20" width="10.6640625" style="307" customWidth="1" outlineLevel="1"/>
    <col min="21" max="22" width="10.6640625" style="306" customWidth="1" outlineLevel="1"/>
    <col min="23" max="26" width="10.6640625" style="308" customWidth="1" outlineLevel="1"/>
    <col min="27" max="27" width="13" style="82" customWidth="1"/>
    <col min="28" max="29" width="9.109375" style="82"/>
    <col min="30" max="30" width="17.109375" style="82" customWidth="1"/>
    <col min="31" max="31" width="9.109375" style="82"/>
    <col min="32" max="32" width="12.5546875" style="82" customWidth="1"/>
    <col min="33" max="16384" width="9.109375" style="82"/>
  </cols>
  <sheetData>
    <row r="1" spans="1:16" x14ac:dyDescent="0.25">
      <c r="A1" s="902"/>
      <c r="B1" s="902"/>
      <c r="C1" s="902"/>
      <c r="D1" s="902"/>
      <c r="E1" s="902"/>
      <c r="F1" s="902"/>
      <c r="G1" s="966" t="s">
        <v>240</v>
      </c>
      <c r="H1" s="966"/>
      <c r="I1" s="966"/>
      <c r="J1" s="966"/>
      <c r="K1" s="966"/>
      <c r="L1" s="966"/>
      <c r="M1" s="966"/>
      <c r="N1" s="966"/>
      <c r="O1" s="966"/>
      <c r="P1" s="114"/>
    </row>
    <row r="2" spans="1:16" x14ac:dyDescent="0.25">
      <c r="A2" s="902"/>
      <c r="B2" s="902"/>
      <c r="C2" s="902"/>
      <c r="D2" s="902"/>
      <c r="E2" s="902"/>
      <c r="F2" s="902"/>
      <c r="G2" s="952" t="s">
        <v>241</v>
      </c>
      <c r="H2" s="952"/>
      <c r="I2" s="952"/>
      <c r="J2" s="952"/>
      <c r="K2" s="952"/>
      <c r="L2" s="952"/>
      <c r="M2" s="952"/>
      <c r="N2" s="952"/>
      <c r="O2" s="952"/>
      <c r="P2" s="116"/>
    </row>
    <row r="3" spans="1:16" x14ac:dyDescent="0.25">
      <c r="A3" s="902"/>
      <c r="B3" s="902"/>
      <c r="C3" s="902"/>
      <c r="D3" s="902"/>
      <c r="E3" s="902"/>
      <c r="F3" s="902"/>
      <c r="G3" s="952" t="s">
        <v>242</v>
      </c>
      <c r="H3" s="952"/>
      <c r="I3" s="952"/>
      <c r="J3" s="952"/>
      <c r="K3" s="952"/>
      <c r="L3" s="952"/>
      <c r="M3" s="952"/>
      <c r="N3" s="952"/>
      <c r="O3" s="952"/>
      <c r="P3" s="116"/>
    </row>
    <row r="4" spans="1:16" x14ac:dyDescent="0.25">
      <c r="A4" s="902"/>
      <c r="B4" s="902"/>
      <c r="C4" s="902"/>
      <c r="D4" s="902"/>
      <c r="E4" s="902"/>
      <c r="F4" s="902"/>
      <c r="G4" s="902"/>
      <c r="H4" s="902"/>
      <c r="I4" s="902"/>
      <c r="J4" s="902"/>
      <c r="K4" s="902"/>
      <c r="L4" s="902"/>
      <c r="M4" s="968" t="s">
        <v>0</v>
      </c>
      <c r="N4" s="906"/>
      <c r="O4" s="969"/>
      <c r="P4" s="117"/>
    </row>
    <row r="5" spans="1:16" ht="24.9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952" t="s">
        <v>1</v>
      </c>
      <c r="K5" s="952"/>
      <c r="L5" s="952"/>
      <c r="M5" s="970" t="s">
        <v>243</v>
      </c>
      <c r="N5" s="971"/>
      <c r="O5" s="972"/>
      <c r="P5" s="120"/>
    </row>
    <row r="6" spans="1:16" ht="24.9" customHeight="1" x14ac:dyDescent="0.25">
      <c r="A6" s="118" t="s">
        <v>244</v>
      </c>
      <c r="B6" s="121"/>
      <c r="C6" s="121"/>
      <c r="D6" s="121"/>
      <c r="E6" s="121"/>
      <c r="F6" s="121"/>
      <c r="G6" s="121"/>
      <c r="H6" s="121"/>
      <c r="I6" s="121"/>
      <c r="J6" s="121"/>
      <c r="K6" s="119"/>
      <c r="L6" s="122" t="s">
        <v>4</v>
      </c>
      <c r="M6" s="948"/>
      <c r="N6" s="949"/>
      <c r="O6" s="950"/>
      <c r="P6" s="123"/>
    </row>
    <row r="7" spans="1:16" ht="24.9" customHeight="1" x14ac:dyDescent="0.25">
      <c r="A7" s="118"/>
      <c r="B7" s="121"/>
      <c r="C7" s="951" t="s">
        <v>5</v>
      </c>
      <c r="D7" s="951"/>
      <c r="E7" s="951"/>
      <c r="F7" s="951"/>
      <c r="G7" s="951"/>
      <c r="H7" s="951"/>
      <c r="I7" s="121"/>
      <c r="J7" s="121"/>
      <c r="K7" s="119"/>
      <c r="L7" s="122"/>
      <c r="M7" s="124"/>
      <c r="N7" s="125"/>
      <c r="O7" s="126"/>
      <c r="P7" s="123"/>
    </row>
    <row r="8" spans="1:16" ht="44.25" customHeight="1" x14ac:dyDescent="0.25">
      <c r="A8" s="127" t="s">
        <v>29</v>
      </c>
      <c r="B8" s="958" t="s">
        <v>245</v>
      </c>
      <c r="C8" s="958"/>
      <c r="D8" s="958"/>
      <c r="E8" s="958"/>
      <c r="F8" s="958"/>
      <c r="G8" s="958"/>
      <c r="H8" s="958"/>
      <c r="I8" s="958"/>
      <c r="J8" s="958"/>
      <c r="K8" s="122"/>
      <c r="L8" s="122" t="s">
        <v>4</v>
      </c>
      <c r="M8" s="943" t="s">
        <v>30</v>
      </c>
      <c r="N8" s="944"/>
      <c r="O8" s="945"/>
      <c r="P8" s="128"/>
    </row>
    <row r="9" spans="1:16" ht="24.9" customHeight="1" x14ac:dyDescent="0.25">
      <c r="A9" s="127"/>
      <c r="B9" s="129"/>
      <c r="C9" s="951" t="s">
        <v>5</v>
      </c>
      <c r="D9" s="951"/>
      <c r="E9" s="951"/>
      <c r="F9" s="951"/>
      <c r="G9" s="951"/>
      <c r="H9" s="951"/>
      <c r="I9" s="129"/>
      <c r="J9" s="129"/>
      <c r="K9" s="122"/>
      <c r="L9" s="122"/>
      <c r="M9" s="130"/>
      <c r="N9" s="131"/>
      <c r="O9" s="132"/>
      <c r="P9" s="120"/>
    </row>
    <row r="10" spans="1:16" ht="38.25" customHeight="1" x14ac:dyDescent="0.25">
      <c r="A10" s="127" t="s">
        <v>31</v>
      </c>
      <c r="B10" s="958" t="s">
        <v>246</v>
      </c>
      <c r="C10" s="958"/>
      <c r="D10" s="958"/>
      <c r="E10" s="958"/>
      <c r="F10" s="958"/>
      <c r="G10" s="958"/>
      <c r="H10" s="958"/>
      <c r="I10" s="958"/>
      <c r="J10" s="958"/>
      <c r="K10" s="119"/>
      <c r="L10" s="122" t="s">
        <v>4</v>
      </c>
      <c r="M10" s="967">
        <v>79730368</v>
      </c>
      <c r="N10" s="940"/>
      <c r="O10" s="941"/>
      <c r="P10" s="133"/>
    </row>
    <row r="11" spans="1:16" ht="24.9" customHeight="1" x14ac:dyDescent="0.25">
      <c r="A11" s="118"/>
      <c r="B11" s="134"/>
      <c r="C11" s="951" t="s">
        <v>5</v>
      </c>
      <c r="D11" s="951"/>
      <c r="E11" s="951"/>
      <c r="F11" s="951"/>
      <c r="G11" s="951"/>
      <c r="H11" s="951"/>
      <c r="I11" s="134"/>
      <c r="J11" s="134"/>
      <c r="K11" s="119"/>
      <c r="L11" s="122"/>
      <c r="M11" s="135"/>
      <c r="N11" s="136"/>
      <c r="O11" s="137"/>
      <c r="P11" s="117"/>
    </row>
    <row r="12" spans="1:16" ht="55.5" customHeight="1" x14ac:dyDescent="0.25">
      <c r="A12" s="127" t="s">
        <v>46</v>
      </c>
      <c r="B12" s="958" t="s">
        <v>247</v>
      </c>
      <c r="C12" s="958"/>
      <c r="D12" s="958"/>
      <c r="E12" s="958"/>
      <c r="F12" s="958"/>
      <c r="G12" s="958"/>
      <c r="H12" s="958"/>
      <c r="I12" s="958"/>
      <c r="J12" s="958"/>
      <c r="K12" s="119"/>
      <c r="L12" s="122" t="s">
        <v>4</v>
      </c>
      <c r="M12" s="956"/>
      <c r="N12" s="951"/>
      <c r="O12" s="957"/>
      <c r="P12" s="117"/>
    </row>
    <row r="13" spans="1:16" ht="24.9" customHeight="1" x14ac:dyDescent="0.25">
      <c r="A13" s="119"/>
      <c r="B13" s="138"/>
      <c r="C13" s="139"/>
      <c r="D13" s="119"/>
      <c r="E13" s="119"/>
      <c r="F13" s="119"/>
      <c r="G13" s="119"/>
      <c r="H13" s="119"/>
      <c r="I13" s="119"/>
      <c r="J13" s="122"/>
      <c r="K13" s="122"/>
      <c r="L13" s="122"/>
      <c r="M13" s="959"/>
      <c r="N13" s="934"/>
      <c r="O13" s="960"/>
      <c r="P13" s="117"/>
    </row>
    <row r="14" spans="1:16" ht="24.9" customHeight="1" x14ac:dyDescent="0.25">
      <c r="A14" s="961" t="s">
        <v>248</v>
      </c>
      <c r="B14" s="961"/>
      <c r="C14" s="961"/>
      <c r="D14" s="961"/>
      <c r="E14" s="961"/>
      <c r="F14" s="961"/>
      <c r="G14" s="961"/>
      <c r="H14" s="961"/>
      <c r="I14" s="961"/>
      <c r="J14" s="961"/>
      <c r="K14" s="961"/>
      <c r="L14" s="962"/>
      <c r="M14" s="943" t="s">
        <v>33</v>
      </c>
      <c r="N14" s="944"/>
      <c r="O14" s="945"/>
      <c r="P14" s="128"/>
    </row>
    <row r="15" spans="1:16" ht="24.9" customHeight="1" x14ac:dyDescent="0.25">
      <c r="A15" s="952" t="s">
        <v>8</v>
      </c>
      <c r="B15" s="952"/>
      <c r="C15" s="952"/>
      <c r="D15" s="952"/>
      <c r="E15" s="952"/>
      <c r="F15" s="952"/>
      <c r="G15" s="952"/>
      <c r="H15" s="952"/>
      <c r="I15" s="952"/>
      <c r="J15" s="952"/>
      <c r="K15" s="952"/>
      <c r="L15" s="140" t="s">
        <v>249</v>
      </c>
      <c r="M15" s="963" t="s">
        <v>34</v>
      </c>
      <c r="N15" s="964"/>
      <c r="O15" s="965"/>
      <c r="P15" s="141"/>
    </row>
    <row r="16" spans="1:16" ht="24.9" customHeight="1" x14ac:dyDescent="0.25">
      <c r="A16" s="952"/>
      <c r="B16" s="952"/>
      <c r="C16" s="952"/>
      <c r="D16" s="952"/>
      <c r="E16" s="952"/>
      <c r="F16" s="952"/>
      <c r="G16" s="952"/>
      <c r="H16" s="952"/>
      <c r="I16" s="952"/>
      <c r="J16" s="952"/>
      <c r="K16" s="952"/>
      <c r="L16" s="140" t="s">
        <v>10</v>
      </c>
      <c r="M16" s="142" t="s">
        <v>50</v>
      </c>
      <c r="N16" s="142" t="s">
        <v>51</v>
      </c>
      <c r="O16" s="143">
        <v>2022</v>
      </c>
      <c r="P16" s="144"/>
    </row>
    <row r="17" spans="1:26" ht="18" hidden="1" customHeight="1" x14ac:dyDescent="0.25">
      <c r="A17" s="122"/>
      <c r="B17" s="122"/>
      <c r="C17" s="122"/>
      <c r="D17" s="122"/>
      <c r="E17" s="122"/>
      <c r="F17" s="122"/>
      <c r="G17" s="905" t="s">
        <v>35</v>
      </c>
      <c r="H17" s="905"/>
      <c r="I17" s="905"/>
      <c r="J17" s="905"/>
      <c r="K17" s="122"/>
      <c r="L17" s="145" t="s">
        <v>249</v>
      </c>
      <c r="M17" s="953" t="s">
        <v>18</v>
      </c>
      <c r="N17" s="954"/>
      <c r="O17" s="955"/>
      <c r="P17" s="146"/>
    </row>
    <row r="18" spans="1:26" ht="24.9" hidden="1" customHeight="1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45" t="s">
        <v>10</v>
      </c>
      <c r="M18" s="142" t="s">
        <v>52</v>
      </c>
      <c r="N18" s="142" t="s">
        <v>250</v>
      </c>
      <c r="O18" s="143">
        <v>2022</v>
      </c>
      <c r="P18" s="144"/>
    </row>
    <row r="19" spans="1:26" ht="18" customHeight="1" x14ac:dyDescent="0.25">
      <c r="A19" s="122"/>
      <c r="B19" s="122"/>
      <c r="C19" s="122"/>
      <c r="D19" s="122"/>
      <c r="E19" s="122"/>
      <c r="F19" s="122"/>
      <c r="G19" s="905" t="s">
        <v>35</v>
      </c>
      <c r="H19" s="905"/>
      <c r="I19" s="905"/>
      <c r="J19" s="905"/>
      <c r="K19" s="122"/>
      <c r="L19" s="145" t="s">
        <v>249</v>
      </c>
      <c r="M19" s="953" t="s">
        <v>25</v>
      </c>
      <c r="N19" s="954"/>
      <c r="O19" s="955"/>
      <c r="P19" s="146"/>
    </row>
    <row r="20" spans="1:26" ht="24.9" customHeight="1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45" t="s">
        <v>10</v>
      </c>
      <c r="M20" s="142" t="s">
        <v>50</v>
      </c>
      <c r="N20" s="142" t="s">
        <v>81</v>
      </c>
      <c r="O20" s="143">
        <v>2022</v>
      </c>
      <c r="P20" s="144"/>
    </row>
    <row r="21" spans="1:26" ht="24.9" customHeight="1" x14ac:dyDescent="0.25">
      <c r="A21" s="952" t="s">
        <v>11</v>
      </c>
      <c r="B21" s="952"/>
      <c r="C21" s="952"/>
      <c r="D21" s="952"/>
      <c r="E21" s="952"/>
      <c r="F21" s="952"/>
      <c r="G21" s="952"/>
      <c r="H21" s="952"/>
      <c r="I21" s="952"/>
      <c r="J21" s="952"/>
      <c r="K21" s="952"/>
      <c r="L21" s="952"/>
      <c r="M21" s="956"/>
      <c r="N21" s="951"/>
      <c r="O21" s="957"/>
      <c r="P21" s="117"/>
    </row>
    <row r="22" spans="1:26" ht="9" customHeight="1" x14ac:dyDescent="0.25">
      <c r="A22" s="905"/>
      <c r="B22" s="905"/>
      <c r="C22" s="905"/>
      <c r="D22" s="905"/>
      <c r="E22" s="905"/>
      <c r="F22" s="905"/>
      <c r="G22" s="905"/>
      <c r="H22" s="905"/>
      <c r="I22" s="905"/>
      <c r="J22" s="905"/>
      <c r="K22" s="905"/>
      <c r="L22" s="905"/>
      <c r="M22" s="905"/>
      <c r="N22" s="905"/>
      <c r="O22" s="905"/>
      <c r="P22" s="117"/>
    </row>
    <row r="23" spans="1:26" ht="24.9" customHeight="1" x14ac:dyDescent="0.25">
      <c r="A23" s="905"/>
      <c r="B23" s="905"/>
      <c r="C23" s="905"/>
      <c r="D23" s="905"/>
      <c r="E23" s="905"/>
      <c r="F23" s="929" t="s">
        <v>12</v>
      </c>
      <c r="G23" s="929"/>
      <c r="H23" s="929"/>
      <c r="I23" s="929" t="s">
        <v>13</v>
      </c>
      <c r="J23" s="929"/>
      <c r="K23" s="942"/>
      <c r="L23" s="942" t="s">
        <v>14</v>
      </c>
      <c r="M23" s="942"/>
      <c r="N23" s="942"/>
      <c r="O23" s="942"/>
      <c r="P23" s="117"/>
    </row>
    <row r="24" spans="1:26" ht="24.9" customHeight="1" x14ac:dyDescent="0.25">
      <c r="A24" s="905"/>
      <c r="B24" s="905"/>
      <c r="C24" s="905"/>
      <c r="D24" s="905"/>
      <c r="E24" s="905"/>
      <c r="F24" s="929"/>
      <c r="G24" s="929"/>
      <c r="H24" s="929"/>
      <c r="I24" s="929"/>
      <c r="J24" s="929"/>
      <c r="K24" s="942"/>
      <c r="L24" s="942" t="s">
        <v>15</v>
      </c>
      <c r="M24" s="942"/>
      <c r="N24" s="942" t="s">
        <v>16</v>
      </c>
      <c r="O24" s="942"/>
      <c r="P24" s="117"/>
    </row>
    <row r="25" spans="1:26" ht="21" customHeight="1" x14ac:dyDescent="0.25">
      <c r="A25" s="905"/>
      <c r="B25" s="905"/>
      <c r="C25" s="905"/>
      <c r="D25" s="905"/>
      <c r="E25" s="905"/>
      <c r="F25" s="943" t="s">
        <v>80</v>
      </c>
      <c r="G25" s="944"/>
      <c r="H25" s="945"/>
      <c r="I25" s="946">
        <f>N25</f>
        <v>45041</v>
      </c>
      <c r="J25" s="947"/>
      <c r="K25" s="942"/>
      <c r="L25" s="946">
        <v>45011</v>
      </c>
      <c r="M25" s="941"/>
      <c r="N25" s="946">
        <v>45041</v>
      </c>
      <c r="O25" s="941"/>
      <c r="P25" s="133"/>
    </row>
    <row r="26" spans="1:26" ht="8.25" customHeight="1" x14ac:dyDescent="0.25">
      <c r="A26" s="148"/>
      <c r="B26" s="148"/>
      <c r="C26" s="148"/>
      <c r="D26" s="148"/>
      <c r="E26" s="148"/>
      <c r="F26" s="149"/>
      <c r="G26" s="148"/>
      <c r="H26" s="148"/>
      <c r="I26" s="150"/>
      <c r="J26" s="148"/>
      <c r="K26" s="148"/>
      <c r="L26" s="148"/>
      <c r="M26" s="148"/>
      <c r="N26" s="150"/>
      <c r="O26" s="148"/>
      <c r="P26" s="117"/>
    </row>
    <row r="27" spans="1:26" ht="12.75" customHeight="1" x14ac:dyDescent="0.25">
      <c r="A27" s="905" t="s">
        <v>251</v>
      </c>
      <c r="B27" s="905"/>
      <c r="C27" s="905"/>
      <c r="D27" s="905"/>
      <c r="E27" s="905"/>
      <c r="F27" s="905"/>
      <c r="G27" s="905"/>
      <c r="H27" s="905"/>
      <c r="I27" s="905"/>
      <c r="J27" s="905"/>
      <c r="K27" s="905"/>
      <c r="L27" s="905"/>
      <c r="M27" s="905"/>
      <c r="N27" s="905"/>
      <c r="O27" s="905"/>
      <c r="P27" s="117"/>
    </row>
    <row r="28" spans="1:26" ht="12.75" customHeight="1" x14ac:dyDescent="0.25">
      <c r="A28" s="934" t="s">
        <v>252</v>
      </c>
      <c r="B28" s="934"/>
      <c r="C28" s="934"/>
      <c r="D28" s="934"/>
      <c r="E28" s="934"/>
      <c r="F28" s="934"/>
      <c r="G28" s="934"/>
      <c r="H28" s="934"/>
      <c r="I28" s="934"/>
      <c r="J28" s="934"/>
      <c r="K28" s="934"/>
      <c r="L28" s="934"/>
      <c r="M28" s="934"/>
      <c r="N28" s="934"/>
      <c r="O28" s="934"/>
      <c r="P28" s="117"/>
    </row>
    <row r="29" spans="1:26" ht="18" customHeight="1" x14ac:dyDescent="0.25">
      <c r="A29" s="929" t="s">
        <v>253</v>
      </c>
      <c r="B29" s="935" t="s">
        <v>254</v>
      </c>
      <c r="C29" s="936"/>
      <c r="D29" s="935" t="s">
        <v>0</v>
      </c>
      <c r="E29" s="939" t="s">
        <v>255</v>
      </c>
      <c r="F29" s="940"/>
      <c r="G29" s="940"/>
      <c r="H29" s="940"/>
      <c r="I29" s="940"/>
      <c r="J29" s="940"/>
      <c r="K29" s="940"/>
      <c r="L29" s="940"/>
      <c r="M29" s="940"/>
      <c r="N29" s="940"/>
      <c r="O29" s="941"/>
      <c r="P29" s="133"/>
    </row>
    <row r="30" spans="1:26" ht="36.75" customHeight="1" x14ac:dyDescent="0.25">
      <c r="A30" s="929"/>
      <c r="B30" s="937"/>
      <c r="C30" s="938"/>
      <c r="D30" s="937"/>
      <c r="E30" s="939" t="s">
        <v>256</v>
      </c>
      <c r="F30" s="940"/>
      <c r="G30" s="940"/>
      <c r="H30" s="939" t="s">
        <v>257</v>
      </c>
      <c r="I30" s="940"/>
      <c r="J30" s="940"/>
      <c r="K30" s="940"/>
      <c r="L30" s="939" t="s">
        <v>258</v>
      </c>
      <c r="M30" s="940"/>
      <c r="N30" s="940"/>
      <c r="O30" s="941"/>
      <c r="P30" s="133"/>
    </row>
    <row r="31" spans="1:26" ht="17.25" customHeight="1" x14ac:dyDescent="0.25">
      <c r="A31" s="151">
        <v>1</v>
      </c>
      <c r="B31" s="929">
        <v>2</v>
      </c>
      <c r="C31" s="929"/>
      <c r="D31" s="151">
        <v>3</v>
      </c>
      <c r="E31" s="929">
        <v>4</v>
      </c>
      <c r="F31" s="929"/>
      <c r="G31" s="929"/>
      <c r="H31" s="929">
        <v>5</v>
      </c>
      <c r="I31" s="929"/>
      <c r="J31" s="929"/>
      <c r="K31" s="929"/>
      <c r="L31" s="929">
        <v>6</v>
      </c>
      <c r="M31" s="929"/>
      <c r="N31" s="929"/>
      <c r="O31" s="929"/>
      <c r="P31" s="930" t="s">
        <v>259</v>
      </c>
      <c r="Q31" s="309" t="s">
        <v>260</v>
      </c>
      <c r="R31" s="309" t="s">
        <v>261</v>
      </c>
      <c r="S31" s="309" t="s">
        <v>262</v>
      </c>
      <c r="T31" s="310" t="s">
        <v>263</v>
      </c>
      <c r="U31" s="309" t="s">
        <v>264</v>
      </c>
      <c r="V31" s="309" t="s">
        <v>265</v>
      </c>
      <c r="W31" s="309" t="s">
        <v>652</v>
      </c>
      <c r="X31" s="309" t="s">
        <v>651</v>
      </c>
      <c r="Y31" s="309" t="s">
        <v>266</v>
      </c>
      <c r="Z31" s="309" t="s">
        <v>659</v>
      </c>
    </row>
    <row r="32" spans="1:26" s="274" customFormat="1" ht="23.25" customHeight="1" x14ac:dyDescent="0.25">
      <c r="A32" s="151"/>
      <c r="B32" s="932" t="s">
        <v>267</v>
      </c>
      <c r="C32" s="933"/>
      <c r="D32" s="154"/>
      <c r="E32" s="915"/>
      <c r="F32" s="916"/>
      <c r="G32" s="917"/>
      <c r="H32" s="915"/>
      <c r="I32" s="916"/>
      <c r="J32" s="916"/>
      <c r="K32" s="155"/>
      <c r="L32" s="915"/>
      <c r="M32" s="916"/>
      <c r="N32" s="916"/>
      <c r="O32" s="917"/>
      <c r="P32" s="931"/>
      <c r="Q32" s="311">
        <f>SUM(Q33:Q45)</f>
        <v>3343116</v>
      </c>
      <c r="R32" s="311">
        <f t="shared" ref="R32:T32" si="0">SUM(R33:R45)</f>
        <v>16959455</v>
      </c>
      <c r="S32" s="311">
        <f t="shared" si="0"/>
        <v>16778150</v>
      </c>
      <c r="T32" s="311">
        <f t="shared" si="0"/>
        <v>32470175</v>
      </c>
      <c r="U32" s="311">
        <f>SUM(U33:U51)</f>
        <v>25944077</v>
      </c>
      <c r="V32" s="311">
        <f>SUM(V33:V51)</f>
        <v>6707148</v>
      </c>
      <c r="W32" s="311">
        <f>SUM(W33:W51)</f>
        <v>13066079</v>
      </c>
      <c r="X32" s="311">
        <f>SUM(X33:X51)</f>
        <v>11787355</v>
      </c>
      <c r="Y32" s="311">
        <f>SUM(Y33:Y54)</f>
        <v>10592823</v>
      </c>
      <c r="Z32" s="311">
        <f>SUM(Z33:Z54)</f>
        <v>88271003</v>
      </c>
    </row>
    <row r="33" spans="1:26" s="274" customFormat="1" ht="40.5" customHeight="1" x14ac:dyDescent="0.25">
      <c r="A33" s="151">
        <v>1</v>
      </c>
      <c r="B33" s="927" t="s">
        <v>268</v>
      </c>
      <c r="C33" s="928"/>
      <c r="D33" s="154"/>
      <c r="E33" s="924">
        <f>59845+H33</f>
        <v>59845</v>
      </c>
      <c r="F33" s="925"/>
      <c r="G33" s="926"/>
      <c r="H33" s="924">
        <f>0+L33</f>
        <v>0</v>
      </c>
      <c r="I33" s="925"/>
      <c r="J33" s="925"/>
      <c r="K33" s="158"/>
      <c r="L33" s="924"/>
      <c r="M33" s="925"/>
      <c r="N33" s="925"/>
      <c r="O33" s="926"/>
      <c r="P33" s="159">
        <f>SUM(Q33:Z33)</f>
        <v>59845</v>
      </c>
      <c r="Q33" s="312"/>
      <c r="R33" s="312">
        <v>59845</v>
      </c>
      <c r="S33" s="312"/>
      <c r="T33" s="312">
        <v>0</v>
      </c>
      <c r="U33" s="312"/>
      <c r="V33" s="312"/>
      <c r="W33" s="313"/>
      <c r="X33" s="313"/>
      <c r="Y33" s="313"/>
      <c r="Z33" s="313"/>
    </row>
    <row r="34" spans="1:26" s="274" customFormat="1" ht="28.5" customHeight="1" x14ac:dyDescent="0.25">
      <c r="A34" s="151">
        <f>A33+1</f>
        <v>2</v>
      </c>
      <c r="B34" s="927" t="s">
        <v>269</v>
      </c>
      <c r="C34" s="928"/>
      <c r="D34" s="154"/>
      <c r="E34" s="924">
        <f>286013+H34</f>
        <v>286013</v>
      </c>
      <c r="F34" s="925"/>
      <c r="G34" s="926"/>
      <c r="H34" s="924">
        <f t="shared" ref="H34:H37" si="1">0+L34</f>
        <v>0</v>
      </c>
      <c r="I34" s="925"/>
      <c r="J34" s="925"/>
      <c r="K34" s="163"/>
      <c r="L34" s="924"/>
      <c r="M34" s="925"/>
      <c r="N34" s="925"/>
      <c r="O34" s="926"/>
      <c r="P34" s="159">
        <f t="shared" ref="P34:P54" si="2">SUM(Q34:Z34)</f>
        <v>286013</v>
      </c>
      <c r="Q34" s="312">
        <v>286013</v>
      </c>
      <c r="R34" s="312"/>
      <c r="S34" s="312"/>
      <c r="T34" s="312"/>
      <c r="U34" s="312"/>
      <c r="V34" s="312"/>
      <c r="W34" s="313"/>
      <c r="X34" s="313"/>
      <c r="Y34" s="313"/>
      <c r="Z34" s="313"/>
    </row>
    <row r="35" spans="1:26" s="274" customFormat="1" ht="39.9" customHeight="1" x14ac:dyDescent="0.25">
      <c r="A35" s="151">
        <f t="shared" ref="A35:A54" si="3">A34+1</f>
        <v>3</v>
      </c>
      <c r="B35" s="927" t="s">
        <v>270</v>
      </c>
      <c r="C35" s="928"/>
      <c r="D35" s="154"/>
      <c r="E35" s="924">
        <f>314815+H35</f>
        <v>314815</v>
      </c>
      <c r="F35" s="925"/>
      <c r="G35" s="926"/>
      <c r="H35" s="924">
        <f t="shared" si="1"/>
        <v>0</v>
      </c>
      <c r="I35" s="925"/>
      <c r="J35" s="925"/>
      <c r="K35" s="163"/>
      <c r="L35" s="924"/>
      <c r="M35" s="925"/>
      <c r="N35" s="925"/>
      <c r="O35" s="926"/>
      <c r="P35" s="159">
        <f t="shared" si="2"/>
        <v>314815</v>
      </c>
      <c r="Q35" s="312">
        <v>77654</v>
      </c>
      <c r="R35" s="312">
        <v>228227</v>
      </c>
      <c r="S35" s="312">
        <v>1417</v>
      </c>
      <c r="T35" s="312">
        <v>7517</v>
      </c>
      <c r="U35" s="312"/>
      <c r="V35" s="312"/>
      <c r="W35" s="313"/>
      <c r="X35" s="313"/>
      <c r="Y35" s="313"/>
      <c r="Z35" s="313"/>
    </row>
    <row r="36" spans="1:26" s="274" customFormat="1" ht="45" customHeight="1" x14ac:dyDescent="0.25">
      <c r="A36" s="151">
        <f t="shared" si="3"/>
        <v>4</v>
      </c>
      <c r="B36" s="927" t="s">
        <v>271</v>
      </c>
      <c r="C36" s="928"/>
      <c r="D36" s="154"/>
      <c r="E36" s="924">
        <f>1828452+H36</f>
        <v>1828452</v>
      </c>
      <c r="F36" s="925"/>
      <c r="G36" s="926"/>
      <c r="H36" s="924">
        <f t="shared" si="1"/>
        <v>0</v>
      </c>
      <c r="I36" s="925"/>
      <c r="J36" s="925"/>
      <c r="K36" s="163"/>
      <c r="L36" s="924"/>
      <c r="M36" s="925"/>
      <c r="N36" s="925"/>
      <c r="O36" s="926"/>
      <c r="P36" s="159">
        <f t="shared" si="2"/>
        <v>1828452</v>
      </c>
      <c r="Q36" s="312">
        <v>305724</v>
      </c>
      <c r="R36" s="312">
        <v>466229</v>
      </c>
      <c r="S36" s="312"/>
      <c r="T36" s="312">
        <v>1056499</v>
      </c>
      <c r="U36" s="312"/>
      <c r="V36" s="312"/>
      <c r="W36" s="313"/>
      <c r="X36" s="313"/>
      <c r="Y36" s="313"/>
      <c r="Z36" s="313"/>
    </row>
    <row r="37" spans="1:26" s="274" customFormat="1" ht="39.9" customHeight="1" x14ac:dyDescent="0.25">
      <c r="A37" s="151">
        <f t="shared" si="3"/>
        <v>5</v>
      </c>
      <c r="B37" s="927" t="s">
        <v>272</v>
      </c>
      <c r="C37" s="928"/>
      <c r="D37" s="154"/>
      <c r="E37" s="924">
        <f>624196+H37</f>
        <v>624196</v>
      </c>
      <c r="F37" s="925"/>
      <c r="G37" s="926"/>
      <c r="H37" s="924">
        <f t="shared" si="1"/>
        <v>0</v>
      </c>
      <c r="I37" s="925"/>
      <c r="J37" s="925"/>
      <c r="K37" s="163"/>
      <c r="L37" s="924"/>
      <c r="M37" s="925"/>
      <c r="N37" s="925"/>
      <c r="O37" s="926"/>
      <c r="P37" s="159">
        <f t="shared" si="2"/>
        <v>624196</v>
      </c>
      <c r="Q37" s="312"/>
      <c r="R37" s="312">
        <v>37172</v>
      </c>
      <c r="S37" s="312"/>
      <c r="T37" s="312">
        <v>587024</v>
      </c>
      <c r="U37" s="312"/>
      <c r="V37" s="312"/>
      <c r="W37" s="313"/>
      <c r="X37" s="313"/>
      <c r="Y37" s="313"/>
      <c r="Z37" s="313"/>
    </row>
    <row r="38" spans="1:26" s="274" customFormat="1" ht="42.75" customHeight="1" x14ac:dyDescent="0.25">
      <c r="A38" s="151">
        <f t="shared" si="3"/>
        <v>6</v>
      </c>
      <c r="B38" s="927" t="s">
        <v>660</v>
      </c>
      <c r="C38" s="928"/>
      <c r="D38" s="154"/>
      <c r="E38" s="924">
        <f>60486559+H38</f>
        <v>138451527.00999999</v>
      </c>
      <c r="F38" s="925"/>
      <c r="G38" s="926"/>
      <c r="H38" s="924">
        <f>29820252+L38</f>
        <v>77964968.010000005</v>
      </c>
      <c r="I38" s="925"/>
      <c r="J38" s="926"/>
      <c r="K38" s="163"/>
      <c r="L38" s="924">
        <f>'реестр октябрь'!D11</f>
        <v>48144716.009999998</v>
      </c>
      <c r="M38" s="925"/>
      <c r="N38" s="925"/>
      <c r="O38" s="926"/>
      <c r="P38" s="159">
        <f t="shared" si="2"/>
        <v>138451527</v>
      </c>
      <c r="Q38" s="312">
        <v>2561956</v>
      </c>
      <c r="R38" s="312">
        <v>10931291</v>
      </c>
      <c r="S38" s="312">
        <v>8862280</v>
      </c>
      <c r="T38" s="312">
        <v>19693597</v>
      </c>
      <c r="U38" s="312">
        <v>13037957</v>
      </c>
      <c r="V38" s="312">
        <v>5399478</v>
      </c>
      <c r="W38" s="318">
        <v>12223817</v>
      </c>
      <c r="X38" s="318">
        <v>11218457</v>
      </c>
      <c r="Y38" s="318">
        <f>'[11]р март'!E11</f>
        <v>6377978</v>
      </c>
      <c r="Z38" s="318">
        <f>'реестр октябрь'!D11</f>
        <v>48144716</v>
      </c>
    </row>
    <row r="39" spans="1:26" s="274" customFormat="1" ht="44.25" customHeight="1" x14ac:dyDescent="0.25">
      <c r="A39" s="151">
        <f t="shared" si="3"/>
        <v>7</v>
      </c>
      <c r="B39" s="927" t="s">
        <v>661</v>
      </c>
      <c r="C39" s="928"/>
      <c r="D39" s="154"/>
      <c r="E39" s="924">
        <f>24162551+H39</f>
        <v>68812318.099999994</v>
      </c>
      <c r="F39" s="925"/>
      <c r="G39" s="926"/>
      <c r="H39" s="924">
        <f>4523480+L39</f>
        <v>44649767.100000001</v>
      </c>
      <c r="I39" s="925"/>
      <c r="J39" s="926"/>
      <c r="K39" s="163"/>
      <c r="L39" s="924">
        <f>'реестр октябрь'!D12</f>
        <v>40126287.100000001</v>
      </c>
      <c r="M39" s="925"/>
      <c r="N39" s="925"/>
      <c r="O39" s="926"/>
      <c r="P39" s="159">
        <f t="shared" si="2"/>
        <v>68812318</v>
      </c>
      <c r="Q39" s="312"/>
      <c r="R39" s="312">
        <v>3522345</v>
      </c>
      <c r="S39" s="312">
        <v>4771674</v>
      </c>
      <c r="T39" s="312">
        <v>9028097</v>
      </c>
      <c r="U39" s="312">
        <v>6140773</v>
      </c>
      <c r="V39" s="312">
        <v>699662</v>
      </c>
      <c r="W39" s="318">
        <v>505422</v>
      </c>
      <c r="X39" s="318">
        <v>406993</v>
      </c>
      <c r="Y39" s="318">
        <f>'[11]р март'!E12</f>
        <v>3611065</v>
      </c>
      <c r="Z39" s="318">
        <f>'реестр октябрь'!D12</f>
        <v>40126287</v>
      </c>
    </row>
    <row r="40" spans="1:26" s="274" customFormat="1" ht="39.9" customHeight="1" x14ac:dyDescent="0.25">
      <c r="A40" s="151">
        <f t="shared" si="3"/>
        <v>8</v>
      </c>
      <c r="B40" s="927" t="s">
        <v>285</v>
      </c>
      <c r="C40" s="928"/>
      <c r="D40" s="154"/>
      <c r="E40" s="924">
        <f>3120454+H40</f>
        <v>3120454</v>
      </c>
      <c r="F40" s="925"/>
      <c r="G40" s="926"/>
      <c r="H40" s="924">
        <f>0+L40</f>
        <v>0</v>
      </c>
      <c r="I40" s="925"/>
      <c r="J40" s="926"/>
      <c r="K40" s="163"/>
      <c r="L40" s="924"/>
      <c r="M40" s="925"/>
      <c r="N40" s="925"/>
      <c r="O40" s="926"/>
      <c r="P40" s="159">
        <f t="shared" si="2"/>
        <v>3120454</v>
      </c>
      <c r="Q40" s="312">
        <v>111769</v>
      </c>
      <c r="R40" s="312">
        <v>128924</v>
      </c>
      <c r="S40" s="312">
        <v>530207</v>
      </c>
      <c r="T40" s="312">
        <v>0</v>
      </c>
      <c r="U40" s="312">
        <v>2349554</v>
      </c>
      <c r="V40" s="312"/>
      <c r="W40" s="313"/>
      <c r="X40" s="313"/>
      <c r="Y40" s="313"/>
      <c r="Z40" s="313"/>
    </row>
    <row r="41" spans="1:26" s="274" customFormat="1" ht="39.9" customHeight="1" x14ac:dyDescent="0.25">
      <c r="A41" s="151">
        <f t="shared" si="3"/>
        <v>9</v>
      </c>
      <c r="B41" s="927" t="s">
        <v>327</v>
      </c>
      <c r="C41" s="928"/>
      <c r="D41" s="154"/>
      <c r="E41" s="924">
        <f>1599618+H41</f>
        <v>1599618</v>
      </c>
      <c r="F41" s="925"/>
      <c r="G41" s="926"/>
      <c r="H41" s="924">
        <f t="shared" ref="H41:H44" si="4">0+L41</f>
        <v>0</v>
      </c>
      <c r="I41" s="925"/>
      <c r="J41" s="926"/>
      <c r="K41" s="163"/>
      <c r="L41" s="924"/>
      <c r="M41" s="925"/>
      <c r="N41" s="925"/>
      <c r="O41" s="926"/>
      <c r="P41" s="159">
        <f t="shared" si="2"/>
        <v>1599618</v>
      </c>
      <c r="Q41" s="312"/>
      <c r="R41" s="312">
        <v>1585422</v>
      </c>
      <c r="S41" s="312"/>
      <c r="T41" s="312"/>
      <c r="U41" s="312">
        <v>14196</v>
      </c>
      <c r="V41" s="312"/>
      <c r="W41" s="313"/>
      <c r="X41" s="313"/>
      <c r="Y41" s="313"/>
      <c r="Z41" s="313"/>
    </row>
    <row r="42" spans="1:26" s="274" customFormat="1" ht="39.9" customHeight="1" x14ac:dyDescent="0.25">
      <c r="A42" s="151">
        <f t="shared" si="3"/>
        <v>10</v>
      </c>
      <c r="B42" s="927" t="s">
        <v>273</v>
      </c>
      <c r="C42" s="928"/>
      <c r="D42" s="154"/>
      <c r="E42" s="924">
        <f>2540351+H42</f>
        <v>2540351</v>
      </c>
      <c r="F42" s="925"/>
      <c r="G42" s="926"/>
      <c r="H42" s="924">
        <f t="shared" si="4"/>
        <v>0</v>
      </c>
      <c r="I42" s="925"/>
      <c r="J42" s="926"/>
      <c r="K42" s="163"/>
      <c r="L42" s="924"/>
      <c r="M42" s="925"/>
      <c r="N42" s="925"/>
      <c r="O42" s="926"/>
      <c r="P42" s="159">
        <f t="shared" si="2"/>
        <v>2540351</v>
      </c>
      <c r="Q42" s="312"/>
      <c r="R42" s="312"/>
      <c r="S42" s="312">
        <v>2540351</v>
      </c>
      <c r="T42" s="312"/>
      <c r="U42" s="312"/>
      <c r="V42" s="312"/>
      <c r="W42" s="313"/>
      <c r="X42" s="313"/>
      <c r="Y42" s="313"/>
      <c r="Z42" s="313"/>
    </row>
    <row r="43" spans="1:26" s="274" customFormat="1" ht="39.9" customHeight="1" x14ac:dyDescent="0.25">
      <c r="A43" s="151">
        <f t="shared" si="3"/>
        <v>11</v>
      </c>
      <c r="B43" s="927" t="s">
        <v>274</v>
      </c>
      <c r="C43" s="928"/>
      <c r="D43" s="154"/>
      <c r="E43" s="924">
        <f>72221+H43</f>
        <v>72221</v>
      </c>
      <c r="F43" s="925"/>
      <c r="G43" s="926"/>
      <c r="H43" s="924">
        <f t="shared" si="4"/>
        <v>0</v>
      </c>
      <c r="I43" s="925"/>
      <c r="J43" s="926"/>
      <c r="K43" s="163"/>
      <c r="L43" s="924"/>
      <c r="M43" s="925"/>
      <c r="N43" s="925"/>
      <c r="O43" s="926"/>
      <c r="P43" s="159">
        <f t="shared" si="2"/>
        <v>72221</v>
      </c>
      <c r="Q43" s="312"/>
      <c r="R43" s="312"/>
      <c r="S43" s="312">
        <v>72221</v>
      </c>
      <c r="T43" s="312"/>
      <c r="U43" s="312"/>
      <c r="V43" s="312"/>
      <c r="W43" s="313"/>
      <c r="X43" s="313"/>
      <c r="Y43" s="313"/>
      <c r="Z43" s="313"/>
    </row>
    <row r="44" spans="1:26" s="274" customFormat="1" ht="39.9" customHeight="1" x14ac:dyDescent="0.25">
      <c r="A44" s="151">
        <f t="shared" si="3"/>
        <v>12</v>
      </c>
      <c r="B44" s="927" t="s">
        <v>286</v>
      </c>
      <c r="C44" s="928"/>
      <c r="D44" s="154"/>
      <c r="E44" s="924">
        <f>1012231+H44</f>
        <v>1012231</v>
      </c>
      <c r="F44" s="925"/>
      <c r="G44" s="926"/>
      <c r="H44" s="924">
        <f t="shared" si="4"/>
        <v>0</v>
      </c>
      <c r="I44" s="925"/>
      <c r="J44" s="926"/>
      <c r="K44" s="163"/>
      <c r="L44" s="924"/>
      <c r="M44" s="925"/>
      <c r="N44" s="925"/>
      <c r="O44" s="926"/>
      <c r="P44" s="159">
        <f t="shared" si="2"/>
        <v>1012231</v>
      </c>
      <c r="Q44" s="312"/>
      <c r="R44" s="312"/>
      <c r="S44" s="312"/>
      <c r="T44" s="312">
        <v>958566</v>
      </c>
      <c r="U44" s="312">
        <v>53665</v>
      </c>
      <c r="V44" s="312"/>
      <c r="W44" s="313"/>
      <c r="X44" s="313"/>
      <c r="Y44" s="313"/>
      <c r="Z44" s="313"/>
    </row>
    <row r="45" spans="1:26" s="274" customFormat="1" ht="39.9" customHeight="1" x14ac:dyDescent="0.25">
      <c r="A45" s="151">
        <f t="shared" si="3"/>
        <v>13</v>
      </c>
      <c r="B45" s="927" t="s">
        <v>656</v>
      </c>
      <c r="C45" s="928"/>
      <c r="D45" s="154"/>
      <c r="E45" s="924">
        <f>2896272+H45</f>
        <v>3447537</v>
      </c>
      <c r="F45" s="925"/>
      <c r="G45" s="926"/>
      <c r="H45" s="924">
        <f>551265+L45</f>
        <v>551265</v>
      </c>
      <c r="I45" s="925"/>
      <c r="J45" s="926"/>
      <c r="K45" s="163"/>
      <c r="L45" s="924"/>
      <c r="M45" s="925"/>
      <c r="N45" s="925"/>
      <c r="O45" s="926"/>
      <c r="P45" s="159">
        <f t="shared" si="2"/>
        <v>3447537</v>
      </c>
      <c r="Q45" s="312"/>
      <c r="R45" s="312"/>
      <c r="S45" s="312"/>
      <c r="T45" s="312">
        <v>1138875</v>
      </c>
      <c r="U45" s="312">
        <v>1727675</v>
      </c>
      <c r="V45" s="312">
        <v>29722</v>
      </c>
      <c r="W45" s="313"/>
      <c r="X45" s="313"/>
      <c r="Y45" s="318">
        <f>'[11]р март'!E14</f>
        <v>551265</v>
      </c>
      <c r="Z45" s="318"/>
    </row>
    <row r="46" spans="1:26" s="274" customFormat="1" ht="39.9" customHeight="1" x14ac:dyDescent="0.25">
      <c r="A46" s="151">
        <f t="shared" si="3"/>
        <v>14</v>
      </c>
      <c r="B46" s="927" t="s">
        <v>658</v>
      </c>
      <c r="C46" s="928"/>
      <c r="D46" s="154"/>
      <c r="E46" s="924">
        <f>263147+H46</f>
        <v>431149</v>
      </c>
      <c r="F46" s="925"/>
      <c r="G46" s="926"/>
      <c r="H46" s="924">
        <f>168002+L46</f>
        <v>168002</v>
      </c>
      <c r="I46" s="925"/>
      <c r="J46" s="926"/>
      <c r="K46" s="163"/>
      <c r="L46" s="924"/>
      <c r="M46" s="925"/>
      <c r="N46" s="925"/>
      <c r="O46" s="926"/>
      <c r="P46" s="159">
        <f t="shared" si="2"/>
        <v>431149</v>
      </c>
      <c r="Q46" s="312"/>
      <c r="R46" s="312"/>
      <c r="S46" s="312"/>
      <c r="T46" s="312"/>
      <c r="U46" s="312">
        <v>263147</v>
      </c>
      <c r="V46" s="312"/>
      <c r="W46" s="313"/>
      <c r="X46" s="318">
        <v>161905</v>
      </c>
      <c r="Y46" s="318">
        <f>'[11]р март'!E13</f>
        <v>6097</v>
      </c>
      <c r="Z46" s="318"/>
    </row>
    <row r="47" spans="1:26" s="274" customFormat="1" ht="47.25" customHeight="1" x14ac:dyDescent="0.25">
      <c r="A47" s="151">
        <f t="shared" si="3"/>
        <v>15</v>
      </c>
      <c r="B47" s="927" t="s">
        <v>361</v>
      </c>
      <c r="C47" s="928"/>
      <c r="D47" s="154"/>
      <c r="E47" s="924">
        <f>1227220+H47</f>
        <v>1227220</v>
      </c>
      <c r="F47" s="925"/>
      <c r="G47" s="926"/>
      <c r="H47" s="924">
        <f>0+L47</f>
        <v>0</v>
      </c>
      <c r="I47" s="925"/>
      <c r="J47" s="926"/>
      <c r="K47" s="163"/>
      <c r="L47" s="924"/>
      <c r="M47" s="925"/>
      <c r="N47" s="925"/>
      <c r="O47" s="926"/>
      <c r="P47" s="159">
        <f t="shared" si="2"/>
        <v>1227220</v>
      </c>
      <c r="Q47" s="312"/>
      <c r="R47" s="312"/>
      <c r="S47" s="312"/>
      <c r="T47" s="312"/>
      <c r="U47" s="312">
        <v>818186</v>
      </c>
      <c r="V47" s="312">
        <v>409034</v>
      </c>
      <c r="W47" s="313"/>
      <c r="X47" s="313"/>
      <c r="Y47" s="313"/>
      <c r="Z47" s="313"/>
    </row>
    <row r="48" spans="1:26" s="274" customFormat="1" ht="45" customHeight="1" x14ac:dyDescent="0.25">
      <c r="A48" s="151">
        <f t="shared" si="3"/>
        <v>16</v>
      </c>
      <c r="B48" s="927" t="s">
        <v>362</v>
      </c>
      <c r="C48" s="928"/>
      <c r="D48" s="154"/>
      <c r="E48" s="924">
        <f>507755+H48</f>
        <v>507755</v>
      </c>
      <c r="F48" s="925"/>
      <c r="G48" s="926"/>
      <c r="H48" s="924">
        <f t="shared" ref="H48:H50" si="5">0+L48</f>
        <v>0</v>
      </c>
      <c r="I48" s="925"/>
      <c r="J48" s="926"/>
      <c r="K48" s="163"/>
      <c r="L48" s="924"/>
      <c r="M48" s="925"/>
      <c r="N48" s="925"/>
      <c r="O48" s="926"/>
      <c r="P48" s="159">
        <f t="shared" si="2"/>
        <v>507755</v>
      </c>
      <c r="Q48" s="312"/>
      <c r="R48" s="312"/>
      <c r="S48" s="312"/>
      <c r="T48" s="312"/>
      <c r="U48" s="312">
        <v>338503</v>
      </c>
      <c r="V48" s="312">
        <v>169252</v>
      </c>
      <c r="W48" s="313"/>
      <c r="X48" s="313"/>
      <c r="Y48" s="313"/>
      <c r="Z48" s="313"/>
    </row>
    <row r="49" spans="1:30" s="274" customFormat="1" ht="39.9" customHeight="1" x14ac:dyDescent="0.25">
      <c r="A49" s="151">
        <f t="shared" si="3"/>
        <v>17</v>
      </c>
      <c r="B49" s="927" t="s">
        <v>328</v>
      </c>
      <c r="C49" s="928"/>
      <c r="D49" s="154"/>
      <c r="E49" s="924">
        <f>1053296+H49</f>
        <v>1053296</v>
      </c>
      <c r="F49" s="925"/>
      <c r="G49" s="926"/>
      <c r="H49" s="924">
        <f t="shared" si="5"/>
        <v>0</v>
      </c>
      <c r="I49" s="925"/>
      <c r="J49" s="926"/>
      <c r="K49" s="163"/>
      <c r="L49" s="924"/>
      <c r="M49" s="925"/>
      <c r="N49" s="925"/>
      <c r="O49" s="926"/>
      <c r="P49" s="159">
        <f t="shared" si="2"/>
        <v>1053296</v>
      </c>
      <c r="Q49" s="312"/>
      <c r="R49" s="312"/>
      <c r="S49" s="312"/>
      <c r="T49" s="312"/>
      <c r="U49" s="312">
        <v>1053296</v>
      </c>
      <c r="V49" s="312"/>
      <c r="W49" s="313"/>
      <c r="X49" s="313"/>
      <c r="Y49" s="313"/>
      <c r="Z49" s="313"/>
    </row>
    <row r="50" spans="1:30" s="274" customFormat="1" ht="39.9" customHeight="1" x14ac:dyDescent="0.25">
      <c r="A50" s="151">
        <f t="shared" si="3"/>
        <v>18</v>
      </c>
      <c r="B50" s="927" t="s">
        <v>329</v>
      </c>
      <c r="C50" s="928"/>
      <c r="D50" s="154"/>
      <c r="E50" s="924">
        <f>147125+H50</f>
        <v>147125</v>
      </c>
      <c r="F50" s="925"/>
      <c r="G50" s="926"/>
      <c r="H50" s="924">
        <f t="shared" si="5"/>
        <v>0</v>
      </c>
      <c r="I50" s="925"/>
      <c r="J50" s="926"/>
      <c r="K50" s="163"/>
      <c r="L50" s="924"/>
      <c r="M50" s="925"/>
      <c r="N50" s="925"/>
      <c r="O50" s="926"/>
      <c r="P50" s="159">
        <f t="shared" si="2"/>
        <v>147125</v>
      </c>
      <c r="Q50" s="312"/>
      <c r="R50" s="312"/>
      <c r="S50" s="312"/>
      <c r="T50" s="312">
        <v>0</v>
      </c>
      <c r="U50" s="312">
        <v>147125</v>
      </c>
      <c r="V50" s="312"/>
      <c r="W50" s="313"/>
      <c r="X50" s="313"/>
      <c r="Y50" s="313"/>
      <c r="Z50" s="313"/>
    </row>
    <row r="51" spans="1:30" s="274" customFormat="1" ht="43.5" customHeight="1" x14ac:dyDescent="0.25">
      <c r="A51" s="151">
        <f t="shared" si="3"/>
        <v>19</v>
      </c>
      <c r="B51" s="927" t="s">
        <v>653</v>
      </c>
      <c r="C51" s="928"/>
      <c r="D51" s="154"/>
      <c r="E51" s="924">
        <f>H51</f>
        <v>336840</v>
      </c>
      <c r="F51" s="925"/>
      <c r="G51" s="926"/>
      <c r="H51" s="924">
        <f>336840+L51</f>
        <v>336840</v>
      </c>
      <c r="I51" s="925"/>
      <c r="J51" s="925"/>
      <c r="K51" s="155"/>
      <c r="L51" s="924"/>
      <c r="M51" s="925"/>
      <c r="N51" s="925"/>
      <c r="O51" s="926"/>
      <c r="P51" s="159">
        <f t="shared" si="2"/>
        <v>336840</v>
      </c>
      <c r="Q51" s="312"/>
      <c r="R51" s="312"/>
      <c r="S51" s="312"/>
      <c r="T51" s="312">
        <v>0</v>
      </c>
      <c r="U51" s="312">
        <v>0</v>
      </c>
      <c r="V51" s="312"/>
      <c r="W51" s="318">
        <v>336840</v>
      </c>
      <c r="X51" s="313"/>
      <c r="Y51" s="313"/>
      <c r="Z51" s="313"/>
    </row>
    <row r="52" spans="1:30" s="274" customFormat="1" ht="43.5" customHeight="1" x14ac:dyDescent="0.25">
      <c r="A52" s="151">
        <f t="shared" si="3"/>
        <v>20</v>
      </c>
      <c r="B52" s="927" t="s">
        <v>654</v>
      </c>
      <c r="C52" s="928"/>
      <c r="D52" s="154"/>
      <c r="E52" s="924">
        <f>H52</f>
        <v>137565</v>
      </c>
      <c r="F52" s="925"/>
      <c r="G52" s="926"/>
      <c r="H52" s="924">
        <f>137565+L52</f>
        <v>137565</v>
      </c>
      <c r="I52" s="925"/>
      <c r="J52" s="925"/>
      <c r="K52" s="155"/>
      <c r="L52" s="924"/>
      <c r="M52" s="925"/>
      <c r="N52" s="925"/>
      <c r="O52" s="926"/>
      <c r="P52" s="159">
        <f t="shared" si="2"/>
        <v>137565</v>
      </c>
      <c r="Q52" s="312"/>
      <c r="R52" s="312"/>
      <c r="S52" s="312"/>
      <c r="T52" s="312"/>
      <c r="U52" s="312"/>
      <c r="V52" s="312"/>
      <c r="W52" s="318">
        <v>137565</v>
      </c>
      <c r="X52" s="313"/>
      <c r="Y52" s="313"/>
      <c r="Z52" s="313"/>
    </row>
    <row r="53" spans="1:30" s="274" customFormat="1" ht="36.75" customHeight="1" x14ac:dyDescent="0.25">
      <c r="A53" s="151">
        <f t="shared" si="3"/>
        <v>21</v>
      </c>
      <c r="B53" s="927" t="s">
        <v>655</v>
      </c>
      <c r="C53" s="928"/>
      <c r="D53" s="154"/>
      <c r="E53" s="924">
        <f>0+H53</f>
        <v>22740</v>
      </c>
      <c r="F53" s="925"/>
      <c r="G53" s="926"/>
      <c r="H53" s="924">
        <f>22740+L53</f>
        <v>22740</v>
      </c>
      <c r="I53" s="925"/>
      <c r="J53" s="926"/>
      <c r="K53" s="163"/>
      <c r="L53" s="924"/>
      <c r="M53" s="925"/>
      <c r="N53" s="925"/>
      <c r="O53" s="926"/>
      <c r="P53" s="159">
        <f t="shared" si="2"/>
        <v>22740</v>
      </c>
      <c r="Q53" s="312"/>
      <c r="R53" s="312"/>
      <c r="S53" s="312"/>
      <c r="T53" s="312"/>
      <c r="U53" s="312"/>
      <c r="V53" s="312"/>
      <c r="W53" s="313"/>
      <c r="X53" s="318">
        <v>22740</v>
      </c>
      <c r="Y53" s="313"/>
      <c r="Z53" s="313"/>
    </row>
    <row r="54" spans="1:30" s="274" customFormat="1" ht="36.75" customHeight="1" x14ac:dyDescent="0.25">
      <c r="A54" s="151">
        <f t="shared" si="3"/>
        <v>22</v>
      </c>
      <c r="B54" s="927" t="s">
        <v>657</v>
      </c>
      <c r="C54" s="928"/>
      <c r="D54" s="154"/>
      <c r="E54" s="924">
        <f>0+H54</f>
        <v>46418</v>
      </c>
      <c r="F54" s="925"/>
      <c r="G54" s="926"/>
      <c r="H54" s="924">
        <f>46418+L54</f>
        <v>46418</v>
      </c>
      <c r="I54" s="925"/>
      <c r="J54" s="926"/>
      <c r="K54" s="163"/>
      <c r="L54" s="924"/>
      <c r="M54" s="925"/>
      <c r="N54" s="925"/>
      <c r="O54" s="926"/>
      <c r="P54" s="159">
        <f t="shared" si="2"/>
        <v>46418</v>
      </c>
      <c r="Q54" s="312"/>
      <c r="R54" s="312"/>
      <c r="S54" s="312"/>
      <c r="T54" s="312"/>
      <c r="U54" s="312"/>
      <c r="V54" s="312"/>
      <c r="W54" s="313"/>
      <c r="X54" s="318"/>
      <c r="Y54" s="318">
        <f>'[11]р март'!E15</f>
        <v>46418</v>
      </c>
      <c r="Z54" s="318"/>
    </row>
    <row r="55" spans="1:30" s="274" customFormat="1" ht="22.5" customHeight="1" x14ac:dyDescent="0.25">
      <c r="A55" s="145"/>
      <c r="B55" s="909" t="s">
        <v>37</v>
      </c>
      <c r="C55" s="911"/>
      <c r="D55" s="151"/>
      <c r="E55" s="915">
        <f>SUM(E33:G54)</f>
        <v>226079686.11000001</v>
      </c>
      <c r="F55" s="916"/>
      <c r="G55" s="917"/>
      <c r="H55" s="915">
        <f>SUM(H33:J54)</f>
        <v>123877565.11</v>
      </c>
      <c r="I55" s="916"/>
      <c r="J55" s="917"/>
      <c r="K55" s="155"/>
      <c r="L55" s="915">
        <f>SUM(L33:O54)</f>
        <v>88271003.109999999</v>
      </c>
      <c r="M55" s="916"/>
      <c r="N55" s="916"/>
      <c r="O55" s="917"/>
      <c r="P55" s="165">
        <f>SUM(Q55:Z55)</f>
        <v>226079686</v>
      </c>
      <c r="Q55" s="311">
        <f>SUM(Q33:Q54)</f>
        <v>3343116</v>
      </c>
      <c r="R55" s="311">
        <f>SUM(R33:R43)</f>
        <v>16959455</v>
      </c>
      <c r="S55" s="311">
        <f>SUM(S33:S43)</f>
        <v>16778150</v>
      </c>
      <c r="T55" s="311">
        <f>SUM(T33:T52)</f>
        <v>32470175</v>
      </c>
      <c r="U55" s="311">
        <f>SUM(U33:U51)</f>
        <v>25944077</v>
      </c>
      <c r="V55" s="311">
        <f>SUM(V33:V51)</f>
        <v>6707148</v>
      </c>
      <c r="W55" s="311">
        <f>SUM(W33:W52)</f>
        <v>13203644</v>
      </c>
      <c r="X55" s="311">
        <f>SUM(X33:X54)</f>
        <v>11810095</v>
      </c>
      <c r="Y55" s="311">
        <f>SUM(Y33:Y54)</f>
        <v>10592823</v>
      </c>
      <c r="Z55" s="311">
        <f>SUM(Z33:Z54)</f>
        <v>88271003</v>
      </c>
      <c r="AD55" s="319"/>
    </row>
    <row r="56" spans="1:30" s="274" customFormat="1" ht="21.75" customHeight="1" x14ac:dyDescent="0.25">
      <c r="A56" s="918" t="s">
        <v>275</v>
      </c>
      <c r="B56" s="919"/>
      <c r="C56" s="920"/>
      <c r="D56" s="151"/>
      <c r="E56" s="921"/>
      <c r="F56" s="922"/>
      <c r="G56" s="923"/>
      <c r="H56" s="921"/>
      <c r="I56" s="922"/>
      <c r="J56" s="923"/>
      <c r="K56" s="168"/>
      <c r="L56" s="924">
        <f>ROUND(L55*0.2,2)</f>
        <v>17654200.620000001</v>
      </c>
      <c r="M56" s="925"/>
      <c r="N56" s="925"/>
      <c r="O56" s="926"/>
      <c r="P56" s="159">
        <f t="shared" ref="P56:X56" si="6">P55*0.2</f>
        <v>45215937.200000003</v>
      </c>
      <c r="Q56" s="314">
        <f t="shared" si="6"/>
        <v>668623.19999999995</v>
      </c>
      <c r="R56" s="314">
        <f t="shared" si="6"/>
        <v>3391891</v>
      </c>
      <c r="S56" s="314">
        <f t="shared" si="6"/>
        <v>3355630</v>
      </c>
      <c r="T56" s="314">
        <f t="shared" si="6"/>
        <v>6494035</v>
      </c>
      <c r="U56" s="314">
        <f t="shared" si="6"/>
        <v>5188815.4000000004</v>
      </c>
      <c r="V56" s="314">
        <f t="shared" si="6"/>
        <v>1341429.6000000001</v>
      </c>
      <c r="W56" s="314">
        <f t="shared" si="6"/>
        <v>2640728.7999999998</v>
      </c>
      <c r="X56" s="314">
        <f t="shared" si="6"/>
        <v>2362019</v>
      </c>
      <c r="Y56" s="314">
        <f t="shared" ref="Y56:Z56" si="7">Y55*0.2</f>
        <v>2118564.6</v>
      </c>
      <c r="Z56" s="314">
        <f t="shared" si="7"/>
        <v>17654200.600000001</v>
      </c>
    </row>
    <row r="57" spans="1:30" s="274" customFormat="1" ht="23.25" customHeight="1" x14ac:dyDescent="0.25">
      <c r="A57" s="909" t="s">
        <v>276</v>
      </c>
      <c r="B57" s="910"/>
      <c r="C57" s="911"/>
      <c r="D57" s="151"/>
      <c r="E57" s="912"/>
      <c r="F57" s="913"/>
      <c r="G57" s="914"/>
      <c r="H57" s="912"/>
      <c r="I57" s="913"/>
      <c r="J57" s="914"/>
      <c r="K57" s="168"/>
      <c r="L57" s="915">
        <f>L55+L56</f>
        <v>105925203.73</v>
      </c>
      <c r="M57" s="916"/>
      <c r="N57" s="916"/>
      <c r="O57" s="917"/>
      <c r="P57" s="165">
        <f t="shared" ref="P57:X57" si="8">P55+P56</f>
        <v>271295623.19999999</v>
      </c>
      <c r="Q57" s="315">
        <f t="shared" si="8"/>
        <v>4011739.2</v>
      </c>
      <c r="R57" s="315">
        <f t="shared" si="8"/>
        <v>20351346</v>
      </c>
      <c r="S57" s="315">
        <f t="shared" si="8"/>
        <v>20133780</v>
      </c>
      <c r="T57" s="315">
        <f t="shared" si="8"/>
        <v>38964210</v>
      </c>
      <c r="U57" s="315">
        <f t="shared" si="8"/>
        <v>31132892.399999999</v>
      </c>
      <c r="V57" s="315">
        <f t="shared" si="8"/>
        <v>8048577.5999999996</v>
      </c>
      <c r="W57" s="315">
        <f t="shared" si="8"/>
        <v>15844372.800000001</v>
      </c>
      <c r="X57" s="315">
        <f t="shared" si="8"/>
        <v>14172114</v>
      </c>
      <c r="Y57" s="315">
        <f t="shared" ref="Y57:Z57" si="9">Y55+Y56</f>
        <v>12711387.6</v>
      </c>
      <c r="Z57" s="315">
        <f t="shared" si="9"/>
        <v>105925203.59999999</v>
      </c>
    </row>
    <row r="58" spans="1:30" s="274" customFormat="1" ht="16.5" customHeight="1" x14ac:dyDescent="0.25">
      <c r="A58" s="122"/>
      <c r="B58" s="122"/>
      <c r="C58" s="122"/>
      <c r="D58" s="122"/>
      <c r="E58" s="174"/>
      <c r="F58" s="174"/>
      <c r="G58" s="174"/>
      <c r="H58" s="174"/>
      <c r="I58" s="174"/>
      <c r="J58" s="174"/>
      <c r="K58" s="122"/>
      <c r="L58" s="174"/>
      <c r="M58" s="174"/>
      <c r="N58" s="174"/>
      <c r="O58" s="174"/>
      <c r="P58" s="286" t="s">
        <v>363</v>
      </c>
      <c r="Q58" s="307"/>
      <c r="R58" s="307"/>
      <c r="S58" s="307"/>
      <c r="T58" s="316"/>
      <c r="U58" s="316"/>
      <c r="V58" s="307"/>
      <c r="W58" s="320"/>
      <c r="X58" s="321"/>
      <c r="Y58" s="321"/>
      <c r="Z58" s="321"/>
    </row>
    <row r="59" spans="1:30" s="274" customFormat="1" ht="17.399999999999999" x14ac:dyDescent="0.25">
      <c r="A59" s="908" t="s">
        <v>29</v>
      </c>
      <c r="B59" s="908"/>
      <c r="C59" s="122"/>
      <c r="D59" s="122"/>
      <c r="E59" s="122"/>
      <c r="F59" s="122"/>
      <c r="G59" s="122"/>
      <c r="H59" s="122"/>
      <c r="I59" s="122"/>
      <c r="J59" s="122"/>
      <c r="K59" s="122"/>
      <c r="L59" s="176"/>
      <c r="M59" s="176"/>
      <c r="N59" s="176"/>
      <c r="O59" s="176"/>
      <c r="P59" s="322">
        <f>L57*0.85</f>
        <v>90036423.170000002</v>
      </c>
      <c r="Q59" s="307"/>
      <c r="R59" s="323"/>
      <c r="S59" s="307"/>
      <c r="T59" s="316"/>
      <c r="U59" s="316"/>
      <c r="V59" s="307"/>
      <c r="W59" s="321"/>
      <c r="X59" s="321"/>
      <c r="Y59" s="321"/>
      <c r="Z59" s="321"/>
    </row>
    <row r="60" spans="1:30" s="274" customFormat="1" ht="28.5" customHeight="1" x14ac:dyDescent="0.25">
      <c r="A60" s="903" t="s">
        <v>277</v>
      </c>
      <c r="B60" s="903"/>
      <c r="C60" s="903"/>
      <c r="D60" s="903"/>
      <c r="E60" s="122"/>
      <c r="F60" s="178"/>
      <c r="G60" s="178"/>
      <c r="H60" s="178"/>
      <c r="I60" s="178"/>
      <c r="J60" s="122"/>
      <c r="K60" s="122"/>
      <c r="L60" s="904" t="s">
        <v>42</v>
      </c>
      <c r="M60" s="904"/>
      <c r="N60" s="904"/>
      <c r="O60" s="904"/>
      <c r="P60" s="284"/>
      <c r="Q60" s="307"/>
      <c r="R60" s="316"/>
      <c r="S60" s="307"/>
      <c r="T60" s="316"/>
      <c r="U60" s="307"/>
      <c r="V60" s="307"/>
      <c r="W60" s="321"/>
      <c r="X60" s="321"/>
      <c r="Y60" s="321"/>
      <c r="Z60" s="321"/>
    </row>
    <row r="61" spans="1:30" s="274" customFormat="1" ht="12.75" customHeight="1" x14ac:dyDescent="0.25">
      <c r="A61" s="908"/>
      <c r="B61" s="908"/>
      <c r="C61" s="122"/>
      <c r="D61" s="122"/>
      <c r="E61" s="122"/>
      <c r="F61" s="906" t="s">
        <v>278</v>
      </c>
      <c r="G61" s="906"/>
      <c r="H61" s="906"/>
      <c r="I61" s="906"/>
      <c r="J61" s="119"/>
      <c r="K61" s="905" t="s">
        <v>279</v>
      </c>
      <c r="L61" s="905"/>
      <c r="M61" s="905"/>
      <c r="N61" s="905"/>
      <c r="O61" s="905"/>
      <c r="P61" s="117"/>
      <c r="Q61" s="307"/>
      <c r="R61" s="307"/>
      <c r="S61" s="307"/>
      <c r="T61" s="307"/>
      <c r="U61" s="307"/>
      <c r="V61" s="307"/>
      <c r="W61" s="321"/>
      <c r="X61" s="321"/>
      <c r="Y61" s="321"/>
      <c r="Z61" s="321"/>
    </row>
    <row r="62" spans="1:30" s="274" customFormat="1" x14ac:dyDescent="0.25">
      <c r="A62" s="324"/>
      <c r="B62" s="148" t="s">
        <v>41</v>
      </c>
      <c r="C62" s="148"/>
      <c r="D62" s="122"/>
      <c r="E62" s="122"/>
      <c r="F62" s="324"/>
      <c r="G62" s="324"/>
      <c r="H62" s="324"/>
      <c r="I62" s="324"/>
      <c r="J62" s="324"/>
      <c r="K62" s="324"/>
      <c r="L62" s="324"/>
      <c r="M62" s="324"/>
      <c r="N62" s="324"/>
      <c r="O62" s="324"/>
      <c r="P62" s="147"/>
      <c r="Q62" s="307"/>
      <c r="R62" s="307"/>
      <c r="S62" s="307"/>
      <c r="T62" s="307"/>
      <c r="U62" s="307"/>
      <c r="V62" s="307"/>
      <c r="W62" s="321"/>
      <c r="X62" s="321"/>
      <c r="Y62" s="321"/>
      <c r="Z62" s="321"/>
    </row>
    <row r="63" spans="1:30" s="274" customFormat="1" ht="9.75" customHeight="1" x14ac:dyDescent="0.25">
      <c r="A63" s="324"/>
      <c r="B63" s="148"/>
      <c r="C63" s="148"/>
      <c r="D63" s="122"/>
      <c r="E63" s="122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147"/>
      <c r="Q63" s="307"/>
      <c r="R63" s="307"/>
      <c r="S63" s="307"/>
      <c r="T63" s="307"/>
      <c r="U63" s="307"/>
      <c r="V63" s="307"/>
      <c r="W63" s="321"/>
      <c r="X63" s="321"/>
      <c r="Y63" s="321"/>
      <c r="Z63" s="321"/>
    </row>
    <row r="64" spans="1:30" s="274" customFormat="1" x14ac:dyDescent="0.25">
      <c r="A64" s="908" t="s">
        <v>280</v>
      </c>
      <c r="B64" s="908"/>
      <c r="C64" s="908" t="s">
        <v>281</v>
      </c>
      <c r="D64" s="908"/>
      <c r="E64" s="908"/>
      <c r="F64" s="908"/>
      <c r="G64" s="905"/>
      <c r="H64" s="905"/>
      <c r="I64" s="905"/>
      <c r="J64" s="905"/>
      <c r="K64" s="119"/>
      <c r="L64" s="905"/>
      <c r="M64" s="905"/>
      <c r="N64" s="905"/>
      <c r="O64" s="905"/>
      <c r="P64" s="117"/>
      <c r="Q64" s="307"/>
      <c r="R64" s="307"/>
      <c r="S64" s="307"/>
      <c r="T64" s="307"/>
      <c r="U64" s="307"/>
      <c r="V64" s="307"/>
      <c r="W64" s="321"/>
      <c r="X64" s="321"/>
      <c r="Y64" s="321"/>
      <c r="Z64" s="321"/>
    </row>
    <row r="65" spans="1:17" ht="24.75" customHeight="1" x14ac:dyDescent="0.25">
      <c r="A65" s="903" t="s">
        <v>282</v>
      </c>
      <c r="B65" s="903"/>
      <c r="C65" s="903"/>
      <c r="D65" s="903"/>
      <c r="E65" s="903"/>
      <c r="F65" s="181"/>
      <c r="G65" s="182"/>
      <c r="H65" s="182"/>
      <c r="I65" s="182"/>
      <c r="J65" s="148"/>
      <c r="K65" s="119"/>
      <c r="L65" s="904" t="s">
        <v>283</v>
      </c>
      <c r="M65" s="904"/>
      <c r="N65" s="904"/>
      <c r="O65" s="904"/>
      <c r="P65" s="179"/>
    </row>
    <row r="66" spans="1:17" ht="12.75" customHeight="1" x14ac:dyDescent="0.25">
      <c r="A66" s="905"/>
      <c r="B66" s="905"/>
      <c r="C66" s="119"/>
      <c r="D66" s="119"/>
      <c r="E66" s="119"/>
      <c r="F66" s="906" t="s">
        <v>278</v>
      </c>
      <c r="G66" s="906"/>
      <c r="H66" s="906"/>
      <c r="I66" s="906"/>
      <c r="J66" s="119"/>
      <c r="K66" s="907" t="s">
        <v>279</v>
      </c>
      <c r="L66" s="907"/>
      <c r="M66" s="907"/>
      <c r="N66" s="907"/>
      <c r="O66" s="907"/>
      <c r="P66" s="133"/>
    </row>
    <row r="67" spans="1:17" x14ac:dyDescent="0.25">
      <c r="B67" s="148" t="s">
        <v>41</v>
      </c>
      <c r="C67" s="119"/>
      <c r="D67" s="902"/>
      <c r="E67" s="902"/>
      <c r="F67" s="902"/>
      <c r="G67" s="902"/>
      <c r="H67" s="902"/>
      <c r="I67" s="902"/>
      <c r="J67" s="902"/>
      <c r="K67" s="902"/>
      <c r="L67" s="902"/>
      <c r="M67" s="902"/>
      <c r="N67" s="902"/>
      <c r="O67" s="902"/>
      <c r="P67" s="183"/>
      <c r="Q67" s="317"/>
    </row>
    <row r="68" spans="1:17" x14ac:dyDescent="0.25">
      <c r="A68" s="185"/>
      <c r="B68" s="902"/>
      <c r="C68" s="902"/>
      <c r="D68" s="902"/>
      <c r="E68" s="902"/>
      <c r="F68" s="902"/>
      <c r="G68" s="902"/>
      <c r="H68" s="902"/>
      <c r="I68" s="902"/>
      <c r="J68" s="902"/>
      <c r="K68" s="902"/>
      <c r="L68" s="902"/>
      <c r="M68" s="902"/>
      <c r="N68" s="902"/>
      <c r="O68" s="148"/>
      <c r="P68" s="117"/>
    </row>
  </sheetData>
  <autoFilter ref="A29:R57" xr:uid="{00000000-0009-0000-0000-000000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9">
    <mergeCell ref="B53:C53"/>
    <mergeCell ref="E53:G53"/>
    <mergeCell ref="H53:J53"/>
    <mergeCell ref="L53:O53"/>
    <mergeCell ref="B54:C54"/>
    <mergeCell ref="E54:G54"/>
    <mergeCell ref="H54:J54"/>
    <mergeCell ref="L54:O54"/>
    <mergeCell ref="A1:F1"/>
    <mergeCell ref="G1:O1"/>
    <mergeCell ref="A2:F2"/>
    <mergeCell ref="G2:O2"/>
    <mergeCell ref="A3:F3"/>
    <mergeCell ref="G3:O3"/>
    <mergeCell ref="B8:J8"/>
    <mergeCell ref="M8:O8"/>
    <mergeCell ref="C9:H9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51:C51"/>
    <mergeCell ref="E51:G51"/>
    <mergeCell ref="H51:J51"/>
    <mergeCell ref="L51:O51"/>
    <mergeCell ref="B52:C52"/>
    <mergeCell ref="E52:G52"/>
    <mergeCell ref="H52:J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A57:C57"/>
    <mergeCell ref="E57:G57"/>
    <mergeCell ref="H57:J57"/>
    <mergeCell ref="L57:O57"/>
    <mergeCell ref="A59:B59"/>
    <mergeCell ref="A60:D60"/>
    <mergeCell ref="L60:O60"/>
    <mergeCell ref="B55:C55"/>
    <mergeCell ref="E55:G55"/>
    <mergeCell ref="H55:J55"/>
    <mergeCell ref="L55:O55"/>
    <mergeCell ref="A56:C56"/>
    <mergeCell ref="E56:G56"/>
    <mergeCell ref="H56:J56"/>
    <mergeCell ref="L56:O56"/>
    <mergeCell ref="B68:N68"/>
    <mergeCell ref="A65:E65"/>
    <mergeCell ref="L65:O65"/>
    <mergeCell ref="A66:B66"/>
    <mergeCell ref="F66:I66"/>
    <mergeCell ref="K66:O66"/>
    <mergeCell ref="D67:O67"/>
    <mergeCell ref="A61:B61"/>
    <mergeCell ref="F61:I61"/>
    <mergeCell ref="K61:O61"/>
    <mergeCell ref="A64:B64"/>
    <mergeCell ref="C64:F64"/>
    <mergeCell ref="G64:J64"/>
    <mergeCell ref="L64:O6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10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AD138"/>
  <sheetViews>
    <sheetView view="pageBreakPreview" topLeftCell="A10" zoomScaleNormal="100" zoomScaleSheetLayoutView="100" workbookViewId="0">
      <selection activeCell="M111" sqref="M111"/>
    </sheetView>
  </sheetViews>
  <sheetFormatPr defaultColWidth="9.109375" defaultRowHeight="10.199999999999999" x14ac:dyDescent="0.2"/>
  <cols>
    <col min="1" max="1" width="6.33203125" style="401" customWidth="1"/>
    <col min="2" max="2" width="6.6640625" style="401" customWidth="1"/>
    <col min="3" max="3" width="15.6640625" style="401" customWidth="1"/>
    <col min="4" max="4" width="40.6640625" style="401" customWidth="1"/>
    <col min="5" max="12" width="12.6640625" style="401" customWidth="1"/>
    <col min="13" max="15" width="20.6640625" style="822" customWidth="1"/>
    <col min="16" max="19" width="9.109375" style="401"/>
    <col min="20" max="29" width="0" style="401" hidden="1" customWidth="1"/>
    <col min="30" max="30" width="118.6640625" style="401" hidden="1" customWidth="1"/>
    <col min="31" max="36" width="0" style="401" hidden="1" customWidth="1"/>
    <col min="37" max="16384" width="9.109375" style="401"/>
  </cols>
  <sheetData>
    <row r="1" spans="1:15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5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5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5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5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5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5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5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399" t="s">
        <v>4</v>
      </c>
      <c r="K8" s="1101"/>
      <c r="L8" s="1102"/>
    </row>
    <row r="9" spans="1:15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5" s="393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92" t="s">
        <v>4</v>
      </c>
      <c r="K10" s="1101"/>
      <c r="L10" s="1102"/>
      <c r="M10" s="631"/>
      <c r="N10" s="631"/>
      <c r="O10" s="631"/>
    </row>
    <row r="11" spans="1:15" s="393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1"/>
      <c r="N11" s="631"/>
      <c r="O11" s="631"/>
    </row>
    <row r="12" spans="1:15" s="393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92" t="s">
        <v>4</v>
      </c>
      <c r="K12" s="1064"/>
      <c r="L12" s="1065"/>
      <c r="M12" s="631"/>
      <c r="N12" s="631"/>
      <c r="O12" s="631"/>
    </row>
    <row r="13" spans="1:15" s="393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1"/>
      <c r="N13" s="631"/>
      <c r="O13" s="631"/>
    </row>
    <row r="14" spans="1:15" s="393" customFormat="1" x14ac:dyDescent="0.2">
      <c r="A14" s="1060" t="s">
        <v>684</v>
      </c>
      <c r="B14" s="1060"/>
      <c r="C14" s="1070">
        <f>'реестр октябрь'!$B$6</f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1"/>
      <c r="N14" s="631"/>
      <c r="O14" s="631"/>
    </row>
    <row r="15" spans="1:15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5" x14ac:dyDescent="0.2">
      <c r="A16" s="1103" t="s">
        <v>686</v>
      </c>
      <c r="B16" s="1103"/>
      <c r="C16" s="1104" t="s">
        <v>993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394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391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394">
        <v>5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00"/>
      <c r="D29" s="400"/>
      <c r="E29" s="400"/>
      <c r="F29" s="400"/>
      <c r="G29" s="400"/>
      <c r="H29" s="400"/>
      <c r="I29" s="400"/>
      <c r="J29" s="400"/>
      <c r="K29" s="400"/>
      <c r="L29" s="400"/>
    </row>
    <row r="30" spans="1:12" x14ac:dyDescent="0.2">
      <c r="A30" s="398"/>
      <c r="B30" s="398"/>
      <c r="C30" s="400"/>
      <c r="D30" s="400"/>
      <c r="E30" s="400"/>
      <c r="F30" s="1090" t="s">
        <v>692</v>
      </c>
      <c r="G30" s="1090"/>
      <c r="H30" s="1090"/>
      <c r="I30" s="1090"/>
      <c r="J30" s="1091">
        <v>474.69</v>
      </c>
      <c r="K30" s="1092"/>
      <c r="L30" s="398" t="s">
        <v>693</v>
      </c>
    </row>
    <row r="31" spans="1:12" x14ac:dyDescent="0.2">
      <c r="A31" s="398"/>
      <c r="B31" s="398"/>
      <c r="C31" s="400"/>
      <c r="D31" s="400"/>
      <c r="E31" s="400"/>
      <c r="F31" s="1090" t="s">
        <v>694</v>
      </c>
      <c r="G31" s="1090"/>
      <c r="H31" s="1090"/>
      <c r="I31" s="1090"/>
      <c r="J31" s="1091">
        <v>138.81</v>
      </c>
      <c r="K31" s="1092"/>
      <c r="L31" s="398" t="s">
        <v>695</v>
      </c>
    </row>
    <row r="32" spans="1:12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63.62</v>
      </c>
      <c r="K32" s="1092"/>
      <c r="L32" s="398" t="s">
        <v>693</v>
      </c>
    </row>
    <row r="34" spans="1:26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  <c r="M37" s="637" t="s">
        <v>1688</v>
      </c>
      <c r="N37" s="637" t="s">
        <v>1701</v>
      </c>
      <c r="O37" s="637" t="s">
        <v>1690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994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</row>
    <row r="41" spans="1:26" s="817" customFormat="1" ht="30.6" x14ac:dyDescent="0.2">
      <c r="A41" s="813">
        <v>1</v>
      </c>
      <c r="B41" s="813">
        <v>1</v>
      </c>
      <c r="C41" s="813" t="s">
        <v>995</v>
      </c>
      <c r="D41" s="813" t="s">
        <v>985</v>
      </c>
      <c r="E41" s="814">
        <v>4.8</v>
      </c>
      <c r="F41" s="815">
        <v>1074.6895</v>
      </c>
      <c r="G41" s="815">
        <v>846.61850000000004</v>
      </c>
      <c r="H41" s="816">
        <v>92068.37</v>
      </c>
      <c r="I41" s="816">
        <v>35868.53</v>
      </c>
      <c r="J41" s="816">
        <v>53804.3</v>
      </c>
      <c r="K41" s="815">
        <v>17.756</v>
      </c>
      <c r="L41" s="815">
        <v>85.228800000000007</v>
      </c>
      <c r="M41" s="819">
        <v>0</v>
      </c>
      <c r="N41" s="819" t="s">
        <v>2375</v>
      </c>
      <c r="O41" s="819"/>
      <c r="T41" s="817">
        <v>170690.69</v>
      </c>
      <c r="V41" s="817">
        <v>35868.53</v>
      </c>
      <c r="W41" s="817">
        <v>53804.3</v>
      </c>
      <c r="X41" s="817">
        <v>17254.66</v>
      </c>
      <c r="Y41" s="817">
        <v>85.228800000000007</v>
      </c>
      <c r="Z41" s="817">
        <v>28.704000000000001</v>
      </c>
    </row>
    <row r="42" spans="1:26" x14ac:dyDescent="0.2">
      <c r="A42" s="407"/>
      <c r="B42" s="407"/>
      <c r="C42" s="407"/>
      <c r="D42" s="408" t="s">
        <v>747</v>
      </c>
      <c r="E42" s="409"/>
      <c r="F42" s="410">
        <v>166.911</v>
      </c>
      <c r="G42" s="410">
        <v>80.293000000000006</v>
      </c>
      <c r="H42" s="409"/>
      <c r="I42" s="409"/>
      <c r="J42" s="411">
        <v>17254.66</v>
      </c>
      <c r="K42" s="410">
        <v>5.98</v>
      </c>
      <c r="L42" s="410">
        <v>28.704000000000001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20.399999999999999" x14ac:dyDescent="0.2">
      <c r="A44" s="412"/>
      <c r="B44" s="412"/>
      <c r="C44" s="412"/>
      <c r="D44" s="395" t="s">
        <v>996</v>
      </c>
      <c r="E44" s="412"/>
      <c r="F44" s="412"/>
      <c r="G44" s="412"/>
      <c r="H44" s="412"/>
      <c r="I44" s="412"/>
      <c r="J44" s="412"/>
      <c r="K44" s="412"/>
      <c r="L44" s="412"/>
    </row>
    <row r="45" spans="1:26" ht="81.599999999999994" x14ac:dyDescent="0.2">
      <c r="A45" s="412"/>
      <c r="B45" s="412"/>
      <c r="C45" s="412"/>
      <c r="D45" s="395" t="s">
        <v>997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953</v>
      </c>
      <c r="F46" s="414"/>
      <c r="G46" s="414"/>
      <c r="H46" s="415">
        <v>51529.49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954</v>
      </c>
      <c r="F47" s="414"/>
      <c r="G47" s="414"/>
      <c r="H47" s="415">
        <v>27092.83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170690.69</v>
      </c>
      <c r="I48" s="412"/>
      <c r="J48" s="412"/>
      <c r="K48" s="412"/>
      <c r="L48" s="412"/>
    </row>
    <row r="49" spans="1:26" s="790" customFormat="1" x14ac:dyDescent="0.2">
      <c r="A49" s="784">
        <v>2</v>
      </c>
      <c r="B49" s="784">
        <v>2</v>
      </c>
      <c r="C49" s="784" t="s">
        <v>998</v>
      </c>
      <c r="D49" s="784" t="s">
        <v>1518</v>
      </c>
      <c r="E49" s="785">
        <v>-1.1759999999999999</v>
      </c>
      <c r="F49" s="786">
        <v>6.9</v>
      </c>
      <c r="G49" s="786" t="s">
        <v>281</v>
      </c>
      <c r="H49" s="787">
        <v>-66.209999999999994</v>
      </c>
      <c r="I49" s="787" t="s">
        <v>281</v>
      </c>
      <c r="J49" s="787" t="s">
        <v>281</v>
      </c>
      <c r="K49" s="786" t="s">
        <v>281</v>
      </c>
      <c r="L49" s="786" t="s">
        <v>281</v>
      </c>
      <c r="M49" s="824"/>
      <c r="N49" s="824"/>
      <c r="O49" s="824"/>
      <c r="T49" s="790">
        <v>-66.209999999999994</v>
      </c>
      <c r="V49" s="790" t="s">
        <v>281</v>
      </c>
      <c r="W49" s="790" t="s">
        <v>281</v>
      </c>
      <c r="X49" s="790" t="s">
        <v>281</v>
      </c>
      <c r="Y49" s="790" t="s">
        <v>281</v>
      </c>
      <c r="Z49" s="790" t="s">
        <v>281</v>
      </c>
    </row>
    <row r="50" spans="1:26" x14ac:dyDescent="0.2">
      <c r="A50" s="407"/>
      <c r="B50" s="407"/>
      <c r="C50" s="407"/>
      <c r="D50" s="408" t="s">
        <v>999</v>
      </c>
      <c r="E50" s="409"/>
      <c r="F50" s="410" t="s">
        <v>281</v>
      </c>
      <c r="G50" s="410" t="s">
        <v>281</v>
      </c>
      <c r="H50" s="409"/>
      <c r="I50" s="409"/>
      <c r="J50" s="411" t="s">
        <v>281</v>
      </c>
      <c r="K50" s="410" t="s">
        <v>281</v>
      </c>
      <c r="L50" s="410" t="s">
        <v>281</v>
      </c>
    </row>
    <row r="51" spans="1:26" x14ac:dyDescent="0.2">
      <c r="A51" s="412"/>
      <c r="B51" s="412"/>
      <c r="C51" s="412"/>
      <c r="D51" s="395" t="s">
        <v>718</v>
      </c>
      <c r="E51" s="412"/>
      <c r="F51" s="412"/>
      <c r="G51" s="412"/>
      <c r="H51" s="412"/>
      <c r="I51" s="412"/>
      <c r="J51" s="412"/>
      <c r="K51" s="412"/>
      <c r="L51" s="412"/>
    </row>
    <row r="52" spans="1:26" s="817" customFormat="1" ht="30.6" x14ac:dyDescent="0.2">
      <c r="A52" s="813">
        <v>3</v>
      </c>
      <c r="B52" s="813">
        <v>3</v>
      </c>
      <c r="C52" s="813" t="s">
        <v>1000</v>
      </c>
      <c r="D52" s="813" t="s">
        <v>1517</v>
      </c>
      <c r="E52" s="814">
        <v>4.8</v>
      </c>
      <c r="F52" s="815">
        <v>122</v>
      </c>
      <c r="G52" s="815" t="s">
        <v>281</v>
      </c>
      <c r="H52" s="816">
        <v>4778.5</v>
      </c>
      <c r="I52" s="816" t="s">
        <v>281</v>
      </c>
      <c r="J52" s="816" t="s">
        <v>281</v>
      </c>
      <c r="K52" s="815" t="s">
        <v>281</v>
      </c>
      <c r="L52" s="815" t="s">
        <v>281</v>
      </c>
      <c r="M52" s="783">
        <v>0</v>
      </c>
      <c r="N52" s="783" t="s">
        <v>2375</v>
      </c>
      <c r="O52" s="783"/>
      <c r="T52" s="817">
        <v>4778.5</v>
      </c>
      <c r="V52" s="817" t="s">
        <v>281</v>
      </c>
      <c r="W52" s="817" t="s">
        <v>281</v>
      </c>
      <c r="X52" s="817" t="s">
        <v>281</v>
      </c>
      <c r="Y52" s="817" t="s">
        <v>281</v>
      </c>
      <c r="Z52" s="817" t="s">
        <v>281</v>
      </c>
    </row>
    <row r="53" spans="1:26" x14ac:dyDescent="0.2">
      <c r="A53" s="407"/>
      <c r="B53" s="407"/>
      <c r="C53" s="407"/>
      <c r="D53" s="408" t="s">
        <v>847</v>
      </c>
      <c r="E53" s="409"/>
      <c r="F53" s="410" t="s">
        <v>281</v>
      </c>
      <c r="G53" s="410" t="s">
        <v>281</v>
      </c>
      <c r="H53" s="409"/>
      <c r="I53" s="409"/>
      <c r="J53" s="411" t="s">
        <v>281</v>
      </c>
      <c r="K53" s="410" t="s">
        <v>281</v>
      </c>
      <c r="L53" s="410" t="s">
        <v>281</v>
      </c>
    </row>
    <row r="54" spans="1:26" x14ac:dyDescent="0.2">
      <c r="A54" s="412"/>
      <c r="B54" s="412"/>
      <c r="C54" s="412"/>
      <c r="D54" s="395" t="s">
        <v>718</v>
      </c>
      <c r="E54" s="412"/>
      <c r="F54" s="412"/>
      <c r="G54" s="412"/>
      <c r="H54" s="412"/>
      <c r="I54" s="412"/>
      <c r="J54" s="412"/>
      <c r="K54" s="412"/>
      <c r="L54" s="412"/>
    </row>
    <row r="55" spans="1:26" s="829" customFormat="1" ht="40.799999999999997" x14ac:dyDescent="0.2">
      <c r="A55" s="825">
        <v>4</v>
      </c>
      <c r="B55" s="825">
        <v>4</v>
      </c>
      <c r="C55" s="825" t="s">
        <v>1001</v>
      </c>
      <c r="D55" s="825" t="s">
        <v>2383</v>
      </c>
      <c r="E55" s="826">
        <v>0.8</v>
      </c>
      <c r="F55" s="827">
        <v>283.26299999999998</v>
      </c>
      <c r="G55" s="827">
        <v>61.168500000000002</v>
      </c>
      <c r="H55" s="828">
        <v>7568.57</v>
      </c>
      <c r="I55" s="828">
        <v>6690.23</v>
      </c>
      <c r="J55" s="828">
        <v>647.9</v>
      </c>
      <c r="K55" s="827">
        <v>19.872</v>
      </c>
      <c r="L55" s="827">
        <v>15.897600000000001</v>
      </c>
      <c r="M55" s="830">
        <f>(293.71+67.24)/100</f>
        <v>3.6095000000000002</v>
      </c>
      <c r="N55" s="830" t="s">
        <v>2385</v>
      </c>
      <c r="O55" s="830" t="s">
        <v>2384</v>
      </c>
      <c r="T55" s="829">
        <v>17776.13</v>
      </c>
      <c r="V55" s="829">
        <v>6690.23</v>
      </c>
      <c r="W55" s="829">
        <v>647.9</v>
      </c>
      <c r="X55" s="829">
        <v>206.77</v>
      </c>
      <c r="Y55" s="829">
        <v>15.897600000000001</v>
      </c>
      <c r="Z55" s="829">
        <v>0.36799999999999999</v>
      </c>
    </row>
    <row r="56" spans="1:26" x14ac:dyDescent="0.2">
      <c r="A56" s="407"/>
      <c r="B56" s="407"/>
      <c r="C56" s="407"/>
      <c r="D56" s="408" t="s">
        <v>747</v>
      </c>
      <c r="E56" s="409"/>
      <c r="F56" s="410">
        <v>186.7945</v>
      </c>
      <c r="G56" s="410">
        <v>5.7729999999999997</v>
      </c>
      <c r="H56" s="409"/>
      <c r="I56" s="409"/>
      <c r="J56" s="411">
        <v>206.77</v>
      </c>
      <c r="K56" s="410">
        <v>0.46</v>
      </c>
      <c r="L56" s="410">
        <v>0.36799999999999999</v>
      </c>
    </row>
    <row r="57" spans="1:26" ht="20.399999999999999" x14ac:dyDescent="0.2">
      <c r="A57" s="412"/>
      <c r="B57" s="412"/>
      <c r="C57" s="412"/>
      <c r="D57" s="395" t="s">
        <v>714</v>
      </c>
      <c r="E57" s="412"/>
      <c r="F57" s="412"/>
      <c r="G57" s="412"/>
      <c r="H57" s="412"/>
      <c r="I57" s="412"/>
      <c r="J57" s="412"/>
      <c r="K57" s="412"/>
      <c r="L57" s="412"/>
    </row>
    <row r="58" spans="1:26" ht="20.399999999999999" x14ac:dyDescent="0.2">
      <c r="A58" s="412"/>
      <c r="B58" s="412"/>
      <c r="C58" s="412"/>
      <c r="D58" s="395" t="s">
        <v>996</v>
      </c>
      <c r="E58" s="412"/>
      <c r="F58" s="412"/>
      <c r="G58" s="412"/>
      <c r="H58" s="412"/>
      <c r="I58" s="412"/>
      <c r="J58" s="412"/>
      <c r="K58" s="412"/>
      <c r="L58" s="412"/>
    </row>
    <row r="59" spans="1:26" ht="81.599999999999994" x14ac:dyDescent="0.2">
      <c r="A59" s="412"/>
      <c r="B59" s="412"/>
      <c r="C59" s="412"/>
      <c r="D59" s="395" t="s">
        <v>997</v>
      </c>
      <c r="E59" s="412"/>
      <c r="F59" s="412"/>
      <c r="G59" s="412"/>
      <c r="H59" s="412"/>
      <c r="I59" s="412"/>
      <c r="J59" s="412"/>
      <c r="K59" s="412"/>
      <c r="L59" s="412"/>
    </row>
    <row r="60" spans="1:26" x14ac:dyDescent="0.2">
      <c r="A60" s="412"/>
      <c r="B60" s="412"/>
      <c r="C60" s="412"/>
      <c r="D60" s="413" t="s">
        <v>206</v>
      </c>
      <c r="E60" s="414" t="s">
        <v>953</v>
      </c>
      <c r="F60" s="414"/>
      <c r="G60" s="414"/>
      <c r="H60" s="415">
        <v>6690.09</v>
      </c>
      <c r="I60" s="412"/>
      <c r="J60" s="412"/>
      <c r="K60" s="412"/>
      <c r="L60" s="412"/>
    </row>
    <row r="61" spans="1:26" x14ac:dyDescent="0.2">
      <c r="A61" s="412"/>
      <c r="B61" s="412"/>
      <c r="C61" s="412"/>
      <c r="D61" s="413" t="s">
        <v>207</v>
      </c>
      <c r="E61" s="414" t="s">
        <v>954</v>
      </c>
      <c r="F61" s="414"/>
      <c r="G61" s="414"/>
      <c r="H61" s="415">
        <v>3517.47</v>
      </c>
      <c r="I61" s="412"/>
      <c r="J61" s="412"/>
      <c r="K61" s="412"/>
      <c r="L61" s="412"/>
    </row>
    <row r="62" spans="1:26" x14ac:dyDescent="0.2">
      <c r="A62" s="412"/>
      <c r="B62" s="412"/>
      <c r="C62" s="412"/>
      <c r="D62" s="416" t="s">
        <v>715</v>
      </c>
      <c r="E62" s="417"/>
      <c r="F62" s="417"/>
      <c r="G62" s="417"/>
      <c r="H62" s="418">
        <v>17776.13</v>
      </c>
      <c r="I62" s="412"/>
      <c r="J62" s="412"/>
      <c r="K62" s="412"/>
      <c r="L62" s="412"/>
    </row>
    <row r="63" spans="1:26" s="817" customFormat="1" ht="20.399999999999999" x14ac:dyDescent="0.2">
      <c r="A63" s="813">
        <v>5</v>
      </c>
      <c r="B63" s="813">
        <v>5</v>
      </c>
      <c r="C63" s="813" t="s">
        <v>1002</v>
      </c>
      <c r="D63" s="813" t="s">
        <v>1516</v>
      </c>
      <c r="E63" s="814">
        <v>0.57120000000000004</v>
      </c>
      <c r="F63" s="815">
        <v>56509.67</v>
      </c>
      <c r="G63" s="815" t="s">
        <v>281</v>
      </c>
      <c r="H63" s="816">
        <v>263391.12</v>
      </c>
      <c r="I63" s="816" t="s">
        <v>281</v>
      </c>
      <c r="J63" s="816" t="s">
        <v>281</v>
      </c>
      <c r="K63" s="815" t="s">
        <v>281</v>
      </c>
      <c r="L63" s="815" t="s">
        <v>281</v>
      </c>
      <c r="M63" s="783">
        <v>0</v>
      </c>
      <c r="N63" s="783" t="s">
        <v>2375</v>
      </c>
      <c r="O63" s="893" t="s">
        <v>2386</v>
      </c>
      <c r="T63" s="817">
        <v>263391.12</v>
      </c>
      <c r="V63" s="817" t="s">
        <v>281</v>
      </c>
      <c r="W63" s="817" t="s">
        <v>281</v>
      </c>
      <c r="X63" s="817" t="s">
        <v>281</v>
      </c>
      <c r="Y63" s="817" t="s">
        <v>281</v>
      </c>
      <c r="Z63" s="817" t="s">
        <v>281</v>
      </c>
    </row>
    <row r="64" spans="1:26" x14ac:dyDescent="0.2">
      <c r="A64" s="407"/>
      <c r="B64" s="407"/>
      <c r="C64" s="407"/>
      <c r="D64" s="408" t="s">
        <v>1003</v>
      </c>
      <c r="E64" s="409"/>
      <c r="F64" s="410" t="s">
        <v>281</v>
      </c>
      <c r="G64" s="410" t="s">
        <v>281</v>
      </c>
      <c r="H64" s="409"/>
      <c r="I64" s="409"/>
      <c r="J64" s="411" t="s">
        <v>281</v>
      </c>
      <c r="K64" s="410" t="s">
        <v>281</v>
      </c>
      <c r="L64" s="410" t="s">
        <v>281</v>
      </c>
    </row>
    <row r="65" spans="1:26" x14ac:dyDescent="0.2">
      <c r="A65" s="412"/>
      <c r="B65" s="412"/>
      <c r="C65" s="412"/>
      <c r="D65" s="395" t="s">
        <v>718</v>
      </c>
      <c r="E65" s="412"/>
      <c r="F65" s="412"/>
      <c r="G65" s="412"/>
      <c r="H65" s="412"/>
      <c r="I65" s="412"/>
      <c r="J65" s="412"/>
      <c r="K65" s="412"/>
      <c r="L65" s="412"/>
    </row>
    <row r="66" spans="1:26" s="817" customFormat="1" ht="51" x14ac:dyDescent="0.2">
      <c r="A66" s="813">
        <v>6</v>
      </c>
      <c r="B66" s="813">
        <v>6</v>
      </c>
      <c r="C66" s="813" t="s">
        <v>1004</v>
      </c>
      <c r="D66" s="813" t="s">
        <v>986</v>
      </c>
      <c r="E66" s="814">
        <v>4</v>
      </c>
      <c r="F66" s="815">
        <v>19.015499999999999</v>
      </c>
      <c r="G66" s="815" t="s">
        <v>281</v>
      </c>
      <c r="H66" s="816">
        <v>2804.92</v>
      </c>
      <c r="I66" s="816">
        <v>2671.08</v>
      </c>
      <c r="J66" s="816" t="s">
        <v>281</v>
      </c>
      <c r="K66" s="815">
        <v>1.587</v>
      </c>
      <c r="L66" s="815">
        <v>6.3479999999999999</v>
      </c>
      <c r="M66" s="783">
        <v>0</v>
      </c>
      <c r="N66" s="783" t="s">
        <v>2375</v>
      </c>
      <c r="O66" s="893"/>
      <c r="T66" s="817">
        <v>6758.12</v>
      </c>
      <c r="V66" s="817">
        <v>2671.08</v>
      </c>
      <c r="W66" s="817" t="s">
        <v>281</v>
      </c>
      <c r="X66" s="817" t="s">
        <v>281</v>
      </c>
      <c r="Y66" s="817">
        <v>6.3479999999999999</v>
      </c>
      <c r="Z66" s="817" t="s">
        <v>281</v>
      </c>
    </row>
    <row r="67" spans="1:26" x14ac:dyDescent="0.2">
      <c r="A67" s="407"/>
      <c r="B67" s="407"/>
      <c r="C67" s="407"/>
      <c r="D67" s="408" t="s">
        <v>735</v>
      </c>
      <c r="E67" s="409"/>
      <c r="F67" s="410">
        <v>14.9155</v>
      </c>
      <c r="G67" s="410" t="s">
        <v>281</v>
      </c>
      <c r="H67" s="409"/>
      <c r="I67" s="409"/>
      <c r="J67" s="411" t="s">
        <v>281</v>
      </c>
      <c r="K67" s="410" t="s">
        <v>281</v>
      </c>
      <c r="L67" s="410" t="s">
        <v>281</v>
      </c>
    </row>
    <row r="68" spans="1:26" ht="20.399999999999999" x14ac:dyDescent="0.2">
      <c r="A68" s="412"/>
      <c r="B68" s="412"/>
      <c r="C68" s="412"/>
      <c r="D68" s="395" t="s">
        <v>714</v>
      </c>
      <c r="E68" s="412"/>
      <c r="F68" s="412"/>
      <c r="G68" s="412"/>
      <c r="H68" s="412"/>
      <c r="I68" s="412"/>
      <c r="J68" s="412"/>
      <c r="K68" s="412"/>
      <c r="L68" s="412"/>
    </row>
    <row r="69" spans="1:26" ht="20.399999999999999" x14ac:dyDescent="0.2">
      <c r="A69" s="412"/>
      <c r="B69" s="412"/>
      <c r="C69" s="412"/>
      <c r="D69" s="395" t="s">
        <v>996</v>
      </c>
      <c r="E69" s="412"/>
      <c r="F69" s="412"/>
      <c r="G69" s="412"/>
      <c r="H69" s="412"/>
      <c r="I69" s="412"/>
      <c r="J69" s="412"/>
      <c r="K69" s="412"/>
      <c r="L69" s="412"/>
    </row>
    <row r="70" spans="1:26" ht="81.599999999999994" x14ac:dyDescent="0.2">
      <c r="A70" s="412"/>
      <c r="B70" s="412"/>
      <c r="C70" s="412"/>
      <c r="D70" s="395" t="s">
        <v>997</v>
      </c>
      <c r="E70" s="412"/>
      <c r="F70" s="412"/>
      <c r="G70" s="412"/>
      <c r="H70" s="412"/>
      <c r="I70" s="412"/>
      <c r="J70" s="412"/>
      <c r="K70" s="412"/>
      <c r="L70" s="412"/>
    </row>
    <row r="71" spans="1:26" x14ac:dyDescent="0.2">
      <c r="A71" s="412"/>
      <c r="B71" s="412"/>
      <c r="C71" s="412"/>
      <c r="D71" s="413" t="s">
        <v>206</v>
      </c>
      <c r="E71" s="414" t="s">
        <v>953</v>
      </c>
      <c r="F71" s="414"/>
      <c r="G71" s="414"/>
      <c r="H71" s="415">
        <v>2590.9499999999998</v>
      </c>
      <c r="I71" s="412"/>
      <c r="J71" s="412"/>
      <c r="K71" s="412"/>
      <c r="L71" s="412"/>
    </row>
    <row r="72" spans="1:26" x14ac:dyDescent="0.2">
      <c r="A72" s="412"/>
      <c r="B72" s="412"/>
      <c r="C72" s="412"/>
      <c r="D72" s="413" t="s">
        <v>207</v>
      </c>
      <c r="E72" s="414" t="s">
        <v>954</v>
      </c>
      <c r="F72" s="414"/>
      <c r="G72" s="414"/>
      <c r="H72" s="415">
        <v>1362.25</v>
      </c>
      <c r="I72" s="412"/>
      <c r="J72" s="412"/>
      <c r="K72" s="412"/>
      <c r="L72" s="412"/>
    </row>
    <row r="73" spans="1:26" x14ac:dyDescent="0.2">
      <c r="A73" s="412"/>
      <c r="B73" s="412"/>
      <c r="C73" s="412"/>
      <c r="D73" s="416" t="s">
        <v>715</v>
      </c>
      <c r="E73" s="417"/>
      <c r="F73" s="417"/>
      <c r="G73" s="417"/>
      <c r="H73" s="418">
        <v>6758.12</v>
      </c>
      <c r="I73" s="412"/>
      <c r="J73" s="412"/>
      <c r="K73" s="412"/>
      <c r="L73" s="412"/>
    </row>
    <row r="74" spans="1:26" s="817" customFormat="1" ht="30.6" x14ac:dyDescent="0.2">
      <c r="A74" s="813">
        <v>7</v>
      </c>
      <c r="B74" s="813">
        <v>7</v>
      </c>
      <c r="C74" s="813" t="s">
        <v>1005</v>
      </c>
      <c r="D74" s="813" t="s">
        <v>1515</v>
      </c>
      <c r="E74" s="814">
        <v>4</v>
      </c>
      <c r="F74" s="815">
        <v>247.51</v>
      </c>
      <c r="G74" s="815" t="s">
        <v>281</v>
      </c>
      <c r="H74" s="816">
        <v>8078.72</v>
      </c>
      <c r="I74" s="816" t="s">
        <v>281</v>
      </c>
      <c r="J74" s="816" t="s">
        <v>281</v>
      </c>
      <c r="K74" s="815" t="s">
        <v>281</v>
      </c>
      <c r="L74" s="815" t="s">
        <v>281</v>
      </c>
      <c r="M74" s="783">
        <v>0</v>
      </c>
      <c r="N74" s="783" t="s">
        <v>2375</v>
      </c>
      <c r="O74" s="893"/>
      <c r="T74" s="817">
        <v>8078.72</v>
      </c>
      <c r="V74" s="817" t="s">
        <v>281</v>
      </c>
      <c r="W74" s="817" t="s">
        <v>281</v>
      </c>
      <c r="X74" s="817" t="s">
        <v>281</v>
      </c>
      <c r="Y74" s="817" t="s">
        <v>281</v>
      </c>
      <c r="Z74" s="817" t="s">
        <v>281</v>
      </c>
    </row>
    <row r="75" spans="1:26" x14ac:dyDescent="0.2">
      <c r="A75" s="407"/>
      <c r="B75" s="407"/>
      <c r="C75" s="407"/>
      <c r="D75" s="408" t="s">
        <v>735</v>
      </c>
      <c r="E75" s="409"/>
      <c r="F75" s="410" t="s">
        <v>281</v>
      </c>
      <c r="G75" s="410" t="s">
        <v>281</v>
      </c>
      <c r="H75" s="409"/>
      <c r="I75" s="409"/>
      <c r="J75" s="411" t="s">
        <v>281</v>
      </c>
      <c r="K75" s="410" t="s">
        <v>281</v>
      </c>
      <c r="L75" s="410" t="s">
        <v>281</v>
      </c>
    </row>
    <row r="76" spans="1:26" x14ac:dyDescent="0.2">
      <c r="A76" s="412"/>
      <c r="B76" s="412"/>
      <c r="C76" s="412"/>
      <c r="D76" s="395" t="s">
        <v>718</v>
      </c>
      <c r="E76" s="412"/>
      <c r="F76" s="412"/>
      <c r="G76" s="412"/>
      <c r="H76" s="412"/>
      <c r="I76" s="412"/>
      <c r="J76" s="412"/>
      <c r="K76" s="412"/>
      <c r="L76" s="412"/>
    </row>
    <row r="77" spans="1:26" s="817" customFormat="1" ht="40.799999999999997" x14ac:dyDescent="0.2">
      <c r="A77" s="813">
        <v>8</v>
      </c>
      <c r="B77" s="813">
        <v>8</v>
      </c>
      <c r="C77" s="813" t="s">
        <v>1006</v>
      </c>
      <c r="D77" s="813" t="s">
        <v>987</v>
      </c>
      <c r="E77" s="814">
        <v>4</v>
      </c>
      <c r="F77" s="815">
        <v>19.1755</v>
      </c>
      <c r="G77" s="815" t="s">
        <v>281</v>
      </c>
      <c r="H77" s="816">
        <v>1227.08</v>
      </c>
      <c r="I77" s="816">
        <v>735.2</v>
      </c>
      <c r="J77" s="816" t="s">
        <v>281</v>
      </c>
      <c r="K77" s="815">
        <v>0.437</v>
      </c>
      <c r="L77" s="815">
        <v>1.748</v>
      </c>
      <c r="M77" s="783">
        <v>0</v>
      </c>
      <c r="N77" s="783" t="s">
        <v>2375</v>
      </c>
      <c r="O77" s="893"/>
      <c r="T77" s="817">
        <v>2315.17</v>
      </c>
      <c r="V77" s="817">
        <v>735.2</v>
      </c>
      <c r="W77" s="817" t="s">
        <v>281</v>
      </c>
      <c r="X77" s="817" t="s">
        <v>281</v>
      </c>
      <c r="Y77" s="817">
        <v>1.748</v>
      </c>
      <c r="Z77" s="817" t="s">
        <v>281</v>
      </c>
    </row>
    <row r="78" spans="1:26" x14ac:dyDescent="0.2">
      <c r="A78" s="407"/>
      <c r="B78" s="407"/>
      <c r="C78" s="407"/>
      <c r="D78" s="408" t="s">
        <v>735</v>
      </c>
      <c r="E78" s="409"/>
      <c r="F78" s="410">
        <v>4.1055000000000001</v>
      </c>
      <c r="G78" s="410" t="s">
        <v>281</v>
      </c>
      <c r="H78" s="409"/>
      <c r="I78" s="409"/>
      <c r="J78" s="411" t="s">
        <v>281</v>
      </c>
      <c r="K78" s="410" t="s">
        <v>281</v>
      </c>
      <c r="L78" s="410" t="s">
        <v>281</v>
      </c>
    </row>
    <row r="79" spans="1:26" ht="20.399999999999999" x14ac:dyDescent="0.2">
      <c r="A79" s="412"/>
      <c r="B79" s="412"/>
      <c r="C79" s="412"/>
      <c r="D79" s="395" t="s">
        <v>714</v>
      </c>
      <c r="E79" s="412"/>
      <c r="F79" s="412"/>
      <c r="G79" s="412"/>
      <c r="H79" s="412"/>
      <c r="I79" s="412"/>
      <c r="J79" s="412"/>
      <c r="K79" s="412"/>
      <c r="L79" s="412"/>
    </row>
    <row r="80" spans="1:26" ht="20.399999999999999" x14ac:dyDescent="0.2">
      <c r="A80" s="412"/>
      <c r="B80" s="412"/>
      <c r="C80" s="412"/>
      <c r="D80" s="395" t="s">
        <v>996</v>
      </c>
      <c r="E80" s="412"/>
      <c r="F80" s="412"/>
      <c r="G80" s="412"/>
      <c r="H80" s="412"/>
      <c r="I80" s="412"/>
      <c r="J80" s="412"/>
      <c r="K80" s="412"/>
      <c r="L80" s="412"/>
    </row>
    <row r="81" spans="1:26" ht="81.599999999999994" x14ac:dyDescent="0.2">
      <c r="A81" s="412"/>
      <c r="B81" s="412"/>
      <c r="C81" s="412"/>
      <c r="D81" s="395" t="s">
        <v>997</v>
      </c>
      <c r="E81" s="412"/>
      <c r="F81" s="412"/>
      <c r="G81" s="412"/>
      <c r="H81" s="412"/>
      <c r="I81" s="412"/>
      <c r="J81" s="412"/>
      <c r="K81" s="412"/>
      <c r="L81" s="412"/>
    </row>
    <row r="82" spans="1:26" x14ac:dyDescent="0.2">
      <c r="A82" s="412"/>
      <c r="B82" s="412"/>
      <c r="C82" s="412"/>
      <c r="D82" s="413" t="s">
        <v>206</v>
      </c>
      <c r="E82" s="414" t="s">
        <v>953</v>
      </c>
      <c r="F82" s="414"/>
      <c r="G82" s="414"/>
      <c r="H82" s="415">
        <v>713.14</v>
      </c>
      <c r="I82" s="412"/>
      <c r="J82" s="412"/>
      <c r="K82" s="412"/>
      <c r="L82" s="412"/>
    </row>
    <row r="83" spans="1:26" x14ac:dyDescent="0.2">
      <c r="A83" s="412"/>
      <c r="B83" s="412"/>
      <c r="C83" s="412"/>
      <c r="D83" s="413" t="s">
        <v>207</v>
      </c>
      <c r="E83" s="414" t="s">
        <v>954</v>
      </c>
      <c r="F83" s="414"/>
      <c r="G83" s="414"/>
      <c r="H83" s="415">
        <v>374.95</v>
      </c>
      <c r="I83" s="412"/>
      <c r="J83" s="412"/>
      <c r="K83" s="412"/>
      <c r="L83" s="412"/>
    </row>
    <row r="84" spans="1:26" x14ac:dyDescent="0.2">
      <c r="A84" s="412"/>
      <c r="B84" s="412"/>
      <c r="C84" s="412"/>
      <c r="D84" s="416" t="s">
        <v>715</v>
      </c>
      <c r="E84" s="417"/>
      <c r="F84" s="417"/>
      <c r="G84" s="417"/>
      <c r="H84" s="418">
        <v>2315.17</v>
      </c>
      <c r="I84" s="412"/>
      <c r="J84" s="412"/>
      <c r="K84" s="412"/>
      <c r="L84" s="412"/>
    </row>
    <row r="85" spans="1:26" s="817" customFormat="1" ht="20.399999999999999" x14ac:dyDescent="0.2">
      <c r="A85" s="813">
        <v>9</v>
      </c>
      <c r="B85" s="813">
        <v>9</v>
      </c>
      <c r="C85" s="813" t="s">
        <v>1007</v>
      </c>
      <c r="D85" s="813" t="s">
        <v>1514</v>
      </c>
      <c r="E85" s="814">
        <v>-2.88</v>
      </c>
      <c r="F85" s="815">
        <v>16.7</v>
      </c>
      <c r="G85" s="815" t="s">
        <v>281</v>
      </c>
      <c r="H85" s="816">
        <v>-392.46</v>
      </c>
      <c r="I85" s="816" t="s">
        <v>281</v>
      </c>
      <c r="J85" s="816" t="s">
        <v>281</v>
      </c>
      <c r="K85" s="815" t="s">
        <v>281</v>
      </c>
      <c r="L85" s="815" t="s">
        <v>281</v>
      </c>
      <c r="M85" s="783">
        <v>0</v>
      </c>
      <c r="N85" s="783" t="s">
        <v>2375</v>
      </c>
      <c r="O85" s="893"/>
      <c r="T85" s="817">
        <v>-392.46</v>
      </c>
      <c r="V85" s="817" t="s">
        <v>281</v>
      </c>
      <c r="W85" s="817" t="s">
        <v>281</v>
      </c>
      <c r="X85" s="817" t="s">
        <v>281</v>
      </c>
      <c r="Y85" s="817" t="s">
        <v>281</v>
      </c>
      <c r="Z85" s="817" t="s">
        <v>281</v>
      </c>
    </row>
    <row r="86" spans="1:26" x14ac:dyDescent="0.2">
      <c r="A86" s="407"/>
      <c r="B86" s="407"/>
      <c r="C86" s="407"/>
      <c r="D86" s="408" t="s">
        <v>1008</v>
      </c>
      <c r="E86" s="409"/>
      <c r="F86" s="410" t="s">
        <v>281</v>
      </c>
      <c r="G86" s="410" t="s">
        <v>281</v>
      </c>
      <c r="H86" s="409"/>
      <c r="I86" s="409"/>
      <c r="J86" s="411" t="s">
        <v>281</v>
      </c>
      <c r="K86" s="410" t="s">
        <v>281</v>
      </c>
      <c r="L86" s="410" t="s">
        <v>281</v>
      </c>
    </row>
    <row r="87" spans="1:26" x14ac:dyDescent="0.2">
      <c r="A87" s="412"/>
      <c r="B87" s="412"/>
      <c r="C87" s="412"/>
      <c r="D87" s="395" t="s">
        <v>718</v>
      </c>
      <c r="E87" s="412"/>
      <c r="F87" s="412"/>
      <c r="G87" s="412"/>
      <c r="H87" s="412"/>
      <c r="I87" s="412"/>
      <c r="J87" s="412"/>
      <c r="K87" s="412"/>
      <c r="L87" s="412"/>
    </row>
    <row r="88" spans="1:26" s="817" customFormat="1" ht="61.2" x14ac:dyDescent="0.2">
      <c r="A88" s="813">
        <v>10</v>
      </c>
      <c r="B88" s="813">
        <v>10</v>
      </c>
      <c r="C88" s="813" t="s">
        <v>1009</v>
      </c>
      <c r="D88" s="813" t="s">
        <v>1513</v>
      </c>
      <c r="E88" s="814">
        <v>1</v>
      </c>
      <c r="F88" s="815">
        <v>110.11</v>
      </c>
      <c r="G88" s="815" t="s">
        <v>281</v>
      </c>
      <c r="H88" s="816">
        <v>898.5</v>
      </c>
      <c r="I88" s="816" t="s">
        <v>281</v>
      </c>
      <c r="J88" s="816" t="s">
        <v>281</v>
      </c>
      <c r="K88" s="815" t="s">
        <v>281</v>
      </c>
      <c r="L88" s="815" t="s">
        <v>281</v>
      </c>
      <c r="M88" s="783">
        <v>0</v>
      </c>
      <c r="N88" s="783" t="s">
        <v>2375</v>
      </c>
      <c r="O88" s="893"/>
      <c r="T88" s="817">
        <v>898.5</v>
      </c>
      <c r="V88" s="817" t="s">
        <v>281</v>
      </c>
      <c r="W88" s="817" t="s">
        <v>281</v>
      </c>
      <c r="X88" s="817" t="s">
        <v>281</v>
      </c>
      <c r="Y88" s="817" t="s">
        <v>281</v>
      </c>
      <c r="Z88" s="817" t="s">
        <v>281</v>
      </c>
    </row>
    <row r="89" spans="1:26" x14ac:dyDescent="0.2">
      <c r="A89" s="407"/>
      <c r="B89" s="407"/>
      <c r="C89" s="407"/>
      <c r="D89" s="408" t="s">
        <v>735</v>
      </c>
      <c r="E89" s="409"/>
      <c r="F89" s="410" t="s">
        <v>281</v>
      </c>
      <c r="G89" s="410" t="s">
        <v>281</v>
      </c>
      <c r="H89" s="409"/>
      <c r="I89" s="409"/>
      <c r="J89" s="411" t="s">
        <v>281</v>
      </c>
      <c r="K89" s="410" t="s">
        <v>281</v>
      </c>
      <c r="L89" s="410" t="s">
        <v>281</v>
      </c>
    </row>
    <row r="90" spans="1:26" x14ac:dyDescent="0.2">
      <c r="A90" s="412"/>
      <c r="B90" s="412"/>
      <c r="C90" s="412"/>
      <c r="D90" s="395" t="s">
        <v>718</v>
      </c>
      <c r="E90" s="412"/>
      <c r="F90" s="412"/>
      <c r="G90" s="412"/>
      <c r="H90" s="412"/>
      <c r="I90" s="412"/>
      <c r="J90" s="412"/>
      <c r="K90" s="412"/>
      <c r="L90" s="412"/>
    </row>
    <row r="91" spans="1:26" s="817" customFormat="1" ht="40.799999999999997" x14ac:dyDescent="0.2">
      <c r="A91" s="813">
        <v>11</v>
      </c>
      <c r="B91" s="813">
        <v>11</v>
      </c>
      <c r="C91" s="813" t="s">
        <v>1010</v>
      </c>
      <c r="D91" s="813" t="s">
        <v>988</v>
      </c>
      <c r="E91" s="814">
        <v>0.02</v>
      </c>
      <c r="F91" s="815">
        <v>52.578000000000003</v>
      </c>
      <c r="G91" s="815" t="s">
        <v>281</v>
      </c>
      <c r="H91" s="816">
        <v>47.08</v>
      </c>
      <c r="I91" s="816">
        <v>47.08</v>
      </c>
      <c r="J91" s="816" t="s">
        <v>281</v>
      </c>
      <c r="K91" s="815">
        <v>6.1639999999999997</v>
      </c>
      <c r="L91" s="815">
        <v>0.12328</v>
      </c>
      <c r="M91" s="783">
        <v>0</v>
      </c>
      <c r="N91" s="783" t="s">
        <v>2375</v>
      </c>
      <c r="O91" s="893"/>
      <c r="T91" s="817">
        <v>111.11</v>
      </c>
      <c r="V91" s="817">
        <v>47.08</v>
      </c>
      <c r="W91" s="817" t="s">
        <v>281</v>
      </c>
      <c r="X91" s="817" t="s">
        <v>281</v>
      </c>
      <c r="Y91" s="817">
        <v>0.12328</v>
      </c>
      <c r="Z91" s="817" t="s">
        <v>281</v>
      </c>
    </row>
    <row r="92" spans="1:26" x14ac:dyDescent="0.2">
      <c r="A92" s="407"/>
      <c r="B92" s="407"/>
      <c r="C92" s="407"/>
      <c r="D92" s="408" t="s">
        <v>1011</v>
      </c>
      <c r="E92" s="409"/>
      <c r="F92" s="410">
        <v>52.578000000000003</v>
      </c>
      <c r="G92" s="410" t="s">
        <v>281</v>
      </c>
      <c r="H92" s="409"/>
      <c r="I92" s="409"/>
      <c r="J92" s="411" t="s">
        <v>281</v>
      </c>
      <c r="K92" s="410" t="s">
        <v>281</v>
      </c>
      <c r="L92" s="410" t="s">
        <v>281</v>
      </c>
    </row>
    <row r="93" spans="1:26" ht="20.399999999999999" x14ac:dyDescent="0.2">
      <c r="A93" s="412"/>
      <c r="B93" s="412"/>
      <c r="C93" s="412"/>
      <c r="D93" s="395" t="s">
        <v>714</v>
      </c>
      <c r="E93" s="412"/>
      <c r="F93" s="412"/>
      <c r="G93" s="412"/>
      <c r="H93" s="412"/>
      <c r="I93" s="412"/>
      <c r="J93" s="412"/>
      <c r="K93" s="412"/>
      <c r="L93" s="412"/>
    </row>
    <row r="94" spans="1:26" ht="20.399999999999999" x14ac:dyDescent="0.2">
      <c r="A94" s="412"/>
      <c r="B94" s="412"/>
      <c r="C94" s="412"/>
      <c r="D94" s="395" t="s">
        <v>996</v>
      </c>
      <c r="E94" s="412"/>
      <c r="F94" s="412"/>
      <c r="G94" s="412"/>
      <c r="H94" s="412"/>
      <c r="I94" s="412"/>
      <c r="J94" s="412"/>
      <c r="K94" s="412"/>
      <c r="L94" s="412"/>
    </row>
    <row r="95" spans="1:26" ht="81.599999999999994" x14ac:dyDescent="0.2">
      <c r="A95" s="412"/>
      <c r="B95" s="412"/>
      <c r="C95" s="412"/>
      <c r="D95" s="395" t="s">
        <v>997</v>
      </c>
      <c r="E95" s="412"/>
      <c r="F95" s="412"/>
      <c r="G95" s="412"/>
      <c r="H95" s="412"/>
      <c r="I95" s="412"/>
      <c r="J95" s="412"/>
      <c r="K95" s="412"/>
      <c r="L95" s="412"/>
    </row>
    <row r="96" spans="1:26" x14ac:dyDescent="0.2">
      <c r="A96" s="412"/>
      <c r="B96" s="412"/>
      <c r="C96" s="412"/>
      <c r="D96" s="413" t="s">
        <v>206</v>
      </c>
      <c r="E96" s="414" t="s">
        <v>764</v>
      </c>
      <c r="F96" s="414"/>
      <c r="G96" s="414"/>
      <c r="H96" s="415">
        <v>43.31</v>
      </c>
      <c r="I96" s="412"/>
      <c r="J96" s="412"/>
      <c r="K96" s="412"/>
      <c r="L96" s="412"/>
    </row>
    <row r="97" spans="1:26" x14ac:dyDescent="0.2">
      <c r="A97" s="412"/>
      <c r="B97" s="412"/>
      <c r="C97" s="412"/>
      <c r="D97" s="413" t="s">
        <v>207</v>
      </c>
      <c r="E97" s="414" t="s">
        <v>771</v>
      </c>
      <c r="F97" s="414"/>
      <c r="G97" s="414"/>
      <c r="H97" s="415">
        <v>20.72</v>
      </c>
      <c r="I97" s="412"/>
      <c r="J97" s="412"/>
      <c r="K97" s="412"/>
      <c r="L97" s="412"/>
    </row>
    <row r="98" spans="1:26" x14ac:dyDescent="0.2">
      <c r="A98" s="412"/>
      <c r="B98" s="412"/>
      <c r="C98" s="412"/>
      <c r="D98" s="416" t="s">
        <v>715</v>
      </c>
      <c r="E98" s="417"/>
      <c r="F98" s="417"/>
      <c r="G98" s="417"/>
      <c r="H98" s="418">
        <v>111.11</v>
      </c>
      <c r="I98" s="412"/>
      <c r="J98" s="412"/>
      <c r="K98" s="412"/>
      <c r="L98" s="412"/>
    </row>
    <row r="99" spans="1:26" s="817" customFormat="1" ht="30.6" x14ac:dyDescent="0.2">
      <c r="A99" s="813">
        <v>12</v>
      </c>
      <c r="B99" s="813">
        <v>12</v>
      </c>
      <c r="C99" s="813" t="s">
        <v>1012</v>
      </c>
      <c r="D99" s="813" t="s">
        <v>989</v>
      </c>
      <c r="E99" s="814">
        <v>0.02</v>
      </c>
      <c r="F99" s="815">
        <v>103.592</v>
      </c>
      <c r="G99" s="815" t="s">
        <v>281</v>
      </c>
      <c r="H99" s="816">
        <v>92.76</v>
      </c>
      <c r="I99" s="816">
        <v>92.76</v>
      </c>
      <c r="J99" s="816" t="s">
        <v>281</v>
      </c>
      <c r="K99" s="815">
        <v>12.144</v>
      </c>
      <c r="L99" s="815">
        <v>0.24288000000000001</v>
      </c>
      <c r="M99" s="783">
        <v>0</v>
      </c>
      <c r="N99" s="783" t="s">
        <v>2375</v>
      </c>
      <c r="O99" s="893"/>
      <c r="T99" s="817">
        <v>218.91</v>
      </c>
      <c r="V99" s="817">
        <v>92.76</v>
      </c>
      <c r="W99" s="817" t="s">
        <v>281</v>
      </c>
      <c r="X99" s="817" t="s">
        <v>281</v>
      </c>
      <c r="Y99" s="817">
        <v>0.24288000000000001</v>
      </c>
      <c r="Z99" s="817" t="s">
        <v>281</v>
      </c>
    </row>
    <row r="100" spans="1:26" x14ac:dyDescent="0.2">
      <c r="A100" s="407"/>
      <c r="B100" s="407"/>
      <c r="C100" s="407"/>
      <c r="D100" s="408" t="s">
        <v>1011</v>
      </c>
      <c r="E100" s="409"/>
      <c r="F100" s="410">
        <v>103.592</v>
      </c>
      <c r="G100" s="410" t="s">
        <v>281</v>
      </c>
      <c r="H100" s="409"/>
      <c r="I100" s="409"/>
      <c r="J100" s="411" t="s">
        <v>281</v>
      </c>
      <c r="K100" s="410" t="s">
        <v>281</v>
      </c>
      <c r="L100" s="410" t="s">
        <v>281</v>
      </c>
    </row>
    <row r="101" spans="1:26" ht="20.399999999999999" x14ac:dyDescent="0.2">
      <c r="A101" s="412"/>
      <c r="B101" s="412"/>
      <c r="C101" s="412"/>
      <c r="D101" s="395" t="s">
        <v>714</v>
      </c>
      <c r="E101" s="412"/>
      <c r="F101" s="412"/>
      <c r="G101" s="412"/>
      <c r="H101" s="412"/>
      <c r="I101" s="412"/>
      <c r="J101" s="412"/>
      <c r="K101" s="412"/>
      <c r="L101" s="412"/>
    </row>
    <row r="102" spans="1:26" ht="20.399999999999999" x14ac:dyDescent="0.2">
      <c r="A102" s="412"/>
      <c r="B102" s="412"/>
      <c r="C102" s="412"/>
      <c r="D102" s="395" t="s">
        <v>1013</v>
      </c>
      <c r="E102" s="412"/>
      <c r="F102" s="412"/>
      <c r="G102" s="412"/>
      <c r="H102" s="412"/>
      <c r="I102" s="412"/>
      <c r="J102" s="412"/>
      <c r="K102" s="412"/>
      <c r="L102" s="412"/>
    </row>
    <row r="103" spans="1:26" ht="91.8" x14ac:dyDescent="0.2">
      <c r="A103" s="412"/>
      <c r="B103" s="412"/>
      <c r="C103" s="412"/>
      <c r="D103" s="395" t="s">
        <v>1014</v>
      </c>
      <c r="E103" s="412"/>
      <c r="F103" s="412"/>
      <c r="G103" s="412"/>
      <c r="H103" s="412"/>
      <c r="I103" s="412"/>
      <c r="J103" s="412"/>
      <c r="K103" s="412"/>
      <c r="L103" s="412"/>
    </row>
    <row r="104" spans="1:26" x14ac:dyDescent="0.2">
      <c r="A104" s="412"/>
      <c r="B104" s="412"/>
      <c r="C104" s="412"/>
      <c r="D104" s="413" t="s">
        <v>206</v>
      </c>
      <c r="E104" s="414" t="s">
        <v>764</v>
      </c>
      <c r="F104" s="414"/>
      <c r="G104" s="414"/>
      <c r="H104" s="415">
        <v>85.34</v>
      </c>
      <c r="I104" s="412"/>
      <c r="J104" s="412"/>
      <c r="K104" s="412"/>
      <c r="L104" s="412"/>
    </row>
    <row r="105" spans="1:26" x14ac:dyDescent="0.2">
      <c r="A105" s="412"/>
      <c r="B105" s="412"/>
      <c r="C105" s="412"/>
      <c r="D105" s="413" t="s">
        <v>207</v>
      </c>
      <c r="E105" s="414" t="s">
        <v>771</v>
      </c>
      <c r="F105" s="414"/>
      <c r="G105" s="414"/>
      <c r="H105" s="415">
        <v>40.81</v>
      </c>
      <c r="I105" s="412"/>
      <c r="J105" s="412"/>
      <c r="K105" s="412"/>
      <c r="L105" s="412"/>
    </row>
    <row r="106" spans="1:26" x14ac:dyDescent="0.2">
      <c r="A106" s="412"/>
      <c r="B106" s="412"/>
      <c r="C106" s="412"/>
      <c r="D106" s="416" t="s">
        <v>715</v>
      </c>
      <c r="E106" s="417"/>
      <c r="F106" s="417"/>
      <c r="G106" s="417"/>
      <c r="H106" s="418">
        <v>218.91</v>
      </c>
      <c r="I106" s="412"/>
      <c r="J106" s="412"/>
      <c r="K106" s="412"/>
      <c r="L106" s="412"/>
    </row>
    <row r="107" spans="1:26" s="817" customFormat="1" ht="30.6" x14ac:dyDescent="0.2">
      <c r="A107" s="813">
        <v>13</v>
      </c>
      <c r="B107" s="813">
        <v>13</v>
      </c>
      <c r="C107" s="813" t="s">
        <v>1015</v>
      </c>
      <c r="D107" s="813" t="s">
        <v>990</v>
      </c>
      <c r="E107" s="814">
        <v>0.02</v>
      </c>
      <c r="F107" s="815">
        <v>61.893000000000001</v>
      </c>
      <c r="G107" s="815" t="s">
        <v>281</v>
      </c>
      <c r="H107" s="816">
        <v>55.42</v>
      </c>
      <c r="I107" s="816">
        <v>55.42</v>
      </c>
      <c r="J107" s="816" t="s">
        <v>281</v>
      </c>
      <c r="K107" s="815">
        <v>7.2565</v>
      </c>
      <c r="L107" s="815">
        <v>0.14513000000000001</v>
      </c>
      <c r="M107" s="783">
        <v>0</v>
      </c>
      <c r="N107" s="783" t="s">
        <v>2375</v>
      </c>
      <c r="O107" s="893"/>
      <c r="T107" s="817">
        <v>130.79</v>
      </c>
      <c r="V107" s="817">
        <v>55.42</v>
      </c>
      <c r="W107" s="817" t="s">
        <v>281</v>
      </c>
      <c r="X107" s="817" t="s">
        <v>281</v>
      </c>
      <c r="Y107" s="817">
        <v>0.14513000000000001</v>
      </c>
      <c r="Z107" s="817" t="s">
        <v>281</v>
      </c>
    </row>
    <row r="108" spans="1:26" x14ac:dyDescent="0.2">
      <c r="A108" s="407"/>
      <c r="B108" s="407"/>
      <c r="C108" s="407"/>
      <c r="D108" s="408" t="s">
        <v>1011</v>
      </c>
      <c r="E108" s="409"/>
      <c r="F108" s="410">
        <v>61.893000000000001</v>
      </c>
      <c r="G108" s="410" t="s">
        <v>281</v>
      </c>
      <c r="H108" s="409"/>
      <c r="I108" s="409"/>
      <c r="J108" s="411" t="s">
        <v>281</v>
      </c>
      <c r="K108" s="410" t="s">
        <v>281</v>
      </c>
      <c r="L108" s="410" t="s">
        <v>281</v>
      </c>
    </row>
    <row r="109" spans="1:26" ht="20.399999999999999" x14ac:dyDescent="0.2">
      <c r="A109" s="412"/>
      <c r="B109" s="412"/>
      <c r="C109" s="412"/>
      <c r="D109" s="395" t="s">
        <v>714</v>
      </c>
      <c r="E109" s="412"/>
      <c r="F109" s="412"/>
      <c r="G109" s="412"/>
      <c r="H109" s="412"/>
      <c r="I109" s="412"/>
      <c r="J109" s="412"/>
      <c r="K109" s="412"/>
      <c r="L109" s="412"/>
    </row>
    <row r="110" spans="1:26" ht="20.399999999999999" x14ac:dyDescent="0.2">
      <c r="A110" s="412"/>
      <c r="B110" s="412"/>
      <c r="C110" s="412"/>
      <c r="D110" s="395" t="s">
        <v>996</v>
      </c>
      <c r="E110" s="412"/>
      <c r="F110" s="412"/>
      <c r="G110" s="412"/>
      <c r="H110" s="412"/>
      <c r="I110" s="412"/>
      <c r="J110" s="412"/>
      <c r="K110" s="412"/>
      <c r="L110" s="412"/>
    </row>
    <row r="111" spans="1:26" ht="81.599999999999994" x14ac:dyDescent="0.2">
      <c r="A111" s="412"/>
      <c r="B111" s="412"/>
      <c r="C111" s="412"/>
      <c r="D111" s="395" t="s">
        <v>997</v>
      </c>
      <c r="E111" s="412"/>
      <c r="F111" s="412"/>
      <c r="G111" s="412"/>
      <c r="H111" s="412"/>
      <c r="I111" s="412"/>
      <c r="J111" s="412"/>
      <c r="K111" s="412"/>
      <c r="L111" s="412"/>
    </row>
    <row r="112" spans="1:26" x14ac:dyDescent="0.2">
      <c r="A112" s="412"/>
      <c r="B112" s="412"/>
      <c r="C112" s="412"/>
      <c r="D112" s="413" t="s">
        <v>206</v>
      </c>
      <c r="E112" s="414" t="s">
        <v>764</v>
      </c>
      <c r="F112" s="414"/>
      <c r="G112" s="414"/>
      <c r="H112" s="415">
        <v>50.99</v>
      </c>
      <c r="I112" s="412"/>
      <c r="J112" s="412"/>
      <c r="K112" s="412"/>
      <c r="L112" s="412"/>
    </row>
    <row r="113" spans="1:15" x14ac:dyDescent="0.2">
      <c r="A113" s="412"/>
      <c r="B113" s="412"/>
      <c r="C113" s="412"/>
      <c r="D113" s="413" t="s">
        <v>207</v>
      </c>
      <c r="E113" s="414" t="s">
        <v>771</v>
      </c>
      <c r="F113" s="414"/>
      <c r="G113" s="414"/>
      <c r="H113" s="415">
        <v>24.38</v>
      </c>
      <c r="I113" s="412"/>
      <c r="J113" s="412"/>
      <c r="K113" s="412"/>
      <c r="L113" s="412"/>
    </row>
    <row r="114" spans="1:15" x14ac:dyDescent="0.2">
      <c r="A114" s="419"/>
      <c r="B114" s="419"/>
      <c r="C114" s="419"/>
      <c r="D114" s="420" t="s">
        <v>715</v>
      </c>
      <c r="E114" s="421"/>
      <c r="F114" s="421"/>
      <c r="G114" s="421"/>
      <c r="H114" s="422">
        <v>130.79</v>
      </c>
      <c r="I114" s="419"/>
      <c r="J114" s="419"/>
      <c r="K114" s="419"/>
      <c r="L114" s="419"/>
    </row>
    <row r="115" spans="1:15" x14ac:dyDescent="0.2">
      <c r="A115" s="1086" t="s">
        <v>1016</v>
      </c>
      <c r="B115" s="1086"/>
      <c r="C115" s="1086"/>
      <c r="D115" s="1086"/>
      <c r="E115" s="1086"/>
      <c r="F115" s="1086"/>
      <c r="G115" s="1086"/>
      <c r="H115" s="1086"/>
      <c r="I115" s="1086"/>
      <c r="J115" s="1086"/>
      <c r="K115" s="1086"/>
      <c r="L115" s="1086"/>
    </row>
    <row r="116" spans="1:15" x14ac:dyDescent="0.2">
      <c r="A116" s="1085" t="s">
        <v>774</v>
      </c>
      <c r="B116" s="1085"/>
      <c r="C116" s="1085"/>
      <c r="D116" s="1085"/>
      <c r="E116" s="1085"/>
      <c r="F116" s="1085"/>
      <c r="G116" s="1085"/>
      <c r="H116" s="423">
        <v>380552.37</v>
      </c>
      <c r="I116" s="419"/>
      <c r="J116" s="419"/>
      <c r="K116" s="419"/>
      <c r="L116" s="419"/>
    </row>
    <row r="117" spans="1:15" x14ac:dyDescent="0.2">
      <c r="A117" s="1085" t="s">
        <v>775</v>
      </c>
      <c r="B117" s="1085"/>
      <c r="C117" s="1085"/>
      <c r="D117" s="1085"/>
      <c r="E117" s="1085"/>
      <c r="F117" s="1085"/>
      <c r="G117" s="1085"/>
      <c r="H117" s="423">
        <v>279939.87</v>
      </c>
      <c r="I117" s="419"/>
      <c r="J117" s="419"/>
      <c r="K117" s="419"/>
      <c r="L117" s="419"/>
    </row>
    <row r="118" spans="1:15" x14ac:dyDescent="0.2">
      <c r="A118" s="1085" t="s">
        <v>919</v>
      </c>
      <c r="B118" s="1085"/>
      <c r="C118" s="1085"/>
      <c r="D118" s="1085"/>
      <c r="E118" s="1085"/>
      <c r="F118" s="1085"/>
      <c r="G118" s="1085"/>
      <c r="H118" s="423">
        <v>279939.87</v>
      </c>
      <c r="I118" s="419"/>
      <c r="J118" s="419"/>
      <c r="K118" s="419"/>
      <c r="L118" s="419"/>
    </row>
    <row r="119" spans="1:15" x14ac:dyDescent="0.2">
      <c r="A119" s="1085" t="s">
        <v>776</v>
      </c>
      <c r="B119" s="1085"/>
      <c r="C119" s="1085"/>
      <c r="D119" s="1085"/>
      <c r="E119" s="1085"/>
      <c r="F119" s="1085"/>
      <c r="G119" s="1085"/>
      <c r="H119" s="423">
        <v>54452.2</v>
      </c>
      <c r="I119" s="419"/>
      <c r="J119" s="419"/>
      <c r="K119" s="419"/>
      <c r="L119" s="419"/>
    </row>
    <row r="120" spans="1:15" x14ac:dyDescent="0.2">
      <c r="A120" s="1085" t="s">
        <v>777</v>
      </c>
      <c r="B120" s="1085"/>
      <c r="C120" s="1085"/>
      <c r="D120" s="1085"/>
      <c r="E120" s="1085"/>
      <c r="F120" s="1085"/>
      <c r="G120" s="1085"/>
      <c r="H120" s="423">
        <v>17461.43</v>
      </c>
      <c r="I120" s="419"/>
      <c r="J120" s="419"/>
      <c r="K120" s="419"/>
      <c r="L120" s="419"/>
    </row>
    <row r="121" spans="1:15" x14ac:dyDescent="0.2">
      <c r="A121" s="1085" t="s">
        <v>778</v>
      </c>
      <c r="B121" s="1085"/>
      <c r="C121" s="1085"/>
      <c r="D121" s="1085"/>
      <c r="E121" s="1085"/>
      <c r="F121" s="1085"/>
      <c r="G121" s="1085"/>
      <c r="H121" s="423">
        <v>46160.3</v>
      </c>
      <c r="I121" s="419"/>
      <c r="J121" s="419"/>
      <c r="K121" s="419"/>
      <c r="L121" s="419"/>
    </row>
    <row r="122" spans="1:15" x14ac:dyDescent="0.2">
      <c r="A122" s="1085" t="s">
        <v>779</v>
      </c>
      <c r="B122" s="1085"/>
      <c r="C122" s="1085"/>
      <c r="D122" s="1085"/>
      <c r="E122" s="1085"/>
      <c r="F122" s="1085"/>
      <c r="G122" s="1085"/>
      <c r="H122" s="423">
        <v>277148.98</v>
      </c>
      <c r="I122" s="419"/>
      <c r="J122" s="419"/>
      <c r="K122" s="419"/>
      <c r="L122" s="419"/>
    </row>
    <row r="123" spans="1:15" x14ac:dyDescent="0.2">
      <c r="A123" s="1085" t="s">
        <v>206</v>
      </c>
      <c r="B123" s="1085"/>
      <c r="C123" s="1085"/>
      <c r="D123" s="1085"/>
      <c r="E123" s="1085"/>
      <c r="F123" s="1085"/>
      <c r="G123" s="1085"/>
      <c r="H123" s="423">
        <v>61703.31</v>
      </c>
      <c r="I123" s="419"/>
      <c r="J123" s="419"/>
      <c r="K123" s="419"/>
      <c r="L123" s="419"/>
    </row>
    <row r="124" spans="1:15" x14ac:dyDescent="0.2">
      <c r="A124" s="1085" t="s">
        <v>207</v>
      </c>
      <c r="B124" s="1085"/>
      <c r="C124" s="1085"/>
      <c r="D124" s="1085"/>
      <c r="E124" s="1085"/>
      <c r="F124" s="1085"/>
      <c r="G124" s="1085"/>
      <c r="H124" s="423">
        <v>32433.41</v>
      </c>
      <c r="I124" s="419"/>
      <c r="J124" s="419"/>
      <c r="K124" s="419"/>
      <c r="L124" s="419"/>
    </row>
    <row r="125" spans="1:15" s="426" customFormat="1" x14ac:dyDescent="0.2">
      <c r="A125" s="1086" t="s">
        <v>73</v>
      </c>
      <c r="B125" s="1086"/>
      <c r="C125" s="1086"/>
      <c r="D125" s="1086"/>
      <c r="E125" s="1086"/>
      <c r="F125" s="1086"/>
      <c r="G125" s="1086"/>
      <c r="H125" s="424">
        <v>474689.09</v>
      </c>
      <c r="I125" s="425"/>
      <c r="J125" s="425"/>
      <c r="K125" s="425"/>
      <c r="L125" s="425"/>
      <c r="M125" s="823"/>
      <c r="N125" s="823"/>
      <c r="O125" s="823"/>
    </row>
    <row r="126" spans="1:15" s="393" customFormat="1" x14ac:dyDescent="0.2">
      <c r="A126" s="1084" t="s">
        <v>784</v>
      </c>
      <c r="B126" s="1084"/>
      <c r="C126" s="1084"/>
      <c r="D126" s="1084"/>
      <c r="E126" s="1084"/>
      <c r="F126" s="1084"/>
      <c r="G126" s="1084"/>
      <c r="H126" s="382">
        <f>ROUND(H125*0.082,2)</f>
        <v>38924.51</v>
      </c>
      <c r="I126" s="383"/>
      <c r="J126" s="383"/>
      <c r="K126" s="383"/>
      <c r="L126" s="383"/>
      <c r="M126" s="631"/>
      <c r="N126" s="631"/>
      <c r="O126" s="631"/>
    </row>
    <row r="127" spans="1:15" s="386" customFormat="1" x14ac:dyDescent="0.2">
      <c r="A127" s="1083" t="s">
        <v>785</v>
      </c>
      <c r="B127" s="1083"/>
      <c r="C127" s="1083"/>
      <c r="D127" s="1083"/>
      <c r="E127" s="1083"/>
      <c r="F127" s="1083"/>
      <c r="G127" s="1083"/>
      <c r="H127" s="384">
        <f>H125+H126</f>
        <v>513613.6</v>
      </c>
      <c r="I127" s="385"/>
      <c r="J127" s="385"/>
      <c r="K127" s="385"/>
      <c r="L127" s="385"/>
      <c r="M127" s="635"/>
      <c r="N127" s="635"/>
      <c r="O127" s="635"/>
    </row>
    <row r="128" spans="1:15" s="393" customFormat="1" x14ac:dyDescent="0.2">
      <c r="A128" s="1084" t="s">
        <v>786</v>
      </c>
      <c r="B128" s="1084"/>
      <c r="C128" s="1084"/>
      <c r="D128" s="1084"/>
      <c r="E128" s="1084"/>
      <c r="F128" s="1084"/>
      <c r="G128" s="1084"/>
      <c r="H128" s="382">
        <f>ROUND(H127*0.024,2)</f>
        <v>12326.73</v>
      </c>
      <c r="I128" s="383"/>
      <c r="J128" s="383"/>
      <c r="K128" s="383"/>
      <c r="L128" s="383"/>
      <c r="M128" s="631"/>
      <c r="N128" s="631"/>
      <c r="O128" s="631"/>
    </row>
    <row r="129" spans="1:15" s="389" customFormat="1" ht="12" x14ac:dyDescent="0.25">
      <c r="A129" s="1054" t="s">
        <v>787</v>
      </c>
      <c r="B129" s="1054"/>
      <c r="C129" s="1054"/>
      <c r="D129" s="1054"/>
      <c r="E129" s="1054"/>
      <c r="F129" s="1054"/>
      <c r="G129" s="1054"/>
      <c r="H129" s="387">
        <f>H127+H128</f>
        <v>525940.32999999996</v>
      </c>
      <c r="I129" s="388"/>
      <c r="J129" s="388"/>
      <c r="K129" s="388"/>
      <c r="L129" s="388"/>
      <c r="M129" s="636"/>
      <c r="N129" s="636"/>
      <c r="O129" s="636"/>
    </row>
    <row r="130" spans="1:15" s="389" customFormat="1" ht="12" x14ac:dyDescent="0.25">
      <c r="A130" s="1054" t="s">
        <v>1686</v>
      </c>
      <c r="B130" s="1054"/>
      <c r="C130" s="1054"/>
      <c r="D130" s="1054"/>
      <c r="E130" s="1054"/>
      <c r="F130" s="1054"/>
      <c r="G130" s="1054"/>
      <c r="H130" s="387">
        <f>ROUND(H129*1.0514,2)</f>
        <v>552973.66</v>
      </c>
      <c r="I130" s="388"/>
      <c r="J130" s="388"/>
      <c r="K130" s="388"/>
      <c r="L130" s="388"/>
      <c r="M130" s="636"/>
      <c r="N130" s="636"/>
      <c r="O130" s="636"/>
    </row>
    <row r="131" spans="1:15" s="389" customFormat="1" ht="12" x14ac:dyDescent="0.25">
      <c r="A131" s="611"/>
      <c r="B131" s="611"/>
      <c r="C131" s="611"/>
      <c r="D131" s="611"/>
      <c r="E131" s="611"/>
      <c r="F131" s="611"/>
      <c r="G131" s="611"/>
      <c r="H131" s="612"/>
      <c r="I131" s="613"/>
      <c r="J131" s="613"/>
      <c r="K131" s="613"/>
      <c r="L131" s="613"/>
      <c r="M131" s="636"/>
      <c r="N131" s="636"/>
      <c r="O131" s="636"/>
    </row>
    <row r="132" spans="1:15" s="389" customFormat="1" ht="12" x14ac:dyDescent="0.25">
      <c r="A132" s="611"/>
      <c r="B132" s="611"/>
      <c r="C132" s="611"/>
      <c r="D132" s="611"/>
      <c r="E132" s="611"/>
      <c r="F132" s="611"/>
      <c r="G132" s="611"/>
      <c r="H132" s="612"/>
      <c r="I132" s="613"/>
      <c r="J132" s="613"/>
      <c r="K132" s="613"/>
      <c r="L132" s="613"/>
      <c r="M132" s="636"/>
      <c r="N132" s="636"/>
      <c r="O132" s="636"/>
    </row>
    <row r="133" spans="1:15" s="389" customFormat="1" ht="12" x14ac:dyDescent="0.25">
      <c r="A133" s="611"/>
      <c r="B133" s="611"/>
      <c r="C133" s="611"/>
      <c r="D133" s="611"/>
      <c r="E133" s="611"/>
      <c r="F133" s="611"/>
      <c r="G133" s="611"/>
      <c r="H133" s="612"/>
      <c r="I133" s="613"/>
      <c r="J133" s="613"/>
      <c r="K133" s="613"/>
      <c r="L133" s="613"/>
      <c r="M133" s="636"/>
      <c r="N133" s="636"/>
      <c r="O133" s="636"/>
    </row>
    <row r="134" spans="1:15" s="393" customFormat="1" x14ac:dyDescent="0.2">
      <c r="M134" s="631"/>
      <c r="N134" s="631"/>
      <c r="O134" s="631"/>
    </row>
    <row r="135" spans="1:15" s="393" customFormat="1" ht="24" x14ac:dyDescent="0.25">
      <c r="C135" s="428" t="s">
        <v>729</v>
      </c>
      <c r="D135" s="429" t="s">
        <v>824</v>
      </c>
      <c r="E135" s="427" t="s">
        <v>281</v>
      </c>
      <c r="F135" s="427"/>
      <c r="G135" s="389" t="s">
        <v>823</v>
      </c>
      <c r="M135" s="631"/>
      <c r="N135" s="631"/>
      <c r="O135" s="631"/>
    </row>
    <row r="136" spans="1:15" s="393" customFormat="1" ht="12" x14ac:dyDescent="0.25">
      <c r="C136" s="428"/>
      <c r="G136" s="389"/>
      <c r="M136" s="631"/>
      <c r="N136" s="631"/>
      <c r="O136" s="631"/>
    </row>
    <row r="137" spans="1:15" s="393" customFormat="1" ht="24" x14ac:dyDescent="0.25">
      <c r="C137" s="428" t="s">
        <v>730</v>
      </c>
      <c r="D137" s="429" t="s">
        <v>821</v>
      </c>
      <c r="E137" s="427" t="s">
        <v>281</v>
      </c>
      <c r="F137" s="427"/>
      <c r="G137" s="389" t="s">
        <v>822</v>
      </c>
      <c r="M137" s="631"/>
      <c r="N137" s="631"/>
      <c r="O137" s="631"/>
    </row>
    <row r="138" spans="1:15" s="393" customFormat="1" x14ac:dyDescent="0.2">
      <c r="M138" s="631"/>
      <c r="N138" s="631"/>
      <c r="O138" s="631"/>
    </row>
  </sheetData>
  <mergeCells count="77">
    <mergeCell ref="A129:G129"/>
    <mergeCell ref="K36:L36"/>
    <mergeCell ref="A125:G125"/>
    <mergeCell ref="A126:G126"/>
    <mergeCell ref="A127:G127"/>
    <mergeCell ref="A128:G128"/>
    <mergeCell ref="A124:G124"/>
    <mergeCell ref="A40:L40"/>
    <mergeCell ref="A115:L115"/>
    <mergeCell ref="A116:G116"/>
    <mergeCell ref="A117:G117"/>
    <mergeCell ref="A118:G118"/>
    <mergeCell ref="A119:G119"/>
    <mergeCell ref="A120:G120"/>
    <mergeCell ref="A121:G121"/>
    <mergeCell ref="A122:G122"/>
    <mergeCell ref="A123:G123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F35:F36"/>
    <mergeCell ref="G35:G36"/>
    <mergeCell ref="H35:H37"/>
    <mergeCell ref="I35:I37"/>
    <mergeCell ref="J35:J36"/>
    <mergeCell ref="K35:L35"/>
    <mergeCell ref="C27:L27"/>
    <mergeCell ref="C28:L28"/>
    <mergeCell ref="F30:I30"/>
    <mergeCell ref="J30:K30"/>
    <mergeCell ref="F31:I31"/>
    <mergeCell ref="J31:K31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A16:B16"/>
    <mergeCell ref="C16:I16"/>
    <mergeCell ref="C17:I17"/>
    <mergeCell ref="H18:J18"/>
    <mergeCell ref="K18:L18"/>
    <mergeCell ref="K11:L12"/>
    <mergeCell ref="A12:B12"/>
    <mergeCell ref="C12:I12"/>
    <mergeCell ref="C13:I13"/>
    <mergeCell ref="K13:L14"/>
    <mergeCell ref="A14:B14"/>
    <mergeCell ref="C14:I14"/>
    <mergeCell ref="A130:G130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AD120"/>
  <sheetViews>
    <sheetView view="pageBreakPreview" zoomScaleNormal="100" zoomScaleSheetLayoutView="100" workbookViewId="0">
      <selection activeCell="A113" sqref="A113:XFD115"/>
    </sheetView>
  </sheetViews>
  <sheetFormatPr defaultColWidth="9.109375" defaultRowHeight="10.199999999999999" x14ac:dyDescent="0.2"/>
  <cols>
    <col min="1" max="1" width="6.33203125" style="401" customWidth="1"/>
    <col min="2" max="2" width="6.6640625" style="401" customWidth="1"/>
    <col min="3" max="3" width="15.6640625" style="401" customWidth="1"/>
    <col min="4" max="4" width="40.6640625" style="401" customWidth="1"/>
    <col min="5" max="12" width="12.6640625" style="401" customWidth="1"/>
    <col min="13" max="19" width="9.109375" style="401"/>
    <col min="20" max="29" width="0" style="401" hidden="1" customWidth="1"/>
    <col min="30" max="30" width="118.6640625" style="401" hidden="1" customWidth="1"/>
    <col min="31" max="36" width="0" style="401" hidden="1" customWidth="1"/>
    <col min="37" max="16384" width="9.109375" style="401"/>
  </cols>
  <sheetData>
    <row r="1" spans="1:12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2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2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2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2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2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2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2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399" t="s">
        <v>4</v>
      </c>
      <c r="K8" s="1101"/>
      <c r="L8" s="1102"/>
    </row>
    <row r="9" spans="1:12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2" s="393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92" t="s">
        <v>4</v>
      </c>
      <c r="K10" s="1101"/>
      <c r="L10" s="1102"/>
    </row>
    <row r="11" spans="1:12" s="393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s="393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92" t="s">
        <v>4</v>
      </c>
      <c r="K12" s="1064"/>
      <c r="L12" s="1065"/>
    </row>
    <row r="13" spans="1:12" s="393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s="393" customFormat="1" x14ac:dyDescent="0.2">
      <c r="A14" s="1060" t="s">
        <v>684</v>
      </c>
      <c r="B14" s="1060"/>
      <c r="C14" s="1070">
        <f>'реестр октябрь'!$B$6</f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2" x14ac:dyDescent="0.2">
      <c r="A16" s="1103" t="s">
        <v>686</v>
      </c>
      <c r="B16" s="1103"/>
      <c r="C16" s="1104" t="s">
        <v>1030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394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391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394">
        <v>6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00"/>
      <c r="D29" s="400"/>
      <c r="E29" s="400"/>
      <c r="F29" s="400"/>
      <c r="G29" s="400"/>
      <c r="H29" s="400"/>
      <c r="I29" s="400"/>
      <c r="J29" s="400"/>
      <c r="K29" s="400"/>
      <c r="L29" s="400"/>
    </row>
    <row r="30" spans="1:12" x14ac:dyDescent="0.2">
      <c r="A30" s="398"/>
      <c r="B30" s="398"/>
      <c r="C30" s="400"/>
      <c r="D30" s="400"/>
      <c r="E30" s="400"/>
      <c r="F30" s="1090" t="s">
        <v>692</v>
      </c>
      <c r="G30" s="1090"/>
      <c r="H30" s="1090"/>
      <c r="I30" s="1090"/>
      <c r="J30" s="1091">
        <v>286.76</v>
      </c>
      <c r="K30" s="1092"/>
      <c r="L30" s="398" t="s">
        <v>693</v>
      </c>
    </row>
    <row r="31" spans="1:12" x14ac:dyDescent="0.2">
      <c r="A31" s="398"/>
      <c r="B31" s="398"/>
      <c r="C31" s="400"/>
      <c r="D31" s="400"/>
      <c r="E31" s="400"/>
      <c r="F31" s="1090" t="s">
        <v>694</v>
      </c>
      <c r="G31" s="1090"/>
      <c r="H31" s="1090"/>
      <c r="I31" s="1090"/>
      <c r="J31" s="1091">
        <v>119.88</v>
      </c>
      <c r="K31" s="1092"/>
      <c r="L31" s="398" t="s">
        <v>695</v>
      </c>
    </row>
    <row r="32" spans="1:12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48.86</v>
      </c>
      <c r="K32" s="1092"/>
      <c r="L32" s="398" t="s">
        <v>693</v>
      </c>
    </row>
    <row r="34" spans="1:26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1021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</row>
    <row r="41" spans="1:26" ht="30.6" x14ac:dyDescent="0.2">
      <c r="A41" s="403">
        <v>1</v>
      </c>
      <c r="B41" s="403">
        <v>1</v>
      </c>
      <c r="C41" s="403" t="s">
        <v>1022</v>
      </c>
      <c r="D41" s="403" t="s">
        <v>1017</v>
      </c>
      <c r="E41" s="404">
        <v>0.33600000000000002</v>
      </c>
      <c r="F41" s="405">
        <v>6654.9004999999997</v>
      </c>
      <c r="G41" s="405">
        <v>4936.6395000000002</v>
      </c>
      <c r="H41" s="406">
        <v>47808.65</v>
      </c>
      <c r="I41" s="406">
        <v>25847.32</v>
      </c>
      <c r="J41" s="406">
        <v>21961.33</v>
      </c>
      <c r="K41" s="405">
        <v>206.77</v>
      </c>
      <c r="L41" s="405">
        <v>69.474720000000005</v>
      </c>
      <c r="T41" s="401">
        <v>136202.92000000001</v>
      </c>
      <c r="V41" s="401">
        <v>25847.32</v>
      </c>
      <c r="W41" s="401">
        <v>21961.33</v>
      </c>
      <c r="X41" s="401">
        <v>8033.2</v>
      </c>
      <c r="Y41" s="401">
        <v>69.474720000000005</v>
      </c>
      <c r="Z41" s="401">
        <v>17.631432</v>
      </c>
    </row>
    <row r="42" spans="1:26" x14ac:dyDescent="0.2">
      <c r="A42" s="407"/>
      <c r="B42" s="407"/>
      <c r="C42" s="407"/>
      <c r="D42" s="408" t="s">
        <v>901</v>
      </c>
      <c r="E42" s="409"/>
      <c r="F42" s="410">
        <v>1718.261</v>
      </c>
      <c r="G42" s="410">
        <v>534.02549999999997</v>
      </c>
      <c r="H42" s="409"/>
      <c r="I42" s="409"/>
      <c r="J42" s="411">
        <v>8033.2</v>
      </c>
      <c r="K42" s="410">
        <v>52.474499999999999</v>
      </c>
      <c r="L42" s="410">
        <v>17.631432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20.399999999999999" x14ac:dyDescent="0.2">
      <c r="A44" s="412"/>
      <c r="B44" s="412"/>
      <c r="C44" s="412"/>
      <c r="D44" s="395" t="s">
        <v>1023</v>
      </c>
      <c r="E44" s="412"/>
      <c r="F44" s="412"/>
      <c r="G44" s="412"/>
      <c r="H44" s="412"/>
      <c r="I44" s="412"/>
      <c r="J44" s="412"/>
      <c r="K44" s="412"/>
      <c r="L44" s="412"/>
    </row>
    <row r="45" spans="1:26" ht="81.599999999999994" x14ac:dyDescent="0.2">
      <c r="A45" s="412"/>
      <c r="B45" s="412"/>
      <c r="C45" s="412"/>
      <c r="D45" s="395" t="s">
        <v>1024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1025</v>
      </c>
      <c r="F46" s="414"/>
      <c r="G46" s="414"/>
      <c r="H46" s="415">
        <v>49804.36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1026</v>
      </c>
      <c r="F47" s="414"/>
      <c r="G47" s="414"/>
      <c r="H47" s="415">
        <v>38589.910000000003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136202.92000000001</v>
      </c>
      <c r="I48" s="412"/>
      <c r="J48" s="412"/>
      <c r="K48" s="412"/>
      <c r="L48" s="412"/>
    </row>
    <row r="49" spans="1:26" ht="30.6" x14ac:dyDescent="0.2">
      <c r="A49" s="403">
        <v>2</v>
      </c>
      <c r="B49" s="403">
        <v>2</v>
      </c>
      <c r="C49" s="403" t="s">
        <v>753</v>
      </c>
      <c r="D49" s="403" t="s">
        <v>754</v>
      </c>
      <c r="E49" s="404">
        <v>38.384</v>
      </c>
      <c r="F49" s="405">
        <v>3.28</v>
      </c>
      <c r="G49" s="405">
        <v>3.28</v>
      </c>
      <c r="H49" s="406">
        <v>1667.02</v>
      </c>
      <c r="I49" s="406" t="s">
        <v>281</v>
      </c>
      <c r="J49" s="406">
        <v>1667.02</v>
      </c>
      <c r="K49" s="405" t="s">
        <v>281</v>
      </c>
      <c r="L49" s="405" t="s">
        <v>281</v>
      </c>
      <c r="T49" s="401">
        <v>1667.02</v>
      </c>
      <c r="V49" s="401" t="s">
        <v>281</v>
      </c>
      <c r="W49" s="401">
        <v>1667.02</v>
      </c>
      <c r="X49" s="401" t="s">
        <v>281</v>
      </c>
      <c r="Y49" s="401" t="s">
        <v>281</v>
      </c>
      <c r="Z49" s="401" t="s">
        <v>281</v>
      </c>
    </row>
    <row r="50" spans="1:26" x14ac:dyDescent="0.2">
      <c r="A50" s="407"/>
      <c r="B50" s="407"/>
      <c r="C50" s="407"/>
      <c r="D50" s="408" t="s">
        <v>743</v>
      </c>
      <c r="E50" s="409"/>
      <c r="F50" s="410" t="s">
        <v>281</v>
      </c>
      <c r="G50" s="410" t="s">
        <v>281</v>
      </c>
      <c r="H50" s="409"/>
      <c r="I50" s="409"/>
      <c r="J50" s="411" t="s">
        <v>281</v>
      </c>
      <c r="K50" s="410" t="s">
        <v>281</v>
      </c>
      <c r="L50" s="410" t="s">
        <v>281</v>
      </c>
    </row>
    <row r="51" spans="1:26" x14ac:dyDescent="0.2">
      <c r="A51" s="412"/>
      <c r="B51" s="412"/>
      <c r="C51" s="412"/>
      <c r="D51" s="395" t="s">
        <v>716</v>
      </c>
      <c r="E51" s="412"/>
      <c r="F51" s="412"/>
      <c r="G51" s="412"/>
      <c r="H51" s="412"/>
      <c r="I51" s="412"/>
      <c r="J51" s="412"/>
      <c r="K51" s="412"/>
      <c r="L51" s="412"/>
    </row>
    <row r="52" spans="1:26" x14ac:dyDescent="0.2">
      <c r="A52" s="412"/>
      <c r="B52" s="412"/>
      <c r="C52" s="412"/>
      <c r="D52" s="416" t="s">
        <v>715</v>
      </c>
      <c r="E52" s="417"/>
      <c r="F52" s="417"/>
      <c r="G52" s="417"/>
      <c r="H52" s="418">
        <v>1667.02</v>
      </c>
      <c r="I52" s="412"/>
      <c r="J52" s="412"/>
      <c r="K52" s="412"/>
      <c r="L52" s="412"/>
    </row>
    <row r="53" spans="1:26" ht="20.399999999999999" x14ac:dyDescent="0.2">
      <c r="A53" s="403">
        <v>3</v>
      </c>
      <c r="B53" s="403">
        <v>3</v>
      </c>
      <c r="C53" s="403" t="s">
        <v>755</v>
      </c>
      <c r="D53" s="403" t="s">
        <v>834</v>
      </c>
      <c r="E53" s="404">
        <v>9.5960000000000001</v>
      </c>
      <c r="F53" s="405">
        <v>42.98</v>
      </c>
      <c r="G53" s="405">
        <v>42.98</v>
      </c>
      <c r="H53" s="406">
        <v>5460.7</v>
      </c>
      <c r="I53" s="406" t="s">
        <v>281</v>
      </c>
      <c r="J53" s="406">
        <v>5460.7</v>
      </c>
      <c r="K53" s="405" t="s">
        <v>281</v>
      </c>
      <c r="L53" s="405" t="s">
        <v>281</v>
      </c>
      <c r="T53" s="401">
        <v>5460.7</v>
      </c>
      <c r="V53" s="401" t="s">
        <v>281</v>
      </c>
      <c r="W53" s="401">
        <v>5460.7</v>
      </c>
      <c r="X53" s="401" t="s">
        <v>281</v>
      </c>
      <c r="Y53" s="401" t="s">
        <v>281</v>
      </c>
      <c r="Z53" s="401" t="s">
        <v>281</v>
      </c>
    </row>
    <row r="54" spans="1:26" x14ac:dyDescent="0.2">
      <c r="A54" s="407"/>
      <c r="B54" s="407"/>
      <c r="C54" s="407"/>
      <c r="D54" s="408" t="s">
        <v>743</v>
      </c>
      <c r="E54" s="409"/>
      <c r="F54" s="410" t="s">
        <v>281</v>
      </c>
      <c r="G54" s="410" t="s">
        <v>281</v>
      </c>
      <c r="H54" s="409"/>
      <c r="I54" s="409"/>
      <c r="J54" s="411" t="s">
        <v>281</v>
      </c>
      <c r="K54" s="410" t="s">
        <v>281</v>
      </c>
      <c r="L54" s="410" t="s">
        <v>281</v>
      </c>
    </row>
    <row r="55" spans="1:26" x14ac:dyDescent="0.2">
      <c r="A55" s="412"/>
      <c r="B55" s="412"/>
      <c r="C55" s="412"/>
      <c r="D55" s="395" t="s">
        <v>716</v>
      </c>
      <c r="E55" s="412"/>
      <c r="F55" s="412"/>
      <c r="G55" s="412"/>
      <c r="H55" s="412"/>
      <c r="I55" s="412"/>
      <c r="J55" s="412"/>
      <c r="K55" s="412"/>
      <c r="L55" s="412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5460.7</v>
      </c>
      <c r="I56" s="412"/>
      <c r="J56" s="412"/>
      <c r="K56" s="412"/>
      <c r="L56" s="412"/>
    </row>
    <row r="57" spans="1:26" ht="30.6" x14ac:dyDescent="0.2">
      <c r="A57" s="403">
        <v>4</v>
      </c>
      <c r="B57" s="403">
        <v>4</v>
      </c>
      <c r="C57" s="403" t="s">
        <v>744</v>
      </c>
      <c r="D57" s="403" t="s">
        <v>1035</v>
      </c>
      <c r="E57" s="404">
        <v>33.6</v>
      </c>
      <c r="F57" s="405">
        <v>162.38</v>
      </c>
      <c r="G57" s="405" t="s">
        <v>281</v>
      </c>
      <c r="H57" s="406">
        <v>44520.67</v>
      </c>
      <c r="I57" s="406" t="s">
        <v>281</v>
      </c>
      <c r="J57" s="406" t="s">
        <v>281</v>
      </c>
      <c r="K57" s="405" t="s">
        <v>281</v>
      </c>
      <c r="L57" s="405" t="s">
        <v>281</v>
      </c>
      <c r="T57" s="401">
        <v>44520.67</v>
      </c>
      <c r="V57" s="401" t="s">
        <v>281</v>
      </c>
      <c r="W57" s="401" t="s">
        <v>281</v>
      </c>
      <c r="X57" s="401" t="s">
        <v>281</v>
      </c>
      <c r="Y57" s="401" t="s">
        <v>281</v>
      </c>
      <c r="Z57" s="401" t="s">
        <v>281</v>
      </c>
    </row>
    <row r="58" spans="1:26" x14ac:dyDescent="0.2">
      <c r="A58" s="407"/>
      <c r="B58" s="407"/>
      <c r="C58" s="407"/>
      <c r="D58" s="408" t="s">
        <v>745</v>
      </c>
      <c r="E58" s="409"/>
      <c r="F58" s="410" t="s">
        <v>281</v>
      </c>
      <c r="G58" s="410" t="s">
        <v>281</v>
      </c>
      <c r="H58" s="409"/>
      <c r="I58" s="409"/>
      <c r="J58" s="411" t="s">
        <v>281</v>
      </c>
      <c r="K58" s="410" t="s">
        <v>281</v>
      </c>
      <c r="L58" s="410" t="s">
        <v>281</v>
      </c>
    </row>
    <row r="59" spans="1:26" x14ac:dyDescent="0.2">
      <c r="A59" s="412"/>
      <c r="B59" s="412"/>
      <c r="C59" s="412"/>
      <c r="D59" s="395" t="s">
        <v>718</v>
      </c>
      <c r="E59" s="412"/>
      <c r="F59" s="412"/>
      <c r="G59" s="412"/>
      <c r="H59" s="412"/>
      <c r="I59" s="412"/>
      <c r="J59" s="412"/>
      <c r="K59" s="412"/>
      <c r="L59" s="412"/>
    </row>
    <row r="60" spans="1:26" x14ac:dyDescent="0.2">
      <c r="A60" s="412"/>
      <c r="B60" s="412"/>
      <c r="C60" s="412"/>
      <c r="D60" s="412"/>
      <c r="E60" s="412"/>
      <c r="F60" s="412"/>
      <c r="G60" s="412"/>
      <c r="H60" s="412"/>
      <c r="I60" s="412"/>
      <c r="J60" s="412"/>
      <c r="K60" s="412"/>
      <c r="L60" s="412"/>
    </row>
    <row r="61" spans="1:26" x14ac:dyDescent="0.2">
      <c r="A61" s="1087" t="s">
        <v>1027</v>
      </c>
      <c r="B61" s="1087"/>
      <c r="C61" s="1087"/>
      <c r="D61" s="1087"/>
      <c r="E61" s="1087"/>
      <c r="F61" s="1087"/>
      <c r="G61" s="1087"/>
      <c r="H61" s="1087"/>
      <c r="I61" s="1087"/>
      <c r="J61" s="1087"/>
      <c r="K61" s="1087"/>
      <c r="L61" s="1087"/>
    </row>
    <row r="62" spans="1:26" ht="51" x14ac:dyDescent="0.2">
      <c r="A62" s="403">
        <v>5</v>
      </c>
      <c r="B62" s="403">
        <v>5</v>
      </c>
      <c r="C62" s="403" t="s">
        <v>768</v>
      </c>
      <c r="D62" s="403" t="s">
        <v>1018</v>
      </c>
      <c r="E62" s="404">
        <v>0.25919999999999999</v>
      </c>
      <c r="F62" s="405">
        <v>5260.6277499999997</v>
      </c>
      <c r="G62" s="405">
        <v>5122.1862499999997</v>
      </c>
      <c r="H62" s="406">
        <v>19143.7</v>
      </c>
      <c r="I62" s="406">
        <v>1556.16</v>
      </c>
      <c r="J62" s="406">
        <v>17578.36</v>
      </c>
      <c r="K62" s="405">
        <v>17.192499999999999</v>
      </c>
      <c r="L62" s="405">
        <v>4.456296</v>
      </c>
      <c r="T62" s="401">
        <v>32284.62</v>
      </c>
      <c r="V62" s="401">
        <v>1556.16</v>
      </c>
      <c r="W62" s="401">
        <v>17578.36</v>
      </c>
      <c r="X62" s="401">
        <v>8467.43</v>
      </c>
      <c r="Y62" s="401">
        <v>4.456296</v>
      </c>
      <c r="Z62" s="401">
        <v>14.00976</v>
      </c>
    </row>
    <row r="63" spans="1:26" x14ac:dyDescent="0.2">
      <c r="A63" s="407"/>
      <c r="B63" s="407"/>
      <c r="C63" s="407"/>
      <c r="D63" s="408" t="s">
        <v>763</v>
      </c>
      <c r="E63" s="409"/>
      <c r="F63" s="410">
        <v>134.10149999999999</v>
      </c>
      <c r="G63" s="410">
        <v>729.67499999999995</v>
      </c>
      <c r="H63" s="409"/>
      <c r="I63" s="409"/>
      <c r="J63" s="411">
        <v>8467.43</v>
      </c>
      <c r="K63" s="410">
        <v>54.05</v>
      </c>
      <c r="L63" s="410">
        <v>14.00976</v>
      </c>
    </row>
    <row r="64" spans="1:26" ht="20.399999999999999" x14ac:dyDescent="0.2">
      <c r="A64" s="412"/>
      <c r="B64" s="412"/>
      <c r="C64" s="412"/>
      <c r="D64" s="395" t="s">
        <v>714</v>
      </c>
      <c r="E64" s="412"/>
      <c r="F64" s="412"/>
      <c r="G64" s="412"/>
      <c r="H64" s="412"/>
      <c r="I64" s="412"/>
      <c r="J64" s="412"/>
      <c r="K64" s="412"/>
      <c r="L64" s="412"/>
    </row>
    <row r="65" spans="1:26" ht="20.399999999999999" x14ac:dyDescent="0.2">
      <c r="A65" s="412"/>
      <c r="B65" s="412"/>
      <c r="C65" s="412"/>
      <c r="D65" s="395" t="s">
        <v>978</v>
      </c>
      <c r="E65" s="412"/>
      <c r="F65" s="412"/>
      <c r="G65" s="412"/>
      <c r="H65" s="412"/>
      <c r="I65" s="412"/>
      <c r="J65" s="412"/>
      <c r="K65" s="412"/>
      <c r="L65" s="412"/>
    </row>
    <row r="66" spans="1:26" ht="132.6" x14ac:dyDescent="0.2">
      <c r="A66" s="412"/>
      <c r="B66" s="412"/>
      <c r="C66" s="412"/>
      <c r="D66" s="395" t="s">
        <v>979</v>
      </c>
      <c r="E66" s="412"/>
      <c r="F66" s="412"/>
      <c r="G66" s="412"/>
      <c r="H66" s="412"/>
      <c r="I66" s="412"/>
      <c r="J66" s="412"/>
      <c r="K66" s="412"/>
      <c r="L66" s="412"/>
    </row>
    <row r="67" spans="1:26" x14ac:dyDescent="0.2">
      <c r="A67" s="412"/>
      <c r="B67" s="412"/>
      <c r="C67" s="412"/>
      <c r="D67" s="413" t="s">
        <v>206</v>
      </c>
      <c r="E67" s="414" t="s">
        <v>764</v>
      </c>
      <c r="F67" s="414"/>
      <c r="G67" s="414"/>
      <c r="H67" s="415">
        <v>9221.7000000000007</v>
      </c>
      <c r="I67" s="412"/>
      <c r="J67" s="412"/>
      <c r="K67" s="412"/>
      <c r="L67" s="412"/>
    </row>
    <row r="68" spans="1:26" x14ac:dyDescent="0.2">
      <c r="A68" s="412"/>
      <c r="B68" s="412"/>
      <c r="C68" s="412"/>
      <c r="D68" s="413" t="s">
        <v>207</v>
      </c>
      <c r="E68" s="414" t="s">
        <v>972</v>
      </c>
      <c r="F68" s="414"/>
      <c r="G68" s="414"/>
      <c r="H68" s="415">
        <v>3919.22</v>
      </c>
      <c r="I68" s="412"/>
      <c r="J68" s="412"/>
      <c r="K68" s="412"/>
      <c r="L68" s="412"/>
    </row>
    <row r="69" spans="1:26" x14ac:dyDescent="0.2">
      <c r="A69" s="412"/>
      <c r="B69" s="412"/>
      <c r="C69" s="412"/>
      <c r="D69" s="416" t="s">
        <v>715</v>
      </c>
      <c r="E69" s="417"/>
      <c r="F69" s="417"/>
      <c r="G69" s="417"/>
      <c r="H69" s="418">
        <v>32284.62</v>
      </c>
      <c r="I69" s="412"/>
      <c r="J69" s="412"/>
      <c r="K69" s="412"/>
      <c r="L69" s="412"/>
    </row>
    <row r="70" spans="1:26" ht="40.799999999999997" x14ac:dyDescent="0.2">
      <c r="A70" s="403">
        <v>6</v>
      </c>
      <c r="B70" s="403">
        <v>6</v>
      </c>
      <c r="C70" s="403" t="s">
        <v>1028</v>
      </c>
      <c r="D70" s="403" t="s">
        <v>1019</v>
      </c>
      <c r="E70" s="404">
        <v>4.5400000000000003E-2</v>
      </c>
      <c r="F70" s="405">
        <v>1906.3044</v>
      </c>
      <c r="G70" s="405" t="s">
        <v>281</v>
      </c>
      <c r="H70" s="406">
        <v>3874.67</v>
      </c>
      <c r="I70" s="406">
        <v>3874.67</v>
      </c>
      <c r="J70" s="406" t="s">
        <v>281</v>
      </c>
      <c r="K70" s="405">
        <v>244.398</v>
      </c>
      <c r="L70" s="405">
        <v>11.095668999999999</v>
      </c>
      <c r="T70" s="401">
        <v>8640.52</v>
      </c>
      <c r="V70" s="401">
        <v>3874.67</v>
      </c>
      <c r="W70" s="401" t="s">
        <v>281</v>
      </c>
      <c r="X70" s="401" t="s">
        <v>281</v>
      </c>
      <c r="Y70" s="401">
        <v>11.095668999999999</v>
      </c>
      <c r="Z70" s="401" t="s">
        <v>281</v>
      </c>
    </row>
    <row r="71" spans="1:26" x14ac:dyDescent="0.2">
      <c r="A71" s="407"/>
      <c r="B71" s="407"/>
      <c r="C71" s="407"/>
      <c r="D71" s="408" t="s">
        <v>901</v>
      </c>
      <c r="E71" s="409"/>
      <c r="F71" s="410">
        <v>1906.3044</v>
      </c>
      <c r="G71" s="410" t="s">
        <v>281</v>
      </c>
      <c r="H71" s="409"/>
      <c r="I71" s="409"/>
      <c r="J71" s="411" t="s">
        <v>281</v>
      </c>
      <c r="K71" s="410" t="s">
        <v>281</v>
      </c>
      <c r="L71" s="410" t="s">
        <v>281</v>
      </c>
    </row>
    <row r="72" spans="1:26" ht="20.399999999999999" x14ac:dyDescent="0.2">
      <c r="A72" s="412"/>
      <c r="B72" s="412"/>
      <c r="C72" s="412"/>
      <c r="D72" s="395" t="s">
        <v>714</v>
      </c>
      <c r="E72" s="412"/>
      <c r="F72" s="412"/>
      <c r="G72" s="412"/>
      <c r="H72" s="412"/>
      <c r="I72" s="412"/>
      <c r="J72" s="412"/>
      <c r="K72" s="412"/>
      <c r="L72" s="412"/>
    </row>
    <row r="73" spans="1:26" ht="30.6" x14ac:dyDescent="0.2">
      <c r="A73" s="412"/>
      <c r="B73" s="412"/>
      <c r="C73" s="412"/>
      <c r="D73" s="395" t="s">
        <v>975</v>
      </c>
      <c r="E73" s="412"/>
      <c r="F73" s="412"/>
      <c r="G73" s="412"/>
      <c r="H73" s="412"/>
      <c r="I73" s="412"/>
      <c r="J73" s="412"/>
      <c r="K73" s="412"/>
      <c r="L73" s="412"/>
    </row>
    <row r="74" spans="1:26" ht="163.19999999999999" x14ac:dyDescent="0.2">
      <c r="A74" s="412"/>
      <c r="B74" s="412"/>
      <c r="C74" s="412"/>
      <c r="D74" s="395" t="s">
        <v>976</v>
      </c>
      <c r="E74" s="412"/>
      <c r="F74" s="412"/>
      <c r="G74" s="412"/>
      <c r="H74" s="412"/>
      <c r="I74" s="412"/>
      <c r="J74" s="412"/>
      <c r="K74" s="412"/>
      <c r="L74" s="412"/>
    </row>
    <row r="75" spans="1:26" x14ac:dyDescent="0.2">
      <c r="A75" s="412"/>
      <c r="B75" s="412"/>
      <c r="C75" s="412"/>
      <c r="D75" s="413" t="s">
        <v>206</v>
      </c>
      <c r="E75" s="414" t="s">
        <v>770</v>
      </c>
      <c r="F75" s="414"/>
      <c r="G75" s="414"/>
      <c r="H75" s="415">
        <v>3448.46</v>
      </c>
      <c r="I75" s="412"/>
      <c r="J75" s="412"/>
      <c r="K75" s="412"/>
      <c r="L75" s="412"/>
    </row>
    <row r="76" spans="1:26" x14ac:dyDescent="0.2">
      <c r="A76" s="412"/>
      <c r="B76" s="412"/>
      <c r="C76" s="412"/>
      <c r="D76" s="413" t="s">
        <v>207</v>
      </c>
      <c r="E76" s="414" t="s">
        <v>977</v>
      </c>
      <c r="F76" s="414"/>
      <c r="G76" s="414"/>
      <c r="H76" s="415">
        <v>1317.39</v>
      </c>
      <c r="I76" s="412"/>
      <c r="J76" s="412"/>
      <c r="K76" s="412"/>
      <c r="L76" s="412"/>
    </row>
    <row r="77" spans="1:26" x14ac:dyDescent="0.2">
      <c r="A77" s="412"/>
      <c r="B77" s="412"/>
      <c r="C77" s="412"/>
      <c r="D77" s="416" t="s">
        <v>715</v>
      </c>
      <c r="E77" s="417"/>
      <c r="F77" s="417"/>
      <c r="G77" s="417"/>
      <c r="H77" s="418">
        <v>8640.52</v>
      </c>
      <c r="I77" s="412"/>
      <c r="J77" s="412"/>
      <c r="K77" s="412"/>
      <c r="L77" s="412"/>
    </row>
    <row r="78" spans="1:26" ht="51" x14ac:dyDescent="0.2">
      <c r="A78" s="403">
        <v>7</v>
      </c>
      <c r="B78" s="403">
        <v>7</v>
      </c>
      <c r="C78" s="403" t="s">
        <v>910</v>
      </c>
      <c r="D78" s="403" t="s">
        <v>1020</v>
      </c>
      <c r="E78" s="404">
        <v>4.5400000000000003E-2</v>
      </c>
      <c r="F78" s="405">
        <v>531.24824999999998</v>
      </c>
      <c r="G78" s="405" t="s">
        <v>281</v>
      </c>
      <c r="H78" s="406">
        <v>1079.79</v>
      </c>
      <c r="I78" s="406">
        <v>1079.79</v>
      </c>
      <c r="J78" s="406" t="s">
        <v>281</v>
      </c>
      <c r="K78" s="405">
        <v>70.833100000000002</v>
      </c>
      <c r="L78" s="405">
        <v>3.2158229999999999</v>
      </c>
      <c r="T78" s="401">
        <v>2407.9299999999998</v>
      </c>
      <c r="V78" s="401">
        <v>1079.79</v>
      </c>
      <c r="W78" s="401" t="s">
        <v>281</v>
      </c>
      <c r="X78" s="401" t="s">
        <v>281</v>
      </c>
      <c r="Y78" s="401">
        <v>3.2158229999999999</v>
      </c>
      <c r="Z78" s="401" t="s">
        <v>281</v>
      </c>
    </row>
    <row r="79" spans="1:26" x14ac:dyDescent="0.2">
      <c r="A79" s="407"/>
      <c r="B79" s="407"/>
      <c r="C79" s="407"/>
      <c r="D79" s="408" t="s">
        <v>901</v>
      </c>
      <c r="E79" s="409"/>
      <c r="F79" s="410">
        <v>531.24824999999998</v>
      </c>
      <c r="G79" s="410" t="s">
        <v>281</v>
      </c>
      <c r="H79" s="409"/>
      <c r="I79" s="409"/>
      <c r="J79" s="411" t="s">
        <v>281</v>
      </c>
      <c r="K79" s="410" t="s">
        <v>281</v>
      </c>
      <c r="L79" s="410" t="s">
        <v>281</v>
      </c>
    </row>
    <row r="80" spans="1:26" ht="20.399999999999999" x14ac:dyDescent="0.2">
      <c r="A80" s="412"/>
      <c r="B80" s="412"/>
      <c r="C80" s="412"/>
      <c r="D80" s="395" t="s">
        <v>714</v>
      </c>
      <c r="E80" s="412"/>
      <c r="F80" s="412"/>
      <c r="G80" s="412"/>
      <c r="H80" s="412"/>
      <c r="I80" s="412"/>
      <c r="J80" s="412"/>
      <c r="K80" s="412"/>
      <c r="L80" s="412"/>
    </row>
    <row r="81" spans="1:26" ht="20.399999999999999" x14ac:dyDescent="0.2">
      <c r="A81" s="412"/>
      <c r="B81" s="412"/>
      <c r="C81" s="412"/>
      <c r="D81" s="395" t="s">
        <v>978</v>
      </c>
      <c r="E81" s="412"/>
      <c r="F81" s="412"/>
      <c r="G81" s="412"/>
      <c r="H81" s="412"/>
      <c r="I81" s="412"/>
      <c r="J81" s="412"/>
      <c r="K81" s="412"/>
      <c r="L81" s="412"/>
    </row>
    <row r="82" spans="1:26" ht="132.6" x14ac:dyDescent="0.2">
      <c r="A82" s="412"/>
      <c r="B82" s="412"/>
      <c r="C82" s="412"/>
      <c r="D82" s="395" t="s">
        <v>979</v>
      </c>
      <c r="E82" s="412"/>
      <c r="F82" s="412"/>
      <c r="G82" s="412"/>
      <c r="H82" s="412"/>
      <c r="I82" s="412"/>
      <c r="J82" s="412"/>
      <c r="K82" s="412"/>
      <c r="L82" s="412"/>
    </row>
    <row r="83" spans="1:26" x14ac:dyDescent="0.2">
      <c r="A83" s="412"/>
      <c r="B83" s="412"/>
      <c r="C83" s="412"/>
      <c r="D83" s="413" t="s">
        <v>206</v>
      </c>
      <c r="E83" s="414" t="s">
        <v>770</v>
      </c>
      <c r="F83" s="414"/>
      <c r="G83" s="414"/>
      <c r="H83" s="415">
        <v>961.01</v>
      </c>
      <c r="I83" s="412"/>
      <c r="J83" s="412"/>
      <c r="K83" s="412"/>
      <c r="L83" s="412"/>
    </row>
    <row r="84" spans="1:26" x14ac:dyDescent="0.2">
      <c r="A84" s="412"/>
      <c r="B84" s="412"/>
      <c r="C84" s="412"/>
      <c r="D84" s="413" t="s">
        <v>207</v>
      </c>
      <c r="E84" s="414" t="s">
        <v>977</v>
      </c>
      <c r="F84" s="414"/>
      <c r="G84" s="414"/>
      <c r="H84" s="415">
        <v>367.13</v>
      </c>
      <c r="I84" s="412"/>
      <c r="J84" s="412"/>
      <c r="K84" s="412"/>
      <c r="L84" s="412"/>
    </row>
    <row r="85" spans="1:26" x14ac:dyDescent="0.2">
      <c r="A85" s="412"/>
      <c r="B85" s="412"/>
      <c r="C85" s="412"/>
      <c r="D85" s="416" t="s">
        <v>715</v>
      </c>
      <c r="E85" s="417"/>
      <c r="F85" s="417"/>
      <c r="G85" s="417"/>
      <c r="H85" s="418">
        <v>2407.9299999999998</v>
      </c>
      <c r="I85" s="412"/>
      <c r="J85" s="412"/>
      <c r="K85" s="412"/>
      <c r="L85" s="412"/>
    </row>
    <row r="86" spans="1:26" ht="30.6" x14ac:dyDescent="0.2">
      <c r="A86" s="403">
        <v>8</v>
      </c>
      <c r="B86" s="403">
        <v>8</v>
      </c>
      <c r="C86" s="403" t="s">
        <v>888</v>
      </c>
      <c r="D86" s="403" t="s">
        <v>889</v>
      </c>
      <c r="E86" s="404">
        <v>421.98399999999998</v>
      </c>
      <c r="F86" s="405">
        <v>2.91</v>
      </c>
      <c r="G86" s="405">
        <v>2.91</v>
      </c>
      <c r="H86" s="406">
        <v>16723.23</v>
      </c>
      <c r="I86" s="406" t="s">
        <v>281</v>
      </c>
      <c r="J86" s="406">
        <v>16723.23</v>
      </c>
      <c r="K86" s="405" t="s">
        <v>281</v>
      </c>
      <c r="L86" s="405" t="s">
        <v>281</v>
      </c>
      <c r="T86" s="401">
        <v>16723.23</v>
      </c>
      <c r="V86" s="401" t="s">
        <v>281</v>
      </c>
      <c r="W86" s="401">
        <v>16723.23</v>
      </c>
      <c r="X86" s="401" t="s">
        <v>281</v>
      </c>
      <c r="Y86" s="401" t="s">
        <v>281</v>
      </c>
      <c r="Z86" s="401" t="s">
        <v>281</v>
      </c>
    </row>
    <row r="87" spans="1:26" x14ac:dyDescent="0.2">
      <c r="A87" s="407"/>
      <c r="B87" s="407"/>
      <c r="C87" s="407"/>
      <c r="D87" s="408" t="s">
        <v>743</v>
      </c>
      <c r="E87" s="409"/>
      <c r="F87" s="410" t="s">
        <v>281</v>
      </c>
      <c r="G87" s="410" t="s">
        <v>281</v>
      </c>
      <c r="H87" s="409"/>
      <c r="I87" s="409"/>
      <c r="J87" s="411" t="s">
        <v>281</v>
      </c>
      <c r="K87" s="410" t="s">
        <v>281</v>
      </c>
      <c r="L87" s="410" t="s">
        <v>281</v>
      </c>
    </row>
    <row r="88" spans="1:26" x14ac:dyDescent="0.2">
      <c r="A88" s="412"/>
      <c r="B88" s="412"/>
      <c r="C88" s="412"/>
      <c r="D88" s="395" t="s">
        <v>792</v>
      </c>
      <c r="E88" s="412"/>
      <c r="F88" s="412"/>
      <c r="G88" s="412"/>
      <c r="H88" s="412"/>
      <c r="I88" s="412"/>
      <c r="J88" s="412"/>
      <c r="K88" s="412"/>
      <c r="L88" s="412"/>
    </row>
    <row r="89" spans="1:26" x14ac:dyDescent="0.2">
      <c r="A89" s="412"/>
      <c r="B89" s="412"/>
      <c r="C89" s="412"/>
      <c r="D89" s="416" t="s">
        <v>715</v>
      </c>
      <c r="E89" s="417"/>
      <c r="F89" s="417"/>
      <c r="G89" s="417"/>
      <c r="H89" s="418">
        <v>16723.23</v>
      </c>
      <c r="I89" s="412"/>
      <c r="J89" s="412"/>
      <c r="K89" s="412"/>
      <c r="L89" s="412"/>
    </row>
    <row r="90" spans="1:26" ht="30.6" x14ac:dyDescent="0.2">
      <c r="A90" s="403">
        <v>9</v>
      </c>
      <c r="B90" s="403">
        <v>9</v>
      </c>
      <c r="C90" s="403" t="s">
        <v>912</v>
      </c>
      <c r="D90" s="403" t="s">
        <v>913</v>
      </c>
      <c r="E90" s="404">
        <v>421.98399999999998</v>
      </c>
      <c r="F90" s="405">
        <v>3.96</v>
      </c>
      <c r="G90" s="405" t="s">
        <v>281</v>
      </c>
      <c r="H90" s="406">
        <v>22124.62</v>
      </c>
      <c r="I90" s="406" t="s">
        <v>281</v>
      </c>
      <c r="J90" s="406" t="s">
        <v>281</v>
      </c>
      <c r="K90" s="405" t="s">
        <v>281</v>
      </c>
      <c r="L90" s="405" t="s">
        <v>281</v>
      </c>
      <c r="T90" s="401">
        <v>22124.62</v>
      </c>
      <c r="V90" s="401" t="s">
        <v>281</v>
      </c>
      <c r="W90" s="401" t="s">
        <v>281</v>
      </c>
      <c r="X90" s="401" t="s">
        <v>281</v>
      </c>
      <c r="Y90" s="401" t="s">
        <v>281</v>
      </c>
      <c r="Z90" s="401" t="s">
        <v>281</v>
      </c>
    </row>
    <row r="91" spans="1:26" x14ac:dyDescent="0.2">
      <c r="A91" s="407"/>
      <c r="B91" s="407"/>
      <c r="C91" s="407"/>
      <c r="D91" s="408" t="s">
        <v>743</v>
      </c>
      <c r="E91" s="409"/>
      <c r="F91" s="410" t="s">
        <v>281</v>
      </c>
      <c r="G91" s="410" t="s">
        <v>281</v>
      </c>
      <c r="H91" s="409"/>
      <c r="I91" s="409"/>
      <c r="J91" s="411" t="s">
        <v>281</v>
      </c>
      <c r="K91" s="410" t="s">
        <v>281</v>
      </c>
      <c r="L91" s="410" t="s">
        <v>281</v>
      </c>
    </row>
    <row r="92" spans="1:26" x14ac:dyDescent="0.2">
      <c r="A92" s="412"/>
      <c r="B92" s="412"/>
      <c r="C92" s="412"/>
      <c r="D92" s="395" t="s">
        <v>716</v>
      </c>
      <c r="E92" s="412"/>
      <c r="F92" s="412"/>
      <c r="G92" s="412"/>
      <c r="H92" s="412"/>
      <c r="I92" s="412"/>
      <c r="J92" s="412"/>
      <c r="K92" s="412"/>
      <c r="L92" s="412"/>
    </row>
    <row r="93" spans="1:26" x14ac:dyDescent="0.2">
      <c r="A93" s="412"/>
      <c r="B93" s="412"/>
      <c r="C93" s="412"/>
      <c r="D93" s="416" t="s">
        <v>715</v>
      </c>
      <c r="E93" s="417"/>
      <c r="F93" s="417"/>
      <c r="G93" s="417"/>
      <c r="H93" s="418">
        <v>22124.62</v>
      </c>
      <c r="I93" s="412"/>
      <c r="J93" s="412"/>
      <c r="K93" s="412"/>
      <c r="L93" s="412"/>
    </row>
    <row r="94" spans="1:26" ht="30.6" x14ac:dyDescent="0.2">
      <c r="A94" s="403">
        <v>10</v>
      </c>
      <c r="B94" s="403">
        <v>10</v>
      </c>
      <c r="C94" s="403" t="s">
        <v>888</v>
      </c>
      <c r="D94" s="403" t="s">
        <v>889</v>
      </c>
      <c r="E94" s="404">
        <v>421.98399999999998</v>
      </c>
      <c r="F94" s="405">
        <v>2.91</v>
      </c>
      <c r="G94" s="405">
        <v>2.91</v>
      </c>
      <c r="H94" s="406">
        <v>16723.23</v>
      </c>
      <c r="I94" s="406" t="s">
        <v>281</v>
      </c>
      <c r="J94" s="406">
        <v>16723.23</v>
      </c>
      <c r="K94" s="405" t="s">
        <v>281</v>
      </c>
      <c r="L94" s="405" t="s">
        <v>281</v>
      </c>
      <c r="T94" s="401">
        <v>16723.23</v>
      </c>
      <c r="V94" s="401" t="s">
        <v>281</v>
      </c>
      <c r="W94" s="401">
        <v>16723.23</v>
      </c>
      <c r="X94" s="401" t="s">
        <v>281</v>
      </c>
      <c r="Y94" s="401" t="s">
        <v>281</v>
      </c>
      <c r="Z94" s="401" t="s">
        <v>281</v>
      </c>
    </row>
    <row r="95" spans="1:26" x14ac:dyDescent="0.2">
      <c r="A95" s="407"/>
      <c r="B95" s="407"/>
      <c r="C95" s="407"/>
      <c r="D95" s="408" t="s">
        <v>743</v>
      </c>
      <c r="E95" s="409"/>
      <c r="F95" s="410" t="s">
        <v>281</v>
      </c>
      <c r="G95" s="410" t="s">
        <v>281</v>
      </c>
      <c r="H95" s="409"/>
      <c r="I95" s="409"/>
      <c r="J95" s="411" t="s">
        <v>281</v>
      </c>
      <c r="K95" s="410" t="s">
        <v>281</v>
      </c>
      <c r="L95" s="410" t="s">
        <v>281</v>
      </c>
    </row>
    <row r="96" spans="1:26" x14ac:dyDescent="0.2">
      <c r="A96" s="412"/>
      <c r="B96" s="412"/>
      <c r="C96" s="412"/>
      <c r="D96" s="395" t="s">
        <v>792</v>
      </c>
      <c r="E96" s="412"/>
      <c r="F96" s="412"/>
      <c r="G96" s="412"/>
      <c r="H96" s="412"/>
      <c r="I96" s="412"/>
      <c r="J96" s="412"/>
      <c r="K96" s="412"/>
      <c r="L96" s="412"/>
    </row>
    <row r="97" spans="1:12" x14ac:dyDescent="0.2">
      <c r="A97" s="419"/>
      <c r="B97" s="419"/>
      <c r="C97" s="419"/>
      <c r="D97" s="420" t="s">
        <v>715</v>
      </c>
      <c r="E97" s="421"/>
      <c r="F97" s="421"/>
      <c r="G97" s="421"/>
      <c r="H97" s="422">
        <v>16723.23</v>
      </c>
      <c r="I97" s="419"/>
      <c r="J97" s="419"/>
      <c r="K97" s="419"/>
      <c r="L97" s="419"/>
    </row>
    <row r="98" spans="1:12" x14ac:dyDescent="0.2">
      <c r="A98" s="1085" t="s">
        <v>774</v>
      </c>
      <c r="B98" s="1085"/>
      <c r="C98" s="1085"/>
      <c r="D98" s="1085"/>
      <c r="E98" s="1085"/>
      <c r="F98" s="1085"/>
      <c r="G98" s="1085"/>
      <c r="H98" s="423">
        <v>179126.28</v>
      </c>
      <c r="I98" s="419"/>
      <c r="J98" s="419"/>
      <c r="K98" s="419"/>
      <c r="L98" s="419"/>
    </row>
    <row r="99" spans="1:12" x14ac:dyDescent="0.2">
      <c r="A99" s="1085" t="s">
        <v>919</v>
      </c>
      <c r="B99" s="1085"/>
      <c r="C99" s="1085"/>
      <c r="D99" s="1085"/>
      <c r="E99" s="1085"/>
      <c r="F99" s="1085"/>
      <c r="G99" s="1085"/>
      <c r="H99" s="423">
        <v>66654.47</v>
      </c>
      <c r="I99" s="419"/>
      <c r="J99" s="419"/>
      <c r="K99" s="419"/>
      <c r="L99" s="419"/>
    </row>
    <row r="100" spans="1:12" x14ac:dyDescent="0.2">
      <c r="A100" s="1085" t="s">
        <v>776</v>
      </c>
      <c r="B100" s="1085"/>
      <c r="C100" s="1085"/>
      <c r="D100" s="1085"/>
      <c r="E100" s="1085"/>
      <c r="F100" s="1085"/>
      <c r="G100" s="1085"/>
      <c r="H100" s="423">
        <v>80113.87</v>
      </c>
      <c r="I100" s="419"/>
      <c r="J100" s="419"/>
      <c r="K100" s="419"/>
      <c r="L100" s="419"/>
    </row>
    <row r="101" spans="1:12" x14ac:dyDescent="0.2">
      <c r="A101" s="1085" t="s">
        <v>777</v>
      </c>
      <c r="B101" s="1085"/>
      <c r="C101" s="1085"/>
      <c r="D101" s="1085"/>
      <c r="E101" s="1085"/>
      <c r="F101" s="1085"/>
      <c r="G101" s="1085"/>
      <c r="H101" s="423">
        <v>16500.63</v>
      </c>
      <c r="I101" s="419"/>
      <c r="J101" s="419"/>
      <c r="K101" s="419"/>
      <c r="L101" s="419"/>
    </row>
    <row r="102" spans="1:12" x14ac:dyDescent="0.2">
      <c r="A102" s="1085" t="s">
        <v>778</v>
      </c>
      <c r="B102" s="1085"/>
      <c r="C102" s="1085"/>
      <c r="D102" s="1085"/>
      <c r="E102" s="1085"/>
      <c r="F102" s="1085"/>
      <c r="G102" s="1085"/>
      <c r="H102" s="423">
        <v>32357.94</v>
      </c>
      <c r="I102" s="419"/>
      <c r="J102" s="419"/>
      <c r="K102" s="419"/>
      <c r="L102" s="419"/>
    </row>
    <row r="103" spans="1:12" x14ac:dyDescent="0.2">
      <c r="A103" s="1085" t="s">
        <v>779</v>
      </c>
      <c r="B103" s="1085"/>
      <c r="C103" s="1085"/>
      <c r="D103" s="1085"/>
      <c r="E103" s="1085"/>
      <c r="F103" s="1085"/>
      <c r="G103" s="1085"/>
      <c r="H103" s="423">
        <v>286755.46000000002</v>
      </c>
      <c r="I103" s="419"/>
      <c r="J103" s="419"/>
      <c r="K103" s="419"/>
      <c r="L103" s="419"/>
    </row>
    <row r="104" spans="1:12" x14ac:dyDescent="0.2">
      <c r="A104" s="1085" t="s">
        <v>1029</v>
      </c>
      <c r="B104" s="1085"/>
      <c r="C104" s="1085"/>
      <c r="D104" s="1085"/>
      <c r="E104" s="1085"/>
      <c r="F104" s="1085"/>
      <c r="G104" s="1085"/>
      <c r="H104" s="423">
        <v>62698.8</v>
      </c>
      <c r="I104" s="419"/>
      <c r="J104" s="419"/>
      <c r="K104" s="419"/>
      <c r="L104" s="419"/>
    </row>
    <row r="105" spans="1:12" x14ac:dyDescent="0.2">
      <c r="A105" s="1085" t="s">
        <v>206</v>
      </c>
      <c r="B105" s="1085"/>
      <c r="C105" s="1085"/>
      <c r="D105" s="1085"/>
      <c r="E105" s="1085"/>
      <c r="F105" s="1085"/>
      <c r="G105" s="1085"/>
      <c r="H105" s="423">
        <v>63435.53</v>
      </c>
      <c r="I105" s="419"/>
      <c r="J105" s="419"/>
      <c r="K105" s="419"/>
      <c r="L105" s="419"/>
    </row>
    <row r="106" spans="1:12" x14ac:dyDescent="0.2">
      <c r="A106" s="1085" t="s">
        <v>207</v>
      </c>
      <c r="B106" s="1085"/>
      <c r="C106" s="1085"/>
      <c r="D106" s="1085"/>
      <c r="E106" s="1085"/>
      <c r="F106" s="1085"/>
      <c r="G106" s="1085"/>
      <c r="H106" s="423">
        <v>44193.65</v>
      </c>
      <c r="I106" s="419"/>
      <c r="J106" s="419"/>
      <c r="K106" s="419"/>
      <c r="L106" s="419"/>
    </row>
    <row r="107" spans="1:12" s="426" customFormat="1" x14ac:dyDescent="0.2">
      <c r="A107" s="1086" t="s">
        <v>73</v>
      </c>
      <c r="B107" s="1086"/>
      <c r="C107" s="1086"/>
      <c r="D107" s="1086"/>
      <c r="E107" s="1086"/>
      <c r="F107" s="1086"/>
      <c r="G107" s="1086"/>
      <c r="H107" s="424">
        <v>286755.46000000002</v>
      </c>
      <c r="I107" s="425"/>
      <c r="J107" s="425"/>
      <c r="K107" s="425"/>
      <c r="L107" s="425"/>
    </row>
    <row r="108" spans="1:12" s="393" customFormat="1" x14ac:dyDescent="0.2">
      <c r="A108" s="1084" t="s">
        <v>784</v>
      </c>
      <c r="B108" s="1084"/>
      <c r="C108" s="1084"/>
      <c r="D108" s="1084"/>
      <c r="E108" s="1084"/>
      <c r="F108" s="1084"/>
      <c r="G108" s="1084"/>
      <c r="H108" s="382">
        <f>ROUND(H107*0.082,2)</f>
        <v>23513.95</v>
      </c>
      <c r="I108" s="383"/>
      <c r="J108" s="383"/>
      <c r="K108" s="383"/>
      <c r="L108" s="383"/>
    </row>
    <row r="109" spans="1:12" s="386" customFormat="1" x14ac:dyDescent="0.2">
      <c r="A109" s="1083" t="s">
        <v>785</v>
      </c>
      <c r="B109" s="1083"/>
      <c r="C109" s="1083"/>
      <c r="D109" s="1083"/>
      <c r="E109" s="1083"/>
      <c r="F109" s="1083"/>
      <c r="G109" s="1083"/>
      <c r="H109" s="384">
        <f>H107+H108</f>
        <v>310269.40999999997</v>
      </c>
      <c r="I109" s="385"/>
      <c r="J109" s="385"/>
      <c r="K109" s="385"/>
      <c r="L109" s="385"/>
    </row>
    <row r="110" spans="1:12" s="393" customFormat="1" x14ac:dyDescent="0.2">
      <c r="A110" s="1084" t="s">
        <v>786</v>
      </c>
      <c r="B110" s="1084"/>
      <c r="C110" s="1084"/>
      <c r="D110" s="1084"/>
      <c r="E110" s="1084"/>
      <c r="F110" s="1084"/>
      <c r="G110" s="1084"/>
      <c r="H110" s="382">
        <f>ROUND(H109*0.024,2)</f>
        <v>7446.47</v>
      </c>
      <c r="I110" s="383"/>
      <c r="J110" s="383"/>
      <c r="K110" s="383"/>
      <c r="L110" s="383"/>
    </row>
    <row r="111" spans="1:12" s="389" customFormat="1" ht="12" x14ac:dyDescent="0.25">
      <c r="A111" s="1054" t="s">
        <v>787</v>
      </c>
      <c r="B111" s="1054"/>
      <c r="C111" s="1054"/>
      <c r="D111" s="1054"/>
      <c r="E111" s="1054"/>
      <c r="F111" s="1054"/>
      <c r="G111" s="1054"/>
      <c r="H111" s="387">
        <f>H109+H110</f>
        <v>317715.88</v>
      </c>
      <c r="I111" s="388"/>
      <c r="J111" s="388"/>
      <c r="K111" s="388"/>
      <c r="L111" s="388"/>
    </row>
    <row r="112" spans="1:12" s="389" customFormat="1" ht="12" x14ac:dyDescent="0.25">
      <c r="A112" s="1054" t="s">
        <v>1686</v>
      </c>
      <c r="B112" s="1054"/>
      <c r="C112" s="1054"/>
      <c r="D112" s="1054"/>
      <c r="E112" s="1054"/>
      <c r="F112" s="1054"/>
      <c r="G112" s="1054"/>
      <c r="H112" s="387">
        <f>ROUND(H111*1.0514,2)</f>
        <v>334046.48</v>
      </c>
      <c r="I112" s="388"/>
      <c r="J112" s="388"/>
      <c r="K112" s="388"/>
      <c r="L112" s="388"/>
    </row>
    <row r="113" spans="1:12" s="389" customFormat="1" ht="12" x14ac:dyDescent="0.25">
      <c r="A113" s="611"/>
      <c r="B113" s="611"/>
      <c r="C113" s="611"/>
      <c r="D113" s="611"/>
      <c r="E113" s="611"/>
      <c r="F113" s="611"/>
      <c r="G113" s="611"/>
      <c r="H113" s="612"/>
      <c r="I113" s="613"/>
      <c r="J113" s="613"/>
      <c r="K113" s="613"/>
      <c r="L113" s="613"/>
    </row>
    <row r="114" spans="1:12" s="389" customFormat="1" ht="12" x14ac:dyDescent="0.25">
      <c r="A114" s="611"/>
      <c r="B114" s="611"/>
      <c r="C114" s="611"/>
      <c r="D114" s="611"/>
      <c r="E114" s="611"/>
      <c r="F114" s="611"/>
      <c r="G114" s="611"/>
      <c r="H114" s="612"/>
      <c r="I114" s="613"/>
      <c r="J114" s="613"/>
      <c r="K114" s="613"/>
      <c r="L114" s="613"/>
    </row>
    <row r="115" spans="1:12" s="389" customFormat="1" ht="12" x14ac:dyDescent="0.25">
      <c r="A115" s="611"/>
      <c r="B115" s="611"/>
      <c r="C115" s="611"/>
      <c r="D115" s="611"/>
      <c r="E115" s="611"/>
      <c r="F115" s="611"/>
      <c r="G115" s="611"/>
      <c r="H115" s="612"/>
      <c r="I115" s="613"/>
      <c r="J115" s="613"/>
      <c r="K115" s="613"/>
      <c r="L115" s="613"/>
    </row>
    <row r="116" spans="1:12" s="393" customFormat="1" x14ac:dyDescent="0.2"/>
    <row r="117" spans="1:12" s="393" customFormat="1" ht="24" x14ac:dyDescent="0.25">
      <c r="C117" s="428" t="s">
        <v>729</v>
      </c>
      <c r="D117" s="429" t="s">
        <v>824</v>
      </c>
      <c r="E117" s="427" t="s">
        <v>281</v>
      </c>
      <c r="F117" s="427"/>
      <c r="G117" s="389" t="s">
        <v>823</v>
      </c>
    </row>
    <row r="118" spans="1:12" s="393" customFormat="1" ht="12" x14ac:dyDescent="0.25">
      <c r="C118" s="428"/>
      <c r="G118" s="389"/>
    </row>
    <row r="119" spans="1:12" s="393" customFormat="1" ht="24" x14ac:dyDescent="0.25">
      <c r="C119" s="428" t="s">
        <v>730</v>
      </c>
      <c r="D119" s="429" t="s">
        <v>821</v>
      </c>
      <c r="E119" s="427" t="s">
        <v>281</v>
      </c>
      <c r="F119" s="427"/>
      <c r="G119" s="389" t="s">
        <v>822</v>
      </c>
    </row>
    <row r="120" spans="1:12" s="393" customFormat="1" x14ac:dyDescent="0.2"/>
  </sheetData>
  <mergeCells count="77">
    <mergeCell ref="A110:G110"/>
    <mergeCell ref="A111:G111"/>
    <mergeCell ref="A103:G103"/>
    <mergeCell ref="A104:G104"/>
    <mergeCell ref="A105:G105"/>
    <mergeCell ref="A106:G106"/>
    <mergeCell ref="A107:G107"/>
    <mergeCell ref="A108:G108"/>
    <mergeCell ref="A109:G109"/>
    <mergeCell ref="A98:G98"/>
    <mergeCell ref="A99:G99"/>
    <mergeCell ref="A100:G100"/>
    <mergeCell ref="A101:G101"/>
    <mergeCell ref="A102:G102"/>
    <mergeCell ref="A40:L40"/>
    <mergeCell ref="A61:L61"/>
    <mergeCell ref="F35:F36"/>
    <mergeCell ref="G35:G36"/>
    <mergeCell ref="H35:H37"/>
    <mergeCell ref="I35:I37"/>
    <mergeCell ref="J35:J36"/>
    <mergeCell ref="K35:L35"/>
    <mergeCell ref="K36:L36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C27:L27"/>
    <mergeCell ref="C28:L28"/>
    <mergeCell ref="F30:I30"/>
    <mergeCell ref="J30:K30"/>
    <mergeCell ref="F31:I31"/>
    <mergeCell ref="J31:K31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A16:B16"/>
    <mergeCell ref="C16:I16"/>
    <mergeCell ref="C17:I17"/>
    <mergeCell ref="H18:J18"/>
    <mergeCell ref="K18:L18"/>
    <mergeCell ref="K11:L12"/>
    <mergeCell ref="A12:B12"/>
    <mergeCell ref="C12:I12"/>
    <mergeCell ref="C13:I13"/>
    <mergeCell ref="K13:L14"/>
    <mergeCell ref="A14:B14"/>
    <mergeCell ref="C14:I14"/>
    <mergeCell ref="A112:G112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AD272"/>
  <sheetViews>
    <sheetView view="pageBreakPreview" topLeftCell="A58" zoomScaleNormal="100" zoomScaleSheetLayoutView="100" workbookViewId="0">
      <selection activeCell="M41" sqref="M41"/>
    </sheetView>
  </sheetViews>
  <sheetFormatPr defaultColWidth="9.109375" defaultRowHeight="10.199999999999999" x14ac:dyDescent="0.2"/>
  <cols>
    <col min="1" max="1" width="6.33203125" style="401" customWidth="1"/>
    <col min="2" max="2" width="6.6640625" style="401" customWidth="1"/>
    <col min="3" max="3" width="15.6640625" style="401" customWidth="1"/>
    <col min="4" max="4" width="40.6640625" style="401" customWidth="1"/>
    <col min="5" max="12" width="12.6640625" style="401" customWidth="1"/>
    <col min="13" max="13" width="23.109375" style="401" customWidth="1"/>
    <col min="14" max="19" width="9.109375" style="401"/>
    <col min="20" max="29" width="0" style="401" hidden="1" customWidth="1"/>
    <col min="30" max="30" width="118.6640625" style="401" hidden="1" customWidth="1"/>
    <col min="31" max="36" width="0" style="401" hidden="1" customWidth="1"/>
    <col min="37" max="16384" width="9.109375" style="401"/>
  </cols>
  <sheetData>
    <row r="1" spans="1:12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2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2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2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2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2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2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2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399" t="s">
        <v>4</v>
      </c>
      <c r="K8" s="1101"/>
      <c r="L8" s="1102"/>
    </row>
    <row r="9" spans="1:12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2" s="393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92" t="s">
        <v>4</v>
      </c>
      <c r="K10" s="1101"/>
      <c r="L10" s="1102"/>
    </row>
    <row r="11" spans="1:12" s="393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s="393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92" t="s">
        <v>4</v>
      </c>
      <c r="K12" s="1064"/>
      <c r="L12" s="1065"/>
    </row>
    <row r="13" spans="1:12" s="393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s="393" customFormat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2" x14ac:dyDescent="0.2">
      <c r="A16" s="1103" t="s">
        <v>686</v>
      </c>
      <c r="B16" s="1103"/>
      <c r="C16" s="1104" t="s">
        <v>1098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394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391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394">
        <v>7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00"/>
      <c r="D29" s="400"/>
      <c r="E29" s="400"/>
      <c r="F29" s="400"/>
      <c r="G29" s="400"/>
      <c r="H29" s="400"/>
      <c r="I29" s="400"/>
      <c r="J29" s="400"/>
      <c r="K29" s="400"/>
      <c r="L29" s="400"/>
    </row>
    <row r="30" spans="1:12" x14ac:dyDescent="0.2">
      <c r="A30" s="398"/>
      <c r="B30" s="398"/>
      <c r="C30" s="400"/>
      <c r="D30" s="400"/>
      <c r="E30" s="400"/>
      <c r="F30" s="1090" t="s">
        <v>692</v>
      </c>
      <c r="G30" s="1090"/>
      <c r="H30" s="1090"/>
      <c r="I30" s="1090"/>
      <c r="J30" s="1091">
        <v>3439.45</v>
      </c>
      <c r="K30" s="1092"/>
      <c r="L30" s="398" t="s">
        <v>693</v>
      </c>
    </row>
    <row r="31" spans="1:12" x14ac:dyDescent="0.2">
      <c r="A31" s="398"/>
      <c r="B31" s="398"/>
      <c r="C31" s="400"/>
      <c r="D31" s="400"/>
      <c r="E31" s="400"/>
      <c r="F31" s="1090" t="s">
        <v>694</v>
      </c>
      <c r="G31" s="1090"/>
      <c r="H31" s="1090"/>
      <c r="I31" s="1090"/>
      <c r="J31" s="1091">
        <v>585.9</v>
      </c>
      <c r="K31" s="1092"/>
      <c r="L31" s="398" t="s">
        <v>695</v>
      </c>
    </row>
    <row r="32" spans="1:12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243.89</v>
      </c>
      <c r="K32" s="1092"/>
      <c r="L32" s="398" t="s">
        <v>693</v>
      </c>
    </row>
    <row r="34" spans="1:26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1052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</row>
    <row r="41" spans="1:26" ht="61.2" x14ac:dyDescent="0.2">
      <c r="A41" s="403">
        <v>1</v>
      </c>
      <c r="B41" s="403">
        <v>6</v>
      </c>
      <c r="C41" s="403" t="s">
        <v>1053</v>
      </c>
      <c r="D41" s="403" t="s">
        <v>1032</v>
      </c>
      <c r="E41" s="404">
        <v>1.08</v>
      </c>
      <c r="F41" s="405">
        <v>7282.4152999999997</v>
      </c>
      <c r="G41" s="405">
        <v>7141.4137499999997</v>
      </c>
      <c r="H41" s="406">
        <v>108419.75</v>
      </c>
      <c r="I41" s="406">
        <v>6188.59</v>
      </c>
      <c r="J41" s="406">
        <v>102116.51</v>
      </c>
      <c r="K41" s="405">
        <v>16.409579999999998</v>
      </c>
      <c r="L41" s="405">
        <v>17.722346000000002</v>
      </c>
      <c r="M41" s="843" t="s">
        <v>2375</v>
      </c>
      <c r="T41" s="401">
        <v>159652.48000000001</v>
      </c>
      <c r="V41" s="401">
        <v>6188.59</v>
      </c>
      <c r="W41" s="401">
        <v>102116.51</v>
      </c>
      <c r="X41" s="401">
        <v>32890.53</v>
      </c>
      <c r="Y41" s="401">
        <v>17.722346000000002</v>
      </c>
      <c r="Z41" s="401">
        <v>54.418230000000001</v>
      </c>
    </row>
    <row r="42" spans="1:26" x14ac:dyDescent="0.2">
      <c r="A42" s="407"/>
      <c r="B42" s="407"/>
      <c r="C42" s="407"/>
      <c r="D42" s="408" t="s">
        <v>763</v>
      </c>
      <c r="E42" s="409"/>
      <c r="F42" s="410">
        <v>127.99155</v>
      </c>
      <c r="G42" s="410">
        <v>680.23649999999998</v>
      </c>
      <c r="H42" s="409"/>
      <c r="I42" s="409"/>
      <c r="J42" s="411">
        <v>32890.53</v>
      </c>
      <c r="K42" s="410">
        <v>50.387250000000002</v>
      </c>
      <c r="L42" s="410">
        <v>54.418230000000001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30.6" x14ac:dyDescent="0.2">
      <c r="A44" s="412"/>
      <c r="B44" s="412"/>
      <c r="C44" s="412"/>
      <c r="D44" s="395" t="s">
        <v>1054</v>
      </c>
      <c r="E44" s="412"/>
      <c r="F44" s="412"/>
      <c r="G44" s="412"/>
      <c r="H44" s="412"/>
      <c r="I44" s="412"/>
      <c r="J44" s="412"/>
      <c r="K44" s="412"/>
      <c r="L44" s="412"/>
    </row>
    <row r="45" spans="1:26" ht="153" x14ac:dyDescent="0.2">
      <c r="A45" s="412"/>
      <c r="B45" s="412"/>
      <c r="C45" s="412"/>
      <c r="D45" s="395" t="s">
        <v>1055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764</v>
      </c>
      <c r="F46" s="414"/>
      <c r="G46" s="414"/>
      <c r="H46" s="415">
        <v>35952.79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972</v>
      </c>
      <c r="F47" s="414"/>
      <c r="G47" s="414"/>
      <c r="H47" s="415">
        <v>15279.94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159652.48000000001</v>
      </c>
      <c r="I48" s="412"/>
      <c r="J48" s="412"/>
      <c r="K48" s="412"/>
      <c r="L48" s="412"/>
    </row>
    <row r="49" spans="1:26" ht="40.799999999999997" x14ac:dyDescent="0.2">
      <c r="A49" s="403">
        <v>2</v>
      </c>
      <c r="B49" s="403">
        <v>7</v>
      </c>
      <c r="C49" s="403" t="s">
        <v>1028</v>
      </c>
      <c r="D49" s="403" t="s">
        <v>1033</v>
      </c>
      <c r="E49" s="404">
        <v>0.2</v>
      </c>
      <c r="F49" s="405">
        <v>1588.587</v>
      </c>
      <c r="G49" s="405" t="s">
        <v>281</v>
      </c>
      <c r="H49" s="406">
        <v>14224.21</v>
      </c>
      <c r="I49" s="406">
        <v>14224.21</v>
      </c>
      <c r="J49" s="406" t="s">
        <v>281</v>
      </c>
      <c r="K49" s="405">
        <v>203.66499999999999</v>
      </c>
      <c r="L49" s="405">
        <v>40.732999999999997</v>
      </c>
      <c r="T49" s="401">
        <v>31719.99</v>
      </c>
      <c r="V49" s="401">
        <v>14224.21</v>
      </c>
      <c r="W49" s="401" t="s">
        <v>281</v>
      </c>
      <c r="X49" s="401" t="s">
        <v>281</v>
      </c>
      <c r="Y49" s="401">
        <v>40.732999999999997</v>
      </c>
      <c r="Z49" s="401" t="s">
        <v>281</v>
      </c>
    </row>
    <row r="50" spans="1:26" x14ac:dyDescent="0.2">
      <c r="A50" s="407"/>
      <c r="B50" s="407"/>
      <c r="C50" s="407"/>
      <c r="D50" s="408" t="s">
        <v>901</v>
      </c>
      <c r="E50" s="409"/>
      <c r="F50" s="410">
        <v>1588.587</v>
      </c>
      <c r="G50" s="410" t="s">
        <v>281</v>
      </c>
      <c r="H50" s="409"/>
      <c r="I50" s="409"/>
      <c r="J50" s="411" t="s">
        <v>281</v>
      </c>
      <c r="K50" s="410" t="s">
        <v>281</v>
      </c>
      <c r="L50" s="410" t="s">
        <v>281</v>
      </c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</row>
    <row r="52" spans="1:26" ht="20.399999999999999" x14ac:dyDescent="0.2">
      <c r="A52" s="412"/>
      <c r="B52" s="412"/>
      <c r="C52" s="412"/>
      <c r="D52" s="395" t="s">
        <v>978</v>
      </c>
      <c r="E52" s="412"/>
      <c r="F52" s="412"/>
      <c r="G52" s="412"/>
      <c r="H52" s="412"/>
      <c r="I52" s="412"/>
      <c r="J52" s="412"/>
      <c r="K52" s="412"/>
      <c r="L52" s="412"/>
    </row>
    <row r="53" spans="1:26" ht="132.6" x14ac:dyDescent="0.2">
      <c r="A53" s="412"/>
      <c r="B53" s="412"/>
      <c r="C53" s="412"/>
      <c r="D53" s="395" t="s">
        <v>979</v>
      </c>
      <c r="E53" s="412"/>
      <c r="F53" s="412"/>
      <c r="G53" s="412"/>
      <c r="H53" s="412"/>
      <c r="I53" s="412"/>
      <c r="J53" s="412"/>
      <c r="K53" s="412"/>
      <c r="L53" s="412"/>
    </row>
    <row r="54" spans="1:26" x14ac:dyDescent="0.2">
      <c r="A54" s="412"/>
      <c r="B54" s="412"/>
      <c r="C54" s="412"/>
      <c r="D54" s="413" t="s">
        <v>206</v>
      </c>
      <c r="E54" s="414" t="s">
        <v>770</v>
      </c>
      <c r="F54" s="414"/>
      <c r="G54" s="414"/>
      <c r="H54" s="415">
        <v>12659.55</v>
      </c>
      <c r="I54" s="412"/>
      <c r="J54" s="412"/>
      <c r="K54" s="412"/>
      <c r="L54" s="412"/>
    </row>
    <row r="55" spans="1:26" x14ac:dyDescent="0.2">
      <c r="A55" s="412"/>
      <c r="B55" s="412"/>
      <c r="C55" s="412"/>
      <c r="D55" s="413" t="s">
        <v>207</v>
      </c>
      <c r="E55" s="414" t="s">
        <v>977</v>
      </c>
      <c r="F55" s="414"/>
      <c r="G55" s="414"/>
      <c r="H55" s="415">
        <v>4836.2299999999996</v>
      </c>
      <c r="I55" s="412"/>
      <c r="J55" s="412"/>
      <c r="K55" s="412"/>
      <c r="L55" s="412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31719.99</v>
      </c>
      <c r="I56" s="412"/>
      <c r="J56" s="412"/>
      <c r="K56" s="412"/>
      <c r="L56" s="412"/>
    </row>
    <row r="57" spans="1:26" ht="51" x14ac:dyDescent="0.2">
      <c r="A57" s="403">
        <v>3</v>
      </c>
      <c r="B57" s="403">
        <v>8</v>
      </c>
      <c r="C57" s="403" t="s">
        <v>1056</v>
      </c>
      <c r="D57" s="403" t="s">
        <v>1034</v>
      </c>
      <c r="E57" s="404">
        <v>0.1</v>
      </c>
      <c r="F57" s="405">
        <v>612.97874999999999</v>
      </c>
      <c r="G57" s="405" t="s">
        <v>281</v>
      </c>
      <c r="H57" s="406">
        <v>2744.31</v>
      </c>
      <c r="I57" s="406">
        <v>2744.31</v>
      </c>
      <c r="J57" s="406" t="s">
        <v>281</v>
      </c>
      <c r="K57" s="405">
        <v>81.730500000000006</v>
      </c>
      <c r="L57" s="405">
        <v>8.1730499999999999</v>
      </c>
      <c r="T57" s="401">
        <v>6119.82</v>
      </c>
      <c r="V57" s="401">
        <v>2744.31</v>
      </c>
      <c r="W57" s="401" t="s">
        <v>281</v>
      </c>
      <c r="X57" s="401" t="s">
        <v>281</v>
      </c>
      <c r="Y57" s="401">
        <v>8.1730499999999999</v>
      </c>
      <c r="Z57" s="401" t="s">
        <v>281</v>
      </c>
    </row>
    <row r="58" spans="1:26" x14ac:dyDescent="0.2">
      <c r="A58" s="407"/>
      <c r="B58" s="407"/>
      <c r="C58" s="407"/>
      <c r="D58" s="408" t="s">
        <v>901</v>
      </c>
      <c r="E58" s="409"/>
      <c r="F58" s="410">
        <v>612.97874999999999</v>
      </c>
      <c r="G58" s="410" t="s">
        <v>281</v>
      </c>
      <c r="H58" s="409"/>
      <c r="I58" s="409"/>
      <c r="J58" s="411" t="s">
        <v>281</v>
      </c>
      <c r="K58" s="410" t="s">
        <v>281</v>
      </c>
      <c r="L58" s="410" t="s">
        <v>281</v>
      </c>
    </row>
    <row r="59" spans="1:26" ht="20.399999999999999" x14ac:dyDescent="0.2">
      <c r="A59" s="412"/>
      <c r="B59" s="412"/>
      <c r="C59" s="412"/>
      <c r="D59" s="395" t="s">
        <v>714</v>
      </c>
      <c r="E59" s="412"/>
      <c r="F59" s="412"/>
      <c r="G59" s="412"/>
      <c r="H59" s="412"/>
      <c r="I59" s="412"/>
      <c r="J59" s="412"/>
      <c r="K59" s="412"/>
      <c r="L59" s="412"/>
    </row>
    <row r="60" spans="1:26" ht="20.399999999999999" x14ac:dyDescent="0.2">
      <c r="A60" s="412"/>
      <c r="B60" s="412"/>
      <c r="C60" s="412"/>
      <c r="D60" s="395" t="s">
        <v>978</v>
      </c>
      <c r="E60" s="412"/>
      <c r="F60" s="412"/>
      <c r="G60" s="412"/>
      <c r="H60" s="412"/>
      <c r="I60" s="412"/>
      <c r="J60" s="412"/>
      <c r="K60" s="412"/>
      <c r="L60" s="412"/>
    </row>
    <row r="61" spans="1:26" ht="132.6" x14ac:dyDescent="0.2">
      <c r="A61" s="412"/>
      <c r="B61" s="412"/>
      <c r="C61" s="412"/>
      <c r="D61" s="395" t="s">
        <v>979</v>
      </c>
      <c r="E61" s="412"/>
      <c r="F61" s="412"/>
      <c r="G61" s="412"/>
      <c r="H61" s="412"/>
      <c r="I61" s="412"/>
      <c r="J61" s="412"/>
      <c r="K61" s="412"/>
      <c r="L61" s="412"/>
    </row>
    <row r="62" spans="1:26" x14ac:dyDescent="0.2">
      <c r="A62" s="412"/>
      <c r="B62" s="412"/>
      <c r="C62" s="412"/>
      <c r="D62" s="413" t="s">
        <v>206</v>
      </c>
      <c r="E62" s="414" t="s">
        <v>770</v>
      </c>
      <c r="F62" s="414"/>
      <c r="G62" s="414"/>
      <c r="H62" s="415">
        <v>2442.44</v>
      </c>
      <c r="I62" s="412"/>
      <c r="J62" s="412"/>
      <c r="K62" s="412"/>
      <c r="L62" s="412"/>
    </row>
    <row r="63" spans="1:26" x14ac:dyDescent="0.2">
      <c r="A63" s="412"/>
      <c r="B63" s="412"/>
      <c r="C63" s="412"/>
      <c r="D63" s="413" t="s">
        <v>207</v>
      </c>
      <c r="E63" s="414" t="s">
        <v>977</v>
      </c>
      <c r="F63" s="414"/>
      <c r="G63" s="414"/>
      <c r="H63" s="415">
        <v>933.07</v>
      </c>
      <c r="I63" s="412"/>
      <c r="J63" s="412"/>
      <c r="K63" s="412"/>
      <c r="L63" s="412"/>
    </row>
    <row r="64" spans="1:26" x14ac:dyDescent="0.2">
      <c r="A64" s="412"/>
      <c r="B64" s="412"/>
      <c r="C64" s="412"/>
      <c r="D64" s="416" t="s">
        <v>715</v>
      </c>
      <c r="E64" s="417"/>
      <c r="F64" s="417"/>
      <c r="G64" s="417"/>
      <c r="H64" s="418">
        <v>6119.82</v>
      </c>
      <c r="I64" s="412"/>
      <c r="J64" s="412"/>
      <c r="K64" s="412"/>
      <c r="L64" s="412"/>
    </row>
    <row r="65" spans="1:26" ht="30.6" x14ac:dyDescent="0.2">
      <c r="A65" s="403">
        <v>4</v>
      </c>
      <c r="B65" s="403">
        <v>9</v>
      </c>
      <c r="C65" s="403" t="s">
        <v>744</v>
      </c>
      <c r="D65" s="403" t="s">
        <v>1035</v>
      </c>
      <c r="E65" s="404">
        <v>1090</v>
      </c>
      <c r="F65" s="405">
        <v>162.38</v>
      </c>
      <c r="G65" s="405" t="s">
        <v>281</v>
      </c>
      <c r="H65" s="406">
        <v>1444271.8</v>
      </c>
      <c r="I65" s="406" t="s">
        <v>281</v>
      </c>
      <c r="J65" s="406" t="s">
        <v>281</v>
      </c>
      <c r="K65" s="405" t="s">
        <v>281</v>
      </c>
      <c r="L65" s="405" t="s">
        <v>281</v>
      </c>
      <c r="T65" s="401">
        <v>1444271.8</v>
      </c>
      <c r="V65" s="401" t="s">
        <v>281</v>
      </c>
      <c r="W65" s="401" t="s">
        <v>281</v>
      </c>
      <c r="X65" s="401" t="s">
        <v>281</v>
      </c>
      <c r="Y65" s="401" t="s">
        <v>281</v>
      </c>
      <c r="Z65" s="401" t="s">
        <v>281</v>
      </c>
    </row>
    <row r="66" spans="1:26" x14ac:dyDescent="0.2">
      <c r="A66" s="407"/>
      <c r="B66" s="407"/>
      <c r="C66" s="407"/>
      <c r="D66" s="408" t="s">
        <v>745</v>
      </c>
      <c r="E66" s="409"/>
      <c r="F66" s="410" t="s">
        <v>281</v>
      </c>
      <c r="G66" s="410" t="s">
        <v>281</v>
      </c>
      <c r="H66" s="409"/>
      <c r="I66" s="409"/>
      <c r="J66" s="411" t="s">
        <v>281</v>
      </c>
      <c r="K66" s="410" t="s">
        <v>281</v>
      </c>
      <c r="L66" s="410" t="s">
        <v>281</v>
      </c>
    </row>
    <row r="67" spans="1:26" x14ac:dyDescent="0.2">
      <c r="A67" s="412"/>
      <c r="B67" s="412"/>
      <c r="C67" s="412"/>
      <c r="D67" s="395" t="s">
        <v>718</v>
      </c>
      <c r="E67" s="412"/>
      <c r="F67" s="412"/>
      <c r="G67" s="412"/>
      <c r="H67" s="412"/>
      <c r="I67" s="412"/>
      <c r="J67" s="412"/>
      <c r="K67" s="412"/>
      <c r="L67" s="412"/>
    </row>
    <row r="68" spans="1:26" ht="51" x14ac:dyDescent="0.2">
      <c r="A68" s="403">
        <v>5</v>
      </c>
      <c r="B68" s="403">
        <v>10</v>
      </c>
      <c r="C68" s="403" t="s">
        <v>762</v>
      </c>
      <c r="D68" s="403" t="s">
        <v>1036</v>
      </c>
      <c r="E68" s="404">
        <v>8.0000000000000002E-3</v>
      </c>
      <c r="F68" s="405">
        <v>689.03687500000001</v>
      </c>
      <c r="G68" s="405">
        <v>689.03687500000001</v>
      </c>
      <c r="H68" s="406">
        <v>72.98</v>
      </c>
      <c r="I68" s="406" t="s">
        <v>281</v>
      </c>
      <c r="J68" s="406">
        <v>72.98</v>
      </c>
      <c r="K68" s="405" t="s">
        <v>281</v>
      </c>
      <c r="L68" s="405" t="s">
        <v>281</v>
      </c>
      <c r="T68" s="401">
        <v>136.09</v>
      </c>
      <c r="V68" s="401" t="s">
        <v>281</v>
      </c>
      <c r="W68" s="401">
        <v>72.98</v>
      </c>
      <c r="X68" s="401">
        <v>48.14</v>
      </c>
      <c r="Y68" s="401" t="s">
        <v>281</v>
      </c>
      <c r="Z68" s="401">
        <v>9.2689999999999995E-2</v>
      </c>
    </row>
    <row r="69" spans="1:26" x14ac:dyDescent="0.2">
      <c r="A69" s="407"/>
      <c r="B69" s="407"/>
      <c r="C69" s="407"/>
      <c r="D69" s="408" t="s">
        <v>763</v>
      </c>
      <c r="E69" s="409"/>
      <c r="F69" s="410" t="s">
        <v>281</v>
      </c>
      <c r="G69" s="410">
        <v>134.40625</v>
      </c>
      <c r="H69" s="409"/>
      <c r="I69" s="409"/>
      <c r="J69" s="411">
        <v>48.14</v>
      </c>
      <c r="K69" s="410">
        <v>11.58625</v>
      </c>
      <c r="L69" s="410">
        <v>9.2689999999999995E-2</v>
      </c>
    </row>
    <row r="70" spans="1:26" ht="20.399999999999999" x14ac:dyDescent="0.2">
      <c r="A70" s="412"/>
      <c r="B70" s="412"/>
      <c r="C70" s="412"/>
      <c r="D70" s="395" t="s">
        <v>714</v>
      </c>
      <c r="E70" s="412"/>
      <c r="F70" s="412"/>
      <c r="G70" s="412"/>
      <c r="H70" s="412"/>
      <c r="I70" s="412"/>
      <c r="J70" s="412"/>
      <c r="K70" s="412"/>
      <c r="L70" s="412"/>
    </row>
    <row r="71" spans="1:26" ht="20.399999999999999" x14ac:dyDescent="0.2">
      <c r="A71" s="412"/>
      <c r="B71" s="412"/>
      <c r="C71" s="412"/>
      <c r="D71" s="395" t="s">
        <v>978</v>
      </c>
      <c r="E71" s="412"/>
      <c r="F71" s="412"/>
      <c r="G71" s="412"/>
      <c r="H71" s="412"/>
      <c r="I71" s="412"/>
      <c r="J71" s="412"/>
      <c r="K71" s="412"/>
      <c r="L71" s="412"/>
    </row>
    <row r="72" spans="1:26" ht="132.6" x14ac:dyDescent="0.2">
      <c r="A72" s="412"/>
      <c r="B72" s="412"/>
      <c r="C72" s="412"/>
      <c r="D72" s="395" t="s">
        <v>979</v>
      </c>
      <c r="E72" s="412"/>
      <c r="F72" s="412"/>
      <c r="G72" s="412"/>
      <c r="H72" s="412"/>
      <c r="I72" s="412"/>
      <c r="J72" s="412"/>
      <c r="K72" s="412"/>
      <c r="L72" s="412"/>
    </row>
    <row r="73" spans="1:26" x14ac:dyDescent="0.2">
      <c r="A73" s="412"/>
      <c r="B73" s="412"/>
      <c r="C73" s="412"/>
      <c r="D73" s="413" t="s">
        <v>206</v>
      </c>
      <c r="E73" s="414" t="s">
        <v>764</v>
      </c>
      <c r="F73" s="414"/>
      <c r="G73" s="414"/>
      <c r="H73" s="415">
        <v>44.29</v>
      </c>
      <c r="I73" s="412"/>
      <c r="J73" s="412"/>
      <c r="K73" s="412"/>
      <c r="L73" s="412"/>
    </row>
    <row r="74" spans="1:26" x14ac:dyDescent="0.2">
      <c r="A74" s="412"/>
      <c r="B74" s="412"/>
      <c r="C74" s="412"/>
      <c r="D74" s="413" t="s">
        <v>207</v>
      </c>
      <c r="E74" s="414" t="s">
        <v>972</v>
      </c>
      <c r="F74" s="414"/>
      <c r="G74" s="414"/>
      <c r="H74" s="415">
        <v>18.82</v>
      </c>
      <c r="I74" s="412"/>
      <c r="J74" s="412"/>
      <c r="K74" s="412"/>
      <c r="L74" s="412"/>
    </row>
    <row r="75" spans="1:26" x14ac:dyDescent="0.2">
      <c r="A75" s="412"/>
      <c r="B75" s="412"/>
      <c r="C75" s="412"/>
      <c r="D75" s="416" t="s">
        <v>715</v>
      </c>
      <c r="E75" s="417"/>
      <c r="F75" s="417"/>
      <c r="G75" s="417"/>
      <c r="H75" s="418">
        <v>136.09</v>
      </c>
      <c r="I75" s="412"/>
      <c r="J75" s="412"/>
      <c r="K75" s="412"/>
      <c r="L75" s="412"/>
    </row>
    <row r="76" spans="1:26" ht="40.799999999999997" x14ac:dyDescent="0.2">
      <c r="A76" s="403">
        <v>6</v>
      </c>
      <c r="B76" s="403">
        <v>11</v>
      </c>
      <c r="C76" s="403" t="s">
        <v>914</v>
      </c>
      <c r="D76" s="403" t="s">
        <v>1037</v>
      </c>
      <c r="E76" s="404">
        <v>0.02</v>
      </c>
      <c r="F76" s="405">
        <v>964.10249999999996</v>
      </c>
      <c r="G76" s="405" t="s">
        <v>281</v>
      </c>
      <c r="H76" s="406">
        <v>863.26</v>
      </c>
      <c r="I76" s="406">
        <v>863.26</v>
      </c>
      <c r="J76" s="406" t="s">
        <v>281</v>
      </c>
      <c r="K76" s="405">
        <v>128.547</v>
      </c>
      <c r="L76" s="405">
        <v>2.5709399999999998</v>
      </c>
      <c r="T76" s="401">
        <v>1925.07</v>
      </c>
      <c r="V76" s="401">
        <v>863.26</v>
      </c>
      <c r="W76" s="401" t="s">
        <v>281</v>
      </c>
      <c r="X76" s="401" t="s">
        <v>281</v>
      </c>
      <c r="Y76" s="401">
        <v>2.5709399999999998</v>
      </c>
      <c r="Z76" s="401" t="s">
        <v>281</v>
      </c>
    </row>
    <row r="77" spans="1:26" x14ac:dyDescent="0.2">
      <c r="A77" s="407"/>
      <c r="B77" s="407"/>
      <c r="C77" s="407"/>
      <c r="D77" s="408" t="s">
        <v>901</v>
      </c>
      <c r="E77" s="409"/>
      <c r="F77" s="410">
        <v>964.10249999999996</v>
      </c>
      <c r="G77" s="410" t="s">
        <v>281</v>
      </c>
      <c r="H77" s="409"/>
      <c r="I77" s="409"/>
      <c r="J77" s="411" t="s">
        <v>281</v>
      </c>
      <c r="K77" s="410" t="s">
        <v>281</v>
      </c>
      <c r="L77" s="410" t="s">
        <v>281</v>
      </c>
    </row>
    <row r="78" spans="1:26" ht="20.399999999999999" x14ac:dyDescent="0.2">
      <c r="A78" s="412"/>
      <c r="B78" s="412"/>
      <c r="C78" s="412"/>
      <c r="D78" s="395" t="s">
        <v>714</v>
      </c>
      <c r="E78" s="412"/>
      <c r="F78" s="412"/>
      <c r="G78" s="412"/>
      <c r="H78" s="412"/>
      <c r="I78" s="412"/>
      <c r="J78" s="412"/>
      <c r="K78" s="412"/>
      <c r="L78" s="412"/>
    </row>
    <row r="79" spans="1:26" ht="20.399999999999999" x14ac:dyDescent="0.2">
      <c r="A79" s="412"/>
      <c r="B79" s="412"/>
      <c r="C79" s="412"/>
      <c r="D79" s="395" t="s">
        <v>978</v>
      </c>
      <c r="E79" s="412"/>
      <c r="F79" s="412"/>
      <c r="G79" s="412"/>
      <c r="H79" s="412"/>
      <c r="I79" s="412"/>
      <c r="J79" s="412"/>
      <c r="K79" s="412"/>
      <c r="L79" s="412"/>
    </row>
    <row r="80" spans="1:26" ht="132.6" x14ac:dyDescent="0.2">
      <c r="A80" s="412"/>
      <c r="B80" s="412"/>
      <c r="C80" s="412"/>
      <c r="D80" s="395" t="s">
        <v>979</v>
      </c>
      <c r="E80" s="412"/>
      <c r="F80" s="412"/>
      <c r="G80" s="412"/>
      <c r="H80" s="412"/>
      <c r="I80" s="412"/>
      <c r="J80" s="412"/>
      <c r="K80" s="412"/>
      <c r="L80" s="412"/>
    </row>
    <row r="81" spans="1:26" x14ac:dyDescent="0.2">
      <c r="A81" s="412"/>
      <c r="B81" s="412"/>
      <c r="C81" s="412"/>
      <c r="D81" s="413" t="s">
        <v>206</v>
      </c>
      <c r="E81" s="414" t="s">
        <v>770</v>
      </c>
      <c r="F81" s="414"/>
      <c r="G81" s="414"/>
      <c r="H81" s="415">
        <v>768.3</v>
      </c>
      <c r="I81" s="412"/>
      <c r="J81" s="412"/>
      <c r="K81" s="412"/>
      <c r="L81" s="412"/>
    </row>
    <row r="82" spans="1:26" x14ac:dyDescent="0.2">
      <c r="A82" s="412"/>
      <c r="B82" s="412"/>
      <c r="C82" s="412"/>
      <c r="D82" s="413" t="s">
        <v>207</v>
      </c>
      <c r="E82" s="414" t="s">
        <v>977</v>
      </c>
      <c r="F82" s="414"/>
      <c r="G82" s="414"/>
      <c r="H82" s="415">
        <v>293.51</v>
      </c>
      <c r="I82" s="412"/>
      <c r="J82" s="412"/>
      <c r="K82" s="412"/>
      <c r="L82" s="412"/>
    </row>
    <row r="83" spans="1:26" x14ac:dyDescent="0.2">
      <c r="A83" s="412"/>
      <c r="B83" s="412"/>
      <c r="C83" s="412"/>
      <c r="D83" s="416" t="s">
        <v>715</v>
      </c>
      <c r="E83" s="417"/>
      <c r="F83" s="417"/>
      <c r="G83" s="417"/>
      <c r="H83" s="418">
        <v>1925.07</v>
      </c>
      <c r="I83" s="412"/>
      <c r="J83" s="412"/>
      <c r="K83" s="412"/>
      <c r="L83" s="412"/>
    </row>
    <row r="84" spans="1:26" ht="40.799999999999997" x14ac:dyDescent="0.2">
      <c r="A84" s="403">
        <v>7</v>
      </c>
      <c r="B84" s="403">
        <v>12</v>
      </c>
      <c r="C84" s="403" t="s">
        <v>1057</v>
      </c>
      <c r="D84" s="403" t="s">
        <v>1038</v>
      </c>
      <c r="E84" s="404">
        <v>0.08</v>
      </c>
      <c r="F84" s="405">
        <v>488.62004999999999</v>
      </c>
      <c r="G84" s="405">
        <v>347.27125000000001</v>
      </c>
      <c r="H84" s="406">
        <v>874.09</v>
      </c>
      <c r="I84" s="406">
        <v>506.26</v>
      </c>
      <c r="J84" s="406">
        <v>367.83</v>
      </c>
      <c r="K84" s="405">
        <v>16.570924999999999</v>
      </c>
      <c r="L84" s="405">
        <v>1.325674</v>
      </c>
      <c r="T84" s="401">
        <v>1715.72</v>
      </c>
      <c r="V84" s="401">
        <v>506.26</v>
      </c>
      <c r="W84" s="401">
        <v>367.83</v>
      </c>
      <c r="X84" s="401">
        <v>135.72</v>
      </c>
      <c r="Y84" s="401">
        <v>1.325674</v>
      </c>
      <c r="Z84" s="401">
        <v>0.30130000000000001</v>
      </c>
    </row>
    <row r="85" spans="1:26" x14ac:dyDescent="0.2">
      <c r="A85" s="407"/>
      <c r="B85" s="407"/>
      <c r="C85" s="407"/>
      <c r="D85" s="408" t="s">
        <v>901</v>
      </c>
      <c r="E85" s="409"/>
      <c r="F85" s="410">
        <v>141.34880000000001</v>
      </c>
      <c r="G85" s="410">
        <v>37.892499999999998</v>
      </c>
      <c r="H85" s="409"/>
      <c r="I85" s="409"/>
      <c r="J85" s="411">
        <v>135.72</v>
      </c>
      <c r="K85" s="410">
        <v>3.7662499999999999</v>
      </c>
      <c r="L85" s="410">
        <v>0.30130000000000001</v>
      </c>
    </row>
    <row r="86" spans="1:26" ht="20.399999999999999" x14ac:dyDescent="0.2">
      <c r="A86" s="412"/>
      <c r="B86" s="412"/>
      <c r="C86" s="412"/>
      <c r="D86" s="395" t="s">
        <v>714</v>
      </c>
      <c r="E86" s="412"/>
      <c r="F86" s="412"/>
      <c r="G86" s="412"/>
      <c r="H86" s="412"/>
      <c r="I86" s="412"/>
      <c r="J86" s="412"/>
      <c r="K86" s="412"/>
      <c r="L86" s="412"/>
    </row>
    <row r="87" spans="1:26" ht="20.399999999999999" x14ac:dyDescent="0.2">
      <c r="A87" s="412"/>
      <c r="B87" s="412"/>
      <c r="C87" s="412"/>
      <c r="D87" s="395" t="s">
        <v>978</v>
      </c>
      <c r="E87" s="412"/>
      <c r="F87" s="412"/>
      <c r="G87" s="412"/>
      <c r="H87" s="412"/>
      <c r="I87" s="412"/>
      <c r="J87" s="412"/>
      <c r="K87" s="412"/>
      <c r="L87" s="412"/>
    </row>
    <row r="88" spans="1:26" ht="132.6" x14ac:dyDescent="0.2">
      <c r="A88" s="412"/>
      <c r="B88" s="412"/>
      <c r="C88" s="412"/>
      <c r="D88" s="395" t="s">
        <v>979</v>
      </c>
      <c r="E88" s="412"/>
      <c r="F88" s="412"/>
      <c r="G88" s="412"/>
      <c r="H88" s="412"/>
      <c r="I88" s="412"/>
      <c r="J88" s="412"/>
      <c r="K88" s="412"/>
      <c r="L88" s="412"/>
    </row>
    <row r="89" spans="1:26" x14ac:dyDescent="0.2">
      <c r="A89" s="412"/>
      <c r="B89" s="412"/>
      <c r="C89" s="412"/>
      <c r="D89" s="413" t="s">
        <v>206</v>
      </c>
      <c r="E89" s="414" t="s">
        <v>764</v>
      </c>
      <c r="F89" s="414"/>
      <c r="G89" s="414"/>
      <c r="H89" s="415">
        <v>590.62</v>
      </c>
      <c r="I89" s="412"/>
      <c r="J89" s="412"/>
      <c r="K89" s="412"/>
      <c r="L89" s="412"/>
    </row>
    <row r="90" spans="1:26" x14ac:dyDescent="0.2">
      <c r="A90" s="412"/>
      <c r="B90" s="412"/>
      <c r="C90" s="412"/>
      <c r="D90" s="413" t="s">
        <v>207</v>
      </c>
      <c r="E90" s="414" t="s">
        <v>972</v>
      </c>
      <c r="F90" s="414"/>
      <c r="G90" s="414"/>
      <c r="H90" s="415">
        <v>251.01</v>
      </c>
      <c r="I90" s="412"/>
      <c r="J90" s="412"/>
      <c r="K90" s="412"/>
      <c r="L90" s="412"/>
    </row>
    <row r="91" spans="1:26" x14ac:dyDescent="0.2">
      <c r="A91" s="419"/>
      <c r="B91" s="419"/>
      <c r="C91" s="419"/>
      <c r="D91" s="420" t="s">
        <v>715</v>
      </c>
      <c r="E91" s="421"/>
      <c r="F91" s="421"/>
      <c r="G91" s="421"/>
      <c r="H91" s="422">
        <v>1715.72</v>
      </c>
      <c r="I91" s="419"/>
      <c r="J91" s="419"/>
      <c r="K91" s="419"/>
      <c r="L91" s="419"/>
    </row>
    <row r="93" spans="1:26" x14ac:dyDescent="0.2">
      <c r="A93" s="1087" t="s">
        <v>1058</v>
      </c>
      <c r="B93" s="1087"/>
      <c r="C93" s="1087"/>
      <c r="D93" s="1087"/>
      <c r="E93" s="1087"/>
      <c r="F93" s="1087"/>
      <c r="G93" s="1087"/>
      <c r="H93" s="1087"/>
      <c r="I93" s="1087"/>
      <c r="J93" s="1087"/>
      <c r="K93" s="1087"/>
      <c r="L93" s="1087"/>
    </row>
    <row r="94" spans="1:26" ht="51" x14ac:dyDescent="0.2">
      <c r="A94" s="403">
        <v>8</v>
      </c>
      <c r="B94" s="403">
        <v>13</v>
      </c>
      <c r="C94" s="403" t="s">
        <v>1059</v>
      </c>
      <c r="D94" s="403" t="s">
        <v>1039</v>
      </c>
      <c r="E94" s="404">
        <v>0.92</v>
      </c>
      <c r="F94" s="405">
        <v>8194.8186499999993</v>
      </c>
      <c r="G94" s="405">
        <v>7657.4043750000001</v>
      </c>
      <c r="H94" s="406">
        <v>114545.64</v>
      </c>
      <c r="I94" s="406">
        <v>21079.99</v>
      </c>
      <c r="J94" s="406">
        <v>93273.31</v>
      </c>
      <c r="K94" s="405">
        <v>61.073050000000002</v>
      </c>
      <c r="L94" s="405">
        <v>56.187206000000003</v>
      </c>
      <c r="T94" s="401">
        <v>219248.59</v>
      </c>
      <c r="V94" s="401">
        <v>21079.99</v>
      </c>
      <c r="W94" s="401">
        <v>93273.31</v>
      </c>
      <c r="X94" s="401">
        <v>19051.46</v>
      </c>
      <c r="Y94" s="401">
        <v>56.187206000000003</v>
      </c>
      <c r="Z94" s="401">
        <v>35.36365</v>
      </c>
    </row>
    <row r="95" spans="1:26" x14ac:dyDescent="0.2">
      <c r="A95" s="407"/>
      <c r="B95" s="407"/>
      <c r="C95" s="407"/>
      <c r="D95" s="408" t="s">
        <v>1060</v>
      </c>
      <c r="E95" s="409"/>
      <c r="F95" s="410">
        <v>511.79427500000003</v>
      </c>
      <c r="G95" s="410">
        <v>462.544375</v>
      </c>
      <c r="H95" s="409"/>
      <c r="I95" s="409"/>
      <c r="J95" s="411">
        <v>19051.46</v>
      </c>
      <c r="K95" s="410">
        <v>38.438749999999999</v>
      </c>
      <c r="L95" s="410">
        <v>35.36365</v>
      </c>
    </row>
    <row r="96" spans="1:26" ht="20.399999999999999" x14ac:dyDescent="0.2">
      <c r="A96" s="412"/>
      <c r="B96" s="412"/>
      <c r="C96" s="412"/>
      <c r="D96" s="395" t="s">
        <v>714</v>
      </c>
      <c r="E96" s="412"/>
      <c r="F96" s="412"/>
      <c r="G96" s="412"/>
      <c r="H96" s="412"/>
      <c r="I96" s="412"/>
      <c r="J96" s="412"/>
      <c r="K96" s="412"/>
      <c r="L96" s="412"/>
    </row>
    <row r="97" spans="1:26" ht="20.399999999999999" x14ac:dyDescent="0.2">
      <c r="A97" s="412"/>
      <c r="B97" s="412"/>
      <c r="C97" s="412"/>
      <c r="D97" s="395" t="s">
        <v>978</v>
      </c>
      <c r="E97" s="412"/>
      <c r="F97" s="412"/>
      <c r="G97" s="412"/>
      <c r="H97" s="412"/>
      <c r="I97" s="412"/>
      <c r="J97" s="412"/>
      <c r="K97" s="412"/>
      <c r="L97" s="412"/>
    </row>
    <row r="98" spans="1:26" ht="132.6" x14ac:dyDescent="0.2">
      <c r="A98" s="412"/>
      <c r="B98" s="412"/>
      <c r="C98" s="412"/>
      <c r="D98" s="395" t="s">
        <v>979</v>
      </c>
      <c r="E98" s="412"/>
      <c r="F98" s="412"/>
      <c r="G98" s="412"/>
      <c r="H98" s="412"/>
      <c r="I98" s="412"/>
      <c r="J98" s="412"/>
      <c r="K98" s="412"/>
      <c r="L98" s="412"/>
    </row>
    <row r="99" spans="1:26" x14ac:dyDescent="0.2">
      <c r="A99" s="412"/>
      <c r="B99" s="412"/>
      <c r="C99" s="412"/>
      <c r="D99" s="413" t="s">
        <v>206</v>
      </c>
      <c r="E99" s="414" t="s">
        <v>1025</v>
      </c>
      <c r="F99" s="414"/>
      <c r="G99" s="414"/>
      <c r="H99" s="415">
        <v>58993.23</v>
      </c>
      <c r="I99" s="412"/>
      <c r="J99" s="412"/>
      <c r="K99" s="412"/>
      <c r="L99" s="412"/>
    </row>
    <row r="100" spans="1:26" x14ac:dyDescent="0.2">
      <c r="A100" s="412"/>
      <c r="B100" s="412"/>
      <c r="C100" s="412"/>
      <c r="D100" s="413" t="s">
        <v>207</v>
      </c>
      <c r="E100" s="414" t="s">
        <v>1026</v>
      </c>
      <c r="F100" s="414"/>
      <c r="G100" s="414"/>
      <c r="H100" s="415">
        <v>45709.72</v>
      </c>
      <c r="I100" s="412"/>
      <c r="J100" s="412"/>
      <c r="K100" s="412"/>
      <c r="L100" s="412"/>
    </row>
    <row r="101" spans="1:26" x14ac:dyDescent="0.2">
      <c r="A101" s="412"/>
      <c r="B101" s="412"/>
      <c r="C101" s="412"/>
      <c r="D101" s="416" t="s">
        <v>715</v>
      </c>
      <c r="E101" s="417"/>
      <c r="F101" s="417"/>
      <c r="G101" s="417"/>
      <c r="H101" s="418">
        <v>219248.59</v>
      </c>
      <c r="I101" s="412"/>
      <c r="J101" s="412"/>
      <c r="K101" s="412"/>
      <c r="L101" s="412"/>
    </row>
    <row r="102" spans="1:26" ht="51" x14ac:dyDescent="0.2">
      <c r="A102" s="403">
        <v>9</v>
      </c>
      <c r="B102" s="403">
        <v>14</v>
      </c>
      <c r="C102" s="403" t="s">
        <v>1061</v>
      </c>
      <c r="D102" s="403" t="s">
        <v>1040</v>
      </c>
      <c r="E102" s="404">
        <v>0.92</v>
      </c>
      <c r="F102" s="405">
        <v>1374.71</v>
      </c>
      <c r="G102" s="405">
        <v>1374.71</v>
      </c>
      <c r="H102" s="406">
        <v>16745.07</v>
      </c>
      <c r="I102" s="406" t="s">
        <v>281</v>
      </c>
      <c r="J102" s="406">
        <v>16745.07</v>
      </c>
      <c r="K102" s="405" t="s">
        <v>281</v>
      </c>
      <c r="L102" s="405" t="s">
        <v>281</v>
      </c>
      <c r="T102" s="401">
        <v>23887.96</v>
      </c>
      <c r="V102" s="401" t="s">
        <v>281</v>
      </c>
      <c r="W102" s="401">
        <v>16745.07</v>
      </c>
      <c r="X102" s="401">
        <v>2737.79</v>
      </c>
      <c r="Y102" s="401" t="s">
        <v>281</v>
      </c>
      <c r="Z102" s="401">
        <v>4.8667999999999996</v>
      </c>
    </row>
    <row r="103" spans="1:26" x14ac:dyDescent="0.2">
      <c r="A103" s="407"/>
      <c r="B103" s="407"/>
      <c r="C103" s="407"/>
      <c r="D103" s="408" t="s">
        <v>1060</v>
      </c>
      <c r="E103" s="409"/>
      <c r="F103" s="410" t="s">
        <v>281</v>
      </c>
      <c r="G103" s="410">
        <v>66.47</v>
      </c>
      <c r="H103" s="409"/>
      <c r="I103" s="409"/>
      <c r="J103" s="411">
        <v>2737.79</v>
      </c>
      <c r="K103" s="410">
        <v>5.29</v>
      </c>
      <c r="L103" s="410">
        <v>4.8667999999999996</v>
      </c>
    </row>
    <row r="104" spans="1:26" ht="20.399999999999999" x14ac:dyDescent="0.2">
      <c r="A104" s="412"/>
      <c r="B104" s="412"/>
      <c r="C104" s="412"/>
      <c r="D104" s="395" t="s">
        <v>714</v>
      </c>
      <c r="E104" s="412"/>
      <c r="F104" s="412"/>
      <c r="G104" s="412"/>
      <c r="H104" s="412"/>
      <c r="I104" s="412"/>
      <c r="J104" s="412"/>
      <c r="K104" s="412"/>
      <c r="L104" s="412"/>
    </row>
    <row r="105" spans="1:26" ht="30.6" x14ac:dyDescent="0.2">
      <c r="A105" s="412"/>
      <c r="B105" s="412"/>
      <c r="C105" s="412"/>
      <c r="D105" s="395" t="s">
        <v>1062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ht="132.6" x14ac:dyDescent="0.2">
      <c r="A106" s="412"/>
      <c r="B106" s="412"/>
      <c r="C106" s="412"/>
      <c r="D106" s="395" t="s">
        <v>1063</v>
      </c>
      <c r="E106" s="412"/>
      <c r="F106" s="412"/>
      <c r="G106" s="412"/>
      <c r="H106" s="412"/>
      <c r="I106" s="412"/>
      <c r="J106" s="412"/>
      <c r="K106" s="412"/>
      <c r="L106" s="412"/>
    </row>
    <row r="107" spans="1:26" x14ac:dyDescent="0.2">
      <c r="A107" s="412"/>
      <c r="B107" s="412"/>
      <c r="C107" s="412"/>
      <c r="D107" s="413" t="s">
        <v>206</v>
      </c>
      <c r="E107" s="414" t="s">
        <v>1025</v>
      </c>
      <c r="F107" s="414"/>
      <c r="G107" s="414"/>
      <c r="H107" s="415">
        <v>4024.55</v>
      </c>
      <c r="I107" s="412"/>
      <c r="J107" s="412"/>
      <c r="K107" s="412"/>
      <c r="L107" s="412"/>
    </row>
    <row r="108" spans="1:26" x14ac:dyDescent="0.2">
      <c r="A108" s="412"/>
      <c r="B108" s="412"/>
      <c r="C108" s="412"/>
      <c r="D108" s="413" t="s">
        <v>207</v>
      </c>
      <c r="E108" s="414" t="s">
        <v>1026</v>
      </c>
      <c r="F108" s="414"/>
      <c r="G108" s="414"/>
      <c r="H108" s="415">
        <v>3118.34</v>
      </c>
      <c r="I108" s="412"/>
      <c r="J108" s="412"/>
      <c r="K108" s="412"/>
      <c r="L108" s="412"/>
    </row>
    <row r="109" spans="1:26" x14ac:dyDescent="0.2">
      <c r="A109" s="412"/>
      <c r="B109" s="412"/>
      <c r="C109" s="412"/>
      <c r="D109" s="416" t="s">
        <v>715</v>
      </c>
      <c r="E109" s="417"/>
      <c r="F109" s="417"/>
      <c r="G109" s="417"/>
      <c r="H109" s="418">
        <v>23887.96</v>
      </c>
      <c r="I109" s="412"/>
      <c r="J109" s="412"/>
      <c r="K109" s="412"/>
      <c r="L109" s="412"/>
    </row>
    <row r="110" spans="1:26" ht="30.6" x14ac:dyDescent="0.2">
      <c r="A110" s="403">
        <v>10</v>
      </c>
      <c r="B110" s="403">
        <v>15</v>
      </c>
      <c r="C110" s="403" t="s">
        <v>766</v>
      </c>
      <c r="D110" s="403" t="s">
        <v>1041</v>
      </c>
      <c r="E110" s="404">
        <v>279.68</v>
      </c>
      <c r="F110" s="405">
        <v>108.00064</v>
      </c>
      <c r="G110" s="405" t="s">
        <v>281</v>
      </c>
      <c r="H110" s="406">
        <v>246479.19</v>
      </c>
      <c r="I110" s="406" t="s">
        <v>281</v>
      </c>
      <c r="J110" s="406" t="s">
        <v>281</v>
      </c>
      <c r="K110" s="405" t="s">
        <v>281</v>
      </c>
      <c r="L110" s="405" t="s">
        <v>281</v>
      </c>
      <c r="T110" s="401">
        <v>246479.19</v>
      </c>
      <c r="V110" s="401" t="s">
        <v>281</v>
      </c>
      <c r="W110" s="401" t="s">
        <v>281</v>
      </c>
      <c r="X110" s="401" t="s">
        <v>281</v>
      </c>
      <c r="Y110" s="401" t="s">
        <v>281</v>
      </c>
      <c r="Z110" s="401" t="s">
        <v>281</v>
      </c>
    </row>
    <row r="111" spans="1:26" x14ac:dyDescent="0.2">
      <c r="A111" s="407"/>
      <c r="B111" s="407"/>
      <c r="C111" s="407"/>
      <c r="D111" s="408" t="s">
        <v>745</v>
      </c>
      <c r="E111" s="409"/>
      <c r="F111" s="410" t="s">
        <v>281</v>
      </c>
      <c r="G111" s="410" t="s">
        <v>281</v>
      </c>
      <c r="H111" s="409"/>
      <c r="I111" s="409"/>
      <c r="J111" s="411" t="s">
        <v>281</v>
      </c>
      <c r="K111" s="410" t="s">
        <v>281</v>
      </c>
      <c r="L111" s="410" t="s">
        <v>281</v>
      </c>
    </row>
    <row r="112" spans="1:26" x14ac:dyDescent="0.2">
      <c r="A112" s="412"/>
      <c r="B112" s="412"/>
      <c r="C112" s="412"/>
      <c r="D112" s="395" t="s">
        <v>718</v>
      </c>
      <c r="E112" s="412"/>
      <c r="F112" s="412"/>
      <c r="G112" s="412"/>
      <c r="H112" s="412"/>
      <c r="I112" s="412"/>
      <c r="J112" s="412"/>
      <c r="K112" s="412"/>
      <c r="L112" s="412"/>
    </row>
    <row r="113" spans="1:26" x14ac:dyDescent="0.2">
      <c r="A113" s="412"/>
      <c r="B113" s="412"/>
      <c r="C113" s="412"/>
      <c r="D113" s="395" t="s">
        <v>1064</v>
      </c>
      <c r="E113" s="412"/>
      <c r="F113" s="412"/>
      <c r="G113" s="412"/>
      <c r="H113" s="412"/>
      <c r="I113" s="412"/>
      <c r="J113" s="412"/>
      <c r="K113" s="412"/>
      <c r="L113" s="412"/>
    </row>
    <row r="114" spans="1:26" x14ac:dyDescent="0.2">
      <c r="A114" s="412"/>
      <c r="B114" s="412"/>
      <c r="C114" s="412"/>
      <c r="D114" s="395" t="s">
        <v>1065</v>
      </c>
      <c r="E114" s="412"/>
      <c r="F114" s="412"/>
      <c r="G114" s="412"/>
      <c r="H114" s="412"/>
      <c r="I114" s="412"/>
      <c r="J114" s="412"/>
      <c r="K114" s="412"/>
      <c r="L114" s="412"/>
    </row>
    <row r="115" spans="1:26" ht="40.799999999999997" x14ac:dyDescent="0.2">
      <c r="A115" s="403">
        <v>11</v>
      </c>
      <c r="B115" s="403">
        <v>16</v>
      </c>
      <c r="C115" s="403" t="s">
        <v>1066</v>
      </c>
      <c r="D115" s="403" t="s">
        <v>1042</v>
      </c>
      <c r="E115" s="404">
        <v>1.68</v>
      </c>
      <c r="F115" s="405">
        <v>4855.1961499999998</v>
      </c>
      <c r="G115" s="405">
        <v>4690.2606249999999</v>
      </c>
      <c r="H115" s="406">
        <v>115981.43</v>
      </c>
      <c r="I115" s="406">
        <v>11487.79</v>
      </c>
      <c r="J115" s="406">
        <v>104326.39999999999</v>
      </c>
      <c r="K115" s="405">
        <v>19.044</v>
      </c>
      <c r="L115" s="405">
        <v>31.993919999999999</v>
      </c>
      <c r="T115" s="401">
        <v>194251.45</v>
      </c>
      <c r="V115" s="401">
        <v>11487.79</v>
      </c>
      <c r="W115" s="401">
        <v>104326.39999999999</v>
      </c>
      <c r="X115" s="401">
        <v>18512.22</v>
      </c>
      <c r="Y115" s="401">
        <v>31.993919999999999</v>
      </c>
      <c r="Z115" s="401">
        <v>33.520200000000003</v>
      </c>
    </row>
    <row r="116" spans="1:26" x14ac:dyDescent="0.2">
      <c r="A116" s="407"/>
      <c r="B116" s="407"/>
      <c r="C116" s="407"/>
      <c r="D116" s="408" t="s">
        <v>901</v>
      </c>
      <c r="E116" s="409"/>
      <c r="F116" s="410">
        <v>152.735525</v>
      </c>
      <c r="G116" s="410">
        <v>246.12875</v>
      </c>
      <c r="H116" s="409"/>
      <c r="I116" s="409"/>
      <c r="J116" s="411">
        <v>18512.22</v>
      </c>
      <c r="K116" s="410">
        <v>19.952500000000001</v>
      </c>
      <c r="L116" s="410">
        <v>33.520200000000003</v>
      </c>
    </row>
    <row r="117" spans="1:26" ht="20.399999999999999" x14ac:dyDescent="0.2">
      <c r="A117" s="412"/>
      <c r="B117" s="412"/>
      <c r="C117" s="412"/>
      <c r="D117" s="395" t="s">
        <v>714</v>
      </c>
      <c r="E117" s="412"/>
      <c r="F117" s="412"/>
      <c r="G117" s="412"/>
      <c r="H117" s="412"/>
      <c r="I117" s="412"/>
      <c r="J117" s="412"/>
      <c r="K117" s="412"/>
      <c r="L117" s="412"/>
    </row>
    <row r="118" spans="1:26" ht="20.399999999999999" x14ac:dyDescent="0.2">
      <c r="A118" s="412"/>
      <c r="B118" s="412"/>
      <c r="C118" s="412"/>
      <c r="D118" s="395" t="s">
        <v>978</v>
      </c>
      <c r="E118" s="412"/>
      <c r="F118" s="412"/>
      <c r="G118" s="412"/>
      <c r="H118" s="412"/>
      <c r="I118" s="412"/>
      <c r="J118" s="412"/>
      <c r="K118" s="412"/>
      <c r="L118" s="412"/>
    </row>
    <row r="119" spans="1:26" ht="132.6" x14ac:dyDescent="0.2">
      <c r="A119" s="412"/>
      <c r="B119" s="412"/>
      <c r="C119" s="412"/>
      <c r="D119" s="395" t="s">
        <v>979</v>
      </c>
      <c r="E119" s="412"/>
      <c r="F119" s="412"/>
      <c r="G119" s="412"/>
      <c r="H119" s="412"/>
      <c r="I119" s="412"/>
      <c r="J119" s="412"/>
      <c r="K119" s="412"/>
      <c r="L119" s="412"/>
    </row>
    <row r="120" spans="1:26" x14ac:dyDescent="0.2">
      <c r="A120" s="412"/>
      <c r="B120" s="412"/>
      <c r="C120" s="412"/>
      <c r="D120" s="413" t="s">
        <v>206</v>
      </c>
      <c r="E120" s="414" t="s">
        <v>1025</v>
      </c>
      <c r="F120" s="414"/>
      <c r="G120" s="414"/>
      <c r="H120" s="415">
        <v>44100.01</v>
      </c>
      <c r="I120" s="412"/>
      <c r="J120" s="412"/>
      <c r="K120" s="412"/>
      <c r="L120" s="412"/>
    </row>
    <row r="121" spans="1:26" x14ac:dyDescent="0.2">
      <c r="A121" s="412"/>
      <c r="B121" s="412"/>
      <c r="C121" s="412"/>
      <c r="D121" s="413" t="s">
        <v>207</v>
      </c>
      <c r="E121" s="414" t="s">
        <v>1026</v>
      </c>
      <c r="F121" s="414"/>
      <c r="G121" s="414"/>
      <c r="H121" s="415">
        <v>34170.01</v>
      </c>
      <c r="I121" s="412"/>
      <c r="J121" s="412"/>
      <c r="K121" s="412"/>
      <c r="L121" s="412"/>
    </row>
    <row r="122" spans="1:26" x14ac:dyDescent="0.2">
      <c r="A122" s="412"/>
      <c r="B122" s="412"/>
      <c r="C122" s="412"/>
      <c r="D122" s="416" t="s">
        <v>715</v>
      </c>
      <c r="E122" s="417"/>
      <c r="F122" s="417"/>
      <c r="G122" s="417"/>
      <c r="H122" s="418">
        <v>194251.45</v>
      </c>
      <c r="I122" s="412"/>
      <c r="J122" s="412"/>
      <c r="K122" s="412"/>
      <c r="L122" s="412"/>
    </row>
    <row r="123" spans="1:26" ht="30.6" x14ac:dyDescent="0.2">
      <c r="A123" s="403">
        <v>12</v>
      </c>
      <c r="B123" s="403">
        <v>17</v>
      </c>
      <c r="C123" s="403" t="s">
        <v>766</v>
      </c>
      <c r="D123" s="403" t="s">
        <v>1043</v>
      </c>
      <c r="E123" s="404">
        <v>184.8</v>
      </c>
      <c r="F123" s="405">
        <v>101.17976</v>
      </c>
      <c r="G123" s="405" t="s">
        <v>281</v>
      </c>
      <c r="H123" s="406">
        <v>152576.42000000001</v>
      </c>
      <c r="I123" s="406" t="s">
        <v>281</v>
      </c>
      <c r="J123" s="406" t="s">
        <v>281</v>
      </c>
      <c r="K123" s="405" t="s">
        <v>281</v>
      </c>
      <c r="L123" s="405" t="s">
        <v>281</v>
      </c>
      <c r="T123" s="401">
        <v>152576.42000000001</v>
      </c>
      <c r="V123" s="401" t="s">
        <v>281</v>
      </c>
      <c r="W123" s="401" t="s">
        <v>281</v>
      </c>
      <c r="X123" s="401" t="s">
        <v>281</v>
      </c>
      <c r="Y123" s="401" t="s">
        <v>281</v>
      </c>
      <c r="Z123" s="401" t="s">
        <v>281</v>
      </c>
    </row>
    <row r="124" spans="1:26" x14ac:dyDescent="0.2">
      <c r="A124" s="407"/>
      <c r="B124" s="407"/>
      <c r="C124" s="407"/>
      <c r="D124" s="408" t="s">
        <v>745</v>
      </c>
      <c r="E124" s="409"/>
      <c r="F124" s="410" t="s">
        <v>281</v>
      </c>
      <c r="G124" s="410" t="s">
        <v>281</v>
      </c>
      <c r="H124" s="409"/>
      <c r="I124" s="409"/>
      <c r="J124" s="411" t="s">
        <v>281</v>
      </c>
      <c r="K124" s="410" t="s">
        <v>281</v>
      </c>
      <c r="L124" s="410" t="s">
        <v>281</v>
      </c>
    </row>
    <row r="125" spans="1:26" x14ac:dyDescent="0.2">
      <c r="A125" s="412"/>
      <c r="B125" s="412"/>
      <c r="C125" s="412"/>
      <c r="D125" s="395" t="s">
        <v>718</v>
      </c>
      <c r="E125" s="412"/>
      <c r="F125" s="412"/>
      <c r="G125" s="412"/>
      <c r="H125" s="412"/>
      <c r="I125" s="412"/>
      <c r="J125" s="412"/>
      <c r="K125" s="412"/>
      <c r="L125" s="412"/>
    </row>
    <row r="126" spans="1:26" x14ac:dyDescent="0.2">
      <c r="A126" s="412"/>
      <c r="B126" s="412"/>
      <c r="C126" s="412"/>
      <c r="D126" s="395" t="s">
        <v>1064</v>
      </c>
      <c r="E126" s="412"/>
      <c r="F126" s="412"/>
      <c r="G126" s="412"/>
      <c r="H126" s="412"/>
      <c r="I126" s="412"/>
      <c r="J126" s="412"/>
      <c r="K126" s="412"/>
      <c r="L126" s="412"/>
    </row>
    <row r="127" spans="1:26" x14ac:dyDescent="0.2">
      <c r="A127" s="412"/>
      <c r="B127" s="412"/>
      <c r="C127" s="412"/>
      <c r="D127" s="395" t="s">
        <v>1067</v>
      </c>
      <c r="E127" s="412"/>
      <c r="F127" s="412"/>
      <c r="G127" s="412"/>
      <c r="H127" s="412"/>
      <c r="I127" s="412"/>
      <c r="J127" s="412"/>
      <c r="K127" s="412"/>
      <c r="L127" s="412"/>
    </row>
    <row r="128" spans="1:26" ht="30.6" x14ac:dyDescent="0.2">
      <c r="A128" s="403">
        <v>13</v>
      </c>
      <c r="B128" s="403">
        <v>20</v>
      </c>
      <c r="C128" s="403" t="s">
        <v>1068</v>
      </c>
      <c r="D128" s="403" t="s">
        <v>1044</v>
      </c>
      <c r="E128" s="404">
        <v>0.91</v>
      </c>
      <c r="F128" s="405">
        <v>2360.1</v>
      </c>
      <c r="G128" s="405">
        <v>734.27</v>
      </c>
      <c r="H128" s="406">
        <v>75084.22</v>
      </c>
      <c r="I128" s="406">
        <v>66237.45</v>
      </c>
      <c r="J128" s="406">
        <v>8846.77</v>
      </c>
      <c r="K128" s="405">
        <v>199</v>
      </c>
      <c r="L128" s="405">
        <v>181.09</v>
      </c>
      <c r="T128" s="401">
        <v>227413.12</v>
      </c>
      <c r="V128" s="401">
        <v>66237.45</v>
      </c>
      <c r="W128" s="401">
        <v>8846.77</v>
      </c>
      <c r="X128" s="401">
        <v>3303.25</v>
      </c>
      <c r="Y128" s="401">
        <v>181.09</v>
      </c>
      <c r="Z128" s="401">
        <v>7.3346</v>
      </c>
    </row>
    <row r="129" spans="1:26" x14ac:dyDescent="0.2">
      <c r="A129" s="407"/>
      <c r="B129" s="407"/>
      <c r="C129" s="407"/>
      <c r="D129" s="408" t="s">
        <v>901</v>
      </c>
      <c r="E129" s="409"/>
      <c r="F129" s="410">
        <v>1625.83</v>
      </c>
      <c r="G129" s="410">
        <v>81.08</v>
      </c>
      <c r="H129" s="409"/>
      <c r="I129" s="409"/>
      <c r="J129" s="411">
        <v>3303.25</v>
      </c>
      <c r="K129" s="410">
        <v>8.06</v>
      </c>
      <c r="L129" s="410">
        <v>7.3346</v>
      </c>
    </row>
    <row r="130" spans="1:26" ht="20.399999999999999" x14ac:dyDescent="0.2">
      <c r="A130" s="412"/>
      <c r="B130" s="412"/>
      <c r="C130" s="412"/>
      <c r="D130" s="395" t="s">
        <v>714</v>
      </c>
      <c r="E130" s="412"/>
      <c r="F130" s="412"/>
      <c r="G130" s="412"/>
      <c r="H130" s="412"/>
      <c r="I130" s="412"/>
      <c r="J130" s="412"/>
      <c r="K130" s="412"/>
      <c r="L130" s="412"/>
    </row>
    <row r="131" spans="1:26" x14ac:dyDescent="0.2">
      <c r="A131" s="412"/>
      <c r="B131" s="412"/>
      <c r="C131" s="412"/>
      <c r="D131" s="413" t="s">
        <v>206</v>
      </c>
      <c r="E131" s="414" t="s">
        <v>1069</v>
      </c>
      <c r="F131" s="414"/>
      <c r="G131" s="414"/>
      <c r="H131" s="415">
        <v>97356.98</v>
      </c>
      <c r="I131" s="412"/>
      <c r="J131" s="412"/>
      <c r="K131" s="412"/>
      <c r="L131" s="412"/>
    </row>
    <row r="132" spans="1:26" x14ac:dyDescent="0.2">
      <c r="A132" s="412"/>
      <c r="B132" s="412"/>
      <c r="C132" s="412"/>
      <c r="D132" s="413" t="s">
        <v>207</v>
      </c>
      <c r="E132" s="414" t="s">
        <v>1070</v>
      </c>
      <c r="F132" s="414"/>
      <c r="G132" s="414"/>
      <c r="H132" s="415">
        <v>54971.92</v>
      </c>
      <c r="I132" s="412"/>
      <c r="J132" s="412"/>
      <c r="K132" s="412"/>
      <c r="L132" s="412"/>
    </row>
    <row r="133" spans="1:26" x14ac:dyDescent="0.2">
      <c r="A133" s="412"/>
      <c r="B133" s="412"/>
      <c r="C133" s="412"/>
      <c r="D133" s="416" t="s">
        <v>715</v>
      </c>
      <c r="E133" s="417"/>
      <c r="F133" s="417"/>
      <c r="G133" s="417"/>
      <c r="H133" s="418">
        <v>227413.12</v>
      </c>
      <c r="I133" s="412"/>
      <c r="J133" s="412"/>
      <c r="K133" s="412"/>
      <c r="L133" s="412"/>
    </row>
    <row r="134" spans="1:26" ht="40.799999999999997" x14ac:dyDescent="0.2">
      <c r="A134" s="403">
        <v>14</v>
      </c>
      <c r="B134" s="403">
        <v>21</v>
      </c>
      <c r="C134" s="403" t="s">
        <v>766</v>
      </c>
      <c r="D134" s="403" t="s">
        <v>1045</v>
      </c>
      <c r="E134" s="404">
        <v>126.49</v>
      </c>
      <c r="F134" s="405">
        <v>499.07792000000001</v>
      </c>
      <c r="G134" s="405" t="s">
        <v>281</v>
      </c>
      <c r="H134" s="406">
        <v>515128</v>
      </c>
      <c r="I134" s="406" t="s">
        <v>281</v>
      </c>
      <c r="J134" s="406" t="s">
        <v>281</v>
      </c>
      <c r="K134" s="405" t="s">
        <v>281</v>
      </c>
      <c r="L134" s="405" t="s">
        <v>281</v>
      </c>
      <c r="T134" s="401">
        <v>515128</v>
      </c>
      <c r="V134" s="401" t="s">
        <v>281</v>
      </c>
      <c r="W134" s="401" t="s">
        <v>281</v>
      </c>
      <c r="X134" s="401" t="s">
        <v>281</v>
      </c>
      <c r="Y134" s="401" t="s">
        <v>281</v>
      </c>
      <c r="Z134" s="401" t="s">
        <v>281</v>
      </c>
    </row>
    <row r="135" spans="1:26" x14ac:dyDescent="0.2">
      <c r="A135" s="407"/>
      <c r="B135" s="407"/>
      <c r="C135" s="407"/>
      <c r="D135" s="408" t="s">
        <v>745</v>
      </c>
      <c r="E135" s="409"/>
      <c r="F135" s="410" t="s">
        <v>281</v>
      </c>
      <c r="G135" s="410" t="s">
        <v>281</v>
      </c>
      <c r="H135" s="409"/>
      <c r="I135" s="409"/>
      <c r="J135" s="411" t="s">
        <v>281</v>
      </c>
      <c r="K135" s="410" t="s">
        <v>281</v>
      </c>
      <c r="L135" s="410" t="s">
        <v>281</v>
      </c>
    </row>
    <row r="136" spans="1:26" x14ac:dyDescent="0.2">
      <c r="A136" s="412"/>
      <c r="B136" s="412"/>
      <c r="C136" s="412"/>
      <c r="D136" s="395" t="s">
        <v>718</v>
      </c>
      <c r="E136" s="412"/>
      <c r="F136" s="412"/>
      <c r="G136" s="412"/>
      <c r="H136" s="412"/>
      <c r="I136" s="412"/>
      <c r="J136" s="412"/>
      <c r="K136" s="412"/>
      <c r="L136" s="412"/>
    </row>
    <row r="137" spans="1:26" x14ac:dyDescent="0.2">
      <c r="A137" s="412"/>
      <c r="B137" s="412"/>
      <c r="C137" s="412"/>
      <c r="D137" s="395" t="s">
        <v>1064</v>
      </c>
      <c r="E137" s="412"/>
      <c r="F137" s="412"/>
      <c r="G137" s="412"/>
      <c r="H137" s="412"/>
      <c r="I137" s="412"/>
      <c r="J137" s="412"/>
      <c r="K137" s="412"/>
      <c r="L137" s="412"/>
    </row>
    <row r="138" spans="1:26" x14ac:dyDescent="0.2">
      <c r="A138" s="412"/>
      <c r="B138" s="412"/>
      <c r="C138" s="412"/>
      <c r="D138" s="395" t="s">
        <v>1067</v>
      </c>
      <c r="E138" s="412"/>
      <c r="F138" s="412"/>
      <c r="G138" s="412"/>
      <c r="H138" s="412"/>
      <c r="I138" s="412"/>
      <c r="J138" s="412"/>
      <c r="K138" s="412"/>
      <c r="L138" s="412"/>
    </row>
    <row r="139" spans="1:26" x14ac:dyDescent="0.2">
      <c r="A139" s="412"/>
      <c r="B139" s="412"/>
      <c r="C139" s="412"/>
      <c r="D139" s="412"/>
      <c r="E139" s="412"/>
      <c r="F139" s="412"/>
      <c r="G139" s="412"/>
      <c r="H139" s="412"/>
      <c r="I139" s="412"/>
      <c r="J139" s="412"/>
      <c r="K139" s="412"/>
      <c r="L139" s="412"/>
    </row>
    <row r="140" spans="1:26" x14ac:dyDescent="0.2">
      <c r="A140" s="1087" t="s">
        <v>1072</v>
      </c>
      <c r="B140" s="1087"/>
      <c r="C140" s="1087"/>
      <c r="D140" s="1087"/>
      <c r="E140" s="1087"/>
      <c r="F140" s="1087"/>
      <c r="G140" s="1087"/>
      <c r="H140" s="1087"/>
      <c r="I140" s="1087"/>
      <c r="J140" s="1087"/>
      <c r="K140" s="1087"/>
      <c r="L140" s="1087"/>
    </row>
    <row r="141" spans="1:26" ht="30.6" x14ac:dyDescent="0.2">
      <c r="A141" s="403">
        <v>15</v>
      </c>
      <c r="B141" s="403">
        <v>38</v>
      </c>
      <c r="C141" s="403" t="s">
        <v>1073</v>
      </c>
      <c r="D141" s="403" t="s">
        <v>1046</v>
      </c>
      <c r="E141" s="404">
        <v>1.44E-2</v>
      </c>
      <c r="F141" s="405">
        <v>4553.0737499999996</v>
      </c>
      <c r="G141" s="405">
        <v>2251.2112499999998</v>
      </c>
      <c r="H141" s="406">
        <v>1433.84</v>
      </c>
      <c r="I141" s="406">
        <v>897.79</v>
      </c>
      <c r="J141" s="406">
        <v>429.21</v>
      </c>
      <c r="K141" s="405">
        <v>178.53749999999999</v>
      </c>
      <c r="L141" s="405">
        <v>2.5709399999999998</v>
      </c>
      <c r="T141" s="401">
        <v>3134.88</v>
      </c>
      <c r="V141" s="401">
        <v>897.79</v>
      </c>
      <c r="W141" s="401">
        <v>429.21</v>
      </c>
      <c r="X141" s="401">
        <v>226.49</v>
      </c>
      <c r="Y141" s="401">
        <v>2.5709399999999998</v>
      </c>
      <c r="Z141" s="401">
        <v>0.37508399999999997</v>
      </c>
    </row>
    <row r="142" spans="1:26" x14ac:dyDescent="0.2">
      <c r="A142" s="407"/>
      <c r="B142" s="407"/>
      <c r="C142" s="407"/>
      <c r="D142" s="408" t="s">
        <v>901</v>
      </c>
      <c r="E142" s="409"/>
      <c r="F142" s="410">
        <v>1392.5925</v>
      </c>
      <c r="G142" s="410">
        <v>351.31062500000002</v>
      </c>
      <c r="H142" s="409"/>
      <c r="I142" s="409"/>
      <c r="J142" s="411">
        <v>226.49</v>
      </c>
      <c r="K142" s="410">
        <v>26.047499999999999</v>
      </c>
      <c r="L142" s="410">
        <v>0.37508399999999997</v>
      </c>
    </row>
    <row r="143" spans="1:26" x14ac:dyDescent="0.2">
      <c r="D143" s="468" t="s">
        <v>1074</v>
      </c>
    </row>
    <row r="144" spans="1:26" ht="20.399999999999999" x14ac:dyDescent="0.2">
      <c r="A144" s="412"/>
      <c r="B144" s="412"/>
      <c r="C144" s="412"/>
      <c r="D144" s="395" t="s">
        <v>714</v>
      </c>
      <c r="E144" s="412"/>
      <c r="F144" s="412"/>
      <c r="G144" s="412"/>
      <c r="H144" s="412"/>
      <c r="I144" s="412"/>
      <c r="J144" s="412"/>
      <c r="K144" s="412"/>
      <c r="L144" s="412"/>
    </row>
    <row r="145" spans="1:26" ht="20.399999999999999" x14ac:dyDescent="0.2">
      <c r="A145" s="412"/>
      <c r="B145" s="412"/>
      <c r="C145" s="412"/>
      <c r="D145" s="395" t="s">
        <v>978</v>
      </c>
      <c r="E145" s="412"/>
      <c r="F145" s="412"/>
      <c r="G145" s="412"/>
      <c r="H145" s="412"/>
      <c r="I145" s="412"/>
      <c r="J145" s="412"/>
      <c r="K145" s="412"/>
      <c r="L145" s="412"/>
    </row>
    <row r="146" spans="1:26" ht="132.6" x14ac:dyDescent="0.2">
      <c r="A146" s="412"/>
      <c r="B146" s="412"/>
      <c r="C146" s="412"/>
      <c r="D146" s="395" t="s">
        <v>979</v>
      </c>
      <c r="E146" s="412"/>
      <c r="F146" s="412"/>
      <c r="G146" s="412"/>
      <c r="H146" s="412"/>
      <c r="I146" s="412"/>
      <c r="J146" s="412"/>
      <c r="K146" s="412"/>
      <c r="L146" s="412"/>
    </row>
    <row r="147" spans="1:26" x14ac:dyDescent="0.2">
      <c r="A147" s="412"/>
      <c r="B147" s="412"/>
      <c r="C147" s="412"/>
      <c r="D147" s="413" t="s">
        <v>206</v>
      </c>
      <c r="E147" s="414" t="s">
        <v>738</v>
      </c>
      <c r="F147" s="414"/>
      <c r="G147" s="414"/>
      <c r="H147" s="415">
        <v>1146.77</v>
      </c>
      <c r="I147" s="412"/>
      <c r="J147" s="412"/>
      <c r="K147" s="412"/>
      <c r="L147" s="412"/>
    </row>
    <row r="148" spans="1:26" x14ac:dyDescent="0.2">
      <c r="A148" s="412"/>
      <c r="B148" s="412"/>
      <c r="C148" s="412"/>
      <c r="D148" s="413" t="s">
        <v>207</v>
      </c>
      <c r="E148" s="414" t="s">
        <v>1075</v>
      </c>
      <c r="F148" s="414"/>
      <c r="G148" s="414"/>
      <c r="H148" s="415">
        <v>554.27</v>
      </c>
      <c r="I148" s="412"/>
      <c r="J148" s="412"/>
      <c r="K148" s="412"/>
      <c r="L148" s="412"/>
    </row>
    <row r="149" spans="1:26" x14ac:dyDescent="0.2">
      <c r="A149" s="412"/>
      <c r="B149" s="412"/>
      <c r="C149" s="412"/>
      <c r="D149" s="416" t="s">
        <v>715</v>
      </c>
      <c r="E149" s="417"/>
      <c r="F149" s="417"/>
      <c r="G149" s="417"/>
      <c r="H149" s="418">
        <v>3134.88</v>
      </c>
      <c r="I149" s="412"/>
      <c r="J149" s="412"/>
      <c r="K149" s="412"/>
      <c r="L149" s="412"/>
    </row>
    <row r="150" spans="1:26" ht="20.399999999999999" x14ac:dyDescent="0.2">
      <c r="A150" s="403">
        <v>16</v>
      </c>
      <c r="B150" s="403">
        <v>39</v>
      </c>
      <c r="C150" s="403" t="s">
        <v>1076</v>
      </c>
      <c r="D150" s="403" t="s">
        <v>1077</v>
      </c>
      <c r="E150" s="404">
        <v>1.4684999999999999</v>
      </c>
      <c r="F150" s="405">
        <v>560</v>
      </c>
      <c r="G150" s="405" t="s">
        <v>281</v>
      </c>
      <c r="H150" s="406">
        <v>6710.46</v>
      </c>
      <c r="I150" s="406" t="s">
        <v>281</v>
      </c>
      <c r="J150" s="406" t="s">
        <v>281</v>
      </c>
      <c r="K150" s="405" t="s">
        <v>281</v>
      </c>
      <c r="L150" s="405" t="s">
        <v>281</v>
      </c>
      <c r="T150" s="401">
        <v>6710.46</v>
      </c>
      <c r="V150" s="401" t="s">
        <v>281</v>
      </c>
      <c r="W150" s="401" t="s">
        <v>281</v>
      </c>
      <c r="X150" s="401" t="s">
        <v>281</v>
      </c>
      <c r="Y150" s="401" t="s">
        <v>281</v>
      </c>
      <c r="Z150" s="401" t="s">
        <v>281</v>
      </c>
    </row>
    <row r="151" spans="1:26" x14ac:dyDescent="0.2">
      <c r="A151" s="407"/>
      <c r="B151" s="407"/>
      <c r="C151" s="407"/>
      <c r="D151" s="408" t="s">
        <v>745</v>
      </c>
      <c r="E151" s="409"/>
      <c r="F151" s="410" t="s">
        <v>281</v>
      </c>
      <c r="G151" s="410" t="s">
        <v>281</v>
      </c>
      <c r="H151" s="409"/>
      <c r="I151" s="409"/>
      <c r="J151" s="411" t="s">
        <v>281</v>
      </c>
      <c r="K151" s="410" t="s">
        <v>281</v>
      </c>
      <c r="L151" s="410" t="s">
        <v>281</v>
      </c>
    </row>
    <row r="152" spans="1:26" x14ac:dyDescent="0.2">
      <c r="A152" s="412"/>
      <c r="B152" s="412"/>
      <c r="C152" s="412"/>
      <c r="D152" s="395" t="s">
        <v>718</v>
      </c>
      <c r="E152" s="412"/>
      <c r="F152" s="412"/>
      <c r="G152" s="412"/>
      <c r="H152" s="412"/>
      <c r="I152" s="412"/>
      <c r="J152" s="412"/>
      <c r="K152" s="412"/>
      <c r="L152" s="412"/>
    </row>
    <row r="153" spans="1:26" ht="40.799999999999997" x14ac:dyDescent="0.2">
      <c r="A153" s="403">
        <v>17</v>
      </c>
      <c r="B153" s="403">
        <v>40</v>
      </c>
      <c r="C153" s="403" t="s">
        <v>1078</v>
      </c>
      <c r="D153" s="403" t="s">
        <v>1047</v>
      </c>
      <c r="E153" s="404">
        <v>5.3999999999999999E-2</v>
      </c>
      <c r="F153" s="405">
        <v>15365.92395</v>
      </c>
      <c r="G153" s="405">
        <v>4065.7674999999999</v>
      </c>
      <c r="H153" s="406">
        <v>22025.45</v>
      </c>
      <c r="I153" s="406">
        <v>17290.79</v>
      </c>
      <c r="J153" s="406">
        <v>2906.86</v>
      </c>
      <c r="K153" s="405">
        <v>838.46500000000003</v>
      </c>
      <c r="L153" s="405">
        <v>45.27711</v>
      </c>
      <c r="T153" s="401">
        <v>50452.97</v>
      </c>
      <c r="V153" s="401">
        <v>17290.79</v>
      </c>
      <c r="W153" s="401">
        <v>2906.86</v>
      </c>
      <c r="X153" s="401">
        <v>1498.05</v>
      </c>
      <c r="Y153" s="401">
        <v>45.27711</v>
      </c>
      <c r="Z153" s="401">
        <v>2.4933149999999999</v>
      </c>
    </row>
    <row r="154" spans="1:26" x14ac:dyDescent="0.2">
      <c r="A154" s="407"/>
      <c r="B154" s="407"/>
      <c r="C154" s="407"/>
      <c r="D154" s="408" t="s">
        <v>901</v>
      </c>
      <c r="E154" s="409"/>
      <c r="F154" s="410">
        <v>7152.1064500000002</v>
      </c>
      <c r="G154" s="410">
        <v>619.64874999999995</v>
      </c>
      <c r="H154" s="409"/>
      <c r="I154" s="409"/>
      <c r="J154" s="411">
        <v>1498.05</v>
      </c>
      <c r="K154" s="410">
        <v>46.172499999999999</v>
      </c>
      <c r="L154" s="410">
        <v>2.4933149999999999</v>
      </c>
    </row>
    <row r="155" spans="1:26" x14ac:dyDescent="0.2">
      <c r="D155" s="468" t="s">
        <v>1079</v>
      </c>
    </row>
    <row r="156" spans="1:26" ht="20.399999999999999" x14ac:dyDescent="0.2">
      <c r="A156" s="412"/>
      <c r="B156" s="412"/>
      <c r="C156" s="412"/>
      <c r="D156" s="395" t="s">
        <v>714</v>
      </c>
      <c r="E156" s="412"/>
      <c r="F156" s="412"/>
      <c r="G156" s="412"/>
      <c r="H156" s="412"/>
      <c r="I156" s="412"/>
      <c r="J156" s="412"/>
      <c r="K156" s="412"/>
      <c r="L156" s="412"/>
    </row>
    <row r="157" spans="1:26" ht="20.399999999999999" x14ac:dyDescent="0.2">
      <c r="A157" s="412"/>
      <c r="B157" s="412"/>
      <c r="C157" s="412"/>
      <c r="D157" s="395" t="s">
        <v>978</v>
      </c>
      <c r="E157" s="412"/>
      <c r="F157" s="412"/>
      <c r="G157" s="412"/>
      <c r="H157" s="412"/>
      <c r="I157" s="412"/>
      <c r="J157" s="412"/>
      <c r="K157" s="412"/>
      <c r="L157" s="412"/>
    </row>
    <row r="158" spans="1:26" ht="132.6" x14ac:dyDescent="0.2">
      <c r="A158" s="412"/>
      <c r="B158" s="412"/>
      <c r="C158" s="412"/>
      <c r="D158" s="395" t="s">
        <v>979</v>
      </c>
      <c r="E158" s="412"/>
      <c r="F158" s="412"/>
      <c r="G158" s="412"/>
      <c r="H158" s="412"/>
      <c r="I158" s="412"/>
      <c r="J158" s="412"/>
      <c r="K158" s="412"/>
      <c r="L158" s="412"/>
    </row>
    <row r="159" spans="1:26" x14ac:dyDescent="0.2">
      <c r="A159" s="412"/>
      <c r="B159" s="412"/>
      <c r="C159" s="412"/>
      <c r="D159" s="413" t="s">
        <v>206</v>
      </c>
      <c r="E159" s="414" t="s">
        <v>738</v>
      </c>
      <c r="F159" s="414"/>
      <c r="G159" s="414"/>
      <c r="H159" s="415">
        <v>19164.62</v>
      </c>
      <c r="I159" s="412"/>
      <c r="J159" s="412"/>
      <c r="K159" s="412"/>
      <c r="L159" s="412"/>
    </row>
    <row r="160" spans="1:26" x14ac:dyDescent="0.2">
      <c r="A160" s="412"/>
      <c r="B160" s="412"/>
      <c r="C160" s="412"/>
      <c r="D160" s="413" t="s">
        <v>207</v>
      </c>
      <c r="E160" s="414" t="s">
        <v>1075</v>
      </c>
      <c r="F160" s="414"/>
      <c r="G160" s="414"/>
      <c r="H160" s="415">
        <v>9262.9</v>
      </c>
      <c r="I160" s="412"/>
      <c r="J160" s="412"/>
      <c r="K160" s="412"/>
      <c r="L160" s="412"/>
    </row>
    <row r="161" spans="1:26" x14ac:dyDescent="0.2">
      <c r="A161" s="412"/>
      <c r="B161" s="412"/>
      <c r="C161" s="412"/>
      <c r="D161" s="416" t="s">
        <v>715</v>
      </c>
      <c r="E161" s="417"/>
      <c r="F161" s="417"/>
      <c r="G161" s="417"/>
      <c r="H161" s="418">
        <v>50452.97</v>
      </c>
      <c r="I161" s="412"/>
      <c r="J161" s="412"/>
      <c r="K161" s="412"/>
      <c r="L161" s="412"/>
    </row>
    <row r="162" spans="1:26" ht="20.399999999999999" x14ac:dyDescent="0.2">
      <c r="A162" s="403">
        <v>18</v>
      </c>
      <c r="B162" s="403">
        <v>41</v>
      </c>
      <c r="C162" s="403" t="s">
        <v>1080</v>
      </c>
      <c r="D162" s="403" t="s">
        <v>1520</v>
      </c>
      <c r="E162" s="404">
        <v>2.46E-2</v>
      </c>
      <c r="F162" s="405">
        <v>6213.48</v>
      </c>
      <c r="G162" s="405" t="s">
        <v>281</v>
      </c>
      <c r="H162" s="406">
        <v>1247.27</v>
      </c>
      <c r="I162" s="406" t="s">
        <v>281</v>
      </c>
      <c r="J162" s="406" t="s">
        <v>281</v>
      </c>
      <c r="K162" s="405" t="s">
        <v>281</v>
      </c>
      <c r="L162" s="405" t="s">
        <v>281</v>
      </c>
      <c r="T162" s="401">
        <v>1247.27</v>
      </c>
      <c r="V162" s="401" t="s">
        <v>281</v>
      </c>
      <c r="W162" s="401" t="s">
        <v>281</v>
      </c>
      <c r="X162" s="401" t="s">
        <v>281</v>
      </c>
      <c r="Y162" s="401" t="s">
        <v>281</v>
      </c>
      <c r="Z162" s="401" t="s">
        <v>281</v>
      </c>
    </row>
    <row r="163" spans="1:26" x14ac:dyDescent="0.2">
      <c r="A163" s="407"/>
      <c r="B163" s="407"/>
      <c r="C163" s="407"/>
      <c r="D163" s="408" t="s">
        <v>224</v>
      </c>
      <c r="E163" s="409"/>
      <c r="F163" s="410" t="s">
        <v>281</v>
      </c>
      <c r="G163" s="410" t="s">
        <v>281</v>
      </c>
      <c r="H163" s="409"/>
      <c r="I163" s="409"/>
      <c r="J163" s="411" t="s">
        <v>281</v>
      </c>
      <c r="K163" s="410" t="s">
        <v>281</v>
      </c>
      <c r="L163" s="410" t="s">
        <v>281</v>
      </c>
    </row>
    <row r="164" spans="1:26" x14ac:dyDescent="0.2">
      <c r="A164" s="412"/>
      <c r="B164" s="412"/>
      <c r="C164" s="412"/>
      <c r="D164" s="395" t="s">
        <v>718</v>
      </c>
      <c r="E164" s="412"/>
      <c r="F164" s="412"/>
      <c r="G164" s="412"/>
      <c r="H164" s="412"/>
      <c r="I164" s="412"/>
      <c r="J164" s="412"/>
      <c r="K164" s="412"/>
      <c r="L164" s="412"/>
    </row>
    <row r="165" spans="1:26" ht="20.399999999999999" x14ac:dyDescent="0.2">
      <c r="A165" s="403">
        <v>19</v>
      </c>
      <c r="B165" s="403">
        <v>42</v>
      </c>
      <c r="C165" s="403" t="s">
        <v>1081</v>
      </c>
      <c r="D165" s="403" t="s">
        <v>1523</v>
      </c>
      <c r="E165" s="404">
        <v>0.11025</v>
      </c>
      <c r="F165" s="405">
        <v>5584.58</v>
      </c>
      <c r="G165" s="405" t="s">
        <v>281</v>
      </c>
      <c r="H165" s="406">
        <v>5024.1099999999997</v>
      </c>
      <c r="I165" s="406" t="s">
        <v>281</v>
      </c>
      <c r="J165" s="406" t="s">
        <v>281</v>
      </c>
      <c r="K165" s="405" t="s">
        <v>281</v>
      </c>
      <c r="L165" s="405" t="s">
        <v>281</v>
      </c>
      <c r="T165" s="401">
        <v>5024.1099999999997</v>
      </c>
      <c r="V165" s="401" t="s">
        <v>281</v>
      </c>
      <c r="W165" s="401" t="s">
        <v>281</v>
      </c>
      <c r="X165" s="401" t="s">
        <v>281</v>
      </c>
      <c r="Y165" s="401" t="s">
        <v>281</v>
      </c>
      <c r="Z165" s="401" t="s">
        <v>281</v>
      </c>
    </row>
    <row r="166" spans="1:26" x14ac:dyDescent="0.2">
      <c r="A166" s="407"/>
      <c r="B166" s="407"/>
      <c r="C166" s="407"/>
      <c r="D166" s="408" t="s">
        <v>224</v>
      </c>
      <c r="E166" s="409"/>
      <c r="F166" s="410" t="s">
        <v>281</v>
      </c>
      <c r="G166" s="410" t="s">
        <v>281</v>
      </c>
      <c r="H166" s="409"/>
      <c r="I166" s="409"/>
      <c r="J166" s="411" t="s">
        <v>281</v>
      </c>
      <c r="K166" s="410" t="s">
        <v>281</v>
      </c>
      <c r="L166" s="410" t="s">
        <v>281</v>
      </c>
    </row>
    <row r="167" spans="1:26" x14ac:dyDescent="0.2">
      <c r="A167" s="412"/>
      <c r="B167" s="412"/>
      <c r="C167" s="412"/>
      <c r="D167" s="395" t="s">
        <v>718</v>
      </c>
      <c r="E167" s="412"/>
      <c r="F167" s="412"/>
      <c r="G167" s="412"/>
      <c r="H167" s="412"/>
      <c r="I167" s="412"/>
      <c r="J167" s="412"/>
      <c r="K167" s="412"/>
      <c r="L167" s="412"/>
    </row>
    <row r="168" spans="1:26" ht="20.399999999999999" x14ac:dyDescent="0.2">
      <c r="A168" s="403">
        <v>20</v>
      </c>
      <c r="B168" s="403">
        <v>43</v>
      </c>
      <c r="C168" s="403" t="s">
        <v>1082</v>
      </c>
      <c r="D168" s="403" t="s">
        <v>1522</v>
      </c>
      <c r="E168" s="404">
        <v>6.3E-2</v>
      </c>
      <c r="F168" s="405">
        <v>5488.69</v>
      </c>
      <c r="G168" s="405" t="s">
        <v>281</v>
      </c>
      <c r="H168" s="406">
        <v>2821.63</v>
      </c>
      <c r="I168" s="406" t="s">
        <v>281</v>
      </c>
      <c r="J168" s="406" t="s">
        <v>281</v>
      </c>
      <c r="K168" s="405" t="s">
        <v>281</v>
      </c>
      <c r="L168" s="405" t="s">
        <v>281</v>
      </c>
      <c r="T168" s="401">
        <v>2821.63</v>
      </c>
      <c r="V168" s="401" t="s">
        <v>281</v>
      </c>
      <c r="W168" s="401" t="s">
        <v>281</v>
      </c>
      <c r="X168" s="401" t="s">
        <v>281</v>
      </c>
      <c r="Y168" s="401" t="s">
        <v>281</v>
      </c>
      <c r="Z168" s="401" t="s">
        <v>281</v>
      </c>
    </row>
    <row r="169" spans="1:26" x14ac:dyDescent="0.2">
      <c r="A169" s="407"/>
      <c r="B169" s="407"/>
      <c r="C169" s="407"/>
      <c r="D169" s="408" t="s">
        <v>224</v>
      </c>
      <c r="E169" s="409"/>
      <c r="F169" s="410" t="s">
        <v>281</v>
      </c>
      <c r="G169" s="410" t="s">
        <v>281</v>
      </c>
      <c r="H169" s="409"/>
      <c r="I169" s="409"/>
      <c r="J169" s="411" t="s">
        <v>281</v>
      </c>
      <c r="K169" s="410" t="s">
        <v>281</v>
      </c>
      <c r="L169" s="410" t="s">
        <v>281</v>
      </c>
    </row>
    <row r="170" spans="1:26" x14ac:dyDescent="0.2">
      <c r="A170" s="412"/>
      <c r="B170" s="412"/>
      <c r="C170" s="412"/>
      <c r="D170" s="395" t="s">
        <v>718</v>
      </c>
      <c r="E170" s="412"/>
      <c r="F170" s="412"/>
      <c r="G170" s="412"/>
      <c r="H170" s="412"/>
      <c r="I170" s="412"/>
      <c r="J170" s="412"/>
      <c r="K170" s="412"/>
      <c r="L170" s="412"/>
    </row>
    <row r="171" spans="1:26" ht="40.799999999999997" x14ac:dyDescent="0.2">
      <c r="A171" s="403">
        <v>21</v>
      </c>
      <c r="B171" s="403">
        <v>44</v>
      </c>
      <c r="C171" s="403" t="s">
        <v>1083</v>
      </c>
      <c r="D171" s="403" t="s">
        <v>1048</v>
      </c>
      <c r="E171" s="404">
        <v>5.3999999999999999E-2</v>
      </c>
      <c r="F171" s="405">
        <v>4153.9525000000003</v>
      </c>
      <c r="G171" s="405">
        <v>798.56</v>
      </c>
      <c r="H171" s="406">
        <v>6350.32</v>
      </c>
      <c r="I171" s="406">
        <v>5259.48</v>
      </c>
      <c r="J171" s="406">
        <v>570.94000000000005</v>
      </c>
      <c r="K171" s="405">
        <v>231.4375</v>
      </c>
      <c r="L171" s="405">
        <v>12.497624999999999</v>
      </c>
      <c r="T171" s="401">
        <v>14655.27</v>
      </c>
      <c r="V171" s="401">
        <v>5259.48</v>
      </c>
      <c r="W171" s="401">
        <v>570.94000000000005</v>
      </c>
      <c r="X171" s="401">
        <v>229.58</v>
      </c>
      <c r="Y171" s="401">
        <v>12.497624999999999</v>
      </c>
      <c r="Z171" s="401">
        <v>0.39045400000000002</v>
      </c>
    </row>
    <row r="172" spans="1:26" x14ac:dyDescent="0.2">
      <c r="A172" s="407"/>
      <c r="B172" s="407"/>
      <c r="C172" s="407"/>
      <c r="D172" s="408" t="s">
        <v>901</v>
      </c>
      <c r="E172" s="409"/>
      <c r="F172" s="410">
        <v>2175.5124999999998</v>
      </c>
      <c r="G172" s="410">
        <v>94.961250000000007</v>
      </c>
      <c r="H172" s="409"/>
      <c r="I172" s="409"/>
      <c r="J172" s="411">
        <v>229.58</v>
      </c>
      <c r="K172" s="410">
        <v>7.2306249999999999</v>
      </c>
      <c r="L172" s="410">
        <v>0.39045400000000002</v>
      </c>
    </row>
    <row r="173" spans="1:26" x14ac:dyDescent="0.2">
      <c r="D173" s="468" t="s">
        <v>1079</v>
      </c>
    </row>
    <row r="174" spans="1:26" ht="20.399999999999999" x14ac:dyDescent="0.2">
      <c r="A174" s="412"/>
      <c r="B174" s="412"/>
      <c r="C174" s="412"/>
      <c r="D174" s="395" t="s">
        <v>714</v>
      </c>
      <c r="E174" s="412"/>
      <c r="F174" s="412"/>
      <c r="G174" s="412"/>
      <c r="H174" s="412"/>
      <c r="I174" s="412"/>
      <c r="J174" s="412"/>
      <c r="K174" s="412"/>
      <c r="L174" s="412"/>
    </row>
    <row r="175" spans="1:26" ht="20.399999999999999" x14ac:dyDescent="0.2">
      <c r="A175" s="412"/>
      <c r="B175" s="412"/>
      <c r="C175" s="412"/>
      <c r="D175" s="395" t="s">
        <v>978</v>
      </c>
      <c r="E175" s="412"/>
      <c r="F175" s="412"/>
      <c r="G175" s="412"/>
      <c r="H175" s="412"/>
      <c r="I175" s="412"/>
      <c r="J175" s="412"/>
      <c r="K175" s="412"/>
      <c r="L175" s="412"/>
    </row>
    <row r="176" spans="1:26" ht="132.6" x14ac:dyDescent="0.2">
      <c r="A176" s="412"/>
      <c r="B176" s="412"/>
      <c r="C176" s="412"/>
      <c r="D176" s="395" t="s">
        <v>979</v>
      </c>
      <c r="E176" s="412"/>
      <c r="F176" s="412"/>
      <c r="G176" s="412"/>
      <c r="H176" s="412"/>
      <c r="I176" s="412"/>
      <c r="J176" s="412"/>
      <c r="K176" s="412"/>
      <c r="L176" s="412"/>
    </row>
    <row r="177" spans="1:26" x14ac:dyDescent="0.2">
      <c r="A177" s="412"/>
      <c r="B177" s="412"/>
      <c r="C177" s="412"/>
      <c r="D177" s="413" t="s">
        <v>206</v>
      </c>
      <c r="E177" s="414" t="s">
        <v>738</v>
      </c>
      <c r="F177" s="414"/>
      <c r="G177" s="414"/>
      <c r="H177" s="415">
        <v>5598.84</v>
      </c>
      <c r="I177" s="412"/>
      <c r="J177" s="412"/>
      <c r="K177" s="412"/>
      <c r="L177" s="412"/>
    </row>
    <row r="178" spans="1:26" x14ac:dyDescent="0.2">
      <c r="A178" s="412"/>
      <c r="B178" s="412"/>
      <c r="C178" s="412"/>
      <c r="D178" s="413" t="s">
        <v>207</v>
      </c>
      <c r="E178" s="414" t="s">
        <v>1075</v>
      </c>
      <c r="F178" s="414"/>
      <c r="G178" s="414"/>
      <c r="H178" s="415">
        <v>2706.11</v>
      </c>
      <c r="I178" s="412"/>
      <c r="J178" s="412"/>
      <c r="K178" s="412"/>
      <c r="L178" s="412"/>
    </row>
    <row r="179" spans="1:26" x14ac:dyDescent="0.2">
      <c r="A179" s="412"/>
      <c r="B179" s="412"/>
      <c r="C179" s="412"/>
      <c r="D179" s="416" t="s">
        <v>715</v>
      </c>
      <c r="E179" s="417"/>
      <c r="F179" s="417"/>
      <c r="G179" s="417"/>
      <c r="H179" s="418">
        <v>14655.27</v>
      </c>
      <c r="I179" s="412"/>
      <c r="J179" s="412"/>
      <c r="K179" s="412"/>
      <c r="L179" s="412"/>
    </row>
    <row r="180" spans="1:26" ht="40.799999999999997" x14ac:dyDescent="0.2">
      <c r="A180" s="403">
        <v>22</v>
      </c>
      <c r="B180" s="403">
        <v>45</v>
      </c>
      <c r="C180" s="403" t="s">
        <v>1084</v>
      </c>
      <c r="D180" s="403" t="s">
        <v>1049</v>
      </c>
      <c r="E180" s="404">
        <v>5.3999999999999999E-2</v>
      </c>
      <c r="F180" s="405">
        <v>1033.8404</v>
      </c>
      <c r="G180" s="405">
        <v>35.880000000000003</v>
      </c>
      <c r="H180" s="406">
        <v>1843.34</v>
      </c>
      <c r="I180" s="406">
        <v>1685.08</v>
      </c>
      <c r="J180" s="406">
        <v>25.65</v>
      </c>
      <c r="K180" s="405">
        <v>80.672499999999999</v>
      </c>
      <c r="L180" s="405">
        <v>4.3563150000000004</v>
      </c>
      <c r="T180" s="401">
        <v>4408.05</v>
      </c>
      <c r="V180" s="401">
        <v>1685.08</v>
      </c>
      <c r="W180" s="401">
        <v>25.65</v>
      </c>
      <c r="X180" s="401">
        <v>10.039999999999999</v>
      </c>
      <c r="Y180" s="401">
        <v>4.3563150000000004</v>
      </c>
      <c r="Z180" s="401">
        <v>2.1735000000000001E-2</v>
      </c>
    </row>
    <row r="181" spans="1:26" x14ac:dyDescent="0.2">
      <c r="A181" s="407"/>
      <c r="B181" s="407"/>
      <c r="C181" s="407"/>
      <c r="D181" s="408" t="s">
        <v>901</v>
      </c>
      <c r="E181" s="409"/>
      <c r="F181" s="410">
        <v>697.0104</v>
      </c>
      <c r="G181" s="410">
        <v>4.1543749999999999</v>
      </c>
      <c r="H181" s="409"/>
      <c r="I181" s="409"/>
      <c r="J181" s="411">
        <v>10.039999999999999</v>
      </c>
      <c r="K181" s="410">
        <v>0.40250000000000002</v>
      </c>
      <c r="L181" s="410">
        <v>2.1735000000000001E-2</v>
      </c>
    </row>
    <row r="182" spans="1:26" x14ac:dyDescent="0.2">
      <c r="D182" s="468" t="s">
        <v>1079</v>
      </c>
    </row>
    <row r="183" spans="1:26" ht="20.399999999999999" x14ac:dyDescent="0.2">
      <c r="A183" s="412"/>
      <c r="B183" s="412"/>
      <c r="C183" s="412"/>
      <c r="D183" s="395" t="s">
        <v>714</v>
      </c>
      <c r="E183" s="412"/>
      <c r="F183" s="412"/>
      <c r="G183" s="412"/>
      <c r="H183" s="412"/>
      <c r="I183" s="412"/>
      <c r="J183" s="412"/>
      <c r="K183" s="412"/>
      <c r="L183" s="412"/>
    </row>
    <row r="184" spans="1:26" ht="20.399999999999999" x14ac:dyDescent="0.2">
      <c r="A184" s="412"/>
      <c r="B184" s="412"/>
      <c r="C184" s="412"/>
      <c r="D184" s="395" t="s">
        <v>978</v>
      </c>
      <c r="E184" s="412"/>
      <c r="F184" s="412"/>
      <c r="G184" s="412"/>
      <c r="H184" s="412"/>
      <c r="I184" s="412"/>
      <c r="J184" s="412"/>
      <c r="K184" s="412"/>
      <c r="L184" s="412"/>
    </row>
    <row r="185" spans="1:26" ht="132.6" x14ac:dyDescent="0.2">
      <c r="A185" s="412"/>
      <c r="B185" s="412"/>
      <c r="C185" s="412"/>
      <c r="D185" s="395" t="s">
        <v>979</v>
      </c>
      <c r="E185" s="412"/>
      <c r="F185" s="412"/>
      <c r="G185" s="412"/>
      <c r="H185" s="412"/>
      <c r="I185" s="412"/>
      <c r="J185" s="412"/>
      <c r="K185" s="412"/>
      <c r="L185" s="412"/>
    </row>
    <row r="186" spans="1:26" x14ac:dyDescent="0.2">
      <c r="A186" s="412"/>
      <c r="B186" s="412"/>
      <c r="C186" s="412"/>
      <c r="D186" s="413" t="s">
        <v>206</v>
      </c>
      <c r="E186" s="414" t="s">
        <v>738</v>
      </c>
      <c r="F186" s="414"/>
      <c r="G186" s="414"/>
      <c r="H186" s="415">
        <v>1729.02</v>
      </c>
      <c r="I186" s="412"/>
      <c r="J186" s="412"/>
      <c r="K186" s="412"/>
      <c r="L186" s="412"/>
    </row>
    <row r="187" spans="1:26" x14ac:dyDescent="0.2">
      <c r="A187" s="412"/>
      <c r="B187" s="412"/>
      <c r="C187" s="412"/>
      <c r="D187" s="413" t="s">
        <v>207</v>
      </c>
      <c r="E187" s="414" t="s">
        <v>1075</v>
      </c>
      <c r="F187" s="414"/>
      <c r="G187" s="414"/>
      <c r="H187" s="415">
        <v>835.69</v>
      </c>
      <c r="I187" s="412"/>
      <c r="J187" s="412"/>
      <c r="K187" s="412"/>
      <c r="L187" s="412"/>
    </row>
    <row r="188" spans="1:26" x14ac:dyDescent="0.2">
      <c r="A188" s="412"/>
      <c r="B188" s="412"/>
      <c r="C188" s="412"/>
      <c r="D188" s="416" t="s">
        <v>715</v>
      </c>
      <c r="E188" s="417"/>
      <c r="F188" s="417"/>
      <c r="G188" s="417"/>
      <c r="H188" s="418">
        <v>4408.05</v>
      </c>
      <c r="I188" s="412"/>
      <c r="J188" s="412"/>
      <c r="K188" s="412"/>
      <c r="L188" s="412"/>
    </row>
    <row r="189" spans="1:26" ht="20.399999999999999" x14ac:dyDescent="0.2">
      <c r="A189" s="403">
        <v>23</v>
      </c>
      <c r="B189" s="403">
        <v>46</v>
      </c>
      <c r="C189" s="403" t="s">
        <v>1085</v>
      </c>
      <c r="D189" s="403" t="s">
        <v>1086</v>
      </c>
      <c r="E189" s="404">
        <v>5.4809999999999999</v>
      </c>
      <c r="F189" s="405">
        <v>725.69</v>
      </c>
      <c r="G189" s="405" t="s">
        <v>281</v>
      </c>
      <c r="H189" s="406">
        <v>32456.45</v>
      </c>
      <c r="I189" s="406" t="s">
        <v>281</v>
      </c>
      <c r="J189" s="406" t="s">
        <v>281</v>
      </c>
      <c r="K189" s="405" t="s">
        <v>281</v>
      </c>
      <c r="L189" s="405" t="s">
        <v>281</v>
      </c>
      <c r="T189" s="401">
        <v>32456.45</v>
      </c>
      <c r="V189" s="401" t="s">
        <v>281</v>
      </c>
      <c r="W189" s="401" t="s">
        <v>281</v>
      </c>
      <c r="X189" s="401" t="s">
        <v>281</v>
      </c>
      <c r="Y189" s="401" t="s">
        <v>281</v>
      </c>
      <c r="Z189" s="401" t="s">
        <v>281</v>
      </c>
    </row>
    <row r="190" spans="1:26" x14ac:dyDescent="0.2">
      <c r="A190" s="407"/>
      <c r="B190" s="407"/>
      <c r="C190" s="407"/>
      <c r="D190" s="408" t="s">
        <v>745</v>
      </c>
      <c r="E190" s="409"/>
      <c r="F190" s="410" t="s">
        <v>281</v>
      </c>
      <c r="G190" s="410" t="s">
        <v>281</v>
      </c>
      <c r="H190" s="409"/>
      <c r="I190" s="409"/>
      <c r="J190" s="411" t="s">
        <v>281</v>
      </c>
      <c r="K190" s="410" t="s">
        <v>281</v>
      </c>
      <c r="L190" s="410" t="s">
        <v>281</v>
      </c>
    </row>
    <row r="191" spans="1:26" x14ac:dyDescent="0.2">
      <c r="A191" s="412"/>
      <c r="B191" s="412"/>
      <c r="C191" s="412"/>
      <c r="D191" s="395" t="s">
        <v>718</v>
      </c>
      <c r="E191" s="412"/>
      <c r="F191" s="412"/>
      <c r="G191" s="412"/>
      <c r="H191" s="412"/>
      <c r="I191" s="412"/>
      <c r="J191" s="412"/>
      <c r="K191" s="412"/>
      <c r="L191" s="412"/>
    </row>
    <row r="192" spans="1:26" ht="30.6" x14ac:dyDescent="0.2">
      <c r="A192" s="403">
        <v>24</v>
      </c>
      <c r="B192" s="403">
        <v>47</v>
      </c>
      <c r="C192" s="403" t="s">
        <v>1085</v>
      </c>
      <c r="D192" s="403" t="s">
        <v>1050</v>
      </c>
      <c r="E192" s="404">
        <v>5.4809999999999999</v>
      </c>
      <c r="F192" s="405">
        <v>19.371569000000001</v>
      </c>
      <c r="G192" s="405" t="s">
        <v>281</v>
      </c>
      <c r="H192" s="406">
        <v>866.38</v>
      </c>
      <c r="I192" s="406" t="s">
        <v>281</v>
      </c>
      <c r="J192" s="406" t="s">
        <v>281</v>
      </c>
      <c r="K192" s="405" t="s">
        <v>281</v>
      </c>
      <c r="L192" s="405" t="s">
        <v>281</v>
      </c>
      <c r="T192" s="401">
        <v>866.38</v>
      </c>
      <c r="V192" s="401" t="s">
        <v>281</v>
      </c>
      <c r="W192" s="401" t="s">
        <v>281</v>
      </c>
      <c r="X192" s="401" t="s">
        <v>281</v>
      </c>
      <c r="Y192" s="401" t="s">
        <v>281</v>
      </c>
      <c r="Z192" s="401" t="s">
        <v>281</v>
      </c>
    </row>
    <row r="193" spans="1:26" x14ac:dyDescent="0.2">
      <c r="A193" s="407"/>
      <c r="B193" s="407"/>
      <c r="C193" s="407"/>
      <c r="D193" s="408" t="s">
        <v>745</v>
      </c>
      <c r="E193" s="409"/>
      <c r="F193" s="410" t="s">
        <v>281</v>
      </c>
      <c r="G193" s="410" t="s">
        <v>281</v>
      </c>
      <c r="H193" s="409"/>
      <c r="I193" s="409"/>
      <c r="J193" s="411" t="s">
        <v>281</v>
      </c>
      <c r="K193" s="410" t="s">
        <v>281</v>
      </c>
      <c r="L193" s="410" t="s">
        <v>281</v>
      </c>
    </row>
    <row r="194" spans="1:26" x14ac:dyDescent="0.2">
      <c r="A194" s="412"/>
      <c r="B194" s="412"/>
      <c r="C194" s="412"/>
      <c r="D194" s="395" t="s">
        <v>718</v>
      </c>
      <c r="E194" s="412"/>
      <c r="F194" s="412"/>
      <c r="G194" s="412"/>
      <c r="H194" s="412"/>
      <c r="I194" s="412"/>
      <c r="J194" s="412"/>
      <c r="K194" s="412"/>
      <c r="L194" s="412"/>
    </row>
    <row r="195" spans="1:26" x14ac:dyDescent="0.2">
      <c r="A195" s="412"/>
      <c r="B195" s="412"/>
      <c r="C195" s="412"/>
      <c r="D195" s="395" t="s">
        <v>1087</v>
      </c>
      <c r="E195" s="412"/>
      <c r="F195" s="412"/>
      <c r="G195" s="412"/>
      <c r="H195" s="412"/>
      <c r="I195" s="412"/>
      <c r="J195" s="412"/>
      <c r="K195" s="412"/>
      <c r="L195" s="412"/>
    </row>
    <row r="196" spans="1:26" ht="30.6" x14ac:dyDescent="0.2">
      <c r="A196" s="412"/>
      <c r="B196" s="412"/>
      <c r="C196" s="412"/>
      <c r="D196" s="395" t="s">
        <v>1088</v>
      </c>
      <c r="E196" s="412"/>
      <c r="F196" s="412"/>
      <c r="G196" s="412"/>
      <c r="H196" s="412"/>
      <c r="I196" s="412"/>
      <c r="J196" s="412"/>
      <c r="K196" s="412"/>
      <c r="L196" s="412"/>
    </row>
    <row r="197" spans="1:26" ht="40.799999999999997" x14ac:dyDescent="0.2">
      <c r="A197" s="403">
        <v>25</v>
      </c>
      <c r="B197" s="403">
        <v>48</v>
      </c>
      <c r="C197" s="403" t="s">
        <v>1089</v>
      </c>
      <c r="D197" s="403" t="s">
        <v>1051</v>
      </c>
      <c r="E197" s="404">
        <v>9.9330000000000002E-2</v>
      </c>
      <c r="F197" s="405">
        <v>12178.7076</v>
      </c>
      <c r="G197" s="405">
        <v>80.298749999999998</v>
      </c>
      <c r="H197" s="406">
        <v>15058.88</v>
      </c>
      <c r="I197" s="406">
        <v>6294.37</v>
      </c>
      <c r="J197" s="406">
        <v>105.6</v>
      </c>
      <c r="K197" s="405">
        <v>156.05500000000001</v>
      </c>
      <c r="L197" s="405">
        <v>15.500942999999999</v>
      </c>
      <c r="T197" s="401">
        <v>24642.42</v>
      </c>
      <c r="V197" s="401">
        <v>6294.37</v>
      </c>
      <c r="W197" s="401">
        <v>105.6</v>
      </c>
      <c r="X197" s="401">
        <v>39.76</v>
      </c>
      <c r="Y197" s="401">
        <v>15.500942999999999</v>
      </c>
      <c r="Z197" s="401">
        <v>7.1392999999999998E-2</v>
      </c>
    </row>
    <row r="198" spans="1:26" x14ac:dyDescent="0.2">
      <c r="A198" s="407"/>
      <c r="B198" s="407"/>
      <c r="C198" s="407"/>
      <c r="D198" s="408" t="s">
        <v>224</v>
      </c>
      <c r="E198" s="409"/>
      <c r="F198" s="410">
        <v>1415.41885</v>
      </c>
      <c r="G198" s="410">
        <v>8.9412500000000001</v>
      </c>
      <c r="H198" s="409"/>
      <c r="I198" s="409"/>
      <c r="J198" s="411">
        <v>39.76</v>
      </c>
      <c r="K198" s="410">
        <v>0.71875</v>
      </c>
      <c r="L198" s="410">
        <v>7.1392999999999998E-2</v>
      </c>
    </row>
    <row r="199" spans="1:26" ht="20.399999999999999" x14ac:dyDescent="0.2">
      <c r="A199" s="412"/>
      <c r="B199" s="412"/>
      <c r="C199" s="412"/>
      <c r="D199" s="395" t="s">
        <v>714</v>
      </c>
      <c r="E199" s="412"/>
      <c r="F199" s="412"/>
      <c r="G199" s="412"/>
      <c r="H199" s="412"/>
      <c r="I199" s="412"/>
      <c r="J199" s="412"/>
      <c r="K199" s="412"/>
      <c r="L199" s="412"/>
    </row>
    <row r="200" spans="1:26" ht="20.399999999999999" x14ac:dyDescent="0.2">
      <c r="A200" s="412"/>
      <c r="B200" s="412"/>
      <c r="C200" s="412"/>
      <c r="D200" s="395" t="s">
        <v>978</v>
      </c>
      <c r="E200" s="412"/>
      <c r="F200" s="412"/>
      <c r="G200" s="412"/>
      <c r="H200" s="412"/>
      <c r="I200" s="412"/>
      <c r="J200" s="412"/>
      <c r="K200" s="412"/>
      <c r="L200" s="412"/>
    </row>
    <row r="201" spans="1:26" ht="132.6" x14ac:dyDescent="0.2">
      <c r="A201" s="412"/>
      <c r="B201" s="412"/>
      <c r="C201" s="412"/>
      <c r="D201" s="395" t="s">
        <v>979</v>
      </c>
      <c r="E201" s="412"/>
      <c r="F201" s="412"/>
      <c r="G201" s="412"/>
      <c r="H201" s="412"/>
      <c r="I201" s="412"/>
      <c r="J201" s="412"/>
      <c r="K201" s="412"/>
      <c r="L201" s="412"/>
    </row>
    <row r="202" spans="1:26" x14ac:dyDescent="0.2">
      <c r="A202" s="412"/>
      <c r="B202" s="412"/>
      <c r="C202" s="412"/>
      <c r="D202" s="413" t="s">
        <v>206</v>
      </c>
      <c r="E202" s="414" t="s">
        <v>738</v>
      </c>
      <c r="F202" s="414"/>
      <c r="G202" s="414"/>
      <c r="H202" s="415">
        <v>6460.81</v>
      </c>
      <c r="I202" s="412"/>
      <c r="J202" s="412"/>
      <c r="K202" s="412"/>
      <c r="L202" s="412"/>
    </row>
    <row r="203" spans="1:26" x14ac:dyDescent="0.2">
      <c r="A203" s="412"/>
      <c r="B203" s="412"/>
      <c r="C203" s="412"/>
      <c r="D203" s="413" t="s">
        <v>207</v>
      </c>
      <c r="E203" s="414" t="s">
        <v>1075</v>
      </c>
      <c r="F203" s="414"/>
      <c r="G203" s="414"/>
      <c r="H203" s="415">
        <v>3122.73</v>
      </c>
      <c r="I203" s="412"/>
      <c r="J203" s="412"/>
      <c r="K203" s="412"/>
      <c r="L203" s="412"/>
    </row>
    <row r="204" spans="1:26" x14ac:dyDescent="0.2">
      <c r="A204" s="412"/>
      <c r="B204" s="412"/>
      <c r="C204" s="412"/>
      <c r="D204" s="416" t="s">
        <v>715</v>
      </c>
      <c r="E204" s="417"/>
      <c r="F204" s="417"/>
      <c r="G204" s="417"/>
      <c r="H204" s="418">
        <v>24642.42</v>
      </c>
      <c r="I204" s="412"/>
      <c r="J204" s="412"/>
      <c r="K204" s="412"/>
      <c r="L204" s="412"/>
    </row>
    <row r="205" spans="1:26" ht="20.399999999999999" x14ac:dyDescent="0.2">
      <c r="A205" s="403">
        <v>26</v>
      </c>
      <c r="B205" s="403">
        <v>49</v>
      </c>
      <c r="C205" s="403" t="s">
        <v>1090</v>
      </c>
      <c r="D205" s="403" t="s">
        <v>1521</v>
      </c>
      <c r="E205" s="404">
        <v>-9.9330000000000002E-2</v>
      </c>
      <c r="F205" s="405">
        <v>10100</v>
      </c>
      <c r="G205" s="405" t="s">
        <v>281</v>
      </c>
      <c r="H205" s="406">
        <v>-8186.38</v>
      </c>
      <c r="I205" s="406" t="s">
        <v>281</v>
      </c>
      <c r="J205" s="406" t="s">
        <v>281</v>
      </c>
      <c r="K205" s="405" t="s">
        <v>281</v>
      </c>
      <c r="L205" s="405" t="s">
        <v>281</v>
      </c>
      <c r="T205" s="401">
        <v>-8186.38</v>
      </c>
      <c r="V205" s="401" t="s">
        <v>281</v>
      </c>
      <c r="W205" s="401" t="s">
        <v>281</v>
      </c>
      <c r="X205" s="401" t="s">
        <v>281</v>
      </c>
      <c r="Y205" s="401" t="s">
        <v>281</v>
      </c>
      <c r="Z205" s="401" t="s">
        <v>281</v>
      </c>
    </row>
    <row r="206" spans="1:26" x14ac:dyDescent="0.2">
      <c r="A206" s="407"/>
      <c r="B206" s="407"/>
      <c r="C206" s="407"/>
      <c r="D206" s="408" t="s">
        <v>224</v>
      </c>
      <c r="E206" s="409"/>
      <c r="F206" s="410" t="s">
        <v>281</v>
      </c>
      <c r="G206" s="410" t="s">
        <v>281</v>
      </c>
      <c r="H206" s="409"/>
      <c r="I206" s="409"/>
      <c r="J206" s="411" t="s">
        <v>281</v>
      </c>
      <c r="K206" s="410" t="s">
        <v>281</v>
      </c>
      <c r="L206" s="410" t="s">
        <v>281</v>
      </c>
    </row>
    <row r="207" spans="1:26" x14ac:dyDescent="0.2">
      <c r="A207" s="412"/>
      <c r="B207" s="412"/>
      <c r="C207" s="412"/>
      <c r="D207" s="395" t="s">
        <v>718</v>
      </c>
      <c r="E207" s="412"/>
      <c r="F207" s="412"/>
      <c r="G207" s="412"/>
      <c r="H207" s="412"/>
      <c r="I207" s="412"/>
      <c r="J207" s="412"/>
      <c r="K207" s="412"/>
      <c r="L207" s="412"/>
    </row>
    <row r="208" spans="1:26" ht="30.6" x14ac:dyDescent="0.2">
      <c r="A208" s="403">
        <v>27</v>
      </c>
      <c r="B208" s="403">
        <v>50</v>
      </c>
      <c r="C208" s="403" t="s">
        <v>1091</v>
      </c>
      <c r="D208" s="403" t="s">
        <v>1092</v>
      </c>
      <c r="E208" s="404">
        <v>8.1240000000000007E-2</v>
      </c>
      <c r="F208" s="405">
        <v>19803.650000000001</v>
      </c>
      <c r="G208" s="405" t="s">
        <v>281</v>
      </c>
      <c r="H208" s="406">
        <v>13128.2</v>
      </c>
      <c r="I208" s="406" t="s">
        <v>281</v>
      </c>
      <c r="J208" s="406" t="s">
        <v>281</v>
      </c>
      <c r="K208" s="405" t="s">
        <v>281</v>
      </c>
      <c r="L208" s="405" t="s">
        <v>281</v>
      </c>
      <c r="T208" s="401">
        <v>13128.2</v>
      </c>
      <c r="V208" s="401" t="s">
        <v>281</v>
      </c>
      <c r="W208" s="401" t="s">
        <v>281</v>
      </c>
      <c r="X208" s="401" t="s">
        <v>281</v>
      </c>
      <c r="Y208" s="401" t="s">
        <v>281</v>
      </c>
      <c r="Z208" s="401" t="s">
        <v>281</v>
      </c>
    </row>
    <row r="209" spans="1:26" x14ac:dyDescent="0.2">
      <c r="A209" s="407"/>
      <c r="B209" s="407"/>
      <c r="C209" s="407"/>
      <c r="D209" s="408" t="s">
        <v>224</v>
      </c>
      <c r="E209" s="409"/>
      <c r="F209" s="410" t="s">
        <v>281</v>
      </c>
      <c r="G209" s="410" t="s">
        <v>281</v>
      </c>
      <c r="H209" s="409"/>
      <c r="I209" s="409"/>
      <c r="J209" s="411" t="s">
        <v>281</v>
      </c>
      <c r="K209" s="410" t="s">
        <v>281</v>
      </c>
      <c r="L209" s="410" t="s">
        <v>281</v>
      </c>
    </row>
    <row r="210" spans="1:26" x14ac:dyDescent="0.2">
      <c r="A210" s="412"/>
      <c r="B210" s="412"/>
      <c r="C210" s="412"/>
      <c r="D210" s="395" t="s">
        <v>718</v>
      </c>
      <c r="E210" s="412"/>
      <c r="F210" s="412"/>
      <c r="G210" s="412"/>
      <c r="H210" s="412"/>
      <c r="I210" s="412"/>
      <c r="J210" s="412"/>
      <c r="K210" s="412"/>
      <c r="L210" s="412"/>
    </row>
    <row r="211" spans="1:26" x14ac:dyDescent="0.2">
      <c r="A211" s="403">
        <v>28</v>
      </c>
      <c r="B211" s="403">
        <v>51</v>
      </c>
      <c r="C211" s="403" t="s">
        <v>1093</v>
      </c>
      <c r="D211" s="403" t="s">
        <v>1094</v>
      </c>
      <c r="E211" s="404">
        <v>1.8120000000000001E-2</v>
      </c>
      <c r="F211" s="405">
        <v>5763</v>
      </c>
      <c r="G211" s="405" t="s">
        <v>281</v>
      </c>
      <c r="H211" s="406">
        <v>852.11</v>
      </c>
      <c r="I211" s="406" t="s">
        <v>281</v>
      </c>
      <c r="J211" s="406" t="s">
        <v>281</v>
      </c>
      <c r="K211" s="405" t="s">
        <v>281</v>
      </c>
      <c r="L211" s="405" t="s">
        <v>281</v>
      </c>
      <c r="T211" s="401">
        <v>852.11</v>
      </c>
      <c r="V211" s="401" t="s">
        <v>281</v>
      </c>
      <c r="W211" s="401" t="s">
        <v>281</v>
      </c>
      <c r="X211" s="401" t="s">
        <v>281</v>
      </c>
      <c r="Y211" s="401" t="s">
        <v>281</v>
      </c>
      <c r="Z211" s="401" t="s">
        <v>281</v>
      </c>
    </row>
    <row r="212" spans="1:26" x14ac:dyDescent="0.2">
      <c r="A212" s="407"/>
      <c r="B212" s="407"/>
      <c r="C212" s="407"/>
      <c r="D212" s="408" t="s">
        <v>224</v>
      </c>
      <c r="E212" s="409"/>
      <c r="F212" s="410" t="s">
        <v>281</v>
      </c>
      <c r="G212" s="410" t="s">
        <v>281</v>
      </c>
      <c r="H212" s="409"/>
      <c r="I212" s="409"/>
      <c r="J212" s="411" t="s">
        <v>281</v>
      </c>
      <c r="K212" s="410" t="s">
        <v>281</v>
      </c>
      <c r="L212" s="410" t="s">
        <v>281</v>
      </c>
    </row>
    <row r="213" spans="1:26" x14ac:dyDescent="0.2">
      <c r="A213" s="412"/>
      <c r="B213" s="412"/>
      <c r="C213" s="412"/>
      <c r="D213" s="395" t="s">
        <v>718</v>
      </c>
      <c r="E213" s="412"/>
      <c r="F213" s="412"/>
      <c r="G213" s="412"/>
      <c r="H213" s="412"/>
      <c r="I213" s="412"/>
      <c r="J213" s="412"/>
      <c r="K213" s="412"/>
      <c r="L213" s="412"/>
    </row>
    <row r="214" spans="1:26" ht="30.6" x14ac:dyDescent="0.2">
      <c r="A214" s="403">
        <v>29</v>
      </c>
      <c r="B214" s="403">
        <v>55</v>
      </c>
      <c r="C214" s="403" t="s">
        <v>1073</v>
      </c>
      <c r="D214" s="403" t="s">
        <v>1046</v>
      </c>
      <c r="E214" s="404">
        <v>1.35E-2</v>
      </c>
      <c r="F214" s="405">
        <v>4553.0737499999996</v>
      </c>
      <c r="G214" s="405">
        <v>2251.2112499999998</v>
      </c>
      <c r="H214" s="406">
        <v>1344.23</v>
      </c>
      <c r="I214" s="406">
        <v>841.68</v>
      </c>
      <c r="J214" s="406">
        <v>402.38</v>
      </c>
      <c r="K214" s="405">
        <v>178.53749999999999</v>
      </c>
      <c r="L214" s="405">
        <v>2.410256</v>
      </c>
      <c r="T214" s="401">
        <v>2938.95</v>
      </c>
      <c r="V214" s="401">
        <v>841.68</v>
      </c>
      <c r="W214" s="401">
        <v>402.38</v>
      </c>
      <c r="X214" s="401">
        <v>212.33</v>
      </c>
      <c r="Y214" s="401">
        <v>2.410256</v>
      </c>
      <c r="Z214" s="401">
        <v>0.35164099999999998</v>
      </c>
    </row>
    <row r="215" spans="1:26" x14ac:dyDescent="0.2">
      <c r="A215" s="407"/>
      <c r="B215" s="407"/>
      <c r="C215" s="407"/>
      <c r="D215" s="408" t="s">
        <v>901</v>
      </c>
      <c r="E215" s="409"/>
      <c r="F215" s="410">
        <v>1392.5925</v>
      </c>
      <c r="G215" s="410">
        <v>351.31062500000002</v>
      </c>
      <c r="H215" s="409"/>
      <c r="I215" s="409"/>
      <c r="J215" s="411">
        <v>212.33</v>
      </c>
      <c r="K215" s="410">
        <v>26.047499999999999</v>
      </c>
      <c r="L215" s="410">
        <v>0.35164099999999998</v>
      </c>
    </row>
    <row r="216" spans="1:26" x14ac:dyDescent="0.2">
      <c r="D216" s="468" t="s">
        <v>1095</v>
      </c>
    </row>
    <row r="217" spans="1:26" ht="20.399999999999999" x14ac:dyDescent="0.2">
      <c r="A217" s="412"/>
      <c r="B217" s="412"/>
      <c r="C217" s="412"/>
      <c r="D217" s="395" t="s">
        <v>714</v>
      </c>
      <c r="E217" s="412"/>
      <c r="F217" s="412"/>
      <c r="G217" s="412"/>
      <c r="H217" s="412"/>
      <c r="I217" s="412"/>
      <c r="J217" s="412"/>
      <c r="K217" s="412"/>
      <c r="L217" s="412"/>
    </row>
    <row r="218" spans="1:26" ht="20.399999999999999" x14ac:dyDescent="0.2">
      <c r="A218" s="412"/>
      <c r="B218" s="412"/>
      <c r="C218" s="412"/>
      <c r="D218" s="395" t="s">
        <v>978</v>
      </c>
      <c r="E218" s="412"/>
      <c r="F218" s="412"/>
      <c r="G218" s="412"/>
      <c r="H218" s="412"/>
      <c r="I218" s="412"/>
      <c r="J218" s="412"/>
      <c r="K218" s="412"/>
      <c r="L218" s="412"/>
    </row>
    <row r="219" spans="1:26" ht="132.6" x14ac:dyDescent="0.2">
      <c r="A219" s="412"/>
      <c r="B219" s="412"/>
      <c r="C219" s="412"/>
      <c r="D219" s="395" t="s">
        <v>979</v>
      </c>
      <c r="E219" s="412"/>
      <c r="F219" s="412"/>
      <c r="G219" s="412"/>
      <c r="H219" s="412"/>
      <c r="I219" s="412"/>
      <c r="J219" s="412"/>
      <c r="K219" s="412"/>
      <c r="L219" s="412"/>
    </row>
    <row r="220" spans="1:26" x14ac:dyDescent="0.2">
      <c r="A220" s="412"/>
      <c r="B220" s="412"/>
      <c r="C220" s="412"/>
      <c r="D220" s="413" t="s">
        <v>206</v>
      </c>
      <c r="E220" s="414" t="s">
        <v>738</v>
      </c>
      <c r="F220" s="414"/>
      <c r="G220" s="414"/>
      <c r="H220" s="415">
        <v>1075.0899999999999</v>
      </c>
      <c r="I220" s="412"/>
      <c r="J220" s="412"/>
      <c r="K220" s="412"/>
      <c r="L220" s="412"/>
    </row>
    <row r="221" spans="1:26" x14ac:dyDescent="0.2">
      <c r="A221" s="412"/>
      <c r="B221" s="412"/>
      <c r="C221" s="412"/>
      <c r="D221" s="413" t="s">
        <v>207</v>
      </c>
      <c r="E221" s="414" t="s">
        <v>1075</v>
      </c>
      <c r="F221" s="414"/>
      <c r="G221" s="414"/>
      <c r="H221" s="415">
        <v>519.63</v>
      </c>
      <c r="I221" s="412"/>
      <c r="J221" s="412"/>
      <c r="K221" s="412"/>
      <c r="L221" s="412"/>
    </row>
    <row r="222" spans="1:26" x14ac:dyDescent="0.2">
      <c r="A222" s="412"/>
      <c r="B222" s="412"/>
      <c r="C222" s="412"/>
      <c r="D222" s="416" t="s">
        <v>715</v>
      </c>
      <c r="E222" s="417"/>
      <c r="F222" s="417"/>
      <c r="G222" s="417"/>
      <c r="H222" s="418">
        <v>2938.95</v>
      </c>
      <c r="I222" s="412"/>
      <c r="J222" s="412"/>
      <c r="K222" s="412"/>
      <c r="L222" s="412"/>
    </row>
    <row r="223" spans="1:26" ht="20.399999999999999" x14ac:dyDescent="0.2">
      <c r="A223" s="403">
        <v>30</v>
      </c>
      <c r="B223" s="403">
        <v>56</v>
      </c>
      <c r="C223" s="403" t="s">
        <v>1076</v>
      </c>
      <c r="D223" s="403" t="s">
        <v>1077</v>
      </c>
      <c r="E223" s="404">
        <v>1.377</v>
      </c>
      <c r="F223" s="405">
        <v>560</v>
      </c>
      <c r="G223" s="405" t="s">
        <v>281</v>
      </c>
      <c r="H223" s="406">
        <v>6292.34</v>
      </c>
      <c r="I223" s="406" t="s">
        <v>281</v>
      </c>
      <c r="J223" s="406" t="s">
        <v>281</v>
      </c>
      <c r="K223" s="405" t="s">
        <v>281</v>
      </c>
      <c r="L223" s="405" t="s">
        <v>281</v>
      </c>
      <c r="T223" s="401">
        <v>6292.34</v>
      </c>
      <c r="V223" s="401" t="s">
        <v>281</v>
      </c>
      <c r="W223" s="401" t="s">
        <v>281</v>
      </c>
      <c r="X223" s="401" t="s">
        <v>281</v>
      </c>
      <c r="Y223" s="401" t="s">
        <v>281</v>
      </c>
      <c r="Z223" s="401" t="s">
        <v>281</v>
      </c>
    </row>
    <row r="224" spans="1:26" x14ac:dyDescent="0.2">
      <c r="A224" s="407"/>
      <c r="B224" s="407"/>
      <c r="C224" s="407"/>
      <c r="D224" s="408" t="s">
        <v>745</v>
      </c>
      <c r="E224" s="409"/>
      <c r="F224" s="410" t="s">
        <v>281</v>
      </c>
      <c r="G224" s="410" t="s">
        <v>281</v>
      </c>
      <c r="H224" s="409"/>
      <c r="I224" s="409"/>
      <c r="J224" s="411" t="s">
        <v>281</v>
      </c>
      <c r="K224" s="410" t="s">
        <v>281</v>
      </c>
      <c r="L224" s="410" t="s">
        <v>281</v>
      </c>
    </row>
    <row r="225" spans="1:26" x14ac:dyDescent="0.2">
      <c r="A225" s="412"/>
      <c r="B225" s="412"/>
      <c r="C225" s="412"/>
      <c r="D225" s="395" t="s">
        <v>718</v>
      </c>
      <c r="E225" s="412"/>
      <c r="F225" s="412"/>
      <c r="G225" s="412"/>
      <c r="H225" s="412"/>
      <c r="I225" s="412"/>
      <c r="J225" s="412"/>
      <c r="K225" s="412"/>
      <c r="L225" s="412"/>
    </row>
    <row r="226" spans="1:26" ht="40.799999999999997" x14ac:dyDescent="0.2">
      <c r="A226" s="403">
        <v>31</v>
      </c>
      <c r="B226" s="403">
        <v>57</v>
      </c>
      <c r="C226" s="403" t="s">
        <v>1078</v>
      </c>
      <c r="D226" s="403" t="s">
        <v>1047</v>
      </c>
      <c r="E226" s="404">
        <v>2.7E-2</v>
      </c>
      <c r="F226" s="405">
        <v>15365.92395</v>
      </c>
      <c r="G226" s="405">
        <v>4065.7674999999999</v>
      </c>
      <c r="H226" s="406">
        <v>11012.72</v>
      </c>
      <c r="I226" s="406">
        <v>8645.39</v>
      </c>
      <c r="J226" s="406">
        <v>1453.43</v>
      </c>
      <c r="K226" s="405">
        <v>838.46500000000003</v>
      </c>
      <c r="L226" s="405">
        <v>22.638555</v>
      </c>
      <c r="T226" s="401">
        <v>25226.48</v>
      </c>
      <c r="V226" s="401">
        <v>8645.39</v>
      </c>
      <c r="W226" s="401">
        <v>1453.43</v>
      </c>
      <c r="X226" s="401">
        <v>749.03</v>
      </c>
      <c r="Y226" s="401">
        <v>22.638555</v>
      </c>
      <c r="Z226" s="401">
        <v>1.246658</v>
      </c>
    </row>
    <row r="227" spans="1:26" x14ac:dyDescent="0.2">
      <c r="A227" s="407"/>
      <c r="B227" s="407"/>
      <c r="C227" s="407"/>
      <c r="D227" s="408" t="s">
        <v>901</v>
      </c>
      <c r="E227" s="409"/>
      <c r="F227" s="410">
        <v>7152.1064500000002</v>
      </c>
      <c r="G227" s="410">
        <v>619.64874999999995</v>
      </c>
      <c r="H227" s="409"/>
      <c r="I227" s="409"/>
      <c r="J227" s="411">
        <v>749.03</v>
      </c>
      <c r="K227" s="410">
        <v>46.172499999999999</v>
      </c>
      <c r="L227" s="410">
        <v>1.246658</v>
      </c>
    </row>
    <row r="228" spans="1:26" x14ac:dyDescent="0.2">
      <c r="D228" s="468" t="s">
        <v>1096</v>
      </c>
    </row>
    <row r="229" spans="1:26" ht="20.399999999999999" x14ac:dyDescent="0.2">
      <c r="A229" s="412"/>
      <c r="B229" s="412"/>
      <c r="C229" s="412"/>
      <c r="D229" s="395" t="s">
        <v>714</v>
      </c>
      <c r="E229" s="412"/>
      <c r="F229" s="412"/>
      <c r="G229" s="412"/>
      <c r="H229" s="412"/>
      <c r="I229" s="412"/>
      <c r="J229" s="412"/>
      <c r="K229" s="412"/>
      <c r="L229" s="412"/>
    </row>
    <row r="230" spans="1:26" ht="20.399999999999999" x14ac:dyDescent="0.2">
      <c r="A230" s="412"/>
      <c r="B230" s="412"/>
      <c r="C230" s="412"/>
      <c r="D230" s="395" t="s">
        <v>978</v>
      </c>
      <c r="E230" s="412"/>
      <c r="F230" s="412"/>
      <c r="G230" s="412"/>
      <c r="H230" s="412"/>
      <c r="I230" s="412"/>
      <c r="J230" s="412"/>
      <c r="K230" s="412"/>
      <c r="L230" s="412"/>
    </row>
    <row r="231" spans="1:26" ht="132.6" x14ac:dyDescent="0.2">
      <c r="A231" s="412"/>
      <c r="B231" s="412"/>
      <c r="C231" s="412"/>
      <c r="D231" s="395" t="s">
        <v>979</v>
      </c>
      <c r="E231" s="412"/>
      <c r="F231" s="412"/>
      <c r="G231" s="412"/>
      <c r="H231" s="412"/>
      <c r="I231" s="412"/>
      <c r="J231" s="412"/>
      <c r="K231" s="412"/>
      <c r="L231" s="412"/>
    </row>
    <row r="232" spans="1:26" x14ac:dyDescent="0.2">
      <c r="A232" s="412"/>
      <c r="B232" s="412"/>
      <c r="C232" s="412"/>
      <c r="D232" s="413" t="s">
        <v>206</v>
      </c>
      <c r="E232" s="414" t="s">
        <v>738</v>
      </c>
      <c r="F232" s="414"/>
      <c r="G232" s="414"/>
      <c r="H232" s="415">
        <v>9582.31</v>
      </c>
      <c r="I232" s="412"/>
      <c r="J232" s="412"/>
      <c r="K232" s="412"/>
      <c r="L232" s="412"/>
    </row>
    <row r="233" spans="1:26" x14ac:dyDescent="0.2">
      <c r="A233" s="412"/>
      <c r="B233" s="412"/>
      <c r="C233" s="412"/>
      <c r="D233" s="413" t="s">
        <v>207</v>
      </c>
      <c r="E233" s="414" t="s">
        <v>1075</v>
      </c>
      <c r="F233" s="414"/>
      <c r="G233" s="414"/>
      <c r="H233" s="415">
        <v>4631.45</v>
      </c>
      <c r="I233" s="412"/>
      <c r="J233" s="412"/>
      <c r="K233" s="412"/>
      <c r="L233" s="412"/>
    </row>
    <row r="234" spans="1:26" x14ac:dyDescent="0.2">
      <c r="A234" s="412"/>
      <c r="B234" s="412"/>
      <c r="C234" s="412"/>
      <c r="D234" s="416" t="s">
        <v>715</v>
      </c>
      <c r="E234" s="417"/>
      <c r="F234" s="417"/>
      <c r="G234" s="417"/>
      <c r="H234" s="418">
        <v>25226.48</v>
      </c>
      <c r="I234" s="412"/>
      <c r="J234" s="412"/>
      <c r="K234" s="412"/>
      <c r="L234" s="412"/>
    </row>
    <row r="235" spans="1:26" ht="20.399999999999999" x14ac:dyDescent="0.2">
      <c r="A235" s="403">
        <v>32</v>
      </c>
      <c r="B235" s="403">
        <v>58</v>
      </c>
      <c r="C235" s="403" t="s">
        <v>1080</v>
      </c>
      <c r="D235" s="403" t="s">
        <v>1520</v>
      </c>
      <c r="E235" s="404">
        <v>5.1299999999999998E-2</v>
      </c>
      <c r="F235" s="405">
        <v>6213.48</v>
      </c>
      <c r="G235" s="405" t="s">
        <v>281</v>
      </c>
      <c r="H235" s="406">
        <v>2601.0100000000002</v>
      </c>
      <c r="I235" s="406" t="s">
        <v>281</v>
      </c>
      <c r="J235" s="406" t="s">
        <v>281</v>
      </c>
      <c r="K235" s="405" t="s">
        <v>281</v>
      </c>
      <c r="L235" s="405" t="s">
        <v>281</v>
      </c>
      <c r="T235" s="401">
        <v>2601.0100000000002</v>
      </c>
      <c r="V235" s="401" t="s">
        <v>281</v>
      </c>
      <c r="W235" s="401" t="s">
        <v>281</v>
      </c>
      <c r="X235" s="401" t="s">
        <v>281</v>
      </c>
      <c r="Y235" s="401" t="s">
        <v>281</v>
      </c>
      <c r="Z235" s="401" t="s">
        <v>281</v>
      </c>
    </row>
    <row r="236" spans="1:26" x14ac:dyDescent="0.2">
      <c r="A236" s="407"/>
      <c r="B236" s="407"/>
      <c r="C236" s="407"/>
      <c r="D236" s="408" t="s">
        <v>224</v>
      </c>
      <c r="E236" s="409"/>
      <c r="F236" s="410" t="s">
        <v>281</v>
      </c>
      <c r="G236" s="410" t="s">
        <v>281</v>
      </c>
      <c r="H236" s="409"/>
      <c r="I236" s="409"/>
      <c r="J236" s="411" t="s">
        <v>281</v>
      </c>
      <c r="K236" s="410" t="s">
        <v>281</v>
      </c>
      <c r="L236" s="410" t="s">
        <v>281</v>
      </c>
    </row>
    <row r="237" spans="1:26" x14ac:dyDescent="0.2">
      <c r="A237" s="412"/>
      <c r="B237" s="412"/>
      <c r="C237" s="412"/>
      <c r="D237" s="395" t="s">
        <v>718</v>
      </c>
      <c r="E237" s="412"/>
      <c r="F237" s="412"/>
      <c r="G237" s="412"/>
      <c r="H237" s="412"/>
      <c r="I237" s="412"/>
      <c r="J237" s="412"/>
      <c r="K237" s="412"/>
      <c r="L237" s="412"/>
    </row>
    <row r="238" spans="1:26" ht="30.6" x14ac:dyDescent="0.2">
      <c r="A238" s="403">
        <v>33</v>
      </c>
      <c r="B238" s="403">
        <v>59</v>
      </c>
      <c r="C238" s="403" t="s">
        <v>1081</v>
      </c>
      <c r="D238" s="403" t="s">
        <v>1519</v>
      </c>
      <c r="E238" s="404">
        <v>0.19725000000000001</v>
      </c>
      <c r="F238" s="405">
        <v>5584.58</v>
      </c>
      <c r="G238" s="405" t="s">
        <v>281</v>
      </c>
      <c r="H238" s="406">
        <v>8988.7199999999993</v>
      </c>
      <c r="I238" s="406" t="s">
        <v>281</v>
      </c>
      <c r="J238" s="406" t="s">
        <v>281</v>
      </c>
      <c r="K238" s="405" t="s">
        <v>281</v>
      </c>
      <c r="L238" s="405" t="s">
        <v>281</v>
      </c>
      <c r="T238" s="401">
        <v>8988.7199999999993</v>
      </c>
      <c r="V238" s="401" t="s">
        <v>281</v>
      </c>
      <c r="W238" s="401" t="s">
        <v>281</v>
      </c>
      <c r="X238" s="401" t="s">
        <v>281</v>
      </c>
      <c r="Y238" s="401" t="s">
        <v>281</v>
      </c>
      <c r="Z238" s="401" t="s">
        <v>281</v>
      </c>
    </row>
    <row r="239" spans="1:26" x14ac:dyDescent="0.2">
      <c r="A239" s="407"/>
      <c r="B239" s="407"/>
      <c r="C239" s="407"/>
      <c r="D239" s="408" t="s">
        <v>224</v>
      </c>
      <c r="E239" s="409"/>
      <c r="F239" s="410" t="s">
        <v>281</v>
      </c>
      <c r="G239" s="410" t="s">
        <v>281</v>
      </c>
      <c r="H239" s="409"/>
      <c r="I239" s="409"/>
      <c r="J239" s="411" t="s">
        <v>281</v>
      </c>
      <c r="K239" s="410" t="s">
        <v>281</v>
      </c>
      <c r="L239" s="410" t="s">
        <v>281</v>
      </c>
    </row>
    <row r="240" spans="1:26" x14ac:dyDescent="0.2">
      <c r="A240" s="412"/>
      <c r="B240" s="412"/>
      <c r="C240" s="412"/>
      <c r="D240" s="395" t="s">
        <v>718</v>
      </c>
      <c r="E240" s="412"/>
      <c r="F240" s="412"/>
      <c r="G240" s="412"/>
      <c r="H240" s="412"/>
      <c r="I240" s="412"/>
      <c r="J240" s="412"/>
      <c r="K240" s="412"/>
      <c r="L240" s="412"/>
    </row>
    <row r="241" spans="1:26" ht="20.399999999999999" x14ac:dyDescent="0.2">
      <c r="A241" s="403">
        <v>34</v>
      </c>
      <c r="B241" s="403">
        <v>60</v>
      </c>
      <c r="C241" s="403" t="s">
        <v>1085</v>
      </c>
      <c r="D241" s="403" t="s">
        <v>1086</v>
      </c>
      <c r="E241" s="404">
        <v>2.7404999999999999</v>
      </c>
      <c r="F241" s="405">
        <v>725.69</v>
      </c>
      <c r="G241" s="405" t="s">
        <v>281</v>
      </c>
      <c r="H241" s="406">
        <v>16228.23</v>
      </c>
      <c r="I241" s="406" t="s">
        <v>281</v>
      </c>
      <c r="J241" s="406" t="s">
        <v>281</v>
      </c>
      <c r="K241" s="405" t="s">
        <v>281</v>
      </c>
      <c r="L241" s="405" t="s">
        <v>281</v>
      </c>
      <c r="T241" s="401">
        <v>16228.23</v>
      </c>
      <c r="V241" s="401" t="s">
        <v>281</v>
      </c>
      <c r="W241" s="401" t="s">
        <v>281</v>
      </c>
      <c r="X241" s="401" t="s">
        <v>281</v>
      </c>
      <c r="Y241" s="401" t="s">
        <v>281</v>
      </c>
      <c r="Z241" s="401" t="s">
        <v>281</v>
      </c>
    </row>
    <row r="242" spans="1:26" x14ac:dyDescent="0.2">
      <c r="A242" s="407"/>
      <c r="B242" s="407"/>
      <c r="C242" s="407"/>
      <c r="D242" s="408" t="s">
        <v>745</v>
      </c>
      <c r="E242" s="409"/>
      <c r="F242" s="410" t="s">
        <v>281</v>
      </c>
      <c r="G242" s="410" t="s">
        <v>281</v>
      </c>
      <c r="H242" s="409"/>
      <c r="I242" s="409"/>
      <c r="J242" s="411" t="s">
        <v>281</v>
      </c>
      <c r="K242" s="410" t="s">
        <v>281</v>
      </c>
      <c r="L242" s="410" t="s">
        <v>281</v>
      </c>
    </row>
    <row r="243" spans="1:26" x14ac:dyDescent="0.2">
      <c r="A243" s="412"/>
      <c r="B243" s="412"/>
      <c r="C243" s="412"/>
      <c r="D243" s="395" t="s">
        <v>718</v>
      </c>
      <c r="E243" s="412"/>
      <c r="F243" s="412"/>
      <c r="G243" s="412"/>
      <c r="H243" s="412"/>
      <c r="I243" s="412"/>
      <c r="J243" s="412"/>
      <c r="K243" s="412"/>
      <c r="L243" s="412"/>
    </row>
    <row r="244" spans="1:26" ht="30.6" x14ac:dyDescent="0.2">
      <c r="A244" s="403">
        <v>35</v>
      </c>
      <c r="B244" s="403">
        <v>61</v>
      </c>
      <c r="C244" s="403" t="s">
        <v>1085</v>
      </c>
      <c r="D244" s="403" t="s">
        <v>1050</v>
      </c>
      <c r="E244" s="404">
        <v>2.7404999999999999</v>
      </c>
      <c r="F244" s="405">
        <v>19.371569000000001</v>
      </c>
      <c r="G244" s="405" t="s">
        <v>281</v>
      </c>
      <c r="H244" s="406">
        <v>433.19</v>
      </c>
      <c r="I244" s="406" t="s">
        <v>281</v>
      </c>
      <c r="J244" s="406" t="s">
        <v>281</v>
      </c>
      <c r="K244" s="405" t="s">
        <v>281</v>
      </c>
      <c r="L244" s="405" t="s">
        <v>281</v>
      </c>
      <c r="T244" s="401">
        <v>433.19</v>
      </c>
      <c r="V244" s="401" t="s">
        <v>281</v>
      </c>
      <c r="W244" s="401" t="s">
        <v>281</v>
      </c>
      <c r="X244" s="401" t="s">
        <v>281</v>
      </c>
      <c r="Y244" s="401" t="s">
        <v>281</v>
      </c>
      <c r="Z244" s="401" t="s">
        <v>281</v>
      </c>
    </row>
    <row r="245" spans="1:26" x14ac:dyDescent="0.2">
      <c r="A245" s="407"/>
      <c r="B245" s="407"/>
      <c r="C245" s="407"/>
      <c r="D245" s="408" t="s">
        <v>745</v>
      </c>
      <c r="E245" s="409"/>
      <c r="F245" s="410" t="s">
        <v>281</v>
      </c>
      <c r="G245" s="410" t="s">
        <v>281</v>
      </c>
      <c r="H245" s="409"/>
      <c r="I245" s="409"/>
      <c r="J245" s="411" t="s">
        <v>281</v>
      </c>
      <c r="K245" s="410" t="s">
        <v>281</v>
      </c>
      <c r="L245" s="410" t="s">
        <v>281</v>
      </c>
    </row>
    <row r="246" spans="1:26" x14ac:dyDescent="0.2">
      <c r="A246" s="412"/>
      <c r="B246" s="412"/>
      <c r="C246" s="412"/>
      <c r="D246" s="395" t="s">
        <v>718</v>
      </c>
      <c r="E246" s="412"/>
      <c r="F246" s="412"/>
      <c r="G246" s="412"/>
      <c r="H246" s="412"/>
      <c r="I246" s="412"/>
      <c r="J246" s="412"/>
      <c r="K246" s="412"/>
      <c r="L246" s="412"/>
    </row>
    <row r="247" spans="1:26" x14ac:dyDescent="0.2">
      <c r="A247" s="412"/>
      <c r="B247" s="412"/>
      <c r="C247" s="412"/>
      <c r="D247" s="395" t="s">
        <v>1087</v>
      </c>
      <c r="E247" s="412"/>
      <c r="F247" s="412"/>
      <c r="G247" s="412"/>
      <c r="H247" s="412"/>
      <c r="I247" s="412"/>
      <c r="J247" s="412"/>
      <c r="K247" s="412"/>
      <c r="L247" s="412"/>
    </row>
    <row r="248" spans="1:26" ht="30.6" x14ac:dyDescent="0.2">
      <c r="A248" s="412"/>
      <c r="B248" s="412"/>
      <c r="C248" s="412"/>
      <c r="D248" s="395" t="s">
        <v>1088</v>
      </c>
      <c r="E248" s="412"/>
      <c r="F248" s="412"/>
      <c r="G248" s="412"/>
      <c r="H248" s="412"/>
      <c r="I248" s="412"/>
      <c r="J248" s="412"/>
      <c r="K248" s="412"/>
      <c r="L248" s="412"/>
    </row>
    <row r="249" spans="1:26" x14ac:dyDescent="0.2">
      <c r="A249" s="412"/>
      <c r="B249" s="412"/>
      <c r="C249" s="412"/>
      <c r="D249" s="412"/>
      <c r="E249" s="412"/>
      <c r="F249" s="412"/>
      <c r="G249" s="412"/>
      <c r="H249" s="412"/>
      <c r="I249" s="412"/>
      <c r="J249" s="412"/>
      <c r="K249" s="412"/>
      <c r="L249" s="412"/>
    </row>
    <row r="250" spans="1:26" x14ac:dyDescent="0.2">
      <c r="A250" s="1086" t="s">
        <v>1097</v>
      </c>
      <c r="B250" s="1086"/>
      <c r="C250" s="1086"/>
      <c r="D250" s="1086"/>
      <c r="E250" s="1086"/>
      <c r="F250" s="1086"/>
      <c r="G250" s="1086"/>
      <c r="H250" s="1086"/>
      <c r="I250" s="1086"/>
      <c r="J250" s="1086"/>
      <c r="K250" s="1086"/>
      <c r="L250" s="1086"/>
    </row>
    <row r="251" spans="1:26" x14ac:dyDescent="0.2">
      <c r="A251" s="1085" t="s">
        <v>774</v>
      </c>
      <c r="B251" s="1085"/>
      <c r="C251" s="1085"/>
      <c r="D251" s="1085"/>
      <c r="E251" s="1085"/>
      <c r="F251" s="1085"/>
      <c r="G251" s="1085"/>
      <c r="H251" s="423">
        <f>H259-H257-H258</f>
        <v>2956542.87</v>
      </c>
      <c r="I251" s="419"/>
      <c r="J251" s="419"/>
      <c r="K251" s="419"/>
      <c r="L251" s="419"/>
    </row>
    <row r="252" spans="1:26" x14ac:dyDescent="0.2">
      <c r="A252" s="1085" t="s">
        <v>919</v>
      </c>
      <c r="B252" s="1085"/>
      <c r="C252" s="1085"/>
      <c r="D252" s="1085"/>
      <c r="E252" s="1085"/>
      <c r="F252" s="1085"/>
      <c r="G252" s="1085"/>
      <c r="H252" s="423">
        <v>2460653.4900000002</v>
      </c>
      <c r="I252" s="419"/>
      <c r="J252" s="419"/>
      <c r="K252" s="419"/>
      <c r="L252" s="419"/>
    </row>
    <row r="253" spans="1:26" x14ac:dyDescent="0.2">
      <c r="A253" s="1085" t="s">
        <v>776</v>
      </c>
      <c r="B253" s="1085"/>
      <c r="C253" s="1085"/>
      <c r="D253" s="1085"/>
      <c r="E253" s="1085"/>
      <c r="F253" s="1085"/>
      <c r="G253" s="1085"/>
      <c r="H253" s="423">
        <v>331642.94</v>
      </c>
      <c r="I253" s="419"/>
      <c r="J253" s="419"/>
      <c r="K253" s="419"/>
      <c r="L253" s="419"/>
    </row>
    <row r="254" spans="1:26" x14ac:dyDescent="0.2">
      <c r="A254" s="1085" t="s">
        <v>777</v>
      </c>
      <c r="B254" s="1085"/>
      <c r="C254" s="1085"/>
      <c r="D254" s="1085"/>
      <c r="E254" s="1085"/>
      <c r="F254" s="1085"/>
      <c r="G254" s="1085"/>
      <c r="H254" s="423">
        <v>79644.39</v>
      </c>
      <c r="I254" s="419"/>
      <c r="J254" s="419"/>
      <c r="K254" s="419"/>
      <c r="L254" s="419"/>
    </row>
    <row r="255" spans="1:26" x14ac:dyDescent="0.2">
      <c r="A255" s="1085" t="s">
        <v>778</v>
      </c>
      <c r="B255" s="1085"/>
      <c r="C255" s="1085"/>
      <c r="D255" s="1085"/>
      <c r="E255" s="1085"/>
      <c r="F255" s="1085"/>
      <c r="G255" s="1085"/>
      <c r="H255" s="423">
        <v>164246.44</v>
      </c>
      <c r="I255" s="419"/>
      <c r="J255" s="419"/>
      <c r="K255" s="419"/>
      <c r="L255" s="419"/>
    </row>
    <row r="256" spans="1:26" x14ac:dyDescent="0.2">
      <c r="A256" s="1085" t="s">
        <v>779</v>
      </c>
      <c r="B256" s="1085"/>
      <c r="C256" s="1085"/>
      <c r="D256" s="1085"/>
      <c r="E256" s="1085"/>
      <c r="F256" s="1085"/>
      <c r="G256" s="1085"/>
      <c r="H256" s="423">
        <v>3439448.44</v>
      </c>
      <c r="I256" s="419"/>
      <c r="J256" s="419"/>
      <c r="K256" s="419"/>
      <c r="L256" s="419"/>
    </row>
    <row r="257" spans="1:12" x14ac:dyDescent="0.2">
      <c r="A257" s="1085" t="s">
        <v>206</v>
      </c>
      <c r="B257" s="1085"/>
      <c r="C257" s="1085"/>
      <c r="D257" s="1085"/>
      <c r="E257" s="1085"/>
      <c r="F257" s="1085"/>
      <c r="G257" s="1085"/>
      <c r="H257" s="423">
        <v>301690.21999999997</v>
      </c>
      <c r="I257" s="419"/>
      <c r="J257" s="419"/>
      <c r="K257" s="419"/>
      <c r="L257" s="419"/>
    </row>
    <row r="258" spans="1:12" x14ac:dyDescent="0.2">
      <c r="A258" s="1085" t="s">
        <v>207</v>
      </c>
      <c r="B258" s="1085"/>
      <c r="C258" s="1085"/>
      <c r="D258" s="1085"/>
      <c r="E258" s="1085"/>
      <c r="F258" s="1085"/>
      <c r="G258" s="1085"/>
      <c r="H258" s="423">
        <v>181215.35</v>
      </c>
      <c r="I258" s="419"/>
      <c r="J258" s="419"/>
      <c r="K258" s="419"/>
      <c r="L258" s="419"/>
    </row>
    <row r="259" spans="1:12" s="426" customFormat="1" x14ac:dyDescent="0.2">
      <c r="A259" s="1086" t="s">
        <v>73</v>
      </c>
      <c r="B259" s="1086"/>
      <c r="C259" s="1086"/>
      <c r="D259" s="1086"/>
      <c r="E259" s="1086"/>
      <c r="F259" s="1086"/>
      <c r="G259" s="1086"/>
      <c r="H259" s="424">
        <v>3439448.44</v>
      </c>
      <c r="I259" s="425"/>
      <c r="J259" s="425"/>
      <c r="K259" s="425"/>
      <c r="L259" s="425"/>
    </row>
    <row r="260" spans="1:12" s="393" customFormat="1" x14ac:dyDescent="0.2">
      <c r="A260" s="1084" t="s">
        <v>784</v>
      </c>
      <c r="B260" s="1084"/>
      <c r="C260" s="1084"/>
      <c r="D260" s="1084"/>
      <c r="E260" s="1084"/>
      <c r="F260" s="1084"/>
      <c r="G260" s="1084"/>
      <c r="H260" s="382">
        <f>ROUND(H259*0.082,2)</f>
        <v>282034.77</v>
      </c>
      <c r="I260" s="383"/>
      <c r="J260" s="383"/>
      <c r="K260" s="383"/>
      <c r="L260" s="383"/>
    </row>
    <row r="261" spans="1:12" s="386" customFormat="1" x14ac:dyDescent="0.2">
      <c r="A261" s="1083" t="s">
        <v>785</v>
      </c>
      <c r="B261" s="1083"/>
      <c r="C261" s="1083"/>
      <c r="D261" s="1083"/>
      <c r="E261" s="1083"/>
      <c r="F261" s="1083"/>
      <c r="G261" s="1083"/>
      <c r="H261" s="384">
        <f>H259+H260</f>
        <v>3721483.21</v>
      </c>
      <c r="I261" s="385"/>
      <c r="J261" s="385"/>
      <c r="K261" s="385"/>
      <c r="L261" s="385"/>
    </row>
    <row r="262" spans="1:12" s="393" customFormat="1" x14ac:dyDescent="0.2">
      <c r="A262" s="1084" t="s">
        <v>786</v>
      </c>
      <c r="B262" s="1084"/>
      <c r="C262" s="1084"/>
      <c r="D262" s="1084"/>
      <c r="E262" s="1084"/>
      <c r="F262" s="1084"/>
      <c r="G262" s="1084"/>
      <c r="H262" s="382">
        <f>ROUND(H261*0.024,2)</f>
        <v>89315.6</v>
      </c>
      <c r="I262" s="383"/>
      <c r="J262" s="383"/>
      <c r="K262" s="383"/>
      <c r="L262" s="383"/>
    </row>
    <row r="263" spans="1:12" s="389" customFormat="1" ht="12" x14ac:dyDescent="0.25">
      <c r="A263" s="1054" t="s">
        <v>787</v>
      </c>
      <c r="B263" s="1054"/>
      <c r="C263" s="1054"/>
      <c r="D263" s="1054"/>
      <c r="E263" s="1054"/>
      <c r="F263" s="1054"/>
      <c r="G263" s="1054"/>
      <c r="H263" s="387">
        <f>H261+H262</f>
        <v>3810798.81</v>
      </c>
      <c r="I263" s="388"/>
      <c r="J263" s="388"/>
      <c r="K263" s="388"/>
      <c r="L263" s="388"/>
    </row>
    <row r="264" spans="1:12" s="389" customFormat="1" ht="12" x14ac:dyDescent="0.25">
      <c r="A264" s="1054" t="s">
        <v>1686</v>
      </c>
      <c r="B264" s="1054"/>
      <c r="C264" s="1054"/>
      <c r="D264" s="1054"/>
      <c r="E264" s="1054"/>
      <c r="F264" s="1054"/>
      <c r="G264" s="1054"/>
      <c r="H264" s="387">
        <f>ROUND(H263*1.0514,2)</f>
        <v>4006673.87</v>
      </c>
      <c r="I264" s="388"/>
      <c r="J264" s="388"/>
      <c r="K264" s="388"/>
      <c r="L264" s="388"/>
    </row>
    <row r="265" spans="1:12" s="389" customFormat="1" ht="12" x14ac:dyDescent="0.25">
      <c r="A265" s="611"/>
      <c r="B265" s="611"/>
      <c r="C265" s="611"/>
      <c r="D265" s="611"/>
      <c r="E265" s="611"/>
      <c r="F265" s="611"/>
      <c r="G265" s="611"/>
      <c r="H265" s="612"/>
      <c r="I265" s="613"/>
      <c r="J265" s="613"/>
      <c r="K265" s="613"/>
      <c r="L265" s="613"/>
    </row>
    <row r="266" spans="1:12" s="389" customFormat="1" ht="12" x14ac:dyDescent="0.25">
      <c r="A266" s="611"/>
      <c r="B266" s="611"/>
      <c r="C266" s="611"/>
      <c r="D266" s="611"/>
      <c r="E266" s="611"/>
      <c r="F266" s="611"/>
      <c r="G266" s="611"/>
      <c r="H266" s="612"/>
      <c r="I266" s="613"/>
      <c r="J266" s="613"/>
      <c r="K266" s="613"/>
      <c r="L266" s="613"/>
    </row>
    <row r="267" spans="1:12" s="389" customFormat="1" ht="12" x14ac:dyDescent="0.25">
      <c r="A267" s="611"/>
      <c r="B267" s="611"/>
      <c r="C267" s="611"/>
      <c r="D267" s="611"/>
      <c r="E267" s="611"/>
      <c r="F267" s="611"/>
      <c r="G267" s="611"/>
      <c r="H267" s="612"/>
      <c r="I267" s="613"/>
      <c r="J267" s="613"/>
      <c r="K267" s="613"/>
      <c r="L267" s="613"/>
    </row>
    <row r="268" spans="1:12" s="393" customFormat="1" x14ac:dyDescent="0.2"/>
    <row r="269" spans="1:12" s="393" customFormat="1" ht="24" x14ac:dyDescent="0.25">
      <c r="C269" s="428" t="s">
        <v>729</v>
      </c>
      <c r="D269" s="429" t="s">
        <v>824</v>
      </c>
      <c r="E269" s="427" t="s">
        <v>281</v>
      </c>
      <c r="F269" s="427"/>
      <c r="G269" s="389" t="s">
        <v>823</v>
      </c>
    </row>
    <row r="270" spans="1:12" s="393" customFormat="1" ht="12" x14ac:dyDescent="0.25">
      <c r="C270" s="428"/>
      <c r="G270" s="389"/>
    </row>
    <row r="271" spans="1:12" s="393" customFormat="1" ht="24" x14ac:dyDescent="0.25">
      <c r="C271" s="428" t="s">
        <v>730</v>
      </c>
      <c r="D271" s="429" t="s">
        <v>821</v>
      </c>
      <c r="E271" s="427" t="s">
        <v>281</v>
      </c>
      <c r="F271" s="427"/>
      <c r="G271" s="389" t="s">
        <v>822</v>
      </c>
    </row>
    <row r="272" spans="1:12" s="393" customFormat="1" x14ac:dyDescent="0.2"/>
  </sheetData>
  <mergeCells count="78">
    <mergeCell ref="A93:L93"/>
    <mergeCell ref="A140:L140"/>
    <mergeCell ref="K35:L35"/>
    <mergeCell ref="A261:G261"/>
    <mergeCell ref="A262:G262"/>
    <mergeCell ref="A263:G263"/>
    <mergeCell ref="A251:G251"/>
    <mergeCell ref="A255:G255"/>
    <mergeCell ref="A256:G256"/>
    <mergeCell ref="A257:G257"/>
    <mergeCell ref="A258:G258"/>
    <mergeCell ref="A259:G259"/>
    <mergeCell ref="A260:G260"/>
    <mergeCell ref="A250:L250"/>
    <mergeCell ref="A252:G252"/>
    <mergeCell ref="A253:G253"/>
    <mergeCell ref="A254:G254"/>
    <mergeCell ref="A40:L40"/>
    <mergeCell ref="J31:K31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F35:F36"/>
    <mergeCell ref="G35:G36"/>
    <mergeCell ref="H35:H37"/>
    <mergeCell ref="I35:I37"/>
    <mergeCell ref="J35:J36"/>
    <mergeCell ref="K36:L36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C27:L27"/>
    <mergeCell ref="C28:L28"/>
    <mergeCell ref="F30:I30"/>
    <mergeCell ref="J30:K30"/>
    <mergeCell ref="F31:I31"/>
    <mergeCell ref="A16:B16"/>
    <mergeCell ref="C16:I16"/>
    <mergeCell ref="C17:I17"/>
    <mergeCell ref="H18:J18"/>
    <mergeCell ref="K18:L18"/>
    <mergeCell ref="K11:L12"/>
    <mergeCell ref="A12:B12"/>
    <mergeCell ref="C12:I12"/>
    <mergeCell ref="C13:I13"/>
    <mergeCell ref="K13:L14"/>
    <mergeCell ref="A14:B14"/>
    <mergeCell ref="C14:I14"/>
    <mergeCell ref="A264:G264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D364"/>
  <sheetViews>
    <sheetView view="pageBreakPreview" zoomScaleNormal="100" zoomScaleSheetLayoutView="100" workbookViewId="0">
      <selection activeCell="A357" sqref="A357:XFD359"/>
    </sheetView>
  </sheetViews>
  <sheetFormatPr defaultColWidth="9.109375" defaultRowHeight="10.199999999999999" x14ac:dyDescent="0.2"/>
  <cols>
    <col min="1" max="1" width="6.33203125" style="401" customWidth="1"/>
    <col min="2" max="2" width="6.6640625" style="401" customWidth="1"/>
    <col min="3" max="3" width="15.6640625" style="401" customWidth="1"/>
    <col min="4" max="4" width="40.6640625" style="401" customWidth="1"/>
    <col min="5" max="12" width="12.6640625" style="401" customWidth="1"/>
    <col min="13" max="19" width="9.109375" style="401"/>
    <col min="20" max="29" width="0" style="401" hidden="1" customWidth="1"/>
    <col min="30" max="30" width="118.6640625" style="401" hidden="1" customWidth="1"/>
    <col min="31" max="36" width="0" style="401" hidden="1" customWidth="1"/>
    <col min="37" max="16384" width="9.109375" style="401"/>
  </cols>
  <sheetData>
    <row r="1" spans="1:12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2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2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2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2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2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2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2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399" t="s">
        <v>4</v>
      </c>
      <c r="K8" s="1101"/>
      <c r="L8" s="1102"/>
    </row>
    <row r="9" spans="1:12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2" s="393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92" t="s">
        <v>4</v>
      </c>
      <c r="K10" s="1101"/>
      <c r="L10" s="1102"/>
    </row>
    <row r="11" spans="1:12" s="393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s="393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92" t="s">
        <v>4</v>
      </c>
      <c r="K12" s="1064"/>
      <c r="L12" s="1065"/>
    </row>
    <row r="13" spans="1:12" s="393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s="393" customFormat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2" x14ac:dyDescent="0.2">
      <c r="A16" s="1103" t="s">
        <v>686</v>
      </c>
      <c r="B16" s="1103"/>
      <c r="C16" s="1104" t="s">
        <v>1151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394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391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394">
        <v>8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00"/>
      <c r="D29" s="400"/>
      <c r="E29" s="400"/>
      <c r="F29" s="400"/>
      <c r="G29" s="400"/>
      <c r="H29" s="400"/>
      <c r="I29" s="400"/>
      <c r="J29" s="400"/>
      <c r="K29" s="400"/>
      <c r="L29" s="400"/>
    </row>
    <row r="30" spans="1:12" x14ac:dyDescent="0.2">
      <c r="A30" s="398"/>
      <c r="B30" s="398"/>
      <c r="C30" s="400"/>
      <c r="D30" s="400"/>
      <c r="E30" s="400"/>
      <c r="F30" s="1090" t="s">
        <v>692</v>
      </c>
      <c r="G30" s="1090"/>
      <c r="H30" s="1090"/>
      <c r="I30" s="1090"/>
      <c r="J30" s="1091">
        <v>1576.29</v>
      </c>
      <c r="K30" s="1092"/>
      <c r="L30" s="398" t="s">
        <v>693</v>
      </c>
    </row>
    <row r="31" spans="1:12" x14ac:dyDescent="0.2">
      <c r="A31" s="398"/>
      <c r="B31" s="398"/>
      <c r="C31" s="400"/>
      <c r="D31" s="400"/>
      <c r="E31" s="400"/>
      <c r="F31" s="1090" t="s">
        <v>694</v>
      </c>
      <c r="G31" s="1090"/>
      <c r="H31" s="1090"/>
      <c r="I31" s="1090"/>
      <c r="J31" s="1091">
        <v>876.31</v>
      </c>
      <c r="K31" s="1092"/>
      <c r="L31" s="398" t="s">
        <v>695</v>
      </c>
    </row>
    <row r="32" spans="1:12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335.69</v>
      </c>
      <c r="K32" s="1092"/>
      <c r="L32" s="398" t="s">
        <v>693</v>
      </c>
    </row>
    <row r="34" spans="1:26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1027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</row>
    <row r="41" spans="1:26" ht="30.6" x14ac:dyDescent="0.2">
      <c r="A41" s="403">
        <v>1</v>
      </c>
      <c r="B41" s="403">
        <v>1</v>
      </c>
      <c r="C41" s="403" t="s">
        <v>974</v>
      </c>
      <c r="D41" s="403" t="s">
        <v>1100</v>
      </c>
      <c r="E41" s="404">
        <v>0.873</v>
      </c>
      <c r="F41" s="405">
        <v>1058.46</v>
      </c>
      <c r="G41" s="405" t="s">
        <v>281</v>
      </c>
      <c r="H41" s="406">
        <v>41369.07</v>
      </c>
      <c r="I41" s="406">
        <v>41369.07</v>
      </c>
      <c r="J41" s="406" t="s">
        <v>281</v>
      </c>
      <c r="K41" s="405">
        <v>135.69999999999999</v>
      </c>
      <c r="L41" s="405">
        <v>118.4661</v>
      </c>
      <c r="T41" s="401">
        <v>92253.02</v>
      </c>
      <c r="V41" s="401">
        <v>41369.07</v>
      </c>
      <c r="W41" s="401" t="s">
        <v>281</v>
      </c>
      <c r="X41" s="401" t="s">
        <v>281</v>
      </c>
      <c r="Y41" s="401">
        <v>118.4661</v>
      </c>
      <c r="Z41" s="401" t="s">
        <v>281</v>
      </c>
    </row>
    <row r="42" spans="1:26" x14ac:dyDescent="0.2">
      <c r="A42" s="407"/>
      <c r="B42" s="407"/>
      <c r="C42" s="407"/>
      <c r="D42" s="408" t="s">
        <v>901</v>
      </c>
      <c r="E42" s="409"/>
      <c r="F42" s="410">
        <v>1058.46</v>
      </c>
      <c r="G42" s="410" t="s">
        <v>281</v>
      </c>
      <c r="H42" s="409"/>
      <c r="I42" s="409"/>
      <c r="J42" s="411" t="s">
        <v>281</v>
      </c>
      <c r="K42" s="410" t="s">
        <v>281</v>
      </c>
      <c r="L42" s="410" t="s">
        <v>281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20.399999999999999" x14ac:dyDescent="0.2">
      <c r="A44" s="412"/>
      <c r="B44" s="412"/>
      <c r="C44" s="412"/>
      <c r="D44" s="395" t="s">
        <v>1023</v>
      </c>
      <c r="E44" s="412"/>
      <c r="F44" s="412"/>
      <c r="G44" s="412"/>
      <c r="H44" s="412"/>
      <c r="I44" s="412"/>
      <c r="J44" s="412"/>
      <c r="K44" s="412"/>
      <c r="L44" s="412"/>
    </row>
    <row r="45" spans="1:26" ht="81.599999999999994" x14ac:dyDescent="0.2">
      <c r="A45" s="412"/>
      <c r="B45" s="412"/>
      <c r="C45" s="412"/>
      <c r="D45" s="395" t="s">
        <v>1024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770</v>
      </c>
      <c r="F46" s="414"/>
      <c r="G46" s="414"/>
      <c r="H46" s="415">
        <v>36818.47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977</v>
      </c>
      <c r="F47" s="414"/>
      <c r="G47" s="414"/>
      <c r="H47" s="415">
        <v>14065.48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92253.02</v>
      </c>
      <c r="I48" s="412"/>
      <c r="J48" s="412"/>
      <c r="K48" s="412"/>
      <c r="L48" s="412"/>
    </row>
    <row r="49" spans="1:26" ht="30.6" x14ac:dyDescent="0.2">
      <c r="A49" s="403">
        <v>2</v>
      </c>
      <c r="B49" s="403">
        <v>2</v>
      </c>
      <c r="C49" s="403" t="s">
        <v>1117</v>
      </c>
      <c r="D49" s="403" t="s">
        <v>1101</v>
      </c>
      <c r="E49" s="404">
        <v>0.67300000000000004</v>
      </c>
      <c r="F49" s="405">
        <v>763.3125</v>
      </c>
      <c r="G49" s="405" t="s">
        <v>281</v>
      </c>
      <c r="H49" s="406">
        <v>22998.77</v>
      </c>
      <c r="I49" s="406">
        <v>22998.77</v>
      </c>
      <c r="J49" s="406" t="s">
        <v>281</v>
      </c>
      <c r="K49" s="405">
        <v>101.77500000000001</v>
      </c>
      <c r="L49" s="405">
        <v>68.494574999999998</v>
      </c>
      <c r="T49" s="401">
        <v>51287.26</v>
      </c>
      <c r="V49" s="401">
        <v>22998.77</v>
      </c>
      <c r="W49" s="401" t="s">
        <v>281</v>
      </c>
      <c r="X49" s="401" t="s">
        <v>281</v>
      </c>
      <c r="Y49" s="401">
        <v>68.494574999999998</v>
      </c>
      <c r="Z49" s="401" t="s">
        <v>281</v>
      </c>
    </row>
    <row r="50" spans="1:26" x14ac:dyDescent="0.2">
      <c r="A50" s="407"/>
      <c r="B50" s="407"/>
      <c r="C50" s="407"/>
      <c r="D50" s="408" t="s">
        <v>901</v>
      </c>
      <c r="E50" s="409"/>
      <c r="F50" s="410">
        <v>763.3125</v>
      </c>
      <c r="G50" s="410" t="s">
        <v>281</v>
      </c>
      <c r="H50" s="409"/>
      <c r="I50" s="409"/>
      <c r="J50" s="411" t="s">
        <v>281</v>
      </c>
      <c r="K50" s="410" t="s">
        <v>281</v>
      </c>
      <c r="L50" s="410" t="s">
        <v>281</v>
      </c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</row>
    <row r="52" spans="1:26" ht="20.399999999999999" x14ac:dyDescent="0.2">
      <c r="A52" s="412"/>
      <c r="B52" s="412"/>
      <c r="C52" s="412"/>
      <c r="D52" s="395" t="s">
        <v>1023</v>
      </c>
      <c r="E52" s="412"/>
      <c r="F52" s="412"/>
      <c r="G52" s="412"/>
      <c r="H52" s="412"/>
      <c r="I52" s="412"/>
      <c r="J52" s="412"/>
      <c r="K52" s="412"/>
      <c r="L52" s="412"/>
    </row>
    <row r="53" spans="1:26" ht="81.599999999999994" x14ac:dyDescent="0.2">
      <c r="A53" s="412"/>
      <c r="B53" s="412"/>
      <c r="C53" s="412"/>
      <c r="D53" s="395" t="s">
        <v>1024</v>
      </c>
      <c r="E53" s="412"/>
      <c r="F53" s="412"/>
      <c r="G53" s="412"/>
      <c r="H53" s="412"/>
      <c r="I53" s="412"/>
      <c r="J53" s="412"/>
      <c r="K53" s="412"/>
      <c r="L53" s="412"/>
    </row>
    <row r="54" spans="1:26" x14ac:dyDescent="0.2">
      <c r="A54" s="412"/>
      <c r="B54" s="412"/>
      <c r="C54" s="412"/>
      <c r="D54" s="413" t="s">
        <v>206</v>
      </c>
      <c r="E54" s="414" t="s">
        <v>770</v>
      </c>
      <c r="F54" s="414"/>
      <c r="G54" s="414"/>
      <c r="H54" s="415">
        <v>20468.91</v>
      </c>
      <c r="I54" s="412"/>
      <c r="J54" s="412"/>
      <c r="K54" s="412"/>
      <c r="L54" s="412"/>
    </row>
    <row r="55" spans="1:26" x14ac:dyDescent="0.2">
      <c r="A55" s="412"/>
      <c r="B55" s="412"/>
      <c r="C55" s="412"/>
      <c r="D55" s="413" t="s">
        <v>207</v>
      </c>
      <c r="E55" s="414" t="s">
        <v>977</v>
      </c>
      <c r="F55" s="414"/>
      <c r="G55" s="414"/>
      <c r="H55" s="415">
        <v>7819.58</v>
      </c>
      <c r="I55" s="412"/>
      <c r="J55" s="412"/>
      <c r="K55" s="412"/>
      <c r="L55" s="412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51287.26</v>
      </c>
      <c r="I56" s="412"/>
      <c r="J56" s="412"/>
      <c r="K56" s="412"/>
      <c r="L56" s="412"/>
    </row>
    <row r="57" spans="1:26" ht="30.6" x14ac:dyDescent="0.2">
      <c r="A57" s="403">
        <v>3</v>
      </c>
      <c r="B57" s="403">
        <v>3</v>
      </c>
      <c r="C57" s="403" t="s">
        <v>766</v>
      </c>
      <c r="D57" s="403" t="s">
        <v>1536</v>
      </c>
      <c r="E57" s="404">
        <v>11</v>
      </c>
      <c r="F57" s="405">
        <v>101.17976</v>
      </c>
      <c r="G57" s="405" t="s">
        <v>281</v>
      </c>
      <c r="H57" s="406">
        <v>9081.93</v>
      </c>
      <c r="I57" s="406" t="s">
        <v>281</v>
      </c>
      <c r="J57" s="406" t="s">
        <v>281</v>
      </c>
      <c r="K57" s="405" t="s">
        <v>281</v>
      </c>
      <c r="L57" s="405" t="s">
        <v>281</v>
      </c>
      <c r="T57" s="401">
        <v>9081.93</v>
      </c>
      <c r="V57" s="401" t="s">
        <v>281</v>
      </c>
      <c r="W57" s="401" t="s">
        <v>281</v>
      </c>
      <c r="X57" s="401" t="s">
        <v>281</v>
      </c>
      <c r="Y57" s="401" t="s">
        <v>281</v>
      </c>
      <c r="Z57" s="401" t="s">
        <v>281</v>
      </c>
    </row>
    <row r="58" spans="1:26" x14ac:dyDescent="0.2">
      <c r="A58" s="407"/>
      <c r="B58" s="407"/>
      <c r="C58" s="407"/>
      <c r="D58" s="408" t="s">
        <v>745</v>
      </c>
      <c r="E58" s="409"/>
      <c r="F58" s="410" t="s">
        <v>281</v>
      </c>
      <c r="G58" s="410" t="s">
        <v>281</v>
      </c>
      <c r="H58" s="409"/>
      <c r="I58" s="409"/>
      <c r="J58" s="411" t="s">
        <v>281</v>
      </c>
      <c r="K58" s="410" t="s">
        <v>281</v>
      </c>
      <c r="L58" s="410" t="s">
        <v>281</v>
      </c>
    </row>
    <row r="59" spans="1:26" x14ac:dyDescent="0.2">
      <c r="A59" s="412"/>
      <c r="B59" s="412"/>
      <c r="C59" s="412"/>
      <c r="D59" s="395" t="s">
        <v>718</v>
      </c>
      <c r="E59" s="412"/>
      <c r="F59" s="412"/>
      <c r="G59" s="412"/>
      <c r="H59" s="412"/>
      <c r="I59" s="412"/>
      <c r="J59" s="412"/>
      <c r="K59" s="412"/>
      <c r="L59" s="412"/>
    </row>
    <row r="60" spans="1:26" ht="40.799999999999997" x14ac:dyDescent="0.2">
      <c r="A60" s="403">
        <v>4</v>
      </c>
      <c r="B60" s="403">
        <v>4</v>
      </c>
      <c r="C60" s="403" t="s">
        <v>910</v>
      </c>
      <c r="D60" s="403" t="s">
        <v>1102</v>
      </c>
      <c r="E60" s="404">
        <v>0.2</v>
      </c>
      <c r="F60" s="405">
        <v>461.95499999999998</v>
      </c>
      <c r="G60" s="405" t="s">
        <v>281</v>
      </c>
      <c r="H60" s="406">
        <v>4136.3500000000004</v>
      </c>
      <c r="I60" s="406">
        <v>4136.3500000000004</v>
      </c>
      <c r="J60" s="406" t="s">
        <v>281</v>
      </c>
      <c r="K60" s="405">
        <v>61.594000000000001</v>
      </c>
      <c r="L60" s="405">
        <v>12.3188</v>
      </c>
      <c r="T60" s="401">
        <v>9224.06</v>
      </c>
      <c r="V60" s="401">
        <v>4136.3500000000004</v>
      </c>
      <c r="W60" s="401" t="s">
        <v>281</v>
      </c>
      <c r="X60" s="401" t="s">
        <v>281</v>
      </c>
      <c r="Y60" s="401">
        <v>12.3188</v>
      </c>
      <c r="Z60" s="401" t="s">
        <v>281</v>
      </c>
    </row>
    <row r="61" spans="1:26" x14ac:dyDescent="0.2">
      <c r="A61" s="407"/>
      <c r="B61" s="407"/>
      <c r="C61" s="407"/>
      <c r="D61" s="408" t="s">
        <v>901</v>
      </c>
      <c r="E61" s="409"/>
      <c r="F61" s="410">
        <v>461.95499999999998</v>
      </c>
      <c r="G61" s="410" t="s">
        <v>281</v>
      </c>
      <c r="H61" s="409"/>
      <c r="I61" s="409"/>
      <c r="J61" s="411" t="s">
        <v>281</v>
      </c>
      <c r="K61" s="410" t="s">
        <v>281</v>
      </c>
      <c r="L61" s="410" t="s">
        <v>281</v>
      </c>
    </row>
    <row r="62" spans="1:26" ht="20.399999999999999" x14ac:dyDescent="0.2">
      <c r="A62" s="412"/>
      <c r="B62" s="412"/>
      <c r="C62" s="412"/>
      <c r="D62" s="395" t="s">
        <v>714</v>
      </c>
      <c r="E62" s="412"/>
      <c r="F62" s="412"/>
      <c r="G62" s="412"/>
      <c r="H62" s="412"/>
      <c r="I62" s="412"/>
      <c r="J62" s="412"/>
      <c r="K62" s="412"/>
      <c r="L62" s="412"/>
    </row>
    <row r="63" spans="1:26" ht="20.399999999999999" x14ac:dyDescent="0.2">
      <c r="A63" s="412"/>
      <c r="B63" s="412"/>
      <c r="C63" s="412"/>
      <c r="D63" s="395" t="s">
        <v>1023</v>
      </c>
      <c r="E63" s="412"/>
      <c r="F63" s="412"/>
      <c r="G63" s="412"/>
      <c r="H63" s="412"/>
      <c r="I63" s="412"/>
      <c r="J63" s="412"/>
      <c r="K63" s="412"/>
      <c r="L63" s="412"/>
    </row>
    <row r="64" spans="1:26" ht="81.599999999999994" x14ac:dyDescent="0.2">
      <c r="A64" s="412"/>
      <c r="B64" s="412"/>
      <c r="C64" s="412"/>
      <c r="D64" s="395" t="s">
        <v>1024</v>
      </c>
      <c r="E64" s="412"/>
      <c r="F64" s="412"/>
      <c r="G64" s="412"/>
      <c r="H64" s="412"/>
      <c r="I64" s="412"/>
      <c r="J64" s="412"/>
      <c r="K64" s="412"/>
      <c r="L64" s="412"/>
    </row>
    <row r="65" spans="1:26" x14ac:dyDescent="0.2">
      <c r="A65" s="412"/>
      <c r="B65" s="412"/>
      <c r="C65" s="412"/>
      <c r="D65" s="413" t="s">
        <v>206</v>
      </c>
      <c r="E65" s="414" t="s">
        <v>770</v>
      </c>
      <c r="F65" s="414"/>
      <c r="G65" s="414"/>
      <c r="H65" s="415">
        <v>3681.35</v>
      </c>
      <c r="I65" s="412"/>
      <c r="J65" s="412"/>
      <c r="K65" s="412"/>
      <c r="L65" s="412"/>
    </row>
    <row r="66" spans="1:26" x14ac:dyDescent="0.2">
      <c r="A66" s="412"/>
      <c r="B66" s="412"/>
      <c r="C66" s="412"/>
      <c r="D66" s="413" t="s">
        <v>207</v>
      </c>
      <c r="E66" s="414" t="s">
        <v>977</v>
      </c>
      <c r="F66" s="414"/>
      <c r="G66" s="414"/>
      <c r="H66" s="415">
        <v>1406.36</v>
      </c>
      <c r="I66" s="412"/>
      <c r="J66" s="412"/>
      <c r="K66" s="412"/>
      <c r="L66" s="412"/>
    </row>
    <row r="67" spans="1:26" x14ac:dyDescent="0.2">
      <c r="A67" s="412"/>
      <c r="B67" s="412"/>
      <c r="C67" s="412"/>
      <c r="D67" s="416" t="s">
        <v>715</v>
      </c>
      <c r="E67" s="417"/>
      <c r="F67" s="417"/>
      <c r="G67" s="417"/>
      <c r="H67" s="418">
        <v>9224.06</v>
      </c>
      <c r="I67" s="412"/>
      <c r="J67" s="412"/>
      <c r="K67" s="412"/>
      <c r="L67" s="412"/>
    </row>
    <row r="68" spans="1:26" ht="30.6" x14ac:dyDescent="0.2">
      <c r="A68" s="403">
        <v>5</v>
      </c>
      <c r="B68" s="403">
        <v>5</v>
      </c>
      <c r="C68" s="403" t="s">
        <v>744</v>
      </c>
      <c r="D68" s="403" t="s">
        <v>1035</v>
      </c>
      <c r="E68" s="404">
        <v>20</v>
      </c>
      <c r="F68" s="405">
        <v>162.38</v>
      </c>
      <c r="G68" s="405" t="s">
        <v>281</v>
      </c>
      <c r="H68" s="406">
        <v>26500.400000000001</v>
      </c>
      <c r="I68" s="406" t="s">
        <v>281</v>
      </c>
      <c r="J68" s="406" t="s">
        <v>281</v>
      </c>
      <c r="K68" s="405" t="s">
        <v>281</v>
      </c>
      <c r="L68" s="405" t="s">
        <v>281</v>
      </c>
      <c r="T68" s="401">
        <v>26500.400000000001</v>
      </c>
      <c r="V68" s="401" t="s">
        <v>281</v>
      </c>
      <c r="W68" s="401" t="s">
        <v>281</v>
      </c>
      <c r="X68" s="401" t="s">
        <v>281</v>
      </c>
      <c r="Y68" s="401" t="s">
        <v>281</v>
      </c>
      <c r="Z68" s="401" t="s">
        <v>281</v>
      </c>
    </row>
    <row r="69" spans="1:26" x14ac:dyDescent="0.2">
      <c r="A69" s="407"/>
      <c r="B69" s="407"/>
      <c r="C69" s="407"/>
      <c r="D69" s="408" t="s">
        <v>745</v>
      </c>
      <c r="E69" s="409"/>
      <c r="F69" s="410" t="s">
        <v>281</v>
      </c>
      <c r="G69" s="410" t="s">
        <v>281</v>
      </c>
      <c r="H69" s="409"/>
      <c r="I69" s="409"/>
      <c r="J69" s="411" t="s">
        <v>281</v>
      </c>
      <c r="K69" s="410" t="s">
        <v>281</v>
      </c>
      <c r="L69" s="410" t="s">
        <v>281</v>
      </c>
    </row>
    <row r="70" spans="1:26" x14ac:dyDescent="0.2">
      <c r="A70" s="412"/>
      <c r="B70" s="412"/>
      <c r="C70" s="412"/>
      <c r="D70" s="395" t="s">
        <v>718</v>
      </c>
      <c r="E70" s="412"/>
      <c r="F70" s="412"/>
      <c r="G70" s="412"/>
      <c r="H70" s="412"/>
      <c r="I70" s="412"/>
      <c r="J70" s="412"/>
      <c r="K70" s="412"/>
      <c r="L70" s="412"/>
    </row>
    <row r="71" spans="1:26" ht="30.6" x14ac:dyDescent="0.2">
      <c r="A71" s="403">
        <v>6</v>
      </c>
      <c r="B71" s="403">
        <v>6</v>
      </c>
      <c r="C71" s="403" t="s">
        <v>974</v>
      </c>
      <c r="D71" s="403" t="s">
        <v>1100</v>
      </c>
      <c r="E71" s="404">
        <v>1.1859999999999999</v>
      </c>
      <c r="F71" s="405">
        <v>1058.46</v>
      </c>
      <c r="G71" s="405" t="s">
        <v>281</v>
      </c>
      <c r="H71" s="406">
        <v>56201.279999999999</v>
      </c>
      <c r="I71" s="406">
        <v>56201.279999999999</v>
      </c>
      <c r="J71" s="406" t="s">
        <v>281</v>
      </c>
      <c r="K71" s="405">
        <v>135.69999999999999</v>
      </c>
      <c r="L71" s="405">
        <v>160.9402</v>
      </c>
      <c r="T71" s="401">
        <v>125328.86</v>
      </c>
      <c r="V71" s="401">
        <v>56201.279999999999</v>
      </c>
      <c r="W71" s="401" t="s">
        <v>281</v>
      </c>
      <c r="X71" s="401" t="s">
        <v>281</v>
      </c>
      <c r="Y71" s="401">
        <v>160.9402</v>
      </c>
      <c r="Z71" s="401" t="s">
        <v>281</v>
      </c>
    </row>
    <row r="72" spans="1:26" x14ac:dyDescent="0.2">
      <c r="A72" s="407"/>
      <c r="B72" s="407"/>
      <c r="C72" s="407"/>
      <c r="D72" s="408" t="s">
        <v>901</v>
      </c>
      <c r="E72" s="409"/>
      <c r="F72" s="410">
        <v>1058.46</v>
      </c>
      <c r="G72" s="410" t="s">
        <v>281</v>
      </c>
      <c r="H72" s="409"/>
      <c r="I72" s="409"/>
      <c r="J72" s="411" t="s">
        <v>281</v>
      </c>
      <c r="K72" s="410" t="s">
        <v>281</v>
      </c>
      <c r="L72" s="410" t="s">
        <v>281</v>
      </c>
    </row>
    <row r="73" spans="1:26" ht="20.399999999999999" x14ac:dyDescent="0.2">
      <c r="A73" s="412"/>
      <c r="B73" s="412"/>
      <c r="C73" s="412"/>
      <c r="D73" s="395" t="s">
        <v>714</v>
      </c>
      <c r="E73" s="412"/>
      <c r="F73" s="412"/>
      <c r="G73" s="412"/>
      <c r="H73" s="412"/>
      <c r="I73" s="412"/>
      <c r="J73" s="412"/>
      <c r="K73" s="412"/>
      <c r="L73" s="412"/>
    </row>
    <row r="74" spans="1:26" ht="20.399999999999999" x14ac:dyDescent="0.2">
      <c r="A74" s="412"/>
      <c r="B74" s="412"/>
      <c r="C74" s="412"/>
      <c r="D74" s="395" t="s">
        <v>1023</v>
      </c>
      <c r="E74" s="412"/>
      <c r="F74" s="412"/>
      <c r="G74" s="412"/>
      <c r="H74" s="412"/>
      <c r="I74" s="412"/>
      <c r="J74" s="412"/>
      <c r="K74" s="412"/>
      <c r="L74" s="412"/>
    </row>
    <row r="75" spans="1:26" ht="81.599999999999994" x14ac:dyDescent="0.2">
      <c r="A75" s="412"/>
      <c r="B75" s="412"/>
      <c r="C75" s="412"/>
      <c r="D75" s="395" t="s">
        <v>1024</v>
      </c>
      <c r="E75" s="412"/>
      <c r="F75" s="412"/>
      <c r="G75" s="412"/>
      <c r="H75" s="412"/>
      <c r="I75" s="412"/>
      <c r="J75" s="412"/>
      <c r="K75" s="412"/>
      <c r="L75" s="412"/>
    </row>
    <row r="76" spans="1:26" x14ac:dyDescent="0.2">
      <c r="A76" s="412"/>
      <c r="B76" s="412"/>
      <c r="C76" s="412"/>
      <c r="D76" s="413" t="s">
        <v>206</v>
      </c>
      <c r="E76" s="414" t="s">
        <v>770</v>
      </c>
      <c r="F76" s="414"/>
      <c r="G76" s="414"/>
      <c r="H76" s="415">
        <v>50019.14</v>
      </c>
      <c r="I76" s="412"/>
      <c r="J76" s="412"/>
      <c r="K76" s="412"/>
      <c r="L76" s="412"/>
    </row>
    <row r="77" spans="1:26" x14ac:dyDescent="0.2">
      <c r="A77" s="412"/>
      <c r="B77" s="412"/>
      <c r="C77" s="412"/>
      <c r="D77" s="413" t="s">
        <v>207</v>
      </c>
      <c r="E77" s="414" t="s">
        <v>977</v>
      </c>
      <c r="F77" s="414"/>
      <c r="G77" s="414"/>
      <c r="H77" s="415">
        <v>19108.439999999999</v>
      </c>
      <c r="I77" s="412"/>
      <c r="J77" s="412"/>
      <c r="K77" s="412"/>
      <c r="L77" s="412"/>
    </row>
    <row r="78" spans="1:26" x14ac:dyDescent="0.2">
      <c r="A78" s="412"/>
      <c r="B78" s="412"/>
      <c r="C78" s="412"/>
      <c r="D78" s="416" t="s">
        <v>715</v>
      </c>
      <c r="E78" s="417"/>
      <c r="F78" s="417"/>
      <c r="G78" s="417"/>
      <c r="H78" s="418">
        <v>125328.86</v>
      </c>
      <c r="I78" s="412"/>
      <c r="J78" s="412"/>
      <c r="K78" s="412"/>
      <c r="L78" s="412"/>
    </row>
    <row r="79" spans="1:26" ht="30.6" x14ac:dyDescent="0.2">
      <c r="A79" s="403">
        <v>7</v>
      </c>
      <c r="B79" s="403">
        <v>7</v>
      </c>
      <c r="C79" s="403" t="s">
        <v>1117</v>
      </c>
      <c r="D79" s="403" t="s">
        <v>1101</v>
      </c>
      <c r="E79" s="404">
        <v>0.91400000000000003</v>
      </c>
      <c r="F79" s="405">
        <v>763.3125</v>
      </c>
      <c r="G79" s="405" t="s">
        <v>281</v>
      </c>
      <c r="H79" s="406">
        <v>31234.58</v>
      </c>
      <c r="I79" s="406">
        <v>31234.58</v>
      </c>
      <c r="J79" s="406" t="s">
        <v>281</v>
      </c>
      <c r="K79" s="405">
        <v>101.77500000000001</v>
      </c>
      <c r="L79" s="405">
        <v>93.022350000000003</v>
      </c>
      <c r="T79" s="401">
        <v>69653.119999999995</v>
      </c>
      <c r="V79" s="401">
        <v>31234.58</v>
      </c>
      <c r="W79" s="401" t="s">
        <v>281</v>
      </c>
      <c r="X79" s="401" t="s">
        <v>281</v>
      </c>
      <c r="Y79" s="401">
        <v>93.022350000000003</v>
      </c>
      <c r="Z79" s="401" t="s">
        <v>281</v>
      </c>
    </row>
    <row r="80" spans="1:26" x14ac:dyDescent="0.2">
      <c r="A80" s="407"/>
      <c r="B80" s="407"/>
      <c r="C80" s="407"/>
      <c r="D80" s="408" t="s">
        <v>901</v>
      </c>
      <c r="E80" s="409"/>
      <c r="F80" s="410">
        <v>763.3125</v>
      </c>
      <c r="G80" s="410" t="s">
        <v>281</v>
      </c>
      <c r="H80" s="409"/>
      <c r="I80" s="409"/>
      <c r="J80" s="411" t="s">
        <v>281</v>
      </c>
      <c r="K80" s="410" t="s">
        <v>281</v>
      </c>
      <c r="L80" s="410" t="s">
        <v>281</v>
      </c>
    </row>
    <row r="81" spans="1:26" ht="20.399999999999999" x14ac:dyDescent="0.2">
      <c r="A81" s="412"/>
      <c r="B81" s="412"/>
      <c r="C81" s="412"/>
      <c r="D81" s="395" t="s">
        <v>714</v>
      </c>
      <c r="E81" s="412"/>
      <c r="F81" s="412"/>
      <c r="G81" s="412"/>
      <c r="H81" s="412"/>
      <c r="I81" s="412"/>
      <c r="J81" s="412"/>
      <c r="K81" s="412"/>
      <c r="L81" s="412"/>
    </row>
    <row r="82" spans="1:26" ht="20.399999999999999" x14ac:dyDescent="0.2">
      <c r="A82" s="412"/>
      <c r="B82" s="412"/>
      <c r="C82" s="412"/>
      <c r="D82" s="395" t="s">
        <v>1023</v>
      </c>
      <c r="E82" s="412"/>
      <c r="F82" s="412"/>
      <c r="G82" s="412"/>
      <c r="H82" s="412"/>
      <c r="I82" s="412"/>
      <c r="J82" s="412"/>
      <c r="K82" s="412"/>
      <c r="L82" s="412"/>
    </row>
    <row r="83" spans="1:26" ht="81.599999999999994" x14ac:dyDescent="0.2">
      <c r="A83" s="412"/>
      <c r="B83" s="412"/>
      <c r="C83" s="412"/>
      <c r="D83" s="395" t="s">
        <v>1024</v>
      </c>
      <c r="E83" s="412"/>
      <c r="F83" s="412"/>
      <c r="G83" s="412"/>
      <c r="H83" s="412"/>
      <c r="I83" s="412"/>
      <c r="J83" s="412"/>
      <c r="K83" s="412"/>
      <c r="L83" s="412"/>
    </row>
    <row r="84" spans="1:26" x14ac:dyDescent="0.2">
      <c r="A84" s="412"/>
      <c r="B84" s="412"/>
      <c r="C84" s="412"/>
      <c r="D84" s="413" t="s">
        <v>206</v>
      </c>
      <c r="E84" s="414" t="s">
        <v>770</v>
      </c>
      <c r="F84" s="414"/>
      <c r="G84" s="414"/>
      <c r="H84" s="415">
        <v>27798.78</v>
      </c>
      <c r="I84" s="412"/>
      <c r="J84" s="412"/>
      <c r="K84" s="412"/>
      <c r="L84" s="412"/>
    </row>
    <row r="85" spans="1:26" x14ac:dyDescent="0.2">
      <c r="A85" s="412"/>
      <c r="B85" s="412"/>
      <c r="C85" s="412"/>
      <c r="D85" s="413" t="s">
        <v>207</v>
      </c>
      <c r="E85" s="414" t="s">
        <v>977</v>
      </c>
      <c r="F85" s="414"/>
      <c r="G85" s="414"/>
      <c r="H85" s="415">
        <v>10619.76</v>
      </c>
      <c r="I85" s="412"/>
      <c r="J85" s="412"/>
      <c r="K85" s="412"/>
      <c r="L85" s="412"/>
    </row>
    <row r="86" spans="1:26" x14ac:dyDescent="0.2">
      <c r="A86" s="412"/>
      <c r="B86" s="412"/>
      <c r="C86" s="412"/>
      <c r="D86" s="416" t="s">
        <v>715</v>
      </c>
      <c r="E86" s="417"/>
      <c r="F86" s="417"/>
      <c r="G86" s="417"/>
      <c r="H86" s="418">
        <v>69653.119999999995</v>
      </c>
      <c r="I86" s="412"/>
      <c r="J86" s="412"/>
      <c r="K86" s="412"/>
      <c r="L86" s="412"/>
    </row>
    <row r="87" spans="1:26" ht="30.6" x14ac:dyDescent="0.2">
      <c r="A87" s="403">
        <v>8</v>
      </c>
      <c r="B87" s="403">
        <v>8</v>
      </c>
      <c r="C87" s="403" t="s">
        <v>766</v>
      </c>
      <c r="D87" s="403" t="s">
        <v>1540</v>
      </c>
      <c r="E87" s="404">
        <v>14.08</v>
      </c>
      <c r="F87" s="405">
        <v>101.17976</v>
      </c>
      <c r="G87" s="405" t="s">
        <v>281</v>
      </c>
      <c r="H87" s="406">
        <v>11624.87</v>
      </c>
      <c r="I87" s="406" t="s">
        <v>281</v>
      </c>
      <c r="J87" s="406" t="s">
        <v>281</v>
      </c>
      <c r="K87" s="405" t="s">
        <v>281</v>
      </c>
      <c r="L87" s="405" t="s">
        <v>281</v>
      </c>
      <c r="T87" s="401">
        <v>11624.87</v>
      </c>
      <c r="V87" s="401" t="s">
        <v>281</v>
      </c>
      <c r="W87" s="401" t="s">
        <v>281</v>
      </c>
      <c r="X87" s="401" t="s">
        <v>281</v>
      </c>
      <c r="Y87" s="401" t="s">
        <v>281</v>
      </c>
      <c r="Z87" s="401" t="s">
        <v>281</v>
      </c>
    </row>
    <row r="88" spans="1:26" x14ac:dyDescent="0.2">
      <c r="A88" s="407"/>
      <c r="B88" s="407"/>
      <c r="C88" s="407"/>
      <c r="D88" s="408" t="s">
        <v>745</v>
      </c>
      <c r="E88" s="409"/>
      <c r="F88" s="410" t="s">
        <v>281</v>
      </c>
      <c r="G88" s="410" t="s">
        <v>281</v>
      </c>
      <c r="H88" s="409"/>
      <c r="I88" s="409"/>
      <c r="J88" s="411" t="s">
        <v>281</v>
      </c>
      <c r="K88" s="410" t="s">
        <v>281</v>
      </c>
      <c r="L88" s="410" t="s">
        <v>281</v>
      </c>
    </row>
    <row r="89" spans="1:26" x14ac:dyDescent="0.2">
      <c r="A89" s="412"/>
      <c r="B89" s="412"/>
      <c r="C89" s="412"/>
      <c r="D89" s="395" t="s">
        <v>718</v>
      </c>
      <c r="E89" s="412"/>
      <c r="F89" s="412"/>
      <c r="G89" s="412"/>
      <c r="H89" s="412"/>
      <c r="I89" s="412"/>
      <c r="J89" s="412"/>
      <c r="K89" s="412"/>
      <c r="L89" s="412"/>
    </row>
    <row r="90" spans="1:26" ht="40.799999999999997" x14ac:dyDescent="0.2">
      <c r="A90" s="403">
        <v>9</v>
      </c>
      <c r="B90" s="403">
        <v>9</v>
      </c>
      <c r="C90" s="403" t="s">
        <v>910</v>
      </c>
      <c r="D90" s="403" t="s">
        <v>1102</v>
      </c>
      <c r="E90" s="404">
        <v>0.25600000000000001</v>
      </c>
      <c r="F90" s="405">
        <v>461.95499999999998</v>
      </c>
      <c r="G90" s="405" t="s">
        <v>281</v>
      </c>
      <c r="H90" s="406">
        <v>5294.52</v>
      </c>
      <c r="I90" s="406">
        <v>5294.52</v>
      </c>
      <c r="J90" s="406" t="s">
        <v>281</v>
      </c>
      <c r="K90" s="405">
        <v>61.594000000000001</v>
      </c>
      <c r="L90" s="405">
        <v>15.768064000000001</v>
      </c>
      <c r="T90" s="401">
        <v>11806.78</v>
      </c>
      <c r="V90" s="401">
        <v>5294.52</v>
      </c>
      <c r="W90" s="401" t="s">
        <v>281</v>
      </c>
      <c r="X90" s="401" t="s">
        <v>281</v>
      </c>
      <c r="Y90" s="401">
        <v>15.768064000000001</v>
      </c>
      <c r="Z90" s="401" t="s">
        <v>281</v>
      </c>
    </row>
    <row r="91" spans="1:26" x14ac:dyDescent="0.2">
      <c r="A91" s="407"/>
      <c r="B91" s="407"/>
      <c r="C91" s="407"/>
      <c r="D91" s="408" t="s">
        <v>901</v>
      </c>
      <c r="E91" s="409"/>
      <c r="F91" s="410">
        <v>461.95499999999998</v>
      </c>
      <c r="G91" s="410" t="s">
        <v>281</v>
      </c>
      <c r="H91" s="409"/>
      <c r="I91" s="409"/>
      <c r="J91" s="411" t="s">
        <v>281</v>
      </c>
      <c r="K91" s="410" t="s">
        <v>281</v>
      </c>
      <c r="L91" s="410" t="s">
        <v>281</v>
      </c>
    </row>
    <row r="92" spans="1:26" ht="20.399999999999999" x14ac:dyDescent="0.2">
      <c r="A92" s="412"/>
      <c r="B92" s="412"/>
      <c r="C92" s="412"/>
      <c r="D92" s="395" t="s">
        <v>714</v>
      </c>
      <c r="E92" s="412"/>
      <c r="F92" s="412"/>
      <c r="G92" s="412"/>
      <c r="H92" s="412"/>
      <c r="I92" s="412"/>
      <c r="J92" s="412"/>
      <c r="K92" s="412"/>
      <c r="L92" s="412"/>
    </row>
    <row r="93" spans="1:26" ht="20.399999999999999" x14ac:dyDescent="0.2">
      <c r="A93" s="412"/>
      <c r="B93" s="412"/>
      <c r="C93" s="412"/>
      <c r="D93" s="395" t="s">
        <v>1023</v>
      </c>
      <c r="E93" s="412"/>
      <c r="F93" s="412"/>
      <c r="G93" s="412"/>
      <c r="H93" s="412"/>
      <c r="I93" s="412"/>
      <c r="J93" s="412"/>
      <c r="K93" s="412"/>
      <c r="L93" s="412"/>
    </row>
    <row r="94" spans="1:26" ht="81.599999999999994" x14ac:dyDescent="0.2">
      <c r="A94" s="412"/>
      <c r="B94" s="412"/>
      <c r="C94" s="412"/>
      <c r="D94" s="395" t="s">
        <v>1024</v>
      </c>
      <c r="E94" s="412"/>
      <c r="F94" s="412"/>
      <c r="G94" s="412"/>
      <c r="H94" s="412"/>
      <c r="I94" s="412"/>
      <c r="J94" s="412"/>
      <c r="K94" s="412"/>
      <c r="L94" s="412"/>
    </row>
    <row r="95" spans="1:26" x14ac:dyDescent="0.2">
      <c r="A95" s="412"/>
      <c r="B95" s="412"/>
      <c r="C95" s="412"/>
      <c r="D95" s="413" t="s">
        <v>206</v>
      </c>
      <c r="E95" s="414" t="s">
        <v>770</v>
      </c>
      <c r="F95" s="414"/>
      <c r="G95" s="414"/>
      <c r="H95" s="415">
        <v>4712.12</v>
      </c>
      <c r="I95" s="412"/>
      <c r="J95" s="412"/>
      <c r="K95" s="412"/>
      <c r="L95" s="412"/>
    </row>
    <row r="96" spans="1:26" x14ac:dyDescent="0.2">
      <c r="A96" s="412"/>
      <c r="B96" s="412"/>
      <c r="C96" s="412"/>
      <c r="D96" s="413" t="s">
        <v>207</v>
      </c>
      <c r="E96" s="414" t="s">
        <v>977</v>
      </c>
      <c r="F96" s="414"/>
      <c r="G96" s="414"/>
      <c r="H96" s="415">
        <v>1800.14</v>
      </c>
      <c r="I96" s="412"/>
      <c r="J96" s="412"/>
      <c r="K96" s="412"/>
      <c r="L96" s="412"/>
    </row>
    <row r="97" spans="1:26" x14ac:dyDescent="0.2">
      <c r="A97" s="412"/>
      <c r="B97" s="412"/>
      <c r="C97" s="412"/>
      <c r="D97" s="416" t="s">
        <v>715</v>
      </c>
      <c r="E97" s="417"/>
      <c r="F97" s="417"/>
      <c r="G97" s="417"/>
      <c r="H97" s="418">
        <v>11806.78</v>
      </c>
      <c r="I97" s="412"/>
      <c r="J97" s="412"/>
      <c r="K97" s="412"/>
      <c r="L97" s="412"/>
    </row>
    <row r="98" spans="1:26" ht="30.6" x14ac:dyDescent="0.2">
      <c r="A98" s="403">
        <v>10</v>
      </c>
      <c r="B98" s="403">
        <v>10</v>
      </c>
      <c r="C98" s="403" t="s">
        <v>744</v>
      </c>
      <c r="D98" s="403" t="s">
        <v>1035</v>
      </c>
      <c r="E98" s="404">
        <v>25.6</v>
      </c>
      <c r="F98" s="405">
        <v>162.38</v>
      </c>
      <c r="G98" s="405" t="s">
        <v>281</v>
      </c>
      <c r="H98" s="406">
        <v>33920.51</v>
      </c>
      <c r="I98" s="406" t="s">
        <v>281</v>
      </c>
      <c r="J98" s="406" t="s">
        <v>281</v>
      </c>
      <c r="K98" s="405" t="s">
        <v>281</v>
      </c>
      <c r="L98" s="405" t="s">
        <v>281</v>
      </c>
      <c r="T98" s="401">
        <v>33920.51</v>
      </c>
      <c r="V98" s="401" t="s">
        <v>281</v>
      </c>
      <c r="W98" s="401" t="s">
        <v>281</v>
      </c>
      <c r="X98" s="401" t="s">
        <v>281</v>
      </c>
      <c r="Y98" s="401" t="s">
        <v>281</v>
      </c>
      <c r="Z98" s="401" t="s">
        <v>281</v>
      </c>
    </row>
    <row r="99" spans="1:26" x14ac:dyDescent="0.2">
      <c r="A99" s="407"/>
      <c r="B99" s="407"/>
      <c r="C99" s="407"/>
      <c r="D99" s="408" t="s">
        <v>745</v>
      </c>
      <c r="E99" s="409"/>
      <c r="F99" s="410" t="s">
        <v>281</v>
      </c>
      <c r="G99" s="410" t="s">
        <v>281</v>
      </c>
      <c r="H99" s="409"/>
      <c r="I99" s="409"/>
      <c r="J99" s="411" t="s">
        <v>281</v>
      </c>
      <c r="K99" s="410" t="s">
        <v>281</v>
      </c>
      <c r="L99" s="410" t="s">
        <v>281</v>
      </c>
    </row>
    <row r="100" spans="1:26" x14ac:dyDescent="0.2">
      <c r="A100" s="412"/>
      <c r="B100" s="412"/>
      <c r="C100" s="412"/>
      <c r="D100" s="395" t="s">
        <v>718</v>
      </c>
      <c r="E100" s="412"/>
      <c r="F100" s="412"/>
      <c r="G100" s="412"/>
      <c r="H100" s="412"/>
      <c r="I100" s="412"/>
      <c r="J100" s="412"/>
      <c r="K100" s="412"/>
      <c r="L100" s="412"/>
    </row>
    <row r="101" spans="1:26" x14ac:dyDescent="0.2">
      <c r="A101" s="412"/>
      <c r="B101" s="412"/>
      <c r="C101" s="412"/>
      <c r="D101" s="412"/>
      <c r="E101" s="412"/>
      <c r="F101" s="412"/>
      <c r="G101" s="412"/>
      <c r="H101" s="412"/>
      <c r="I101" s="412"/>
      <c r="J101" s="412"/>
      <c r="K101" s="412"/>
      <c r="L101" s="412"/>
    </row>
    <row r="102" spans="1:26" x14ac:dyDescent="0.2">
      <c r="A102" s="1087" t="s">
        <v>994</v>
      </c>
      <c r="B102" s="1087"/>
      <c r="C102" s="1087"/>
      <c r="D102" s="1087"/>
      <c r="E102" s="1087"/>
      <c r="F102" s="1087"/>
      <c r="G102" s="1087"/>
      <c r="H102" s="1087"/>
      <c r="I102" s="1087"/>
      <c r="J102" s="1087"/>
      <c r="K102" s="1087"/>
      <c r="L102" s="1087"/>
    </row>
    <row r="103" spans="1:26" ht="20.399999999999999" x14ac:dyDescent="0.2">
      <c r="A103" s="403">
        <v>11</v>
      </c>
      <c r="B103" s="403">
        <v>43</v>
      </c>
      <c r="C103" s="403" t="s">
        <v>1120</v>
      </c>
      <c r="D103" s="403" t="s">
        <v>1103</v>
      </c>
      <c r="E103" s="404">
        <v>0.64</v>
      </c>
      <c r="F103" s="405">
        <v>353.00349999999997</v>
      </c>
      <c r="G103" s="405">
        <v>294.71050000000002</v>
      </c>
      <c r="H103" s="406">
        <v>4144.09</v>
      </c>
      <c r="I103" s="406">
        <v>1641.61</v>
      </c>
      <c r="J103" s="406">
        <v>2497.2600000000002</v>
      </c>
      <c r="K103" s="405">
        <v>6.0949999999999998</v>
      </c>
      <c r="L103" s="405">
        <v>3.9007999999999998</v>
      </c>
      <c r="T103" s="401">
        <v>8779.89</v>
      </c>
      <c r="V103" s="401">
        <v>1641.61</v>
      </c>
      <c r="W103" s="401">
        <v>2497.2600000000002</v>
      </c>
      <c r="X103" s="401">
        <v>1490.69</v>
      </c>
      <c r="Y103" s="401">
        <v>3.9007999999999998</v>
      </c>
      <c r="Z103" s="401">
        <v>2.8704000000000001</v>
      </c>
    </row>
    <row r="104" spans="1:26" x14ac:dyDescent="0.2">
      <c r="A104" s="407"/>
      <c r="B104" s="407"/>
      <c r="C104" s="407"/>
      <c r="D104" s="408" t="s">
        <v>747</v>
      </c>
      <c r="E104" s="409"/>
      <c r="F104" s="410">
        <v>57.292999999999999</v>
      </c>
      <c r="G104" s="410">
        <v>52.026000000000003</v>
      </c>
      <c r="H104" s="409"/>
      <c r="I104" s="409"/>
      <c r="J104" s="411">
        <v>1490.69</v>
      </c>
      <c r="K104" s="410">
        <v>4.4850000000000003</v>
      </c>
      <c r="L104" s="410">
        <v>2.8704000000000001</v>
      </c>
    </row>
    <row r="105" spans="1:26" ht="20.399999999999999" x14ac:dyDescent="0.2">
      <c r="A105" s="412"/>
      <c r="B105" s="412"/>
      <c r="C105" s="412"/>
      <c r="D105" s="395" t="s">
        <v>714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ht="20.399999999999999" x14ac:dyDescent="0.2">
      <c r="A106" s="412"/>
      <c r="B106" s="412"/>
      <c r="C106" s="412"/>
      <c r="D106" s="395" t="s">
        <v>1023</v>
      </c>
      <c r="E106" s="412"/>
      <c r="F106" s="412"/>
      <c r="G106" s="412"/>
      <c r="H106" s="412"/>
      <c r="I106" s="412"/>
      <c r="J106" s="412"/>
      <c r="K106" s="412"/>
      <c r="L106" s="412"/>
    </row>
    <row r="107" spans="1:26" ht="81.599999999999994" x14ac:dyDescent="0.2">
      <c r="A107" s="412"/>
      <c r="B107" s="412"/>
      <c r="C107" s="412"/>
      <c r="D107" s="395" t="s">
        <v>1024</v>
      </c>
      <c r="E107" s="412"/>
      <c r="F107" s="412"/>
      <c r="G107" s="412"/>
      <c r="H107" s="412"/>
      <c r="I107" s="412"/>
      <c r="J107" s="412"/>
      <c r="K107" s="412"/>
      <c r="L107" s="412"/>
    </row>
    <row r="108" spans="1:26" x14ac:dyDescent="0.2">
      <c r="A108" s="412"/>
      <c r="B108" s="412"/>
      <c r="C108" s="412"/>
      <c r="D108" s="413" t="s">
        <v>206</v>
      </c>
      <c r="E108" s="414" t="s">
        <v>953</v>
      </c>
      <c r="F108" s="414"/>
      <c r="G108" s="414"/>
      <c r="H108" s="415">
        <v>3038.33</v>
      </c>
      <c r="I108" s="412"/>
      <c r="J108" s="412"/>
      <c r="K108" s="412"/>
      <c r="L108" s="412"/>
    </row>
    <row r="109" spans="1:26" x14ac:dyDescent="0.2">
      <c r="A109" s="412"/>
      <c r="B109" s="412"/>
      <c r="C109" s="412"/>
      <c r="D109" s="413" t="s">
        <v>207</v>
      </c>
      <c r="E109" s="414" t="s">
        <v>954</v>
      </c>
      <c r="F109" s="414"/>
      <c r="G109" s="414"/>
      <c r="H109" s="415">
        <v>1597.47</v>
      </c>
      <c r="I109" s="412"/>
      <c r="J109" s="412"/>
      <c r="K109" s="412"/>
      <c r="L109" s="412"/>
    </row>
    <row r="110" spans="1:26" x14ac:dyDescent="0.2">
      <c r="A110" s="412"/>
      <c r="B110" s="412"/>
      <c r="C110" s="412"/>
      <c r="D110" s="416" t="s">
        <v>715</v>
      </c>
      <c r="E110" s="417"/>
      <c r="F110" s="417"/>
      <c r="G110" s="417"/>
      <c r="H110" s="418">
        <v>8779.89</v>
      </c>
      <c r="I110" s="412"/>
      <c r="J110" s="412"/>
      <c r="K110" s="412"/>
      <c r="L110" s="412"/>
    </row>
    <row r="111" spans="1:26" ht="30.6" x14ac:dyDescent="0.2">
      <c r="A111" s="403">
        <v>12</v>
      </c>
      <c r="B111" s="403">
        <v>44</v>
      </c>
      <c r="C111" s="403" t="s">
        <v>1121</v>
      </c>
      <c r="D111" s="403" t="s">
        <v>1104</v>
      </c>
      <c r="E111" s="404">
        <v>0.65</v>
      </c>
      <c r="F111" s="405">
        <v>27.935500000000001</v>
      </c>
      <c r="G111" s="405">
        <v>6.0490000000000004</v>
      </c>
      <c r="H111" s="406">
        <v>680.16</v>
      </c>
      <c r="I111" s="406">
        <v>626.14</v>
      </c>
      <c r="J111" s="406">
        <v>52.06</v>
      </c>
      <c r="K111" s="405">
        <v>2.2885</v>
      </c>
      <c r="L111" s="405">
        <v>1.487525</v>
      </c>
      <c r="T111" s="401">
        <v>1652.9</v>
      </c>
      <c r="V111" s="401">
        <v>626.14</v>
      </c>
      <c r="W111" s="401">
        <v>52.06</v>
      </c>
      <c r="X111" s="401">
        <v>31.12</v>
      </c>
      <c r="Y111" s="401">
        <v>1.487525</v>
      </c>
      <c r="Z111" s="401">
        <v>5.9799999999999999E-2</v>
      </c>
    </row>
    <row r="112" spans="1:26" x14ac:dyDescent="0.2">
      <c r="A112" s="407"/>
      <c r="B112" s="407"/>
      <c r="C112" s="407"/>
      <c r="D112" s="408" t="s">
        <v>747</v>
      </c>
      <c r="E112" s="409"/>
      <c r="F112" s="410">
        <v>21.516500000000001</v>
      </c>
      <c r="G112" s="410">
        <v>1.0694999999999999</v>
      </c>
      <c r="H112" s="409"/>
      <c r="I112" s="409"/>
      <c r="J112" s="411">
        <v>31.12</v>
      </c>
      <c r="K112" s="410">
        <v>9.1999999999999998E-2</v>
      </c>
      <c r="L112" s="410">
        <v>5.9799999999999999E-2</v>
      </c>
    </row>
    <row r="113" spans="1:26" ht="20.399999999999999" x14ac:dyDescent="0.2">
      <c r="A113" s="412"/>
      <c r="B113" s="412"/>
      <c r="C113" s="412"/>
      <c r="D113" s="395" t="s">
        <v>714</v>
      </c>
      <c r="E113" s="412"/>
      <c r="F113" s="412"/>
      <c r="G113" s="412"/>
      <c r="H113" s="412"/>
      <c r="I113" s="412"/>
      <c r="J113" s="412"/>
      <c r="K113" s="412"/>
      <c r="L113" s="412"/>
    </row>
    <row r="114" spans="1:26" ht="20.399999999999999" x14ac:dyDescent="0.2">
      <c r="A114" s="412"/>
      <c r="B114" s="412"/>
      <c r="C114" s="412"/>
      <c r="D114" s="395" t="s">
        <v>1023</v>
      </c>
      <c r="E114" s="412"/>
      <c r="F114" s="412"/>
      <c r="G114" s="412"/>
      <c r="H114" s="412"/>
      <c r="I114" s="412"/>
      <c r="J114" s="412"/>
      <c r="K114" s="412"/>
      <c r="L114" s="412"/>
    </row>
    <row r="115" spans="1:26" ht="81.599999999999994" x14ac:dyDescent="0.2">
      <c r="A115" s="412"/>
      <c r="B115" s="412"/>
      <c r="C115" s="412"/>
      <c r="D115" s="395" t="s">
        <v>1024</v>
      </c>
      <c r="E115" s="412"/>
      <c r="F115" s="412"/>
      <c r="G115" s="412"/>
      <c r="H115" s="412"/>
      <c r="I115" s="412"/>
      <c r="J115" s="412"/>
      <c r="K115" s="412"/>
      <c r="L115" s="412"/>
    </row>
    <row r="116" spans="1:26" x14ac:dyDescent="0.2">
      <c r="A116" s="412"/>
      <c r="B116" s="412"/>
      <c r="C116" s="412"/>
      <c r="D116" s="413" t="s">
        <v>206</v>
      </c>
      <c r="E116" s="414" t="s">
        <v>953</v>
      </c>
      <c r="F116" s="414"/>
      <c r="G116" s="414"/>
      <c r="H116" s="415">
        <v>637.54</v>
      </c>
      <c r="I116" s="412"/>
      <c r="J116" s="412"/>
      <c r="K116" s="412"/>
      <c r="L116" s="412"/>
    </row>
    <row r="117" spans="1:26" x14ac:dyDescent="0.2">
      <c r="A117" s="412"/>
      <c r="B117" s="412"/>
      <c r="C117" s="412"/>
      <c r="D117" s="413" t="s">
        <v>207</v>
      </c>
      <c r="E117" s="414" t="s">
        <v>954</v>
      </c>
      <c r="F117" s="414"/>
      <c r="G117" s="414"/>
      <c r="H117" s="415">
        <v>335.2</v>
      </c>
      <c r="I117" s="412"/>
      <c r="J117" s="412"/>
      <c r="K117" s="412"/>
      <c r="L117" s="412"/>
    </row>
    <row r="118" spans="1:26" x14ac:dyDescent="0.2">
      <c r="A118" s="412"/>
      <c r="B118" s="412"/>
      <c r="C118" s="412"/>
      <c r="D118" s="416" t="s">
        <v>715</v>
      </c>
      <c r="E118" s="417"/>
      <c r="F118" s="417"/>
      <c r="G118" s="417"/>
      <c r="H118" s="418">
        <v>1652.9</v>
      </c>
      <c r="I118" s="412"/>
      <c r="J118" s="412"/>
      <c r="K118" s="412"/>
      <c r="L118" s="412"/>
    </row>
    <row r="119" spans="1:26" ht="30.6" x14ac:dyDescent="0.2">
      <c r="A119" s="403">
        <v>13</v>
      </c>
      <c r="B119" s="403">
        <v>45</v>
      </c>
      <c r="C119" s="403" t="s">
        <v>766</v>
      </c>
      <c r="D119" s="403" t="s">
        <v>1536</v>
      </c>
      <c r="E119" s="404">
        <v>6.16</v>
      </c>
      <c r="F119" s="405">
        <v>101.17976</v>
      </c>
      <c r="G119" s="405" t="s">
        <v>281</v>
      </c>
      <c r="H119" s="406">
        <v>5085.88</v>
      </c>
      <c r="I119" s="406" t="s">
        <v>281</v>
      </c>
      <c r="J119" s="406" t="s">
        <v>281</v>
      </c>
      <c r="K119" s="405" t="s">
        <v>281</v>
      </c>
      <c r="L119" s="405" t="s">
        <v>281</v>
      </c>
      <c r="T119" s="401">
        <v>5085.88</v>
      </c>
      <c r="V119" s="401" t="s">
        <v>281</v>
      </c>
      <c r="W119" s="401" t="s">
        <v>281</v>
      </c>
      <c r="X119" s="401" t="s">
        <v>281</v>
      </c>
      <c r="Y119" s="401" t="s">
        <v>281</v>
      </c>
      <c r="Z119" s="401" t="s">
        <v>281</v>
      </c>
    </row>
    <row r="120" spans="1:26" x14ac:dyDescent="0.2">
      <c r="A120" s="407"/>
      <c r="B120" s="407"/>
      <c r="C120" s="407"/>
      <c r="D120" s="408" t="s">
        <v>745</v>
      </c>
      <c r="E120" s="409"/>
      <c r="F120" s="410" t="s">
        <v>281</v>
      </c>
      <c r="G120" s="410" t="s">
        <v>281</v>
      </c>
      <c r="H120" s="409"/>
      <c r="I120" s="409"/>
      <c r="J120" s="411" t="s">
        <v>281</v>
      </c>
      <c r="K120" s="410" t="s">
        <v>281</v>
      </c>
      <c r="L120" s="410" t="s">
        <v>281</v>
      </c>
    </row>
    <row r="121" spans="1:26" x14ac:dyDescent="0.2">
      <c r="A121" s="412"/>
      <c r="B121" s="412"/>
      <c r="C121" s="412"/>
      <c r="D121" s="395" t="s">
        <v>718</v>
      </c>
      <c r="E121" s="412"/>
      <c r="F121" s="412"/>
      <c r="G121" s="412"/>
      <c r="H121" s="412"/>
      <c r="I121" s="412"/>
      <c r="J121" s="412"/>
      <c r="K121" s="412"/>
      <c r="L121" s="412"/>
    </row>
    <row r="122" spans="1:26" ht="30.6" x14ac:dyDescent="0.2">
      <c r="A122" s="403">
        <v>14</v>
      </c>
      <c r="B122" s="403">
        <v>46</v>
      </c>
      <c r="C122" s="403" t="s">
        <v>1122</v>
      </c>
      <c r="D122" s="403" t="s">
        <v>1105</v>
      </c>
      <c r="E122" s="404">
        <v>0.6</v>
      </c>
      <c r="F122" s="405">
        <v>62.4</v>
      </c>
      <c r="G122" s="405">
        <v>4.5309999999999997</v>
      </c>
      <c r="H122" s="406">
        <v>1568.72</v>
      </c>
      <c r="I122" s="406">
        <v>1527.88</v>
      </c>
      <c r="J122" s="406">
        <v>35.99</v>
      </c>
      <c r="K122" s="405">
        <v>7.4059999999999997</v>
      </c>
      <c r="L122" s="405">
        <v>4.4436</v>
      </c>
      <c r="T122" s="401">
        <v>3861.99</v>
      </c>
      <c r="V122" s="401">
        <v>1527.88</v>
      </c>
      <c r="W122" s="401">
        <v>35.99</v>
      </c>
      <c r="X122" s="401">
        <v>21.62</v>
      </c>
      <c r="Y122" s="401">
        <v>4.4436</v>
      </c>
      <c r="Z122" s="401">
        <v>4.1399999999999999E-2</v>
      </c>
    </row>
    <row r="123" spans="1:26" x14ac:dyDescent="0.2">
      <c r="A123" s="407"/>
      <c r="B123" s="407"/>
      <c r="C123" s="407"/>
      <c r="D123" s="408" t="s">
        <v>747</v>
      </c>
      <c r="E123" s="409"/>
      <c r="F123" s="410">
        <v>56.878999999999998</v>
      </c>
      <c r="G123" s="410">
        <v>0.80500000000000005</v>
      </c>
      <c r="H123" s="409"/>
      <c r="I123" s="409"/>
      <c r="J123" s="411">
        <v>21.62</v>
      </c>
      <c r="K123" s="410">
        <v>6.9000000000000006E-2</v>
      </c>
      <c r="L123" s="410">
        <v>4.1399999999999999E-2</v>
      </c>
    </row>
    <row r="124" spans="1:26" ht="20.399999999999999" x14ac:dyDescent="0.2">
      <c r="A124" s="412"/>
      <c r="B124" s="412"/>
      <c r="C124" s="412"/>
      <c r="D124" s="395" t="s">
        <v>714</v>
      </c>
      <c r="E124" s="412"/>
      <c r="F124" s="412"/>
      <c r="G124" s="412"/>
      <c r="H124" s="412"/>
      <c r="I124" s="412"/>
      <c r="J124" s="412"/>
      <c r="K124" s="412"/>
      <c r="L124" s="412"/>
    </row>
    <row r="125" spans="1:26" ht="20.399999999999999" x14ac:dyDescent="0.2">
      <c r="A125" s="412"/>
      <c r="B125" s="412"/>
      <c r="C125" s="412"/>
      <c r="D125" s="395" t="s">
        <v>1023</v>
      </c>
      <c r="E125" s="412"/>
      <c r="F125" s="412"/>
      <c r="G125" s="412"/>
      <c r="H125" s="412"/>
      <c r="I125" s="412"/>
      <c r="J125" s="412"/>
      <c r="K125" s="412"/>
      <c r="L125" s="412"/>
    </row>
    <row r="126" spans="1:26" ht="81.599999999999994" x14ac:dyDescent="0.2">
      <c r="A126" s="412"/>
      <c r="B126" s="412"/>
      <c r="C126" s="412"/>
      <c r="D126" s="395" t="s">
        <v>1024</v>
      </c>
      <c r="E126" s="412"/>
      <c r="F126" s="412"/>
      <c r="G126" s="412"/>
      <c r="H126" s="412"/>
      <c r="I126" s="412"/>
      <c r="J126" s="412"/>
      <c r="K126" s="412"/>
      <c r="L126" s="412"/>
    </row>
    <row r="127" spans="1:26" x14ac:dyDescent="0.2">
      <c r="A127" s="412"/>
      <c r="B127" s="412"/>
      <c r="C127" s="412"/>
      <c r="D127" s="413" t="s">
        <v>206</v>
      </c>
      <c r="E127" s="414" t="s">
        <v>953</v>
      </c>
      <c r="F127" s="414"/>
      <c r="G127" s="414"/>
      <c r="H127" s="415">
        <v>1503.02</v>
      </c>
      <c r="I127" s="412"/>
      <c r="J127" s="412"/>
      <c r="K127" s="412"/>
      <c r="L127" s="412"/>
    </row>
    <row r="128" spans="1:26" x14ac:dyDescent="0.2">
      <c r="A128" s="412"/>
      <c r="B128" s="412"/>
      <c r="C128" s="412"/>
      <c r="D128" s="413" t="s">
        <v>207</v>
      </c>
      <c r="E128" s="414" t="s">
        <v>954</v>
      </c>
      <c r="F128" s="414"/>
      <c r="G128" s="414"/>
      <c r="H128" s="415">
        <v>790.25</v>
      </c>
      <c r="I128" s="412"/>
      <c r="J128" s="412"/>
      <c r="K128" s="412"/>
      <c r="L128" s="412"/>
    </row>
    <row r="129" spans="1:26" x14ac:dyDescent="0.2">
      <c r="A129" s="412"/>
      <c r="B129" s="412"/>
      <c r="C129" s="412"/>
      <c r="D129" s="416" t="s">
        <v>715</v>
      </c>
      <c r="E129" s="417"/>
      <c r="F129" s="417"/>
      <c r="G129" s="417"/>
      <c r="H129" s="418">
        <v>3861.99</v>
      </c>
      <c r="I129" s="412"/>
      <c r="J129" s="412"/>
      <c r="K129" s="412"/>
      <c r="L129" s="412"/>
    </row>
    <row r="130" spans="1:26" ht="30.6" x14ac:dyDescent="0.2">
      <c r="A130" s="403">
        <v>15</v>
      </c>
      <c r="B130" s="403">
        <v>47</v>
      </c>
      <c r="C130" s="403" t="s">
        <v>1123</v>
      </c>
      <c r="D130" s="403" t="s">
        <v>1106</v>
      </c>
      <c r="E130" s="404">
        <v>0.6</v>
      </c>
      <c r="F130" s="405">
        <v>45.55</v>
      </c>
      <c r="G130" s="405">
        <v>4.5309999999999997</v>
      </c>
      <c r="H130" s="406">
        <v>1122.47</v>
      </c>
      <c r="I130" s="406">
        <v>1083.05</v>
      </c>
      <c r="J130" s="406">
        <v>35.99</v>
      </c>
      <c r="K130" s="405">
        <v>5.2095000000000002</v>
      </c>
      <c r="L130" s="405">
        <v>3.1257000000000001</v>
      </c>
      <c r="T130" s="401">
        <v>2757.38</v>
      </c>
      <c r="V130" s="401">
        <v>1083.05</v>
      </c>
      <c r="W130" s="401">
        <v>35.99</v>
      </c>
      <c r="X130" s="401">
        <v>21.62</v>
      </c>
      <c r="Y130" s="401">
        <v>3.1257000000000001</v>
      </c>
      <c r="Z130" s="401">
        <v>4.1399999999999999E-2</v>
      </c>
    </row>
    <row r="131" spans="1:26" x14ac:dyDescent="0.2">
      <c r="A131" s="407"/>
      <c r="B131" s="407"/>
      <c r="C131" s="407"/>
      <c r="D131" s="408" t="s">
        <v>747</v>
      </c>
      <c r="E131" s="409"/>
      <c r="F131" s="410">
        <v>40.319000000000003</v>
      </c>
      <c r="G131" s="410">
        <v>0.80500000000000005</v>
      </c>
      <c r="H131" s="409"/>
      <c r="I131" s="409"/>
      <c r="J131" s="411">
        <v>21.62</v>
      </c>
      <c r="K131" s="410">
        <v>6.9000000000000006E-2</v>
      </c>
      <c r="L131" s="410">
        <v>4.1399999999999999E-2</v>
      </c>
    </row>
    <row r="132" spans="1:26" ht="20.399999999999999" x14ac:dyDescent="0.2">
      <c r="A132" s="412"/>
      <c r="B132" s="412"/>
      <c r="C132" s="412"/>
      <c r="D132" s="395" t="s">
        <v>714</v>
      </c>
      <c r="E132" s="412"/>
      <c r="F132" s="412"/>
      <c r="G132" s="412"/>
      <c r="H132" s="412"/>
      <c r="I132" s="412"/>
      <c r="J132" s="412"/>
      <c r="K132" s="412"/>
      <c r="L132" s="412"/>
    </row>
    <row r="133" spans="1:26" ht="20.399999999999999" x14ac:dyDescent="0.2">
      <c r="A133" s="412"/>
      <c r="B133" s="412"/>
      <c r="C133" s="412"/>
      <c r="D133" s="395" t="s">
        <v>1023</v>
      </c>
      <c r="E133" s="412"/>
      <c r="F133" s="412"/>
      <c r="G133" s="412"/>
      <c r="H133" s="412"/>
      <c r="I133" s="412"/>
      <c r="J133" s="412"/>
      <c r="K133" s="412"/>
      <c r="L133" s="412"/>
    </row>
    <row r="134" spans="1:26" ht="81.599999999999994" x14ac:dyDescent="0.2">
      <c r="A134" s="412"/>
      <c r="B134" s="412"/>
      <c r="C134" s="412"/>
      <c r="D134" s="395" t="s">
        <v>1024</v>
      </c>
      <c r="E134" s="412"/>
      <c r="F134" s="412"/>
      <c r="G134" s="412"/>
      <c r="H134" s="412"/>
      <c r="I134" s="412"/>
      <c r="J134" s="412"/>
      <c r="K134" s="412"/>
      <c r="L134" s="412"/>
    </row>
    <row r="135" spans="1:26" x14ac:dyDescent="0.2">
      <c r="A135" s="412"/>
      <c r="B135" s="412"/>
      <c r="C135" s="412"/>
      <c r="D135" s="413" t="s">
        <v>206</v>
      </c>
      <c r="E135" s="414" t="s">
        <v>953</v>
      </c>
      <c r="F135" s="414"/>
      <c r="G135" s="414"/>
      <c r="H135" s="415">
        <v>1071.53</v>
      </c>
      <c r="I135" s="412"/>
      <c r="J135" s="412"/>
      <c r="K135" s="412"/>
      <c r="L135" s="412"/>
    </row>
    <row r="136" spans="1:26" x14ac:dyDescent="0.2">
      <c r="A136" s="412"/>
      <c r="B136" s="412"/>
      <c r="C136" s="412"/>
      <c r="D136" s="413" t="s">
        <v>207</v>
      </c>
      <c r="E136" s="414" t="s">
        <v>954</v>
      </c>
      <c r="F136" s="414"/>
      <c r="G136" s="414"/>
      <c r="H136" s="415">
        <v>563.38</v>
      </c>
      <c r="I136" s="412"/>
      <c r="J136" s="412"/>
      <c r="K136" s="412"/>
      <c r="L136" s="412"/>
    </row>
    <row r="137" spans="1:26" x14ac:dyDescent="0.2">
      <c r="A137" s="412"/>
      <c r="B137" s="412"/>
      <c r="C137" s="412"/>
      <c r="D137" s="416" t="s">
        <v>715</v>
      </c>
      <c r="E137" s="417"/>
      <c r="F137" s="417"/>
      <c r="G137" s="417"/>
      <c r="H137" s="418">
        <v>2757.38</v>
      </c>
      <c r="I137" s="412"/>
      <c r="J137" s="412"/>
      <c r="K137" s="412"/>
      <c r="L137" s="412"/>
    </row>
    <row r="138" spans="1:26" ht="30.6" x14ac:dyDescent="0.2">
      <c r="A138" s="403">
        <v>16</v>
      </c>
      <c r="B138" s="403">
        <v>48</v>
      </c>
      <c r="C138" s="403" t="s">
        <v>1124</v>
      </c>
      <c r="D138" s="403" t="s">
        <v>1535</v>
      </c>
      <c r="E138" s="404">
        <v>120</v>
      </c>
      <c r="F138" s="405">
        <v>41.58</v>
      </c>
      <c r="G138" s="405" t="s">
        <v>281</v>
      </c>
      <c r="H138" s="406">
        <v>40714.800000000003</v>
      </c>
      <c r="I138" s="406" t="s">
        <v>281</v>
      </c>
      <c r="J138" s="406" t="s">
        <v>281</v>
      </c>
      <c r="K138" s="405" t="s">
        <v>281</v>
      </c>
      <c r="L138" s="405" t="s">
        <v>281</v>
      </c>
      <c r="T138" s="401">
        <v>40714.800000000003</v>
      </c>
      <c r="V138" s="401" t="s">
        <v>281</v>
      </c>
      <c r="W138" s="401" t="s">
        <v>281</v>
      </c>
      <c r="X138" s="401" t="s">
        <v>281</v>
      </c>
      <c r="Y138" s="401" t="s">
        <v>281</v>
      </c>
      <c r="Z138" s="401" t="s">
        <v>281</v>
      </c>
    </row>
    <row r="139" spans="1:26" x14ac:dyDescent="0.2">
      <c r="A139" s="407"/>
      <c r="B139" s="407"/>
      <c r="C139" s="407"/>
      <c r="D139" s="408" t="s">
        <v>883</v>
      </c>
      <c r="E139" s="409"/>
      <c r="F139" s="410" t="s">
        <v>281</v>
      </c>
      <c r="G139" s="410" t="s">
        <v>281</v>
      </c>
      <c r="H139" s="409"/>
      <c r="I139" s="409"/>
      <c r="J139" s="411" t="s">
        <v>281</v>
      </c>
      <c r="K139" s="410" t="s">
        <v>281</v>
      </c>
      <c r="L139" s="410" t="s">
        <v>281</v>
      </c>
    </row>
    <row r="140" spans="1:26" ht="20.399999999999999" x14ac:dyDescent="0.2">
      <c r="A140" s="412"/>
      <c r="B140" s="412"/>
      <c r="C140" s="412"/>
      <c r="D140" s="395" t="s">
        <v>714</v>
      </c>
      <c r="E140" s="412"/>
      <c r="F140" s="412"/>
      <c r="G140" s="412"/>
      <c r="H140" s="412"/>
      <c r="I140" s="412"/>
      <c r="J140" s="412"/>
      <c r="K140" s="412"/>
      <c r="L140" s="412"/>
    </row>
    <row r="141" spans="1:26" x14ac:dyDescent="0.2">
      <c r="A141" s="412"/>
      <c r="B141" s="412"/>
      <c r="C141" s="412"/>
      <c r="D141" s="416" t="s">
        <v>715</v>
      </c>
      <c r="E141" s="417"/>
      <c r="F141" s="417"/>
      <c r="G141" s="417"/>
      <c r="H141" s="418">
        <v>40714.800000000003</v>
      </c>
      <c r="I141" s="412"/>
      <c r="J141" s="412"/>
      <c r="K141" s="412"/>
      <c r="L141" s="412"/>
    </row>
    <row r="142" spans="1:26" ht="20.399999999999999" x14ac:dyDescent="0.2">
      <c r="A142" s="403">
        <v>17</v>
      </c>
      <c r="B142" s="403">
        <v>49</v>
      </c>
      <c r="C142" s="403" t="s">
        <v>1125</v>
      </c>
      <c r="D142" s="403" t="s">
        <v>1534</v>
      </c>
      <c r="E142" s="404">
        <v>16</v>
      </c>
      <c r="F142" s="405">
        <v>5.93</v>
      </c>
      <c r="G142" s="405" t="s">
        <v>281</v>
      </c>
      <c r="H142" s="406">
        <v>774.24</v>
      </c>
      <c r="I142" s="406" t="s">
        <v>281</v>
      </c>
      <c r="J142" s="406" t="s">
        <v>281</v>
      </c>
      <c r="K142" s="405" t="s">
        <v>281</v>
      </c>
      <c r="L142" s="405" t="s">
        <v>281</v>
      </c>
      <c r="T142" s="401">
        <v>774.24</v>
      </c>
      <c r="V142" s="401" t="s">
        <v>281</v>
      </c>
      <c r="W142" s="401" t="s">
        <v>281</v>
      </c>
      <c r="X142" s="401" t="s">
        <v>281</v>
      </c>
      <c r="Y142" s="401" t="s">
        <v>281</v>
      </c>
      <c r="Z142" s="401" t="s">
        <v>281</v>
      </c>
    </row>
    <row r="143" spans="1:26" x14ac:dyDescent="0.2">
      <c r="A143" s="407"/>
      <c r="B143" s="407"/>
      <c r="C143" s="407"/>
      <c r="D143" s="408" t="s">
        <v>735</v>
      </c>
      <c r="E143" s="409"/>
      <c r="F143" s="410" t="s">
        <v>281</v>
      </c>
      <c r="G143" s="410" t="s">
        <v>281</v>
      </c>
      <c r="H143" s="409"/>
      <c r="I143" s="409"/>
      <c r="J143" s="411" t="s">
        <v>281</v>
      </c>
      <c r="K143" s="410" t="s">
        <v>281</v>
      </c>
      <c r="L143" s="410" t="s">
        <v>281</v>
      </c>
    </row>
    <row r="144" spans="1:26" ht="20.399999999999999" x14ac:dyDescent="0.2">
      <c r="A144" s="412"/>
      <c r="B144" s="412"/>
      <c r="C144" s="412"/>
      <c r="D144" s="395" t="s">
        <v>714</v>
      </c>
      <c r="E144" s="412"/>
      <c r="F144" s="412"/>
      <c r="G144" s="412"/>
      <c r="H144" s="412"/>
      <c r="I144" s="412"/>
      <c r="J144" s="412"/>
      <c r="K144" s="412"/>
      <c r="L144" s="412"/>
    </row>
    <row r="145" spans="1:26" x14ac:dyDescent="0.2">
      <c r="A145" s="412"/>
      <c r="B145" s="412"/>
      <c r="C145" s="412"/>
      <c r="D145" s="416" t="s">
        <v>715</v>
      </c>
      <c r="E145" s="417"/>
      <c r="F145" s="417"/>
      <c r="G145" s="417"/>
      <c r="H145" s="418">
        <v>774.24</v>
      </c>
      <c r="I145" s="412"/>
      <c r="J145" s="412"/>
      <c r="K145" s="412"/>
      <c r="L145" s="412"/>
    </row>
    <row r="146" spans="1:26" x14ac:dyDescent="0.2">
      <c r="A146" s="403">
        <v>18</v>
      </c>
      <c r="B146" s="403">
        <v>50</v>
      </c>
      <c r="C146" s="403" t="s">
        <v>1126</v>
      </c>
      <c r="D146" s="403" t="s">
        <v>1533</v>
      </c>
      <c r="E146" s="404">
        <v>1.1200000000000001</v>
      </c>
      <c r="F146" s="405">
        <v>334.11</v>
      </c>
      <c r="G146" s="405" t="s">
        <v>281</v>
      </c>
      <c r="H146" s="406">
        <v>3053.5</v>
      </c>
      <c r="I146" s="406" t="s">
        <v>281</v>
      </c>
      <c r="J146" s="406" t="s">
        <v>281</v>
      </c>
      <c r="K146" s="405" t="s">
        <v>281</v>
      </c>
      <c r="L146" s="405" t="s">
        <v>281</v>
      </c>
      <c r="T146" s="401">
        <v>3053.5</v>
      </c>
      <c r="V146" s="401" t="s">
        <v>281</v>
      </c>
      <c r="W146" s="401" t="s">
        <v>281</v>
      </c>
      <c r="X146" s="401" t="s">
        <v>281</v>
      </c>
      <c r="Y146" s="401" t="s">
        <v>281</v>
      </c>
      <c r="Z146" s="401" t="s">
        <v>281</v>
      </c>
    </row>
    <row r="147" spans="1:26" x14ac:dyDescent="0.2">
      <c r="A147" s="407"/>
      <c r="B147" s="407"/>
      <c r="C147" s="407"/>
      <c r="D147" s="408" t="s">
        <v>847</v>
      </c>
      <c r="E147" s="409"/>
      <c r="F147" s="410" t="s">
        <v>281</v>
      </c>
      <c r="G147" s="410" t="s">
        <v>281</v>
      </c>
      <c r="H147" s="409"/>
      <c r="I147" s="409"/>
      <c r="J147" s="411" t="s">
        <v>281</v>
      </c>
      <c r="K147" s="410" t="s">
        <v>281</v>
      </c>
      <c r="L147" s="410" t="s">
        <v>281</v>
      </c>
    </row>
    <row r="148" spans="1:26" x14ac:dyDescent="0.2">
      <c r="A148" s="412"/>
      <c r="B148" s="412"/>
      <c r="C148" s="412"/>
      <c r="D148" s="395" t="s">
        <v>718</v>
      </c>
      <c r="E148" s="412"/>
      <c r="F148" s="412"/>
      <c r="G148" s="412"/>
      <c r="H148" s="412"/>
      <c r="I148" s="412"/>
      <c r="J148" s="412"/>
      <c r="K148" s="412"/>
      <c r="L148" s="412"/>
    </row>
    <row r="149" spans="1:26" ht="30.6" x14ac:dyDescent="0.2">
      <c r="A149" s="403">
        <v>19</v>
      </c>
      <c r="B149" s="403">
        <v>51</v>
      </c>
      <c r="C149" s="403" t="s">
        <v>1127</v>
      </c>
      <c r="D149" s="403" t="s">
        <v>1107</v>
      </c>
      <c r="E149" s="404">
        <v>1.29</v>
      </c>
      <c r="F149" s="405">
        <v>376.32499999999999</v>
      </c>
      <c r="G149" s="405">
        <v>87.768000000000001</v>
      </c>
      <c r="H149" s="406">
        <v>16299.17</v>
      </c>
      <c r="I149" s="406">
        <v>14384.44</v>
      </c>
      <c r="J149" s="406">
        <v>1499.04</v>
      </c>
      <c r="K149" s="405">
        <v>26.495999999999999</v>
      </c>
      <c r="L149" s="405">
        <v>34.179839999999999</v>
      </c>
      <c r="T149" s="401">
        <v>38081.58</v>
      </c>
      <c r="V149" s="401">
        <v>14384.44</v>
      </c>
      <c r="W149" s="401">
        <v>1499.04</v>
      </c>
      <c r="X149" s="401">
        <v>333.41</v>
      </c>
      <c r="Y149" s="401">
        <v>34.179839999999999</v>
      </c>
      <c r="Z149" s="401">
        <v>0.59340000000000004</v>
      </c>
    </row>
    <row r="150" spans="1:26" x14ac:dyDescent="0.2">
      <c r="A150" s="407"/>
      <c r="B150" s="407"/>
      <c r="C150" s="407"/>
      <c r="D150" s="408" t="s">
        <v>747</v>
      </c>
      <c r="E150" s="409"/>
      <c r="F150" s="410">
        <v>249.06700000000001</v>
      </c>
      <c r="G150" s="410">
        <v>5.7729999999999997</v>
      </c>
      <c r="H150" s="409"/>
      <c r="I150" s="409"/>
      <c r="J150" s="411">
        <v>333.41</v>
      </c>
      <c r="K150" s="410">
        <v>0.46</v>
      </c>
      <c r="L150" s="410">
        <v>0.59340000000000004</v>
      </c>
    </row>
    <row r="151" spans="1:26" ht="20.399999999999999" x14ac:dyDescent="0.2">
      <c r="A151" s="412"/>
      <c r="B151" s="412"/>
      <c r="C151" s="412"/>
      <c r="D151" s="395" t="s">
        <v>714</v>
      </c>
      <c r="E151" s="412"/>
      <c r="F151" s="412"/>
      <c r="G151" s="412"/>
      <c r="H151" s="412"/>
      <c r="I151" s="412"/>
      <c r="J151" s="412"/>
      <c r="K151" s="412"/>
      <c r="L151" s="412"/>
    </row>
    <row r="152" spans="1:26" ht="20.399999999999999" x14ac:dyDescent="0.2">
      <c r="A152" s="412"/>
      <c r="B152" s="412"/>
      <c r="C152" s="412"/>
      <c r="D152" s="395" t="s">
        <v>1023</v>
      </c>
      <c r="E152" s="412"/>
      <c r="F152" s="412"/>
      <c r="G152" s="412"/>
      <c r="H152" s="412"/>
      <c r="I152" s="412"/>
      <c r="J152" s="412"/>
      <c r="K152" s="412"/>
      <c r="L152" s="412"/>
    </row>
    <row r="153" spans="1:26" ht="81.599999999999994" x14ac:dyDescent="0.2">
      <c r="A153" s="412"/>
      <c r="B153" s="412"/>
      <c r="C153" s="412"/>
      <c r="D153" s="395" t="s">
        <v>1024</v>
      </c>
      <c r="E153" s="412"/>
      <c r="F153" s="412"/>
      <c r="G153" s="412"/>
      <c r="H153" s="412"/>
      <c r="I153" s="412"/>
      <c r="J153" s="412"/>
      <c r="K153" s="412"/>
      <c r="L153" s="412"/>
    </row>
    <row r="154" spans="1:26" x14ac:dyDescent="0.2">
      <c r="A154" s="412"/>
      <c r="B154" s="412"/>
      <c r="C154" s="412"/>
      <c r="D154" s="413" t="s">
        <v>206</v>
      </c>
      <c r="E154" s="414" t="s">
        <v>953</v>
      </c>
      <c r="F154" s="414"/>
      <c r="G154" s="414"/>
      <c r="H154" s="415">
        <v>14276.31</v>
      </c>
      <c r="I154" s="412"/>
      <c r="J154" s="412"/>
      <c r="K154" s="412"/>
      <c r="L154" s="412"/>
    </row>
    <row r="155" spans="1:26" x14ac:dyDescent="0.2">
      <c r="A155" s="412"/>
      <c r="B155" s="412"/>
      <c r="C155" s="412"/>
      <c r="D155" s="413" t="s">
        <v>207</v>
      </c>
      <c r="E155" s="414" t="s">
        <v>954</v>
      </c>
      <c r="F155" s="414"/>
      <c r="G155" s="414"/>
      <c r="H155" s="415">
        <v>7506.1</v>
      </c>
      <c r="I155" s="412"/>
      <c r="J155" s="412"/>
      <c r="K155" s="412"/>
      <c r="L155" s="412"/>
    </row>
    <row r="156" spans="1:26" x14ac:dyDescent="0.2">
      <c r="A156" s="412"/>
      <c r="B156" s="412"/>
      <c r="C156" s="412"/>
      <c r="D156" s="416" t="s">
        <v>715</v>
      </c>
      <c r="E156" s="417"/>
      <c r="F156" s="417"/>
      <c r="G156" s="417"/>
      <c r="H156" s="418">
        <v>38081.58</v>
      </c>
      <c r="I156" s="412"/>
      <c r="J156" s="412"/>
      <c r="K156" s="412"/>
      <c r="L156" s="412"/>
    </row>
    <row r="157" spans="1:26" ht="30.6" x14ac:dyDescent="0.2">
      <c r="A157" s="403">
        <v>20</v>
      </c>
      <c r="B157" s="403">
        <v>52</v>
      </c>
      <c r="C157" s="403" t="s">
        <v>1128</v>
      </c>
      <c r="D157" s="403" t="s">
        <v>1539</v>
      </c>
      <c r="E157" s="404">
        <v>131.58000000000001</v>
      </c>
      <c r="F157" s="405">
        <v>85.390130999999997</v>
      </c>
      <c r="G157" s="405" t="s">
        <v>281</v>
      </c>
      <c r="H157" s="406">
        <v>91682.31</v>
      </c>
      <c r="I157" s="406" t="s">
        <v>281</v>
      </c>
      <c r="J157" s="406" t="s">
        <v>281</v>
      </c>
      <c r="K157" s="405" t="s">
        <v>281</v>
      </c>
      <c r="L157" s="405" t="s">
        <v>281</v>
      </c>
      <c r="T157" s="401">
        <v>91682.31</v>
      </c>
      <c r="V157" s="401" t="s">
        <v>281</v>
      </c>
      <c r="W157" s="401" t="s">
        <v>281</v>
      </c>
      <c r="X157" s="401" t="s">
        <v>281</v>
      </c>
      <c r="Y157" s="401" t="s">
        <v>281</v>
      </c>
      <c r="Z157" s="401" t="s">
        <v>281</v>
      </c>
    </row>
    <row r="158" spans="1:26" x14ac:dyDescent="0.2">
      <c r="A158" s="407"/>
      <c r="B158" s="407"/>
      <c r="C158" s="407"/>
      <c r="D158" s="408" t="s">
        <v>883</v>
      </c>
      <c r="E158" s="409"/>
      <c r="F158" s="410" t="s">
        <v>281</v>
      </c>
      <c r="G158" s="410" t="s">
        <v>281</v>
      </c>
      <c r="H158" s="409"/>
      <c r="I158" s="409"/>
      <c r="J158" s="411" t="s">
        <v>281</v>
      </c>
      <c r="K158" s="410" t="s">
        <v>281</v>
      </c>
      <c r="L158" s="410" t="s">
        <v>281</v>
      </c>
    </row>
    <row r="159" spans="1:26" x14ac:dyDescent="0.2">
      <c r="A159" s="412"/>
      <c r="B159" s="412"/>
      <c r="C159" s="412"/>
      <c r="D159" s="395" t="s">
        <v>718</v>
      </c>
      <c r="E159" s="412"/>
      <c r="F159" s="412"/>
      <c r="G159" s="412"/>
      <c r="H159" s="412"/>
      <c r="I159" s="412"/>
      <c r="J159" s="412"/>
      <c r="K159" s="412"/>
      <c r="L159" s="412"/>
    </row>
    <row r="160" spans="1:26" ht="40.799999999999997" x14ac:dyDescent="0.2">
      <c r="A160" s="403">
        <v>21</v>
      </c>
      <c r="B160" s="403">
        <v>53</v>
      </c>
      <c r="C160" s="403" t="s">
        <v>1129</v>
      </c>
      <c r="D160" s="403" t="s">
        <v>1108</v>
      </c>
      <c r="E160" s="404">
        <v>16</v>
      </c>
      <c r="F160" s="405">
        <v>93.153499999999994</v>
      </c>
      <c r="G160" s="405">
        <v>2.0815000000000001</v>
      </c>
      <c r="H160" s="406">
        <v>53745.760000000002</v>
      </c>
      <c r="I160" s="406">
        <v>50645.279999999999</v>
      </c>
      <c r="J160" s="406">
        <v>440.96</v>
      </c>
      <c r="K160" s="405">
        <v>7.5209999999999999</v>
      </c>
      <c r="L160" s="405">
        <v>120.336</v>
      </c>
      <c r="T160" s="401">
        <v>129017.85</v>
      </c>
      <c r="V160" s="401">
        <v>50645.279999999999</v>
      </c>
      <c r="W160" s="401">
        <v>440.96</v>
      </c>
      <c r="X160" s="401">
        <v>214.24</v>
      </c>
      <c r="Y160" s="401">
        <v>120.336</v>
      </c>
      <c r="Z160" s="401">
        <v>0.36799999999999999</v>
      </c>
    </row>
    <row r="161" spans="1:26" x14ac:dyDescent="0.2">
      <c r="A161" s="407"/>
      <c r="B161" s="407"/>
      <c r="C161" s="407"/>
      <c r="D161" s="408" t="s">
        <v>735</v>
      </c>
      <c r="E161" s="409"/>
      <c r="F161" s="410">
        <v>70.701999999999998</v>
      </c>
      <c r="G161" s="410">
        <v>0.29899999999999999</v>
      </c>
      <c r="H161" s="409"/>
      <c r="I161" s="409"/>
      <c r="J161" s="411">
        <v>214.24</v>
      </c>
      <c r="K161" s="410">
        <v>2.3E-2</v>
      </c>
      <c r="L161" s="410">
        <v>0.36799999999999999</v>
      </c>
    </row>
    <row r="162" spans="1:26" ht="20.399999999999999" x14ac:dyDescent="0.2">
      <c r="A162" s="412"/>
      <c r="B162" s="412"/>
      <c r="C162" s="412"/>
      <c r="D162" s="395" t="s">
        <v>714</v>
      </c>
      <c r="E162" s="412"/>
      <c r="F162" s="412"/>
      <c r="G162" s="412"/>
      <c r="H162" s="412"/>
      <c r="I162" s="412"/>
      <c r="J162" s="412"/>
      <c r="K162" s="412"/>
      <c r="L162" s="412"/>
    </row>
    <row r="163" spans="1:26" ht="20.399999999999999" x14ac:dyDescent="0.2">
      <c r="A163" s="412"/>
      <c r="B163" s="412"/>
      <c r="C163" s="412"/>
      <c r="D163" s="395" t="s">
        <v>1023</v>
      </c>
      <c r="E163" s="412"/>
      <c r="F163" s="412"/>
      <c r="G163" s="412"/>
      <c r="H163" s="412"/>
      <c r="I163" s="412"/>
      <c r="J163" s="412"/>
      <c r="K163" s="412"/>
      <c r="L163" s="412"/>
    </row>
    <row r="164" spans="1:26" ht="81.599999999999994" x14ac:dyDescent="0.2">
      <c r="A164" s="412"/>
      <c r="B164" s="412"/>
      <c r="C164" s="412"/>
      <c r="D164" s="395" t="s">
        <v>1024</v>
      </c>
      <c r="E164" s="412"/>
      <c r="F164" s="412"/>
      <c r="G164" s="412"/>
      <c r="H164" s="412"/>
      <c r="I164" s="412"/>
      <c r="J164" s="412"/>
      <c r="K164" s="412"/>
      <c r="L164" s="412"/>
    </row>
    <row r="165" spans="1:26" x14ac:dyDescent="0.2">
      <c r="A165" s="412"/>
      <c r="B165" s="412"/>
      <c r="C165" s="412"/>
      <c r="D165" s="413" t="s">
        <v>206</v>
      </c>
      <c r="E165" s="414" t="s">
        <v>953</v>
      </c>
      <c r="F165" s="414"/>
      <c r="G165" s="414"/>
      <c r="H165" s="415">
        <v>49333.73</v>
      </c>
      <c r="I165" s="412"/>
      <c r="J165" s="412"/>
      <c r="K165" s="412"/>
      <c r="L165" s="412"/>
    </row>
    <row r="166" spans="1:26" x14ac:dyDescent="0.2">
      <c r="A166" s="412"/>
      <c r="B166" s="412"/>
      <c r="C166" s="412"/>
      <c r="D166" s="413" t="s">
        <v>207</v>
      </c>
      <c r="E166" s="414" t="s">
        <v>954</v>
      </c>
      <c r="F166" s="414"/>
      <c r="G166" s="414"/>
      <c r="H166" s="415">
        <v>25938.36</v>
      </c>
      <c r="I166" s="412"/>
      <c r="J166" s="412"/>
      <c r="K166" s="412"/>
      <c r="L166" s="412"/>
    </row>
    <row r="167" spans="1:26" x14ac:dyDescent="0.2">
      <c r="A167" s="412"/>
      <c r="B167" s="412"/>
      <c r="C167" s="412"/>
      <c r="D167" s="416" t="s">
        <v>715</v>
      </c>
      <c r="E167" s="417"/>
      <c r="F167" s="417"/>
      <c r="G167" s="417"/>
      <c r="H167" s="418">
        <v>129017.85</v>
      </c>
      <c r="I167" s="412"/>
      <c r="J167" s="412"/>
      <c r="K167" s="412"/>
      <c r="L167" s="412"/>
    </row>
    <row r="168" spans="1:26" ht="40.799999999999997" x14ac:dyDescent="0.2">
      <c r="A168" s="403">
        <v>22</v>
      </c>
      <c r="B168" s="403">
        <v>54</v>
      </c>
      <c r="C168" s="403" t="s">
        <v>1005</v>
      </c>
      <c r="D168" s="403" t="s">
        <v>1538</v>
      </c>
      <c r="E168" s="404">
        <v>16</v>
      </c>
      <c r="F168" s="405">
        <v>1038.232254</v>
      </c>
      <c r="G168" s="405" t="s">
        <v>281</v>
      </c>
      <c r="H168" s="406">
        <v>135551.67999999999</v>
      </c>
      <c r="I168" s="406" t="s">
        <v>281</v>
      </c>
      <c r="J168" s="406" t="s">
        <v>281</v>
      </c>
      <c r="K168" s="405" t="s">
        <v>281</v>
      </c>
      <c r="L168" s="405" t="s">
        <v>281</v>
      </c>
      <c r="T168" s="401">
        <v>135551.67999999999</v>
      </c>
      <c r="V168" s="401" t="s">
        <v>281</v>
      </c>
      <c r="W168" s="401" t="s">
        <v>281</v>
      </c>
      <c r="X168" s="401" t="s">
        <v>281</v>
      </c>
      <c r="Y168" s="401" t="s">
        <v>281</v>
      </c>
      <c r="Z168" s="401" t="s">
        <v>281</v>
      </c>
    </row>
    <row r="169" spans="1:26" x14ac:dyDescent="0.2">
      <c r="A169" s="407"/>
      <c r="B169" s="407"/>
      <c r="C169" s="407"/>
      <c r="D169" s="408" t="s">
        <v>735</v>
      </c>
      <c r="E169" s="409"/>
      <c r="F169" s="410" t="s">
        <v>281</v>
      </c>
      <c r="G169" s="410" t="s">
        <v>281</v>
      </c>
      <c r="H169" s="409"/>
      <c r="I169" s="409"/>
      <c r="J169" s="411" t="s">
        <v>281</v>
      </c>
      <c r="K169" s="410" t="s">
        <v>281</v>
      </c>
      <c r="L169" s="410" t="s">
        <v>281</v>
      </c>
    </row>
    <row r="170" spans="1:26" x14ac:dyDescent="0.2">
      <c r="A170" s="412"/>
      <c r="B170" s="412"/>
      <c r="C170" s="412"/>
      <c r="D170" s="395" t="s">
        <v>718</v>
      </c>
      <c r="E170" s="412"/>
      <c r="F170" s="412"/>
      <c r="G170" s="412"/>
      <c r="H170" s="412"/>
      <c r="I170" s="412"/>
      <c r="J170" s="412"/>
      <c r="K170" s="412"/>
      <c r="L170" s="412"/>
    </row>
    <row r="171" spans="1:26" ht="30.6" x14ac:dyDescent="0.2">
      <c r="A171" s="403">
        <v>23</v>
      </c>
      <c r="B171" s="403">
        <v>55</v>
      </c>
      <c r="C171" s="403" t="s">
        <v>1130</v>
      </c>
      <c r="D171" s="403" t="s">
        <v>1109</v>
      </c>
      <c r="E171" s="404">
        <v>16</v>
      </c>
      <c r="F171" s="405">
        <v>7.1037800000000004</v>
      </c>
      <c r="G171" s="405" t="s">
        <v>281</v>
      </c>
      <c r="H171" s="406">
        <v>4531.3599999999997</v>
      </c>
      <c r="I171" s="406">
        <v>4407.2</v>
      </c>
      <c r="J171" s="406" t="s">
        <v>281</v>
      </c>
      <c r="K171" s="405">
        <v>0.67849999999999999</v>
      </c>
      <c r="L171" s="405">
        <v>10.856</v>
      </c>
      <c r="T171" s="401">
        <v>11054.01</v>
      </c>
      <c r="V171" s="401">
        <v>4407.2</v>
      </c>
      <c r="W171" s="401" t="s">
        <v>281</v>
      </c>
      <c r="X171" s="401" t="s">
        <v>281</v>
      </c>
      <c r="Y171" s="401">
        <v>10.856</v>
      </c>
      <c r="Z171" s="401" t="s">
        <v>281</v>
      </c>
    </row>
    <row r="172" spans="1:26" x14ac:dyDescent="0.2">
      <c r="A172" s="407"/>
      <c r="B172" s="407"/>
      <c r="C172" s="407"/>
      <c r="D172" s="408" t="s">
        <v>735</v>
      </c>
      <c r="E172" s="409"/>
      <c r="F172" s="410">
        <v>6.1524999999999999</v>
      </c>
      <c r="G172" s="410" t="s">
        <v>281</v>
      </c>
      <c r="H172" s="409"/>
      <c r="I172" s="409"/>
      <c r="J172" s="411" t="s">
        <v>281</v>
      </c>
      <c r="K172" s="410" t="s">
        <v>281</v>
      </c>
      <c r="L172" s="410" t="s">
        <v>281</v>
      </c>
    </row>
    <row r="173" spans="1:26" ht="20.399999999999999" x14ac:dyDescent="0.2">
      <c r="A173" s="412"/>
      <c r="B173" s="412"/>
      <c r="C173" s="412"/>
      <c r="D173" s="395" t="s">
        <v>714</v>
      </c>
      <c r="E173" s="412"/>
      <c r="F173" s="412"/>
      <c r="G173" s="412"/>
      <c r="H173" s="412"/>
      <c r="I173" s="412"/>
      <c r="J173" s="412"/>
      <c r="K173" s="412"/>
      <c r="L173" s="412"/>
    </row>
    <row r="174" spans="1:26" ht="20.399999999999999" x14ac:dyDescent="0.2">
      <c r="A174" s="412"/>
      <c r="B174" s="412"/>
      <c r="C174" s="412"/>
      <c r="D174" s="395" t="s">
        <v>1118</v>
      </c>
      <c r="E174" s="412"/>
      <c r="F174" s="412"/>
      <c r="G174" s="412"/>
      <c r="H174" s="412"/>
      <c r="I174" s="412"/>
      <c r="J174" s="412"/>
      <c r="K174" s="412"/>
      <c r="L174" s="412"/>
    </row>
    <row r="175" spans="1:26" ht="91.8" x14ac:dyDescent="0.2">
      <c r="A175" s="412"/>
      <c r="B175" s="412"/>
      <c r="C175" s="412"/>
      <c r="D175" s="395" t="s">
        <v>1119</v>
      </c>
      <c r="E175" s="412"/>
      <c r="F175" s="412"/>
      <c r="G175" s="412"/>
      <c r="H175" s="412"/>
      <c r="I175" s="412"/>
      <c r="J175" s="412"/>
      <c r="K175" s="412"/>
      <c r="L175" s="412"/>
    </row>
    <row r="176" spans="1:26" x14ac:dyDescent="0.2">
      <c r="A176" s="412"/>
      <c r="B176" s="412"/>
      <c r="C176" s="412"/>
      <c r="D176" s="413" t="s">
        <v>206</v>
      </c>
      <c r="E176" s="414" t="s">
        <v>953</v>
      </c>
      <c r="F176" s="414"/>
      <c r="G176" s="414"/>
      <c r="H176" s="415">
        <v>4274.9799999999996</v>
      </c>
      <c r="I176" s="412"/>
      <c r="J176" s="412"/>
      <c r="K176" s="412"/>
      <c r="L176" s="412"/>
    </row>
    <row r="177" spans="1:26" x14ac:dyDescent="0.2">
      <c r="A177" s="412"/>
      <c r="B177" s="412"/>
      <c r="C177" s="412"/>
      <c r="D177" s="413" t="s">
        <v>207</v>
      </c>
      <c r="E177" s="414" t="s">
        <v>954</v>
      </c>
      <c r="F177" s="414"/>
      <c r="G177" s="414"/>
      <c r="H177" s="415">
        <v>2247.67</v>
      </c>
      <c r="I177" s="412"/>
      <c r="J177" s="412"/>
      <c r="K177" s="412"/>
      <c r="L177" s="412"/>
    </row>
    <row r="178" spans="1:26" x14ac:dyDescent="0.2">
      <c r="A178" s="412"/>
      <c r="B178" s="412"/>
      <c r="C178" s="412"/>
      <c r="D178" s="416" t="s">
        <v>715</v>
      </c>
      <c r="E178" s="417"/>
      <c r="F178" s="417"/>
      <c r="G178" s="417"/>
      <c r="H178" s="418">
        <v>11054.01</v>
      </c>
      <c r="I178" s="412"/>
      <c r="J178" s="412"/>
      <c r="K178" s="412"/>
      <c r="L178" s="412"/>
    </row>
    <row r="179" spans="1:26" ht="40.799999999999997" x14ac:dyDescent="0.2">
      <c r="A179" s="403">
        <v>24</v>
      </c>
      <c r="B179" s="403">
        <v>56</v>
      </c>
      <c r="C179" s="403" t="s">
        <v>1131</v>
      </c>
      <c r="D179" s="403" t="s">
        <v>1537</v>
      </c>
      <c r="E179" s="404">
        <v>16</v>
      </c>
      <c r="F179" s="405">
        <v>99.420297000000005</v>
      </c>
      <c r="G179" s="405" t="s">
        <v>281</v>
      </c>
      <c r="H179" s="406">
        <v>12980.32</v>
      </c>
      <c r="I179" s="406" t="s">
        <v>281</v>
      </c>
      <c r="J179" s="406" t="s">
        <v>281</v>
      </c>
      <c r="K179" s="405" t="s">
        <v>281</v>
      </c>
      <c r="L179" s="405" t="s">
        <v>281</v>
      </c>
      <c r="T179" s="401">
        <v>12980.32</v>
      </c>
      <c r="V179" s="401" t="s">
        <v>281</v>
      </c>
      <c r="W179" s="401" t="s">
        <v>281</v>
      </c>
      <c r="X179" s="401" t="s">
        <v>281</v>
      </c>
      <c r="Y179" s="401" t="s">
        <v>281</v>
      </c>
      <c r="Z179" s="401" t="s">
        <v>281</v>
      </c>
    </row>
    <row r="180" spans="1:26" x14ac:dyDescent="0.2">
      <c r="A180" s="407"/>
      <c r="B180" s="407"/>
      <c r="C180" s="407"/>
      <c r="D180" s="408" t="s">
        <v>735</v>
      </c>
      <c r="E180" s="409"/>
      <c r="F180" s="410" t="s">
        <v>281</v>
      </c>
      <c r="G180" s="410" t="s">
        <v>281</v>
      </c>
      <c r="H180" s="409"/>
      <c r="I180" s="409"/>
      <c r="J180" s="411" t="s">
        <v>281</v>
      </c>
      <c r="K180" s="410" t="s">
        <v>281</v>
      </c>
      <c r="L180" s="410" t="s">
        <v>281</v>
      </c>
    </row>
    <row r="181" spans="1:26" x14ac:dyDescent="0.2">
      <c r="A181" s="412"/>
      <c r="B181" s="412"/>
      <c r="C181" s="412"/>
      <c r="D181" s="395" t="s">
        <v>718</v>
      </c>
      <c r="E181" s="412"/>
      <c r="F181" s="412"/>
      <c r="G181" s="412"/>
      <c r="H181" s="412"/>
      <c r="I181" s="412"/>
      <c r="J181" s="412"/>
      <c r="K181" s="412"/>
      <c r="L181" s="412"/>
    </row>
    <row r="182" spans="1:26" ht="40.799999999999997" x14ac:dyDescent="0.2">
      <c r="A182" s="403">
        <v>25</v>
      </c>
      <c r="B182" s="403">
        <v>57</v>
      </c>
      <c r="C182" s="403" t="s">
        <v>1006</v>
      </c>
      <c r="D182" s="403" t="s">
        <v>1110</v>
      </c>
      <c r="E182" s="404">
        <v>16</v>
      </c>
      <c r="F182" s="405">
        <v>19.1755</v>
      </c>
      <c r="G182" s="405" t="s">
        <v>281</v>
      </c>
      <c r="H182" s="406">
        <v>4908.32</v>
      </c>
      <c r="I182" s="406">
        <v>2940.8</v>
      </c>
      <c r="J182" s="406" t="s">
        <v>281</v>
      </c>
      <c r="K182" s="405">
        <v>0.437</v>
      </c>
      <c r="L182" s="405">
        <v>6.992</v>
      </c>
      <c r="T182" s="401">
        <v>9260.7099999999991</v>
      </c>
      <c r="V182" s="401">
        <v>2940.8</v>
      </c>
      <c r="W182" s="401" t="s">
        <v>281</v>
      </c>
      <c r="X182" s="401" t="s">
        <v>281</v>
      </c>
      <c r="Y182" s="401">
        <v>6.992</v>
      </c>
      <c r="Z182" s="401" t="s">
        <v>281</v>
      </c>
    </row>
    <row r="183" spans="1:26" x14ac:dyDescent="0.2">
      <c r="A183" s="407"/>
      <c r="B183" s="407"/>
      <c r="C183" s="407"/>
      <c r="D183" s="408" t="s">
        <v>735</v>
      </c>
      <c r="E183" s="409"/>
      <c r="F183" s="410">
        <v>4.1055000000000001</v>
      </c>
      <c r="G183" s="410" t="s">
        <v>281</v>
      </c>
      <c r="H183" s="409"/>
      <c r="I183" s="409"/>
      <c r="J183" s="411" t="s">
        <v>281</v>
      </c>
      <c r="K183" s="410" t="s">
        <v>281</v>
      </c>
      <c r="L183" s="410" t="s">
        <v>281</v>
      </c>
    </row>
    <row r="184" spans="1:26" ht="20.399999999999999" x14ac:dyDescent="0.2">
      <c r="A184" s="412"/>
      <c r="B184" s="412"/>
      <c r="C184" s="412"/>
      <c r="D184" s="395" t="s">
        <v>714</v>
      </c>
      <c r="E184" s="412"/>
      <c r="F184" s="412"/>
      <c r="G184" s="412"/>
      <c r="H184" s="412"/>
      <c r="I184" s="412"/>
      <c r="J184" s="412"/>
      <c r="K184" s="412"/>
      <c r="L184" s="412"/>
    </row>
    <row r="185" spans="1:26" ht="20.399999999999999" x14ac:dyDescent="0.2">
      <c r="A185" s="412"/>
      <c r="B185" s="412"/>
      <c r="C185" s="412"/>
      <c r="D185" s="395" t="s">
        <v>1023</v>
      </c>
      <c r="E185" s="412"/>
      <c r="F185" s="412"/>
      <c r="G185" s="412"/>
      <c r="H185" s="412"/>
      <c r="I185" s="412"/>
      <c r="J185" s="412"/>
      <c r="K185" s="412"/>
      <c r="L185" s="412"/>
    </row>
    <row r="186" spans="1:26" ht="81.599999999999994" x14ac:dyDescent="0.2">
      <c r="A186" s="412"/>
      <c r="B186" s="412"/>
      <c r="C186" s="412"/>
      <c r="D186" s="395" t="s">
        <v>1024</v>
      </c>
      <c r="E186" s="412"/>
      <c r="F186" s="412"/>
      <c r="G186" s="412"/>
      <c r="H186" s="412"/>
      <c r="I186" s="412"/>
      <c r="J186" s="412"/>
      <c r="K186" s="412"/>
      <c r="L186" s="412"/>
    </row>
    <row r="187" spans="1:26" x14ac:dyDescent="0.2">
      <c r="A187" s="412"/>
      <c r="B187" s="412"/>
      <c r="C187" s="412"/>
      <c r="D187" s="413" t="s">
        <v>206</v>
      </c>
      <c r="E187" s="414" t="s">
        <v>953</v>
      </c>
      <c r="F187" s="414"/>
      <c r="G187" s="414"/>
      <c r="H187" s="415">
        <v>2852.58</v>
      </c>
      <c r="I187" s="412"/>
      <c r="J187" s="412"/>
      <c r="K187" s="412"/>
      <c r="L187" s="412"/>
    </row>
    <row r="188" spans="1:26" x14ac:dyDescent="0.2">
      <c r="A188" s="412"/>
      <c r="B188" s="412"/>
      <c r="C188" s="412"/>
      <c r="D188" s="413" t="s">
        <v>207</v>
      </c>
      <c r="E188" s="414" t="s">
        <v>954</v>
      </c>
      <c r="F188" s="414"/>
      <c r="G188" s="414"/>
      <c r="H188" s="415">
        <v>1499.81</v>
      </c>
      <c r="I188" s="412"/>
      <c r="J188" s="412"/>
      <c r="K188" s="412"/>
      <c r="L188" s="412"/>
    </row>
    <row r="189" spans="1:26" x14ac:dyDescent="0.2">
      <c r="A189" s="412"/>
      <c r="B189" s="412"/>
      <c r="C189" s="412"/>
      <c r="D189" s="416" t="s">
        <v>715</v>
      </c>
      <c r="E189" s="417"/>
      <c r="F189" s="417"/>
      <c r="G189" s="417"/>
      <c r="H189" s="418">
        <v>9260.7099999999991</v>
      </c>
      <c r="I189" s="412"/>
      <c r="J189" s="412"/>
      <c r="K189" s="412"/>
      <c r="L189" s="412"/>
    </row>
    <row r="190" spans="1:26" ht="20.399999999999999" x14ac:dyDescent="0.2">
      <c r="A190" s="403">
        <v>26</v>
      </c>
      <c r="B190" s="403">
        <v>58</v>
      </c>
      <c r="C190" s="403" t="s">
        <v>1132</v>
      </c>
      <c r="D190" s="403" t="s">
        <v>1524</v>
      </c>
      <c r="E190" s="404">
        <v>1</v>
      </c>
      <c r="F190" s="405">
        <v>357.6</v>
      </c>
      <c r="G190" s="405" t="s">
        <v>281</v>
      </c>
      <c r="H190" s="406">
        <v>2918.02</v>
      </c>
      <c r="I190" s="406" t="s">
        <v>281</v>
      </c>
      <c r="J190" s="406" t="s">
        <v>281</v>
      </c>
      <c r="K190" s="405" t="s">
        <v>281</v>
      </c>
      <c r="L190" s="405" t="s">
        <v>281</v>
      </c>
      <c r="T190" s="401">
        <v>2918.02</v>
      </c>
      <c r="V190" s="401" t="s">
        <v>281</v>
      </c>
      <c r="W190" s="401" t="s">
        <v>281</v>
      </c>
      <c r="X190" s="401" t="s">
        <v>281</v>
      </c>
      <c r="Y190" s="401" t="s">
        <v>281</v>
      </c>
      <c r="Z190" s="401" t="s">
        <v>281</v>
      </c>
    </row>
    <row r="191" spans="1:26" x14ac:dyDescent="0.2">
      <c r="A191" s="407"/>
      <c r="B191" s="407"/>
      <c r="C191" s="407"/>
      <c r="D191" s="408" t="s">
        <v>735</v>
      </c>
      <c r="E191" s="409"/>
      <c r="F191" s="410" t="s">
        <v>281</v>
      </c>
      <c r="G191" s="410" t="s">
        <v>281</v>
      </c>
      <c r="H191" s="409"/>
      <c r="I191" s="409"/>
      <c r="J191" s="411" t="s">
        <v>281</v>
      </c>
      <c r="K191" s="410" t="s">
        <v>281</v>
      </c>
      <c r="L191" s="410" t="s">
        <v>281</v>
      </c>
    </row>
    <row r="192" spans="1:26" x14ac:dyDescent="0.2">
      <c r="A192" s="412"/>
      <c r="B192" s="412"/>
      <c r="C192" s="412"/>
      <c r="D192" s="395" t="s">
        <v>718</v>
      </c>
      <c r="E192" s="412"/>
      <c r="F192" s="412"/>
      <c r="G192" s="412"/>
      <c r="H192" s="412"/>
      <c r="I192" s="412"/>
      <c r="J192" s="412"/>
      <c r="K192" s="412"/>
      <c r="L192" s="412"/>
    </row>
    <row r="193" spans="1:26" s="469" customFormat="1" x14ac:dyDescent="0.2">
      <c r="A193" s="412"/>
      <c r="B193" s="412"/>
      <c r="C193" s="412"/>
      <c r="D193" s="395"/>
      <c r="E193" s="412"/>
      <c r="F193" s="412"/>
      <c r="G193" s="412"/>
      <c r="H193" s="412"/>
      <c r="I193" s="412"/>
      <c r="J193" s="412"/>
      <c r="K193" s="412"/>
      <c r="L193" s="412"/>
    </row>
    <row r="194" spans="1:26" s="469" customFormat="1" x14ac:dyDescent="0.2">
      <c r="A194" s="412"/>
      <c r="B194" s="412"/>
      <c r="C194" s="412"/>
      <c r="D194" s="395"/>
      <c r="E194" s="412"/>
      <c r="F194" s="412"/>
      <c r="G194" s="412"/>
      <c r="H194" s="412"/>
      <c r="I194" s="412"/>
      <c r="J194" s="412"/>
      <c r="K194" s="412"/>
      <c r="L194" s="412"/>
    </row>
    <row r="195" spans="1:26" ht="20.399999999999999" x14ac:dyDescent="0.2">
      <c r="A195" s="412"/>
      <c r="B195" s="412"/>
      <c r="C195" s="412"/>
      <c r="D195" s="395" t="s">
        <v>1023</v>
      </c>
      <c r="E195" s="412"/>
      <c r="F195" s="412"/>
      <c r="G195" s="412"/>
      <c r="H195" s="412"/>
      <c r="I195" s="412"/>
      <c r="J195" s="412"/>
      <c r="K195" s="412"/>
      <c r="L195" s="412"/>
    </row>
    <row r="196" spans="1:26" ht="81.599999999999994" x14ac:dyDescent="0.2">
      <c r="A196" s="412"/>
      <c r="B196" s="412"/>
      <c r="C196" s="412"/>
      <c r="D196" s="395" t="s">
        <v>1024</v>
      </c>
      <c r="E196" s="412"/>
      <c r="F196" s="412"/>
      <c r="G196" s="412"/>
      <c r="H196" s="412"/>
      <c r="I196" s="412"/>
      <c r="J196" s="412"/>
      <c r="K196" s="412"/>
      <c r="L196" s="412"/>
    </row>
    <row r="197" spans="1:26" ht="20.399999999999999" x14ac:dyDescent="0.2">
      <c r="A197" s="403">
        <v>27</v>
      </c>
      <c r="B197" s="403">
        <v>59</v>
      </c>
      <c r="C197" s="403" t="s">
        <v>1120</v>
      </c>
      <c r="D197" s="403" t="s">
        <v>1103</v>
      </c>
      <c r="E197" s="404">
        <v>1.25</v>
      </c>
      <c r="F197" s="405">
        <v>353.00349999999997</v>
      </c>
      <c r="G197" s="405">
        <v>294.71050000000002</v>
      </c>
      <c r="H197" s="406">
        <v>8093.92</v>
      </c>
      <c r="I197" s="406">
        <v>3206.26</v>
      </c>
      <c r="J197" s="406">
        <v>4877.46</v>
      </c>
      <c r="K197" s="405">
        <v>6.0949999999999998</v>
      </c>
      <c r="L197" s="405">
        <v>7.6187500000000004</v>
      </c>
      <c r="T197" s="401">
        <v>17148.21</v>
      </c>
      <c r="V197" s="401">
        <v>3206.26</v>
      </c>
      <c r="W197" s="401">
        <v>4877.46</v>
      </c>
      <c r="X197" s="401">
        <v>2911.5</v>
      </c>
      <c r="Y197" s="401">
        <v>7.6187500000000004</v>
      </c>
      <c r="Z197" s="401">
        <v>5.6062500000000002</v>
      </c>
    </row>
    <row r="198" spans="1:26" x14ac:dyDescent="0.2">
      <c r="A198" s="407"/>
      <c r="B198" s="407"/>
      <c r="C198" s="407"/>
      <c r="D198" s="408" t="s">
        <v>747</v>
      </c>
      <c r="E198" s="409"/>
      <c r="F198" s="410">
        <v>57.292999999999999</v>
      </c>
      <c r="G198" s="410">
        <v>52.026000000000003</v>
      </c>
      <c r="H198" s="409"/>
      <c r="I198" s="409"/>
      <c r="J198" s="411">
        <v>2911.5</v>
      </c>
      <c r="K198" s="410">
        <v>4.4850000000000003</v>
      </c>
      <c r="L198" s="410">
        <v>5.6062500000000002</v>
      </c>
    </row>
    <row r="199" spans="1:26" ht="20.399999999999999" x14ac:dyDescent="0.2">
      <c r="A199" s="412"/>
      <c r="B199" s="412"/>
      <c r="C199" s="412"/>
      <c r="D199" s="395" t="s">
        <v>714</v>
      </c>
      <c r="E199" s="412"/>
      <c r="F199" s="412"/>
      <c r="G199" s="412"/>
      <c r="H199" s="412"/>
      <c r="I199" s="412"/>
      <c r="J199" s="412"/>
      <c r="K199" s="412"/>
      <c r="L199" s="412"/>
    </row>
    <row r="200" spans="1:26" ht="20.399999999999999" x14ac:dyDescent="0.2">
      <c r="A200" s="412"/>
      <c r="B200" s="412"/>
      <c r="C200" s="412"/>
      <c r="D200" s="395" t="s">
        <v>1023</v>
      </c>
      <c r="E200" s="412"/>
      <c r="F200" s="412"/>
      <c r="G200" s="412"/>
      <c r="H200" s="412"/>
      <c r="I200" s="412"/>
      <c r="J200" s="412"/>
      <c r="K200" s="412"/>
      <c r="L200" s="412"/>
    </row>
    <row r="201" spans="1:26" ht="81.599999999999994" x14ac:dyDescent="0.2">
      <c r="A201" s="412"/>
      <c r="B201" s="412"/>
      <c r="C201" s="412"/>
      <c r="D201" s="395" t="s">
        <v>1024</v>
      </c>
      <c r="E201" s="412"/>
      <c r="F201" s="412"/>
      <c r="G201" s="412"/>
      <c r="H201" s="412"/>
      <c r="I201" s="412"/>
      <c r="J201" s="412"/>
      <c r="K201" s="412"/>
      <c r="L201" s="412"/>
    </row>
    <row r="202" spans="1:26" x14ac:dyDescent="0.2">
      <c r="A202" s="412"/>
      <c r="B202" s="412"/>
      <c r="C202" s="412"/>
      <c r="D202" s="413" t="s">
        <v>206</v>
      </c>
      <c r="E202" s="414" t="s">
        <v>953</v>
      </c>
      <c r="F202" s="414"/>
      <c r="G202" s="414"/>
      <c r="H202" s="415">
        <v>5934.23</v>
      </c>
      <c r="I202" s="412"/>
      <c r="J202" s="412"/>
      <c r="K202" s="412"/>
      <c r="L202" s="412"/>
    </row>
    <row r="203" spans="1:26" x14ac:dyDescent="0.2">
      <c r="A203" s="412"/>
      <c r="B203" s="412"/>
      <c r="C203" s="412"/>
      <c r="D203" s="413" t="s">
        <v>207</v>
      </c>
      <c r="E203" s="414" t="s">
        <v>954</v>
      </c>
      <c r="F203" s="414"/>
      <c r="G203" s="414"/>
      <c r="H203" s="415">
        <v>3120.06</v>
      </c>
      <c r="I203" s="412"/>
      <c r="J203" s="412"/>
      <c r="K203" s="412"/>
      <c r="L203" s="412"/>
    </row>
    <row r="204" spans="1:26" x14ac:dyDescent="0.2">
      <c r="A204" s="412"/>
      <c r="B204" s="412"/>
      <c r="C204" s="412"/>
      <c r="D204" s="416" t="s">
        <v>715</v>
      </c>
      <c r="E204" s="417"/>
      <c r="F204" s="417"/>
      <c r="G204" s="417"/>
      <c r="H204" s="418">
        <v>17148.21</v>
      </c>
      <c r="I204" s="412"/>
      <c r="J204" s="412"/>
      <c r="K204" s="412"/>
      <c r="L204" s="412"/>
    </row>
    <row r="205" spans="1:26" ht="30.6" x14ac:dyDescent="0.2">
      <c r="A205" s="403">
        <v>28</v>
      </c>
      <c r="B205" s="403">
        <v>60</v>
      </c>
      <c r="C205" s="403" t="s">
        <v>1121</v>
      </c>
      <c r="D205" s="403" t="s">
        <v>1104</v>
      </c>
      <c r="E205" s="404">
        <v>1.25</v>
      </c>
      <c r="F205" s="405">
        <v>27.935500000000001</v>
      </c>
      <c r="G205" s="405">
        <v>6.0490000000000004</v>
      </c>
      <c r="H205" s="406">
        <v>1308</v>
      </c>
      <c r="I205" s="406">
        <v>1204.1099999999999</v>
      </c>
      <c r="J205" s="406">
        <v>100.11</v>
      </c>
      <c r="K205" s="405">
        <v>2.2885</v>
      </c>
      <c r="L205" s="405">
        <v>2.8606250000000002</v>
      </c>
      <c r="T205" s="401">
        <v>3178.66</v>
      </c>
      <c r="V205" s="401">
        <v>1204.1099999999999</v>
      </c>
      <c r="W205" s="401">
        <v>100.11</v>
      </c>
      <c r="X205" s="401">
        <v>59.85</v>
      </c>
      <c r="Y205" s="401">
        <v>2.8606250000000002</v>
      </c>
      <c r="Z205" s="401">
        <v>0.115</v>
      </c>
    </row>
    <row r="206" spans="1:26" x14ac:dyDescent="0.2">
      <c r="A206" s="407"/>
      <c r="B206" s="407"/>
      <c r="C206" s="407"/>
      <c r="D206" s="408" t="s">
        <v>747</v>
      </c>
      <c r="E206" s="409"/>
      <c r="F206" s="410">
        <v>21.516500000000001</v>
      </c>
      <c r="G206" s="410">
        <v>1.0694999999999999</v>
      </c>
      <c r="H206" s="409"/>
      <c r="I206" s="409"/>
      <c r="J206" s="411">
        <v>59.85</v>
      </c>
      <c r="K206" s="410">
        <v>9.1999999999999998E-2</v>
      </c>
      <c r="L206" s="410">
        <v>0.115</v>
      </c>
    </row>
    <row r="207" spans="1:26" ht="20.399999999999999" x14ac:dyDescent="0.2">
      <c r="A207" s="412"/>
      <c r="B207" s="412"/>
      <c r="C207" s="412"/>
      <c r="D207" s="395" t="s">
        <v>714</v>
      </c>
      <c r="E207" s="412"/>
      <c r="F207" s="412"/>
      <c r="G207" s="412"/>
      <c r="H207" s="412"/>
      <c r="I207" s="412"/>
      <c r="J207" s="412"/>
      <c r="K207" s="412"/>
      <c r="L207" s="412"/>
    </row>
    <row r="208" spans="1:26" ht="20.399999999999999" x14ac:dyDescent="0.2">
      <c r="A208" s="412"/>
      <c r="B208" s="412"/>
      <c r="C208" s="412"/>
      <c r="D208" s="395" t="s">
        <v>1023</v>
      </c>
      <c r="E208" s="412"/>
      <c r="F208" s="412"/>
      <c r="G208" s="412"/>
      <c r="H208" s="412"/>
      <c r="I208" s="412"/>
      <c r="J208" s="412"/>
      <c r="K208" s="412"/>
      <c r="L208" s="412"/>
    </row>
    <row r="209" spans="1:26" ht="81.599999999999994" x14ac:dyDescent="0.2">
      <c r="A209" s="412"/>
      <c r="B209" s="412"/>
      <c r="C209" s="412"/>
      <c r="D209" s="395" t="s">
        <v>1024</v>
      </c>
      <c r="E209" s="412"/>
      <c r="F209" s="412"/>
      <c r="G209" s="412"/>
      <c r="H209" s="412"/>
      <c r="I209" s="412"/>
      <c r="J209" s="412"/>
      <c r="K209" s="412"/>
      <c r="L209" s="412"/>
    </row>
    <row r="210" spans="1:26" x14ac:dyDescent="0.2">
      <c r="A210" s="412"/>
      <c r="B210" s="412"/>
      <c r="C210" s="412"/>
      <c r="D210" s="413" t="s">
        <v>206</v>
      </c>
      <c r="E210" s="414" t="s">
        <v>953</v>
      </c>
      <c r="F210" s="414"/>
      <c r="G210" s="414"/>
      <c r="H210" s="415">
        <v>1226.04</v>
      </c>
      <c r="I210" s="412"/>
      <c r="J210" s="412"/>
      <c r="K210" s="412"/>
      <c r="L210" s="412"/>
    </row>
    <row r="211" spans="1:26" x14ac:dyDescent="0.2">
      <c r="A211" s="412"/>
      <c r="B211" s="412"/>
      <c r="C211" s="412"/>
      <c r="D211" s="413" t="s">
        <v>207</v>
      </c>
      <c r="E211" s="414" t="s">
        <v>954</v>
      </c>
      <c r="F211" s="414"/>
      <c r="G211" s="414"/>
      <c r="H211" s="415">
        <v>644.62</v>
      </c>
      <c r="I211" s="412"/>
      <c r="J211" s="412"/>
      <c r="K211" s="412"/>
      <c r="L211" s="412"/>
    </row>
    <row r="212" spans="1:26" x14ac:dyDescent="0.2">
      <c r="A212" s="412"/>
      <c r="B212" s="412"/>
      <c r="C212" s="412"/>
      <c r="D212" s="416" t="s">
        <v>715</v>
      </c>
      <c r="E212" s="417"/>
      <c r="F212" s="417"/>
      <c r="G212" s="417"/>
      <c r="H212" s="418">
        <v>3178.66</v>
      </c>
      <c r="I212" s="412"/>
      <c r="J212" s="412"/>
      <c r="K212" s="412"/>
      <c r="L212" s="412"/>
    </row>
    <row r="213" spans="1:26" ht="30.6" x14ac:dyDescent="0.2">
      <c r="A213" s="403">
        <v>29</v>
      </c>
      <c r="B213" s="403">
        <v>61</v>
      </c>
      <c r="C213" s="403" t="s">
        <v>766</v>
      </c>
      <c r="D213" s="403" t="s">
        <v>1536</v>
      </c>
      <c r="E213" s="404">
        <v>7.92</v>
      </c>
      <c r="F213" s="405">
        <v>101.17976</v>
      </c>
      <c r="G213" s="405" t="s">
        <v>281</v>
      </c>
      <c r="H213" s="406">
        <v>6538.99</v>
      </c>
      <c r="I213" s="406" t="s">
        <v>281</v>
      </c>
      <c r="J213" s="406" t="s">
        <v>281</v>
      </c>
      <c r="K213" s="405" t="s">
        <v>281</v>
      </c>
      <c r="L213" s="405" t="s">
        <v>281</v>
      </c>
      <c r="T213" s="401">
        <v>6538.99</v>
      </c>
      <c r="V213" s="401" t="s">
        <v>281</v>
      </c>
      <c r="W213" s="401" t="s">
        <v>281</v>
      </c>
      <c r="X213" s="401" t="s">
        <v>281</v>
      </c>
      <c r="Y213" s="401" t="s">
        <v>281</v>
      </c>
      <c r="Z213" s="401" t="s">
        <v>281</v>
      </c>
    </row>
    <row r="214" spans="1:26" x14ac:dyDescent="0.2">
      <c r="A214" s="407"/>
      <c r="B214" s="407"/>
      <c r="C214" s="407"/>
      <c r="D214" s="408" t="s">
        <v>745</v>
      </c>
      <c r="E214" s="409"/>
      <c r="F214" s="410" t="s">
        <v>281</v>
      </c>
      <c r="G214" s="410" t="s">
        <v>281</v>
      </c>
      <c r="H214" s="409"/>
      <c r="I214" s="409"/>
      <c r="J214" s="411" t="s">
        <v>281</v>
      </c>
      <c r="K214" s="410" t="s">
        <v>281</v>
      </c>
      <c r="L214" s="410" t="s">
        <v>281</v>
      </c>
    </row>
    <row r="215" spans="1:26" x14ac:dyDescent="0.2">
      <c r="A215" s="412"/>
      <c r="B215" s="412"/>
      <c r="C215" s="412"/>
      <c r="D215" s="395" t="s">
        <v>718</v>
      </c>
      <c r="E215" s="412"/>
      <c r="F215" s="412"/>
      <c r="G215" s="412"/>
      <c r="H215" s="412"/>
      <c r="I215" s="412"/>
      <c r="J215" s="412"/>
      <c r="K215" s="412"/>
      <c r="L215" s="412"/>
    </row>
    <row r="216" spans="1:26" ht="30.6" x14ac:dyDescent="0.2">
      <c r="A216" s="403">
        <v>30</v>
      </c>
      <c r="B216" s="403">
        <v>62</v>
      </c>
      <c r="C216" s="403" t="s">
        <v>1122</v>
      </c>
      <c r="D216" s="403" t="s">
        <v>1105</v>
      </c>
      <c r="E216" s="404">
        <v>0.25</v>
      </c>
      <c r="F216" s="405">
        <v>62.4</v>
      </c>
      <c r="G216" s="405">
        <v>4.5309999999999997</v>
      </c>
      <c r="H216" s="406">
        <v>653.64</v>
      </c>
      <c r="I216" s="406">
        <v>636.62</v>
      </c>
      <c r="J216" s="406">
        <v>15</v>
      </c>
      <c r="K216" s="405">
        <v>7.4059999999999997</v>
      </c>
      <c r="L216" s="405">
        <v>1.8514999999999999</v>
      </c>
      <c r="T216" s="401">
        <v>1609.17</v>
      </c>
      <c r="V216" s="401">
        <v>636.62</v>
      </c>
      <c r="W216" s="401">
        <v>15</v>
      </c>
      <c r="X216" s="401">
        <v>9.01</v>
      </c>
      <c r="Y216" s="401">
        <v>1.8514999999999999</v>
      </c>
      <c r="Z216" s="401">
        <v>1.7250000000000001E-2</v>
      </c>
    </row>
    <row r="217" spans="1:26" x14ac:dyDescent="0.2">
      <c r="A217" s="407"/>
      <c r="B217" s="407"/>
      <c r="C217" s="407"/>
      <c r="D217" s="408" t="s">
        <v>747</v>
      </c>
      <c r="E217" s="409"/>
      <c r="F217" s="410">
        <v>56.878999999999998</v>
      </c>
      <c r="G217" s="410">
        <v>0.80500000000000005</v>
      </c>
      <c r="H217" s="409"/>
      <c r="I217" s="409"/>
      <c r="J217" s="411">
        <v>9.01</v>
      </c>
      <c r="K217" s="410">
        <v>6.9000000000000006E-2</v>
      </c>
      <c r="L217" s="410">
        <v>1.7250000000000001E-2</v>
      </c>
    </row>
    <row r="218" spans="1:26" ht="20.399999999999999" x14ac:dyDescent="0.2">
      <c r="A218" s="412"/>
      <c r="B218" s="412"/>
      <c r="C218" s="412"/>
      <c r="D218" s="395" t="s">
        <v>714</v>
      </c>
      <c r="E218" s="412"/>
      <c r="F218" s="412"/>
      <c r="G218" s="412"/>
      <c r="H218" s="412"/>
      <c r="I218" s="412"/>
      <c r="J218" s="412"/>
      <c r="K218" s="412"/>
      <c r="L218" s="412"/>
    </row>
    <row r="219" spans="1:26" ht="20.399999999999999" x14ac:dyDescent="0.2">
      <c r="A219" s="412"/>
      <c r="B219" s="412"/>
      <c r="C219" s="412"/>
      <c r="D219" s="395" t="s">
        <v>1023</v>
      </c>
      <c r="E219" s="412"/>
      <c r="F219" s="412"/>
      <c r="G219" s="412"/>
      <c r="H219" s="412"/>
      <c r="I219" s="412"/>
      <c r="J219" s="412"/>
      <c r="K219" s="412"/>
      <c r="L219" s="412"/>
    </row>
    <row r="220" spans="1:26" ht="81.599999999999994" x14ac:dyDescent="0.2">
      <c r="A220" s="412"/>
      <c r="B220" s="412"/>
      <c r="C220" s="412"/>
      <c r="D220" s="395" t="s">
        <v>1024</v>
      </c>
      <c r="E220" s="412"/>
      <c r="F220" s="412"/>
      <c r="G220" s="412"/>
      <c r="H220" s="412"/>
      <c r="I220" s="412"/>
      <c r="J220" s="412"/>
      <c r="K220" s="412"/>
      <c r="L220" s="412"/>
    </row>
    <row r="221" spans="1:26" x14ac:dyDescent="0.2">
      <c r="A221" s="412"/>
      <c r="B221" s="412"/>
      <c r="C221" s="412"/>
      <c r="D221" s="413" t="s">
        <v>206</v>
      </c>
      <c r="E221" s="414" t="s">
        <v>953</v>
      </c>
      <c r="F221" s="414"/>
      <c r="G221" s="414"/>
      <c r="H221" s="415">
        <v>626.26</v>
      </c>
      <c r="I221" s="412"/>
      <c r="J221" s="412"/>
      <c r="K221" s="412"/>
      <c r="L221" s="412"/>
    </row>
    <row r="222" spans="1:26" x14ac:dyDescent="0.2">
      <c r="A222" s="412"/>
      <c r="B222" s="412"/>
      <c r="C222" s="412"/>
      <c r="D222" s="413" t="s">
        <v>207</v>
      </c>
      <c r="E222" s="414" t="s">
        <v>954</v>
      </c>
      <c r="F222" s="414"/>
      <c r="G222" s="414"/>
      <c r="H222" s="415">
        <v>329.27</v>
      </c>
      <c r="I222" s="412"/>
      <c r="J222" s="412"/>
      <c r="K222" s="412"/>
      <c r="L222" s="412"/>
    </row>
    <row r="223" spans="1:26" x14ac:dyDescent="0.2">
      <c r="A223" s="412"/>
      <c r="B223" s="412"/>
      <c r="C223" s="412"/>
      <c r="D223" s="416" t="s">
        <v>715</v>
      </c>
      <c r="E223" s="417"/>
      <c r="F223" s="417"/>
      <c r="G223" s="417"/>
      <c r="H223" s="418">
        <v>1609.17</v>
      </c>
      <c r="I223" s="412"/>
      <c r="J223" s="412"/>
      <c r="K223" s="412"/>
      <c r="L223" s="412"/>
    </row>
    <row r="224" spans="1:26" ht="30.6" x14ac:dyDescent="0.2">
      <c r="A224" s="403">
        <v>31</v>
      </c>
      <c r="B224" s="403">
        <v>63</v>
      </c>
      <c r="C224" s="403" t="s">
        <v>1123</v>
      </c>
      <c r="D224" s="403" t="s">
        <v>1106</v>
      </c>
      <c r="E224" s="404">
        <v>0.25</v>
      </c>
      <c r="F224" s="405">
        <v>45.55</v>
      </c>
      <c r="G224" s="405">
        <v>4.5309999999999997</v>
      </c>
      <c r="H224" s="406">
        <v>467.7</v>
      </c>
      <c r="I224" s="406">
        <v>451.27</v>
      </c>
      <c r="J224" s="406">
        <v>15</v>
      </c>
      <c r="K224" s="405">
        <v>5.2095000000000002</v>
      </c>
      <c r="L224" s="405">
        <v>1.3023750000000001</v>
      </c>
      <c r="T224" s="401">
        <v>1148.9100000000001</v>
      </c>
      <c r="V224" s="401">
        <v>451.27</v>
      </c>
      <c r="W224" s="401">
        <v>15</v>
      </c>
      <c r="X224" s="401">
        <v>9.01</v>
      </c>
      <c r="Y224" s="401">
        <v>1.3023750000000001</v>
      </c>
      <c r="Z224" s="401">
        <v>1.7250000000000001E-2</v>
      </c>
    </row>
    <row r="225" spans="1:26" x14ac:dyDescent="0.2">
      <c r="A225" s="407"/>
      <c r="B225" s="407"/>
      <c r="C225" s="407"/>
      <c r="D225" s="408" t="s">
        <v>747</v>
      </c>
      <c r="E225" s="409"/>
      <c r="F225" s="410">
        <v>40.319000000000003</v>
      </c>
      <c r="G225" s="410">
        <v>0.80500000000000005</v>
      </c>
      <c r="H225" s="409"/>
      <c r="I225" s="409"/>
      <c r="J225" s="411">
        <v>9.01</v>
      </c>
      <c r="K225" s="410">
        <v>6.9000000000000006E-2</v>
      </c>
      <c r="L225" s="410">
        <v>1.7250000000000001E-2</v>
      </c>
    </row>
    <row r="226" spans="1:26" ht="20.399999999999999" x14ac:dyDescent="0.2">
      <c r="A226" s="412"/>
      <c r="B226" s="412"/>
      <c r="C226" s="412"/>
      <c r="D226" s="395" t="s">
        <v>714</v>
      </c>
      <c r="E226" s="412"/>
      <c r="F226" s="412"/>
      <c r="G226" s="412"/>
      <c r="H226" s="412"/>
      <c r="I226" s="412"/>
      <c r="J226" s="412"/>
      <c r="K226" s="412"/>
      <c r="L226" s="412"/>
    </row>
    <row r="227" spans="1:26" ht="20.399999999999999" x14ac:dyDescent="0.2">
      <c r="A227" s="412"/>
      <c r="B227" s="412"/>
      <c r="C227" s="412"/>
      <c r="D227" s="395" t="s">
        <v>1023</v>
      </c>
      <c r="E227" s="412"/>
      <c r="F227" s="412"/>
      <c r="G227" s="412"/>
      <c r="H227" s="412"/>
      <c r="I227" s="412"/>
      <c r="J227" s="412"/>
      <c r="K227" s="412"/>
      <c r="L227" s="412"/>
    </row>
    <row r="228" spans="1:26" ht="81.599999999999994" x14ac:dyDescent="0.2">
      <c r="A228" s="412"/>
      <c r="B228" s="412"/>
      <c r="C228" s="412"/>
      <c r="D228" s="395" t="s">
        <v>1024</v>
      </c>
      <c r="E228" s="412"/>
      <c r="F228" s="412"/>
      <c r="G228" s="412"/>
      <c r="H228" s="412"/>
      <c r="I228" s="412"/>
      <c r="J228" s="412"/>
      <c r="K228" s="412"/>
      <c r="L228" s="412"/>
    </row>
    <row r="229" spans="1:26" x14ac:dyDescent="0.2">
      <c r="A229" s="412"/>
      <c r="B229" s="412"/>
      <c r="C229" s="412"/>
      <c r="D229" s="413" t="s">
        <v>206</v>
      </c>
      <c r="E229" s="414" t="s">
        <v>953</v>
      </c>
      <c r="F229" s="414"/>
      <c r="G229" s="414"/>
      <c r="H229" s="415">
        <v>446.47</v>
      </c>
      <c r="I229" s="412"/>
      <c r="J229" s="412"/>
      <c r="K229" s="412"/>
      <c r="L229" s="412"/>
    </row>
    <row r="230" spans="1:26" x14ac:dyDescent="0.2">
      <c r="A230" s="412"/>
      <c r="B230" s="412"/>
      <c r="C230" s="412"/>
      <c r="D230" s="413" t="s">
        <v>207</v>
      </c>
      <c r="E230" s="414" t="s">
        <v>954</v>
      </c>
      <c r="F230" s="414"/>
      <c r="G230" s="414"/>
      <c r="H230" s="415">
        <v>234.74</v>
      </c>
      <c r="I230" s="412"/>
      <c r="J230" s="412"/>
      <c r="K230" s="412"/>
      <c r="L230" s="412"/>
    </row>
    <row r="231" spans="1:26" x14ac:dyDescent="0.2">
      <c r="A231" s="412"/>
      <c r="B231" s="412"/>
      <c r="C231" s="412"/>
      <c r="D231" s="416" t="s">
        <v>715</v>
      </c>
      <c r="E231" s="417"/>
      <c r="F231" s="417"/>
      <c r="G231" s="417"/>
      <c r="H231" s="418">
        <v>1148.9100000000001</v>
      </c>
      <c r="I231" s="412"/>
      <c r="J231" s="412"/>
      <c r="K231" s="412"/>
      <c r="L231" s="412"/>
    </row>
    <row r="232" spans="1:26" ht="30.6" x14ac:dyDescent="0.2">
      <c r="A232" s="403">
        <v>32</v>
      </c>
      <c r="B232" s="403">
        <v>64</v>
      </c>
      <c r="C232" s="403" t="s">
        <v>1124</v>
      </c>
      <c r="D232" s="403" t="s">
        <v>1535</v>
      </c>
      <c r="E232" s="404">
        <v>50</v>
      </c>
      <c r="F232" s="405">
        <v>41.58</v>
      </c>
      <c r="G232" s="405" t="s">
        <v>281</v>
      </c>
      <c r="H232" s="406">
        <v>16964.5</v>
      </c>
      <c r="I232" s="406" t="s">
        <v>281</v>
      </c>
      <c r="J232" s="406" t="s">
        <v>281</v>
      </c>
      <c r="K232" s="405" t="s">
        <v>281</v>
      </c>
      <c r="L232" s="405" t="s">
        <v>281</v>
      </c>
      <c r="T232" s="401">
        <v>16964.5</v>
      </c>
      <c r="V232" s="401" t="s">
        <v>281</v>
      </c>
      <c r="W232" s="401" t="s">
        <v>281</v>
      </c>
      <c r="X232" s="401" t="s">
        <v>281</v>
      </c>
      <c r="Y232" s="401" t="s">
        <v>281</v>
      </c>
      <c r="Z232" s="401" t="s">
        <v>281</v>
      </c>
    </row>
    <row r="233" spans="1:26" x14ac:dyDescent="0.2">
      <c r="A233" s="407"/>
      <c r="B233" s="407"/>
      <c r="C233" s="407"/>
      <c r="D233" s="408" t="s">
        <v>883</v>
      </c>
      <c r="E233" s="409"/>
      <c r="F233" s="410" t="s">
        <v>281</v>
      </c>
      <c r="G233" s="410" t="s">
        <v>281</v>
      </c>
      <c r="H233" s="409"/>
      <c r="I233" s="409"/>
      <c r="J233" s="411" t="s">
        <v>281</v>
      </c>
      <c r="K233" s="410" t="s">
        <v>281</v>
      </c>
      <c r="L233" s="410" t="s">
        <v>281</v>
      </c>
    </row>
    <row r="234" spans="1:26" ht="20.399999999999999" x14ac:dyDescent="0.2">
      <c r="A234" s="412"/>
      <c r="B234" s="412"/>
      <c r="C234" s="412"/>
      <c r="D234" s="395" t="s">
        <v>714</v>
      </c>
      <c r="E234" s="412"/>
      <c r="F234" s="412"/>
      <c r="G234" s="412"/>
      <c r="H234" s="412"/>
      <c r="I234" s="412"/>
      <c r="J234" s="412"/>
      <c r="K234" s="412"/>
      <c r="L234" s="412"/>
    </row>
    <row r="235" spans="1:26" x14ac:dyDescent="0.2">
      <c r="A235" s="412"/>
      <c r="B235" s="412"/>
      <c r="C235" s="412"/>
      <c r="D235" s="416" t="s">
        <v>715</v>
      </c>
      <c r="E235" s="417"/>
      <c r="F235" s="417"/>
      <c r="G235" s="417"/>
      <c r="H235" s="418">
        <v>16964.5</v>
      </c>
      <c r="I235" s="412"/>
      <c r="J235" s="412"/>
      <c r="K235" s="412"/>
      <c r="L235" s="412"/>
    </row>
    <row r="236" spans="1:26" ht="20.399999999999999" x14ac:dyDescent="0.2">
      <c r="A236" s="403">
        <v>33</v>
      </c>
      <c r="B236" s="403">
        <v>65</v>
      </c>
      <c r="C236" s="403" t="s">
        <v>1125</v>
      </c>
      <c r="D236" s="403" t="s">
        <v>1534</v>
      </c>
      <c r="E236" s="404">
        <v>8</v>
      </c>
      <c r="F236" s="405">
        <v>5.93</v>
      </c>
      <c r="G236" s="405" t="s">
        <v>281</v>
      </c>
      <c r="H236" s="406">
        <v>387.12</v>
      </c>
      <c r="I236" s="406" t="s">
        <v>281</v>
      </c>
      <c r="J236" s="406" t="s">
        <v>281</v>
      </c>
      <c r="K236" s="405" t="s">
        <v>281</v>
      </c>
      <c r="L236" s="405" t="s">
        <v>281</v>
      </c>
      <c r="T236" s="401">
        <v>387.12</v>
      </c>
      <c r="V236" s="401" t="s">
        <v>281</v>
      </c>
      <c r="W236" s="401" t="s">
        <v>281</v>
      </c>
      <c r="X236" s="401" t="s">
        <v>281</v>
      </c>
      <c r="Y236" s="401" t="s">
        <v>281</v>
      </c>
      <c r="Z236" s="401" t="s">
        <v>281</v>
      </c>
    </row>
    <row r="237" spans="1:26" x14ac:dyDescent="0.2">
      <c r="A237" s="407"/>
      <c r="B237" s="407"/>
      <c r="C237" s="407"/>
      <c r="D237" s="408" t="s">
        <v>735</v>
      </c>
      <c r="E237" s="409"/>
      <c r="F237" s="410" t="s">
        <v>281</v>
      </c>
      <c r="G237" s="410" t="s">
        <v>281</v>
      </c>
      <c r="H237" s="409"/>
      <c r="I237" s="409"/>
      <c r="J237" s="411" t="s">
        <v>281</v>
      </c>
      <c r="K237" s="410" t="s">
        <v>281</v>
      </c>
      <c r="L237" s="410" t="s">
        <v>281</v>
      </c>
    </row>
    <row r="238" spans="1:26" ht="20.399999999999999" x14ac:dyDescent="0.2">
      <c r="A238" s="412"/>
      <c r="B238" s="412"/>
      <c r="C238" s="412"/>
      <c r="D238" s="395" t="s">
        <v>714</v>
      </c>
      <c r="E238" s="412"/>
      <c r="F238" s="412"/>
      <c r="G238" s="412"/>
      <c r="H238" s="412"/>
      <c r="I238" s="412"/>
      <c r="J238" s="412"/>
      <c r="K238" s="412"/>
      <c r="L238" s="412"/>
    </row>
    <row r="239" spans="1:26" x14ac:dyDescent="0.2">
      <c r="A239" s="412"/>
      <c r="B239" s="412"/>
      <c r="C239" s="412"/>
      <c r="D239" s="416" t="s">
        <v>715</v>
      </c>
      <c r="E239" s="417"/>
      <c r="F239" s="417"/>
      <c r="G239" s="417"/>
      <c r="H239" s="418">
        <v>387.12</v>
      </c>
      <c r="I239" s="412"/>
      <c r="J239" s="412"/>
      <c r="K239" s="412"/>
      <c r="L239" s="412"/>
    </row>
    <row r="240" spans="1:26" x14ac:dyDescent="0.2">
      <c r="A240" s="403">
        <v>34</v>
      </c>
      <c r="B240" s="403">
        <v>66</v>
      </c>
      <c r="C240" s="403" t="s">
        <v>1126</v>
      </c>
      <c r="D240" s="403" t="s">
        <v>1533</v>
      </c>
      <c r="E240" s="404">
        <v>0.48</v>
      </c>
      <c r="F240" s="405">
        <v>334.11</v>
      </c>
      <c r="G240" s="405" t="s">
        <v>281</v>
      </c>
      <c r="H240" s="406">
        <v>1308.6400000000001</v>
      </c>
      <c r="I240" s="406" t="s">
        <v>281</v>
      </c>
      <c r="J240" s="406" t="s">
        <v>281</v>
      </c>
      <c r="K240" s="405" t="s">
        <v>281</v>
      </c>
      <c r="L240" s="405" t="s">
        <v>281</v>
      </c>
      <c r="T240" s="401">
        <v>1308.6400000000001</v>
      </c>
      <c r="V240" s="401" t="s">
        <v>281</v>
      </c>
      <c r="W240" s="401" t="s">
        <v>281</v>
      </c>
      <c r="X240" s="401" t="s">
        <v>281</v>
      </c>
      <c r="Y240" s="401" t="s">
        <v>281</v>
      </c>
      <c r="Z240" s="401" t="s">
        <v>281</v>
      </c>
    </row>
    <row r="241" spans="1:26" x14ac:dyDescent="0.2">
      <c r="A241" s="407"/>
      <c r="B241" s="407"/>
      <c r="C241" s="407"/>
      <c r="D241" s="408" t="s">
        <v>847</v>
      </c>
      <c r="E241" s="409"/>
      <c r="F241" s="410" t="s">
        <v>281</v>
      </c>
      <c r="G241" s="410" t="s">
        <v>281</v>
      </c>
      <c r="H241" s="409"/>
      <c r="I241" s="409"/>
      <c r="J241" s="411" t="s">
        <v>281</v>
      </c>
      <c r="K241" s="410" t="s">
        <v>281</v>
      </c>
      <c r="L241" s="410" t="s">
        <v>281</v>
      </c>
    </row>
    <row r="242" spans="1:26" x14ac:dyDescent="0.2">
      <c r="A242" s="412"/>
      <c r="B242" s="412"/>
      <c r="C242" s="412"/>
      <c r="D242" s="395" t="s">
        <v>718</v>
      </c>
      <c r="E242" s="412"/>
      <c r="F242" s="412"/>
      <c r="G242" s="412"/>
      <c r="H242" s="412"/>
      <c r="I242" s="412"/>
      <c r="J242" s="412"/>
      <c r="K242" s="412"/>
      <c r="L242" s="412"/>
    </row>
    <row r="243" spans="1:26" ht="30.6" x14ac:dyDescent="0.2">
      <c r="A243" s="403">
        <v>35</v>
      </c>
      <c r="B243" s="403">
        <v>67</v>
      </c>
      <c r="C243" s="403" t="s">
        <v>1133</v>
      </c>
      <c r="D243" s="403" t="s">
        <v>1111</v>
      </c>
      <c r="E243" s="404">
        <v>2.0499999999999998</v>
      </c>
      <c r="F243" s="405">
        <v>573.25549999999998</v>
      </c>
      <c r="G243" s="405">
        <v>310.53449999999998</v>
      </c>
      <c r="H243" s="406">
        <v>26972.67</v>
      </c>
      <c r="I243" s="406">
        <v>17303.09</v>
      </c>
      <c r="J243" s="406">
        <v>8428.5300000000007</v>
      </c>
      <c r="K243" s="405">
        <v>20.056000000000001</v>
      </c>
      <c r="L243" s="405">
        <v>41.114800000000002</v>
      </c>
      <c r="T243" s="401">
        <v>57756.38</v>
      </c>
      <c r="V243" s="401">
        <v>17303.09</v>
      </c>
      <c r="W243" s="401">
        <v>8428.5300000000007</v>
      </c>
      <c r="X243" s="401">
        <v>3496.71</v>
      </c>
      <c r="Y243" s="401">
        <v>41.114800000000002</v>
      </c>
      <c r="Z243" s="401">
        <v>6.2237999999999998</v>
      </c>
    </row>
    <row r="244" spans="1:26" x14ac:dyDescent="0.2">
      <c r="A244" s="407"/>
      <c r="B244" s="407"/>
      <c r="C244" s="407"/>
      <c r="D244" s="408" t="s">
        <v>747</v>
      </c>
      <c r="E244" s="409"/>
      <c r="F244" s="410">
        <v>188.53100000000001</v>
      </c>
      <c r="G244" s="410">
        <v>38.099499999999999</v>
      </c>
      <c r="H244" s="409"/>
      <c r="I244" s="409"/>
      <c r="J244" s="411">
        <v>3496.71</v>
      </c>
      <c r="K244" s="410">
        <v>3.036</v>
      </c>
      <c r="L244" s="410">
        <v>6.2237999999999998</v>
      </c>
    </row>
    <row r="245" spans="1:26" ht="20.399999999999999" x14ac:dyDescent="0.2">
      <c r="A245" s="412"/>
      <c r="B245" s="412"/>
      <c r="C245" s="412"/>
      <c r="D245" s="395" t="s">
        <v>714</v>
      </c>
      <c r="E245" s="412"/>
      <c r="F245" s="412"/>
      <c r="G245" s="412"/>
      <c r="H245" s="412"/>
      <c r="I245" s="412"/>
      <c r="J245" s="412"/>
      <c r="K245" s="412"/>
      <c r="L245" s="412"/>
    </row>
    <row r="246" spans="1:26" ht="20.399999999999999" x14ac:dyDescent="0.2">
      <c r="A246" s="412"/>
      <c r="B246" s="412"/>
      <c r="C246" s="412"/>
      <c r="D246" s="395" t="s">
        <v>1023</v>
      </c>
      <c r="E246" s="412"/>
      <c r="F246" s="412"/>
      <c r="G246" s="412"/>
      <c r="H246" s="412"/>
      <c r="I246" s="412"/>
      <c r="J246" s="412"/>
      <c r="K246" s="412"/>
      <c r="L246" s="412"/>
    </row>
    <row r="247" spans="1:26" ht="81.599999999999994" x14ac:dyDescent="0.2">
      <c r="A247" s="412"/>
      <c r="B247" s="412"/>
      <c r="C247" s="412"/>
      <c r="D247" s="395" t="s">
        <v>1024</v>
      </c>
      <c r="E247" s="412"/>
      <c r="F247" s="412"/>
      <c r="G247" s="412"/>
      <c r="H247" s="412"/>
      <c r="I247" s="412"/>
      <c r="J247" s="412"/>
      <c r="K247" s="412"/>
      <c r="L247" s="412"/>
    </row>
    <row r="248" spans="1:26" x14ac:dyDescent="0.2">
      <c r="A248" s="412"/>
      <c r="B248" s="412"/>
      <c r="C248" s="412"/>
      <c r="D248" s="413" t="s">
        <v>206</v>
      </c>
      <c r="E248" s="414" t="s">
        <v>953</v>
      </c>
      <c r="F248" s="414"/>
      <c r="G248" s="414"/>
      <c r="H248" s="415">
        <v>20175.810000000001</v>
      </c>
      <c r="I248" s="412"/>
      <c r="J248" s="412"/>
      <c r="K248" s="412"/>
      <c r="L248" s="412"/>
    </row>
    <row r="249" spans="1:26" x14ac:dyDescent="0.2">
      <c r="A249" s="412"/>
      <c r="B249" s="412"/>
      <c r="C249" s="412"/>
      <c r="D249" s="413" t="s">
        <v>207</v>
      </c>
      <c r="E249" s="414" t="s">
        <v>954</v>
      </c>
      <c r="F249" s="414"/>
      <c r="G249" s="414"/>
      <c r="H249" s="415">
        <v>10607.9</v>
      </c>
      <c r="I249" s="412"/>
      <c r="J249" s="412"/>
      <c r="K249" s="412"/>
      <c r="L249" s="412"/>
    </row>
    <row r="250" spans="1:26" x14ac:dyDescent="0.2">
      <c r="A250" s="412"/>
      <c r="B250" s="412"/>
      <c r="C250" s="412"/>
      <c r="D250" s="416" t="s">
        <v>715</v>
      </c>
      <c r="E250" s="417"/>
      <c r="F250" s="417"/>
      <c r="G250" s="417"/>
      <c r="H250" s="418">
        <v>57756.38</v>
      </c>
      <c r="I250" s="412"/>
      <c r="J250" s="412"/>
      <c r="K250" s="412"/>
      <c r="L250" s="412"/>
    </row>
    <row r="251" spans="1:26" ht="30.6" x14ac:dyDescent="0.2">
      <c r="A251" s="403">
        <v>36</v>
      </c>
      <c r="B251" s="403">
        <v>68</v>
      </c>
      <c r="C251" s="403" t="s">
        <v>1127</v>
      </c>
      <c r="D251" s="403" t="s">
        <v>1107</v>
      </c>
      <c r="E251" s="404">
        <v>0.51</v>
      </c>
      <c r="F251" s="405">
        <v>376.32499999999999</v>
      </c>
      <c r="G251" s="405">
        <v>87.768000000000001</v>
      </c>
      <c r="H251" s="406">
        <v>6443.86</v>
      </c>
      <c r="I251" s="406">
        <v>5686.87</v>
      </c>
      <c r="J251" s="406">
        <v>592.65</v>
      </c>
      <c r="K251" s="405">
        <v>26.495999999999999</v>
      </c>
      <c r="L251" s="405">
        <v>13.51296</v>
      </c>
      <c r="T251" s="401">
        <v>15055.51</v>
      </c>
      <c r="V251" s="401">
        <v>5686.87</v>
      </c>
      <c r="W251" s="401">
        <v>592.65</v>
      </c>
      <c r="X251" s="401">
        <v>131.81</v>
      </c>
      <c r="Y251" s="401">
        <v>13.51296</v>
      </c>
      <c r="Z251" s="401">
        <v>0.2346</v>
      </c>
    </row>
    <row r="252" spans="1:26" x14ac:dyDescent="0.2">
      <c r="A252" s="407"/>
      <c r="B252" s="407"/>
      <c r="C252" s="407"/>
      <c r="D252" s="408" t="s">
        <v>747</v>
      </c>
      <c r="E252" s="409"/>
      <c r="F252" s="410">
        <v>249.06700000000001</v>
      </c>
      <c r="G252" s="410">
        <v>5.7729999999999997</v>
      </c>
      <c r="H252" s="409"/>
      <c r="I252" s="409"/>
      <c r="J252" s="411">
        <v>131.81</v>
      </c>
      <c r="K252" s="410">
        <v>0.46</v>
      </c>
      <c r="L252" s="410">
        <v>0.2346</v>
      </c>
    </row>
    <row r="253" spans="1:26" ht="20.399999999999999" x14ac:dyDescent="0.2">
      <c r="A253" s="412"/>
      <c r="B253" s="412"/>
      <c r="C253" s="412"/>
      <c r="D253" s="395" t="s">
        <v>714</v>
      </c>
      <c r="E253" s="412"/>
      <c r="F253" s="412"/>
      <c r="G253" s="412"/>
      <c r="H253" s="412"/>
      <c r="I253" s="412"/>
      <c r="J253" s="412"/>
      <c r="K253" s="412"/>
      <c r="L253" s="412"/>
    </row>
    <row r="254" spans="1:26" ht="20.399999999999999" x14ac:dyDescent="0.2">
      <c r="A254" s="412"/>
      <c r="B254" s="412"/>
      <c r="C254" s="412"/>
      <c r="D254" s="395" t="s">
        <v>1023</v>
      </c>
      <c r="E254" s="412"/>
      <c r="F254" s="412"/>
      <c r="G254" s="412"/>
      <c r="H254" s="412"/>
      <c r="I254" s="412"/>
      <c r="J254" s="412"/>
      <c r="K254" s="412"/>
      <c r="L254" s="412"/>
    </row>
    <row r="255" spans="1:26" ht="81.599999999999994" x14ac:dyDescent="0.2">
      <c r="A255" s="412"/>
      <c r="B255" s="412"/>
      <c r="C255" s="412"/>
      <c r="D255" s="395" t="s">
        <v>1024</v>
      </c>
      <c r="E255" s="412"/>
      <c r="F255" s="412"/>
      <c r="G255" s="412"/>
      <c r="H255" s="412"/>
      <c r="I255" s="412"/>
      <c r="J255" s="412"/>
      <c r="K255" s="412"/>
      <c r="L255" s="412"/>
    </row>
    <row r="256" spans="1:26" x14ac:dyDescent="0.2">
      <c r="A256" s="412"/>
      <c r="B256" s="412"/>
      <c r="C256" s="412"/>
      <c r="D256" s="413" t="s">
        <v>206</v>
      </c>
      <c r="E256" s="414" t="s">
        <v>953</v>
      </c>
      <c r="F256" s="414"/>
      <c r="G256" s="414"/>
      <c r="H256" s="415">
        <v>5644.12</v>
      </c>
      <c r="I256" s="412"/>
      <c r="J256" s="412"/>
      <c r="K256" s="412"/>
      <c r="L256" s="412"/>
    </row>
    <row r="257" spans="1:26" x14ac:dyDescent="0.2">
      <c r="A257" s="412"/>
      <c r="B257" s="412"/>
      <c r="C257" s="412"/>
      <c r="D257" s="413" t="s">
        <v>207</v>
      </c>
      <c r="E257" s="414" t="s">
        <v>954</v>
      </c>
      <c r="F257" s="414"/>
      <c r="G257" s="414"/>
      <c r="H257" s="415">
        <v>2967.53</v>
      </c>
      <c r="I257" s="412"/>
      <c r="J257" s="412"/>
      <c r="K257" s="412"/>
      <c r="L257" s="412"/>
    </row>
    <row r="258" spans="1:26" x14ac:dyDescent="0.2">
      <c r="A258" s="412"/>
      <c r="B258" s="412"/>
      <c r="C258" s="412"/>
      <c r="D258" s="416" t="s">
        <v>715</v>
      </c>
      <c r="E258" s="417"/>
      <c r="F258" s="417"/>
      <c r="G258" s="417"/>
      <c r="H258" s="418">
        <v>15055.51</v>
      </c>
      <c r="I258" s="412"/>
      <c r="J258" s="412"/>
      <c r="K258" s="412"/>
      <c r="L258" s="412"/>
    </row>
    <row r="259" spans="1:26" ht="51" x14ac:dyDescent="0.2">
      <c r="A259" s="403">
        <v>37</v>
      </c>
      <c r="B259" s="403">
        <v>69</v>
      </c>
      <c r="C259" s="403" t="s">
        <v>1134</v>
      </c>
      <c r="D259" s="403" t="s">
        <v>1112</v>
      </c>
      <c r="E259" s="404">
        <v>1.23</v>
      </c>
      <c r="F259" s="405">
        <v>401.024</v>
      </c>
      <c r="G259" s="405">
        <v>49.990499999999997</v>
      </c>
      <c r="H259" s="406">
        <v>14812.9</v>
      </c>
      <c r="I259" s="406">
        <v>12810.45</v>
      </c>
      <c r="J259" s="406">
        <v>814.1</v>
      </c>
      <c r="K259" s="405">
        <v>24.748000000000001</v>
      </c>
      <c r="L259" s="405">
        <v>30.44004</v>
      </c>
      <c r="T259" s="401">
        <v>34336.589999999997</v>
      </c>
      <c r="V259" s="401">
        <v>12810.45</v>
      </c>
      <c r="W259" s="401">
        <v>814.1</v>
      </c>
      <c r="X259" s="401">
        <v>381.23</v>
      </c>
      <c r="Y259" s="401">
        <v>30.44004</v>
      </c>
      <c r="Z259" s="401">
        <v>0.67896000000000001</v>
      </c>
    </row>
    <row r="260" spans="1:26" x14ac:dyDescent="0.2">
      <c r="A260" s="407"/>
      <c r="B260" s="407"/>
      <c r="C260" s="407"/>
      <c r="D260" s="408" t="s">
        <v>747</v>
      </c>
      <c r="E260" s="409"/>
      <c r="F260" s="410">
        <v>232.6335</v>
      </c>
      <c r="G260" s="410">
        <v>6.923</v>
      </c>
      <c r="H260" s="409"/>
      <c r="I260" s="409"/>
      <c r="J260" s="411">
        <v>381.23</v>
      </c>
      <c r="K260" s="410">
        <v>0.55200000000000005</v>
      </c>
      <c r="L260" s="410">
        <v>0.67896000000000001</v>
      </c>
    </row>
    <row r="261" spans="1:26" ht="20.399999999999999" x14ac:dyDescent="0.2">
      <c r="A261" s="412"/>
      <c r="B261" s="412"/>
      <c r="C261" s="412"/>
      <c r="D261" s="395" t="s">
        <v>714</v>
      </c>
      <c r="E261" s="412"/>
      <c r="F261" s="412"/>
      <c r="G261" s="412"/>
      <c r="H261" s="412"/>
      <c r="I261" s="412"/>
      <c r="J261" s="412"/>
      <c r="K261" s="412"/>
      <c r="L261" s="412"/>
    </row>
    <row r="262" spans="1:26" ht="20.399999999999999" x14ac:dyDescent="0.2">
      <c r="A262" s="412"/>
      <c r="B262" s="412"/>
      <c r="C262" s="412"/>
      <c r="D262" s="395" t="s">
        <v>1023</v>
      </c>
      <c r="E262" s="412"/>
      <c r="F262" s="412"/>
      <c r="G262" s="412"/>
      <c r="H262" s="412"/>
      <c r="I262" s="412"/>
      <c r="J262" s="412"/>
      <c r="K262" s="412"/>
      <c r="L262" s="412"/>
    </row>
    <row r="263" spans="1:26" ht="81.599999999999994" x14ac:dyDescent="0.2">
      <c r="A263" s="412"/>
      <c r="B263" s="412"/>
      <c r="C263" s="412"/>
      <c r="D263" s="395" t="s">
        <v>1024</v>
      </c>
      <c r="E263" s="412"/>
      <c r="F263" s="412"/>
      <c r="G263" s="412"/>
      <c r="H263" s="412"/>
      <c r="I263" s="412"/>
      <c r="J263" s="412"/>
      <c r="K263" s="412"/>
      <c r="L263" s="412"/>
    </row>
    <row r="264" spans="1:26" x14ac:dyDescent="0.2">
      <c r="A264" s="412"/>
      <c r="B264" s="412"/>
      <c r="C264" s="412"/>
      <c r="D264" s="413" t="s">
        <v>206</v>
      </c>
      <c r="E264" s="414" t="s">
        <v>953</v>
      </c>
      <c r="F264" s="414"/>
      <c r="G264" s="414"/>
      <c r="H264" s="415">
        <v>12795.93</v>
      </c>
      <c r="I264" s="412"/>
      <c r="J264" s="412"/>
      <c r="K264" s="412"/>
      <c r="L264" s="412"/>
    </row>
    <row r="265" spans="1:26" x14ac:dyDescent="0.2">
      <c r="A265" s="412"/>
      <c r="B265" s="412"/>
      <c r="C265" s="412"/>
      <c r="D265" s="413" t="s">
        <v>207</v>
      </c>
      <c r="E265" s="414" t="s">
        <v>954</v>
      </c>
      <c r="F265" s="414"/>
      <c r="G265" s="414"/>
      <c r="H265" s="415">
        <v>6727.76</v>
      </c>
      <c r="I265" s="412"/>
      <c r="J265" s="412"/>
      <c r="K265" s="412"/>
      <c r="L265" s="412"/>
    </row>
    <row r="266" spans="1:26" x14ac:dyDescent="0.2">
      <c r="A266" s="412"/>
      <c r="B266" s="412"/>
      <c r="C266" s="412"/>
      <c r="D266" s="416" t="s">
        <v>715</v>
      </c>
      <c r="E266" s="417"/>
      <c r="F266" s="417"/>
      <c r="G266" s="417"/>
      <c r="H266" s="418">
        <v>34336.589999999997</v>
      </c>
      <c r="I266" s="412"/>
      <c r="J266" s="412"/>
      <c r="K266" s="412"/>
      <c r="L266" s="412"/>
    </row>
    <row r="267" spans="1:26" ht="20.399999999999999" x14ac:dyDescent="0.2">
      <c r="A267" s="403">
        <v>38</v>
      </c>
      <c r="B267" s="403">
        <v>70</v>
      </c>
      <c r="C267" s="403" t="s">
        <v>1135</v>
      </c>
      <c r="D267" s="403" t="s">
        <v>1532</v>
      </c>
      <c r="E267" s="404">
        <v>0.38657999999999998</v>
      </c>
      <c r="F267" s="405">
        <v>92242.8</v>
      </c>
      <c r="G267" s="405" t="s">
        <v>281</v>
      </c>
      <c r="H267" s="406">
        <v>290979.25</v>
      </c>
      <c r="I267" s="406" t="s">
        <v>281</v>
      </c>
      <c r="J267" s="406" t="s">
        <v>281</v>
      </c>
      <c r="K267" s="405" t="s">
        <v>281</v>
      </c>
      <c r="L267" s="405" t="s">
        <v>281</v>
      </c>
      <c r="T267" s="401">
        <v>290979.25</v>
      </c>
      <c r="V267" s="401" t="s">
        <v>281</v>
      </c>
      <c r="W267" s="401" t="s">
        <v>281</v>
      </c>
      <c r="X267" s="401" t="s">
        <v>281</v>
      </c>
      <c r="Y267" s="401" t="s">
        <v>281</v>
      </c>
      <c r="Z267" s="401" t="s">
        <v>281</v>
      </c>
    </row>
    <row r="268" spans="1:26" x14ac:dyDescent="0.2">
      <c r="A268" s="407"/>
      <c r="B268" s="407"/>
      <c r="C268" s="407"/>
      <c r="D268" s="408" t="s">
        <v>1003</v>
      </c>
      <c r="E268" s="409"/>
      <c r="F268" s="410" t="s">
        <v>281</v>
      </c>
      <c r="G268" s="410" t="s">
        <v>281</v>
      </c>
      <c r="H268" s="409"/>
      <c r="I268" s="409"/>
      <c r="J268" s="411" t="s">
        <v>281</v>
      </c>
      <c r="K268" s="410" t="s">
        <v>281</v>
      </c>
      <c r="L268" s="410" t="s">
        <v>281</v>
      </c>
    </row>
    <row r="269" spans="1:26" x14ac:dyDescent="0.2">
      <c r="A269" s="412"/>
      <c r="B269" s="412"/>
      <c r="C269" s="412"/>
      <c r="D269" s="395" t="s">
        <v>718</v>
      </c>
      <c r="E269" s="412"/>
      <c r="F269" s="412"/>
      <c r="G269" s="412"/>
      <c r="H269" s="412"/>
      <c r="I269" s="412"/>
      <c r="J269" s="412"/>
      <c r="K269" s="412"/>
      <c r="L269" s="412"/>
    </row>
    <row r="270" spans="1:26" ht="30.6" x14ac:dyDescent="0.2">
      <c r="A270" s="403">
        <v>39</v>
      </c>
      <c r="B270" s="403">
        <v>71</v>
      </c>
      <c r="C270" s="403" t="s">
        <v>1136</v>
      </c>
      <c r="D270" s="403" t="s">
        <v>1113</v>
      </c>
      <c r="E270" s="404">
        <v>2</v>
      </c>
      <c r="F270" s="405">
        <v>417.61349999999999</v>
      </c>
      <c r="G270" s="405">
        <v>360.31799999999998</v>
      </c>
      <c r="H270" s="406">
        <v>14599.7</v>
      </c>
      <c r="I270" s="406">
        <v>5042.4799999999996</v>
      </c>
      <c r="J270" s="406">
        <v>9541.2199999999993</v>
      </c>
      <c r="K270" s="405">
        <v>5.9915000000000003</v>
      </c>
      <c r="L270" s="405">
        <v>11.983000000000001</v>
      </c>
      <c r="T270" s="401">
        <v>28681.19</v>
      </c>
      <c r="V270" s="401">
        <v>5042.4799999999996</v>
      </c>
      <c r="W270" s="401">
        <v>9541.2199999999993</v>
      </c>
      <c r="X270" s="401">
        <v>4472.04</v>
      </c>
      <c r="Y270" s="401">
        <v>11.983000000000001</v>
      </c>
      <c r="Z270" s="401">
        <v>7.9580000000000002</v>
      </c>
    </row>
    <row r="271" spans="1:26" x14ac:dyDescent="0.2">
      <c r="A271" s="407"/>
      <c r="B271" s="407"/>
      <c r="C271" s="407"/>
      <c r="D271" s="408" t="s">
        <v>747</v>
      </c>
      <c r="E271" s="409"/>
      <c r="F271" s="410">
        <v>56.3155</v>
      </c>
      <c r="G271" s="410">
        <v>49.944499999999998</v>
      </c>
      <c r="H271" s="409"/>
      <c r="I271" s="409"/>
      <c r="J271" s="411">
        <v>4472.04</v>
      </c>
      <c r="K271" s="410">
        <v>3.9790000000000001</v>
      </c>
      <c r="L271" s="410">
        <v>7.9580000000000002</v>
      </c>
    </row>
    <row r="272" spans="1:26" ht="20.399999999999999" x14ac:dyDescent="0.2">
      <c r="A272" s="412"/>
      <c r="B272" s="412"/>
      <c r="C272" s="412"/>
      <c r="D272" s="395" t="s">
        <v>714</v>
      </c>
      <c r="E272" s="412"/>
      <c r="F272" s="412"/>
      <c r="G272" s="412"/>
      <c r="H272" s="412"/>
      <c r="I272" s="412"/>
      <c r="J272" s="412"/>
      <c r="K272" s="412"/>
      <c r="L272" s="412"/>
    </row>
    <row r="273" spans="1:26" ht="20.399999999999999" x14ac:dyDescent="0.2">
      <c r="A273" s="412"/>
      <c r="B273" s="412"/>
      <c r="C273" s="412"/>
      <c r="D273" s="395" t="s">
        <v>1023</v>
      </c>
      <c r="E273" s="412"/>
      <c r="F273" s="412"/>
      <c r="G273" s="412"/>
      <c r="H273" s="412"/>
      <c r="I273" s="412"/>
      <c r="J273" s="412"/>
      <c r="K273" s="412"/>
      <c r="L273" s="412"/>
    </row>
    <row r="274" spans="1:26" ht="81.599999999999994" x14ac:dyDescent="0.2">
      <c r="A274" s="412"/>
      <c r="B274" s="412"/>
      <c r="C274" s="412"/>
      <c r="D274" s="395" t="s">
        <v>1024</v>
      </c>
      <c r="E274" s="412"/>
      <c r="F274" s="412"/>
      <c r="G274" s="412"/>
      <c r="H274" s="412"/>
      <c r="I274" s="412"/>
      <c r="J274" s="412"/>
      <c r="K274" s="412"/>
      <c r="L274" s="412"/>
    </row>
    <row r="275" spans="1:26" x14ac:dyDescent="0.2">
      <c r="A275" s="412"/>
      <c r="B275" s="412"/>
      <c r="C275" s="412"/>
      <c r="D275" s="413" t="s">
        <v>206</v>
      </c>
      <c r="E275" s="414" t="s">
        <v>953</v>
      </c>
      <c r="F275" s="414"/>
      <c r="G275" s="414"/>
      <c r="H275" s="415">
        <v>9229.08</v>
      </c>
      <c r="I275" s="412"/>
      <c r="J275" s="412"/>
      <c r="K275" s="412"/>
      <c r="L275" s="412"/>
    </row>
    <row r="276" spans="1:26" x14ac:dyDescent="0.2">
      <c r="A276" s="412"/>
      <c r="B276" s="412"/>
      <c r="C276" s="412"/>
      <c r="D276" s="413" t="s">
        <v>207</v>
      </c>
      <c r="E276" s="414" t="s">
        <v>954</v>
      </c>
      <c r="F276" s="414"/>
      <c r="G276" s="414"/>
      <c r="H276" s="415">
        <v>4852.41</v>
      </c>
      <c r="I276" s="412"/>
      <c r="J276" s="412"/>
      <c r="K276" s="412"/>
      <c r="L276" s="412"/>
    </row>
    <row r="277" spans="1:26" x14ac:dyDescent="0.2">
      <c r="A277" s="412"/>
      <c r="B277" s="412"/>
      <c r="C277" s="412"/>
      <c r="D277" s="416" t="s">
        <v>715</v>
      </c>
      <c r="E277" s="417"/>
      <c r="F277" s="417"/>
      <c r="G277" s="417"/>
      <c r="H277" s="418">
        <v>28681.19</v>
      </c>
      <c r="I277" s="412"/>
      <c r="J277" s="412"/>
      <c r="K277" s="412"/>
      <c r="L277" s="412"/>
    </row>
    <row r="278" spans="1:26" ht="30.6" x14ac:dyDescent="0.2">
      <c r="A278" s="403">
        <v>40</v>
      </c>
      <c r="B278" s="403">
        <v>72</v>
      </c>
      <c r="C278" s="403" t="s">
        <v>1137</v>
      </c>
      <c r="D278" s="403" t="s">
        <v>1114</v>
      </c>
      <c r="E278" s="404">
        <v>2</v>
      </c>
      <c r="F278" s="405">
        <v>219.447</v>
      </c>
      <c r="G278" s="405">
        <v>189.53149999999999</v>
      </c>
      <c r="H278" s="406">
        <v>7660.08</v>
      </c>
      <c r="I278" s="406">
        <v>2632.96</v>
      </c>
      <c r="J278" s="406">
        <v>5018.8</v>
      </c>
      <c r="K278" s="405">
        <v>3.1280000000000001</v>
      </c>
      <c r="L278" s="405">
        <v>6.2560000000000002</v>
      </c>
      <c r="T278" s="401">
        <v>15039.12</v>
      </c>
      <c r="V278" s="401">
        <v>2632.96</v>
      </c>
      <c r="W278" s="401">
        <v>5018.8</v>
      </c>
      <c r="X278" s="401">
        <v>2352.88</v>
      </c>
      <c r="Y278" s="401">
        <v>6.2560000000000002</v>
      </c>
      <c r="Z278" s="401">
        <v>4.1859999999999999</v>
      </c>
    </row>
    <row r="279" spans="1:26" x14ac:dyDescent="0.2">
      <c r="A279" s="407"/>
      <c r="B279" s="407"/>
      <c r="C279" s="407"/>
      <c r="D279" s="408" t="s">
        <v>747</v>
      </c>
      <c r="E279" s="409"/>
      <c r="F279" s="410">
        <v>29.4055</v>
      </c>
      <c r="G279" s="410">
        <v>26.2775</v>
      </c>
      <c r="H279" s="409"/>
      <c r="I279" s="409"/>
      <c r="J279" s="411">
        <v>2352.88</v>
      </c>
      <c r="K279" s="410">
        <v>2.093</v>
      </c>
      <c r="L279" s="410">
        <v>4.1859999999999999</v>
      </c>
    </row>
    <row r="280" spans="1:26" ht="20.399999999999999" x14ac:dyDescent="0.2">
      <c r="A280" s="412"/>
      <c r="B280" s="412"/>
      <c r="C280" s="412"/>
      <c r="D280" s="395" t="s">
        <v>714</v>
      </c>
      <c r="E280" s="412"/>
      <c r="F280" s="412"/>
      <c r="G280" s="412"/>
      <c r="H280" s="412"/>
      <c r="I280" s="412"/>
      <c r="J280" s="412"/>
      <c r="K280" s="412"/>
      <c r="L280" s="412"/>
    </row>
    <row r="281" spans="1:26" ht="20.399999999999999" x14ac:dyDescent="0.2">
      <c r="A281" s="412"/>
      <c r="B281" s="412"/>
      <c r="C281" s="412"/>
      <c r="D281" s="395" t="s">
        <v>1023</v>
      </c>
      <c r="E281" s="412"/>
      <c r="F281" s="412"/>
      <c r="G281" s="412"/>
      <c r="H281" s="412"/>
      <c r="I281" s="412"/>
      <c r="J281" s="412"/>
      <c r="K281" s="412"/>
      <c r="L281" s="412"/>
    </row>
    <row r="282" spans="1:26" ht="81.599999999999994" x14ac:dyDescent="0.2">
      <c r="A282" s="412"/>
      <c r="B282" s="412"/>
      <c r="C282" s="412"/>
      <c r="D282" s="395" t="s">
        <v>1024</v>
      </c>
      <c r="E282" s="412"/>
      <c r="F282" s="412"/>
      <c r="G282" s="412"/>
      <c r="H282" s="412"/>
      <c r="I282" s="412"/>
      <c r="J282" s="412"/>
      <c r="K282" s="412"/>
      <c r="L282" s="412"/>
    </row>
    <row r="283" spans="1:26" x14ac:dyDescent="0.2">
      <c r="A283" s="412"/>
      <c r="B283" s="412"/>
      <c r="C283" s="412"/>
      <c r="D283" s="413" t="s">
        <v>206</v>
      </c>
      <c r="E283" s="414" t="s">
        <v>953</v>
      </c>
      <c r="F283" s="414"/>
      <c r="G283" s="414"/>
      <c r="H283" s="415">
        <v>4836.26</v>
      </c>
      <c r="I283" s="412"/>
      <c r="J283" s="412"/>
      <c r="K283" s="412"/>
      <c r="L283" s="412"/>
    </row>
    <row r="284" spans="1:26" x14ac:dyDescent="0.2">
      <c r="A284" s="412"/>
      <c r="B284" s="412"/>
      <c r="C284" s="412"/>
      <c r="D284" s="413" t="s">
        <v>207</v>
      </c>
      <c r="E284" s="414" t="s">
        <v>954</v>
      </c>
      <c r="F284" s="414"/>
      <c r="G284" s="414"/>
      <c r="H284" s="415">
        <v>2542.7800000000002</v>
      </c>
      <c r="I284" s="412"/>
      <c r="J284" s="412"/>
      <c r="K284" s="412"/>
      <c r="L284" s="412"/>
    </row>
    <row r="285" spans="1:26" x14ac:dyDescent="0.2">
      <c r="A285" s="412"/>
      <c r="B285" s="412"/>
      <c r="C285" s="412"/>
      <c r="D285" s="416" t="s">
        <v>715</v>
      </c>
      <c r="E285" s="417"/>
      <c r="F285" s="417"/>
      <c r="G285" s="417"/>
      <c r="H285" s="418">
        <v>15039.12</v>
      </c>
      <c r="I285" s="412"/>
      <c r="J285" s="412"/>
      <c r="K285" s="412"/>
      <c r="L285" s="412"/>
    </row>
    <row r="286" spans="1:26" ht="20.399999999999999" x14ac:dyDescent="0.2">
      <c r="A286" s="403">
        <v>41</v>
      </c>
      <c r="B286" s="403">
        <v>73</v>
      </c>
      <c r="C286" s="403" t="s">
        <v>1138</v>
      </c>
      <c r="D286" s="403" t="s">
        <v>1531</v>
      </c>
      <c r="E286" s="404">
        <v>0.83399999999999996</v>
      </c>
      <c r="F286" s="405">
        <v>2027</v>
      </c>
      <c r="G286" s="405" t="s">
        <v>281</v>
      </c>
      <c r="H286" s="406">
        <v>13794.63</v>
      </c>
      <c r="I286" s="406" t="s">
        <v>281</v>
      </c>
      <c r="J286" s="406" t="s">
        <v>281</v>
      </c>
      <c r="K286" s="405" t="s">
        <v>281</v>
      </c>
      <c r="L286" s="405" t="s">
        <v>281</v>
      </c>
      <c r="T286" s="401">
        <v>13794.63</v>
      </c>
      <c r="V286" s="401" t="s">
        <v>281</v>
      </c>
      <c r="W286" s="401" t="s">
        <v>281</v>
      </c>
      <c r="X286" s="401" t="s">
        <v>281</v>
      </c>
      <c r="Y286" s="401" t="s">
        <v>281</v>
      </c>
      <c r="Z286" s="401" t="s">
        <v>281</v>
      </c>
    </row>
    <row r="287" spans="1:26" x14ac:dyDescent="0.2">
      <c r="A287" s="407"/>
      <c r="B287" s="407"/>
      <c r="C287" s="407"/>
      <c r="D287" s="408" t="s">
        <v>1139</v>
      </c>
      <c r="E287" s="409"/>
      <c r="F287" s="410" t="s">
        <v>281</v>
      </c>
      <c r="G287" s="410" t="s">
        <v>281</v>
      </c>
      <c r="H287" s="409"/>
      <c r="I287" s="409"/>
      <c r="J287" s="411" t="s">
        <v>281</v>
      </c>
      <c r="K287" s="410" t="s">
        <v>281</v>
      </c>
      <c r="L287" s="410" t="s">
        <v>281</v>
      </c>
    </row>
    <row r="288" spans="1:26" x14ac:dyDescent="0.2">
      <c r="A288" s="412"/>
      <c r="B288" s="412"/>
      <c r="C288" s="412"/>
      <c r="D288" s="395" t="s">
        <v>718</v>
      </c>
      <c r="E288" s="412"/>
      <c r="F288" s="412"/>
      <c r="G288" s="412"/>
      <c r="H288" s="412"/>
      <c r="I288" s="412"/>
      <c r="J288" s="412"/>
      <c r="K288" s="412"/>
      <c r="L288" s="412"/>
    </row>
    <row r="289" spans="1:26" ht="30.6" x14ac:dyDescent="0.2">
      <c r="A289" s="403">
        <v>42</v>
      </c>
      <c r="B289" s="403">
        <v>74</v>
      </c>
      <c r="C289" s="403" t="s">
        <v>1140</v>
      </c>
      <c r="D289" s="403" t="s">
        <v>1115</v>
      </c>
      <c r="E289" s="404">
        <v>1.2</v>
      </c>
      <c r="F289" s="405">
        <v>1097.9135000000001</v>
      </c>
      <c r="G289" s="405">
        <v>187.53049999999999</v>
      </c>
      <c r="H289" s="406">
        <v>25495.43</v>
      </c>
      <c r="I289" s="406">
        <v>16633.12</v>
      </c>
      <c r="J289" s="406">
        <v>2979.48</v>
      </c>
      <c r="K289" s="405">
        <v>32.936</v>
      </c>
      <c r="L289" s="405">
        <v>39.523200000000003</v>
      </c>
      <c r="T289" s="401">
        <v>50709.54</v>
      </c>
      <c r="V289" s="401">
        <v>16633.12</v>
      </c>
      <c r="W289" s="401">
        <v>2979.48</v>
      </c>
      <c r="X289" s="401">
        <v>403.44</v>
      </c>
      <c r="Y289" s="401">
        <v>39.523200000000003</v>
      </c>
      <c r="Z289" s="401">
        <v>0.71760000000000002</v>
      </c>
    </row>
    <row r="290" spans="1:26" x14ac:dyDescent="0.2">
      <c r="A290" s="407"/>
      <c r="B290" s="407"/>
      <c r="C290" s="407"/>
      <c r="D290" s="408" t="s">
        <v>747</v>
      </c>
      <c r="E290" s="409"/>
      <c r="F290" s="410">
        <v>309.60300000000001</v>
      </c>
      <c r="G290" s="410">
        <v>7.5095000000000001</v>
      </c>
      <c r="H290" s="409"/>
      <c r="I290" s="409"/>
      <c r="J290" s="411">
        <v>403.44</v>
      </c>
      <c r="K290" s="410">
        <v>0.59799999999999998</v>
      </c>
      <c r="L290" s="410">
        <v>0.71760000000000002</v>
      </c>
    </row>
    <row r="291" spans="1:26" ht="20.399999999999999" x14ac:dyDescent="0.2">
      <c r="A291" s="412"/>
      <c r="B291" s="412"/>
      <c r="C291" s="412"/>
      <c r="D291" s="395" t="s">
        <v>714</v>
      </c>
      <c r="E291" s="412"/>
      <c r="F291" s="412"/>
      <c r="G291" s="412"/>
      <c r="H291" s="412"/>
      <c r="I291" s="412"/>
      <c r="J291" s="412"/>
      <c r="K291" s="412"/>
      <c r="L291" s="412"/>
    </row>
    <row r="292" spans="1:26" ht="20.399999999999999" x14ac:dyDescent="0.2">
      <c r="A292" s="412"/>
      <c r="B292" s="412"/>
      <c r="C292" s="412"/>
      <c r="D292" s="395" t="s">
        <v>1023</v>
      </c>
      <c r="E292" s="412"/>
      <c r="F292" s="412"/>
      <c r="G292" s="412"/>
      <c r="H292" s="412"/>
      <c r="I292" s="412"/>
      <c r="J292" s="412"/>
      <c r="K292" s="412"/>
      <c r="L292" s="412"/>
    </row>
    <row r="293" spans="1:26" ht="81.599999999999994" x14ac:dyDescent="0.2">
      <c r="A293" s="412"/>
      <c r="B293" s="412"/>
      <c r="C293" s="412"/>
      <c r="D293" s="395" t="s">
        <v>1024</v>
      </c>
      <c r="E293" s="412"/>
      <c r="F293" s="412"/>
      <c r="G293" s="412"/>
      <c r="H293" s="412"/>
      <c r="I293" s="412"/>
      <c r="J293" s="412"/>
      <c r="K293" s="412"/>
      <c r="L293" s="412"/>
    </row>
    <row r="294" spans="1:26" x14ac:dyDescent="0.2">
      <c r="A294" s="412"/>
      <c r="B294" s="412"/>
      <c r="C294" s="412"/>
      <c r="D294" s="413" t="s">
        <v>206</v>
      </c>
      <c r="E294" s="414" t="s">
        <v>953</v>
      </c>
      <c r="F294" s="414"/>
      <c r="G294" s="414"/>
      <c r="H294" s="415">
        <v>16525.46</v>
      </c>
      <c r="I294" s="412"/>
      <c r="J294" s="412"/>
      <c r="K294" s="412"/>
      <c r="L294" s="412"/>
    </row>
    <row r="295" spans="1:26" x14ac:dyDescent="0.2">
      <c r="A295" s="412"/>
      <c r="B295" s="412"/>
      <c r="C295" s="412"/>
      <c r="D295" s="413" t="s">
        <v>207</v>
      </c>
      <c r="E295" s="414" t="s">
        <v>954</v>
      </c>
      <c r="F295" s="414"/>
      <c r="G295" s="414"/>
      <c r="H295" s="415">
        <v>8688.65</v>
      </c>
      <c r="I295" s="412"/>
      <c r="J295" s="412"/>
      <c r="K295" s="412"/>
      <c r="L295" s="412"/>
    </row>
    <row r="296" spans="1:26" x14ac:dyDescent="0.2">
      <c r="A296" s="412"/>
      <c r="B296" s="412"/>
      <c r="C296" s="412"/>
      <c r="D296" s="416" t="s">
        <v>715</v>
      </c>
      <c r="E296" s="417"/>
      <c r="F296" s="417"/>
      <c r="G296" s="417"/>
      <c r="H296" s="418">
        <v>50709.54</v>
      </c>
      <c r="I296" s="412"/>
      <c r="J296" s="412"/>
      <c r="K296" s="412"/>
      <c r="L296" s="412"/>
    </row>
    <row r="297" spans="1:26" x14ac:dyDescent="0.2">
      <c r="A297" s="403">
        <v>43</v>
      </c>
      <c r="B297" s="403">
        <v>75</v>
      </c>
      <c r="C297" s="403" t="s">
        <v>1141</v>
      </c>
      <c r="D297" s="403" t="s">
        <v>1530</v>
      </c>
      <c r="E297" s="404">
        <v>-2.6159999999999998E-3</v>
      </c>
      <c r="F297" s="405">
        <v>12430</v>
      </c>
      <c r="G297" s="405" t="s">
        <v>281</v>
      </c>
      <c r="H297" s="406">
        <v>-265.33999999999997</v>
      </c>
      <c r="I297" s="406" t="s">
        <v>281</v>
      </c>
      <c r="J297" s="406" t="s">
        <v>281</v>
      </c>
      <c r="K297" s="405" t="s">
        <v>281</v>
      </c>
      <c r="L297" s="405" t="s">
        <v>281</v>
      </c>
      <c r="T297" s="401">
        <v>-265.33999999999997</v>
      </c>
      <c r="V297" s="401" t="s">
        <v>281</v>
      </c>
      <c r="W297" s="401" t="s">
        <v>281</v>
      </c>
      <c r="X297" s="401" t="s">
        <v>281</v>
      </c>
      <c r="Y297" s="401" t="s">
        <v>281</v>
      </c>
      <c r="Z297" s="401" t="s">
        <v>281</v>
      </c>
    </row>
    <row r="298" spans="1:26" x14ac:dyDescent="0.2">
      <c r="A298" s="407"/>
      <c r="B298" s="407"/>
      <c r="C298" s="407"/>
      <c r="D298" s="408" t="s">
        <v>224</v>
      </c>
      <c r="E298" s="409"/>
      <c r="F298" s="410" t="s">
        <v>281</v>
      </c>
      <c r="G298" s="410" t="s">
        <v>281</v>
      </c>
      <c r="H298" s="409"/>
      <c r="I298" s="409"/>
      <c r="J298" s="411" t="s">
        <v>281</v>
      </c>
      <c r="K298" s="410" t="s">
        <v>281</v>
      </c>
      <c r="L298" s="410" t="s">
        <v>281</v>
      </c>
    </row>
    <row r="299" spans="1:26" x14ac:dyDescent="0.2">
      <c r="A299" s="412"/>
      <c r="B299" s="412"/>
      <c r="C299" s="412"/>
      <c r="D299" s="395" t="s">
        <v>718</v>
      </c>
      <c r="E299" s="412"/>
      <c r="F299" s="412"/>
      <c r="G299" s="412"/>
      <c r="H299" s="412"/>
      <c r="I299" s="412"/>
      <c r="J299" s="412"/>
      <c r="K299" s="412"/>
      <c r="L299" s="412"/>
    </row>
    <row r="300" spans="1:26" x14ac:dyDescent="0.2">
      <c r="A300" s="403">
        <v>44</v>
      </c>
      <c r="B300" s="403">
        <v>76</v>
      </c>
      <c r="C300" s="403" t="s">
        <v>1142</v>
      </c>
      <c r="D300" s="403" t="s">
        <v>1529</v>
      </c>
      <c r="E300" s="404">
        <v>123.6</v>
      </c>
      <c r="F300" s="405">
        <v>15.54</v>
      </c>
      <c r="G300" s="405" t="s">
        <v>281</v>
      </c>
      <c r="H300" s="406">
        <v>15673.72</v>
      </c>
      <c r="I300" s="406" t="s">
        <v>281</v>
      </c>
      <c r="J300" s="406" t="s">
        <v>281</v>
      </c>
      <c r="K300" s="405" t="s">
        <v>281</v>
      </c>
      <c r="L300" s="405" t="s">
        <v>281</v>
      </c>
      <c r="T300" s="401">
        <v>15673.72</v>
      </c>
      <c r="V300" s="401" t="s">
        <v>281</v>
      </c>
      <c r="W300" s="401" t="s">
        <v>281</v>
      </c>
      <c r="X300" s="401" t="s">
        <v>281</v>
      </c>
      <c r="Y300" s="401" t="s">
        <v>281</v>
      </c>
      <c r="Z300" s="401" t="s">
        <v>281</v>
      </c>
    </row>
    <row r="301" spans="1:26" x14ac:dyDescent="0.2">
      <c r="A301" s="407"/>
      <c r="B301" s="407"/>
      <c r="C301" s="407"/>
      <c r="D301" s="408" t="s">
        <v>883</v>
      </c>
      <c r="E301" s="409"/>
      <c r="F301" s="410" t="s">
        <v>281</v>
      </c>
      <c r="G301" s="410" t="s">
        <v>281</v>
      </c>
      <c r="H301" s="409"/>
      <c r="I301" s="409"/>
      <c r="J301" s="411" t="s">
        <v>281</v>
      </c>
      <c r="K301" s="410" t="s">
        <v>281</v>
      </c>
      <c r="L301" s="410" t="s">
        <v>281</v>
      </c>
    </row>
    <row r="302" spans="1:26" x14ac:dyDescent="0.2">
      <c r="A302" s="412"/>
      <c r="B302" s="412"/>
      <c r="C302" s="412"/>
      <c r="D302" s="395" t="s">
        <v>718</v>
      </c>
      <c r="E302" s="412"/>
      <c r="F302" s="412"/>
      <c r="G302" s="412"/>
      <c r="H302" s="412"/>
      <c r="I302" s="412"/>
      <c r="J302" s="412"/>
      <c r="K302" s="412"/>
      <c r="L302" s="412"/>
    </row>
    <row r="303" spans="1:26" ht="30.6" x14ac:dyDescent="0.2">
      <c r="A303" s="403">
        <v>45</v>
      </c>
      <c r="B303" s="403">
        <v>77</v>
      </c>
      <c r="C303" s="403" t="s">
        <v>1143</v>
      </c>
      <c r="D303" s="403" t="s">
        <v>1528</v>
      </c>
      <c r="E303" s="404">
        <v>12</v>
      </c>
      <c r="F303" s="405">
        <v>111</v>
      </c>
      <c r="G303" s="405" t="s">
        <v>281</v>
      </c>
      <c r="H303" s="406">
        <v>10869.12</v>
      </c>
      <c r="I303" s="406" t="s">
        <v>281</v>
      </c>
      <c r="J303" s="406" t="s">
        <v>281</v>
      </c>
      <c r="K303" s="405" t="s">
        <v>281</v>
      </c>
      <c r="L303" s="405" t="s">
        <v>281</v>
      </c>
      <c r="T303" s="401">
        <v>10869.12</v>
      </c>
      <c r="V303" s="401" t="s">
        <v>281</v>
      </c>
      <c r="W303" s="401" t="s">
        <v>281</v>
      </c>
      <c r="X303" s="401" t="s">
        <v>281</v>
      </c>
      <c r="Y303" s="401" t="s">
        <v>281</v>
      </c>
      <c r="Z303" s="401" t="s">
        <v>281</v>
      </c>
    </row>
    <row r="304" spans="1:26" x14ac:dyDescent="0.2">
      <c r="A304" s="407"/>
      <c r="B304" s="407"/>
      <c r="C304" s="407"/>
      <c r="D304" s="408" t="s">
        <v>1144</v>
      </c>
      <c r="E304" s="409"/>
      <c r="F304" s="410" t="s">
        <v>281</v>
      </c>
      <c r="G304" s="410" t="s">
        <v>281</v>
      </c>
      <c r="H304" s="409"/>
      <c r="I304" s="409"/>
      <c r="J304" s="411" t="s">
        <v>281</v>
      </c>
      <c r="K304" s="410" t="s">
        <v>281</v>
      </c>
      <c r="L304" s="410" t="s">
        <v>281</v>
      </c>
    </row>
    <row r="305" spans="1:26" x14ac:dyDescent="0.2">
      <c r="A305" s="412"/>
      <c r="B305" s="412"/>
      <c r="C305" s="412"/>
      <c r="D305" s="395" t="s">
        <v>718</v>
      </c>
      <c r="E305" s="412"/>
      <c r="F305" s="412"/>
      <c r="G305" s="412"/>
      <c r="H305" s="412"/>
      <c r="I305" s="412"/>
      <c r="J305" s="412"/>
      <c r="K305" s="412"/>
      <c r="L305" s="412"/>
    </row>
    <row r="306" spans="1:26" ht="40.799999999999997" x14ac:dyDescent="0.2">
      <c r="A306" s="403">
        <v>46</v>
      </c>
      <c r="B306" s="403">
        <v>78</v>
      </c>
      <c r="C306" s="403" t="s">
        <v>1129</v>
      </c>
      <c r="D306" s="403" t="s">
        <v>1108</v>
      </c>
      <c r="E306" s="404">
        <v>2</v>
      </c>
      <c r="F306" s="405">
        <v>93.153499999999994</v>
      </c>
      <c r="G306" s="405">
        <v>2.0815000000000001</v>
      </c>
      <c r="H306" s="406">
        <v>6718.22</v>
      </c>
      <c r="I306" s="406">
        <v>6330.66</v>
      </c>
      <c r="J306" s="406">
        <v>55.12</v>
      </c>
      <c r="K306" s="405">
        <v>7.5209999999999999</v>
      </c>
      <c r="L306" s="405">
        <v>15.042</v>
      </c>
      <c r="T306" s="401">
        <v>16127.23</v>
      </c>
      <c r="V306" s="401">
        <v>6330.66</v>
      </c>
      <c r="W306" s="401">
        <v>55.12</v>
      </c>
      <c r="X306" s="401">
        <v>26.78</v>
      </c>
      <c r="Y306" s="401">
        <v>15.042</v>
      </c>
      <c r="Z306" s="401">
        <v>4.5999999999999999E-2</v>
      </c>
    </row>
    <row r="307" spans="1:26" x14ac:dyDescent="0.2">
      <c r="A307" s="407"/>
      <c r="B307" s="407"/>
      <c r="C307" s="407"/>
      <c r="D307" s="408" t="s">
        <v>735</v>
      </c>
      <c r="E307" s="409"/>
      <c r="F307" s="410">
        <v>70.701999999999998</v>
      </c>
      <c r="G307" s="410">
        <v>0.29899999999999999</v>
      </c>
      <c r="H307" s="409"/>
      <c r="I307" s="409"/>
      <c r="J307" s="411">
        <v>26.78</v>
      </c>
      <c r="K307" s="410">
        <v>2.3E-2</v>
      </c>
      <c r="L307" s="410">
        <v>4.5999999999999999E-2</v>
      </c>
    </row>
    <row r="308" spans="1:26" ht="20.399999999999999" x14ac:dyDescent="0.2">
      <c r="A308" s="412"/>
      <c r="B308" s="412"/>
      <c r="C308" s="412"/>
      <c r="D308" s="395" t="s">
        <v>714</v>
      </c>
      <c r="E308" s="412"/>
      <c r="F308" s="412"/>
      <c r="G308" s="412"/>
      <c r="H308" s="412"/>
      <c r="I308" s="412"/>
      <c r="J308" s="412"/>
      <c r="K308" s="412"/>
      <c r="L308" s="412"/>
    </row>
    <row r="309" spans="1:26" ht="20.399999999999999" x14ac:dyDescent="0.2">
      <c r="A309" s="412"/>
      <c r="B309" s="412"/>
      <c r="C309" s="412"/>
      <c r="D309" s="395" t="s">
        <v>1023</v>
      </c>
      <c r="E309" s="412"/>
      <c r="F309" s="412"/>
      <c r="G309" s="412"/>
      <c r="H309" s="412"/>
      <c r="I309" s="412"/>
      <c r="J309" s="412"/>
      <c r="K309" s="412"/>
      <c r="L309" s="412"/>
    </row>
    <row r="310" spans="1:26" ht="81.599999999999994" x14ac:dyDescent="0.2">
      <c r="A310" s="412"/>
      <c r="B310" s="412"/>
      <c r="C310" s="412"/>
      <c r="D310" s="395" t="s">
        <v>1024</v>
      </c>
      <c r="E310" s="412"/>
      <c r="F310" s="412"/>
      <c r="G310" s="412"/>
      <c r="H310" s="412"/>
      <c r="I310" s="412"/>
      <c r="J310" s="412"/>
      <c r="K310" s="412"/>
      <c r="L310" s="412"/>
    </row>
    <row r="311" spans="1:26" x14ac:dyDescent="0.2">
      <c r="A311" s="412"/>
      <c r="B311" s="412"/>
      <c r="C311" s="412"/>
      <c r="D311" s="413" t="s">
        <v>206</v>
      </c>
      <c r="E311" s="414" t="s">
        <v>953</v>
      </c>
      <c r="F311" s="414"/>
      <c r="G311" s="414"/>
      <c r="H311" s="415">
        <v>6166.72</v>
      </c>
      <c r="I311" s="412"/>
      <c r="J311" s="412"/>
      <c r="K311" s="412"/>
      <c r="L311" s="412"/>
    </row>
    <row r="312" spans="1:26" x14ac:dyDescent="0.2">
      <c r="A312" s="412"/>
      <c r="B312" s="412"/>
      <c r="C312" s="412"/>
      <c r="D312" s="413" t="s">
        <v>207</v>
      </c>
      <c r="E312" s="414" t="s">
        <v>954</v>
      </c>
      <c r="F312" s="414"/>
      <c r="G312" s="414"/>
      <c r="H312" s="415">
        <v>3242.29</v>
      </c>
      <c r="I312" s="412"/>
      <c r="J312" s="412"/>
      <c r="K312" s="412"/>
      <c r="L312" s="412"/>
    </row>
    <row r="313" spans="1:26" x14ac:dyDescent="0.2">
      <c r="A313" s="412"/>
      <c r="B313" s="412"/>
      <c r="C313" s="412"/>
      <c r="D313" s="416" t="s">
        <v>715</v>
      </c>
      <c r="E313" s="417"/>
      <c r="F313" s="417"/>
      <c r="G313" s="417"/>
      <c r="H313" s="418">
        <v>16127.23</v>
      </c>
      <c r="I313" s="412"/>
      <c r="J313" s="412"/>
      <c r="K313" s="412"/>
      <c r="L313" s="412"/>
    </row>
    <row r="314" spans="1:26" ht="30.6" x14ac:dyDescent="0.2">
      <c r="A314" s="403">
        <v>47</v>
      </c>
      <c r="B314" s="403">
        <v>79</v>
      </c>
      <c r="C314" s="403" t="s">
        <v>1131</v>
      </c>
      <c r="D314" s="403" t="s">
        <v>1527</v>
      </c>
      <c r="E314" s="404">
        <v>2</v>
      </c>
      <c r="F314" s="405">
        <v>255.37819999999999</v>
      </c>
      <c r="G314" s="405" t="s">
        <v>281</v>
      </c>
      <c r="H314" s="406">
        <v>4167.78</v>
      </c>
      <c r="I314" s="406" t="s">
        <v>281</v>
      </c>
      <c r="J314" s="406" t="s">
        <v>281</v>
      </c>
      <c r="K314" s="405" t="s">
        <v>281</v>
      </c>
      <c r="L314" s="405" t="s">
        <v>281</v>
      </c>
      <c r="T314" s="401">
        <v>4167.78</v>
      </c>
      <c r="V314" s="401" t="s">
        <v>281</v>
      </c>
      <c r="W314" s="401" t="s">
        <v>281</v>
      </c>
      <c r="X314" s="401" t="s">
        <v>281</v>
      </c>
      <c r="Y314" s="401" t="s">
        <v>281</v>
      </c>
      <c r="Z314" s="401" t="s">
        <v>281</v>
      </c>
    </row>
    <row r="315" spans="1:26" x14ac:dyDescent="0.2">
      <c r="A315" s="407"/>
      <c r="B315" s="407"/>
      <c r="C315" s="407"/>
      <c r="D315" s="408" t="s">
        <v>731</v>
      </c>
      <c r="E315" s="409"/>
      <c r="F315" s="410" t="s">
        <v>281</v>
      </c>
      <c r="G315" s="410" t="s">
        <v>281</v>
      </c>
      <c r="H315" s="409"/>
      <c r="I315" s="409"/>
      <c r="J315" s="411" t="s">
        <v>281</v>
      </c>
      <c r="K315" s="410" t="s">
        <v>281</v>
      </c>
      <c r="L315" s="410" t="s">
        <v>281</v>
      </c>
    </row>
    <row r="316" spans="1:26" x14ac:dyDescent="0.2">
      <c r="A316" s="412"/>
      <c r="B316" s="412"/>
      <c r="C316" s="412"/>
      <c r="D316" s="395" t="s">
        <v>718</v>
      </c>
      <c r="E316" s="412"/>
      <c r="F316" s="412"/>
      <c r="G316" s="412"/>
      <c r="H316" s="412"/>
      <c r="I316" s="412"/>
      <c r="J316" s="412"/>
      <c r="K316" s="412"/>
      <c r="L316" s="412"/>
    </row>
    <row r="317" spans="1:26" ht="51" x14ac:dyDescent="0.2">
      <c r="A317" s="403">
        <v>48</v>
      </c>
      <c r="B317" s="403">
        <v>80</v>
      </c>
      <c r="C317" s="403" t="s">
        <v>1145</v>
      </c>
      <c r="D317" s="403" t="s">
        <v>1116</v>
      </c>
      <c r="E317" s="404">
        <v>2</v>
      </c>
      <c r="F317" s="405">
        <v>224.57050000000001</v>
      </c>
      <c r="G317" s="405" t="s">
        <v>281</v>
      </c>
      <c r="H317" s="406">
        <v>10339.780000000001</v>
      </c>
      <c r="I317" s="406">
        <v>8162.52</v>
      </c>
      <c r="J317" s="406" t="s">
        <v>281</v>
      </c>
      <c r="K317" s="405">
        <v>9.4760000000000009</v>
      </c>
      <c r="L317" s="405">
        <v>18.952000000000002</v>
      </c>
      <c r="T317" s="401">
        <v>26175.07</v>
      </c>
      <c r="V317" s="401">
        <v>8162.52</v>
      </c>
      <c r="W317" s="401" t="s">
        <v>281</v>
      </c>
      <c r="X317" s="401" t="s">
        <v>281</v>
      </c>
      <c r="Y317" s="401">
        <v>18.952000000000002</v>
      </c>
      <c r="Z317" s="401" t="s">
        <v>281</v>
      </c>
    </row>
    <row r="318" spans="1:26" x14ac:dyDescent="0.2">
      <c r="A318" s="407"/>
      <c r="B318" s="407"/>
      <c r="C318" s="407"/>
      <c r="D318" s="408" t="s">
        <v>735</v>
      </c>
      <c r="E318" s="409"/>
      <c r="F318" s="410">
        <v>91.160499999999999</v>
      </c>
      <c r="G318" s="410" t="s">
        <v>281</v>
      </c>
      <c r="H318" s="409"/>
      <c r="I318" s="409"/>
      <c r="J318" s="411" t="s">
        <v>281</v>
      </c>
      <c r="K318" s="410" t="s">
        <v>281</v>
      </c>
      <c r="L318" s="410" t="s">
        <v>281</v>
      </c>
    </row>
    <row r="319" spans="1:26" ht="20.399999999999999" x14ac:dyDescent="0.2">
      <c r="A319" s="412"/>
      <c r="B319" s="412"/>
      <c r="C319" s="412"/>
      <c r="D319" s="395" t="s">
        <v>714</v>
      </c>
      <c r="E319" s="412"/>
      <c r="F319" s="412"/>
      <c r="G319" s="412"/>
      <c r="H319" s="412"/>
      <c r="I319" s="412"/>
      <c r="J319" s="412"/>
      <c r="K319" s="412"/>
      <c r="L319" s="412"/>
    </row>
    <row r="320" spans="1:26" ht="20.399999999999999" x14ac:dyDescent="0.2">
      <c r="A320" s="412"/>
      <c r="B320" s="412"/>
      <c r="C320" s="412"/>
      <c r="D320" s="395" t="s">
        <v>1023</v>
      </c>
      <c r="E320" s="412"/>
      <c r="F320" s="412"/>
      <c r="G320" s="412"/>
      <c r="H320" s="412"/>
      <c r="I320" s="412"/>
      <c r="J320" s="412"/>
      <c r="K320" s="412"/>
      <c r="L320" s="412"/>
    </row>
    <row r="321" spans="1:26" ht="81.599999999999994" x14ac:dyDescent="0.2">
      <c r="A321" s="412"/>
      <c r="B321" s="412"/>
      <c r="C321" s="412"/>
      <c r="D321" s="395" t="s">
        <v>1024</v>
      </c>
      <c r="E321" s="412"/>
      <c r="F321" s="412"/>
      <c r="G321" s="412"/>
      <c r="H321" s="412"/>
      <c r="I321" s="412"/>
      <c r="J321" s="412"/>
      <c r="K321" s="412"/>
      <c r="L321" s="412"/>
    </row>
    <row r="322" spans="1:26" x14ac:dyDescent="0.2">
      <c r="A322" s="412"/>
      <c r="B322" s="412"/>
      <c r="C322" s="412"/>
      <c r="D322" s="413" t="s">
        <v>206</v>
      </c>
      <c r="E322" s="414" t="s">
        <v>1146</v>
      </c>
      <c r="F322" s="414"/>
      <c r="G322" s="414"/>
      <c r="H322" s="415">
        <v>10284.780000000001</v>
      </c>
      <c r="I322" s="412"/>
      <c r="J322" s="412"/>
      <c r="K322" s="412"/>
      <c r="L322" s="412"/>
    </row>
    <row r="323" spans="1:26" x14ac:dyDescent="0.2">
      <c r="A323" s="412"/>
      <c r="B323" s="412"/>
      <c r="C323" s="412"/>
      <c r="D323" s="413" t="s">
        <v>207</v>
      </c>
      <c r="E323" s="414" t="s">
        <v>1147</v>
      </c>
      <c r="F323" s="414"/>
      <c r="G323" s="414"/>
      <c r="H323" s="415">
        <v>5550.51</v>
      </c>
      <c r="I323" s="412"/>
      <c r="J323" s="412"/>
      <c r="K323" s="412"/>
      <c r="L323" s="412"/>
    </row>
    <row r="324" spans="1:26" x14ac:dyDescent="0.2">
      <c r="A324" s="412"/>
      <c r="B324" s="412"/>
      <c r="C324" s="412"/>
      <c r="D324" s="416" t="s">
        <v>715</v>
      </c>
      <c r="E324" s="417"/>
      <c r="F324" s="417"/>
      <c r="G324" s="417"/>
      <c r="H324" s="418">
        <v>26175.07</v>
      </c>
      <c r="I324" s="412"/>
      <c r="J324" s="412"/>
      <c r="K324" s="412"/>
      <c r="L324" s="412"/>
    </row>
    <row r="325" spans="1:26" ht="30.6" x14ac:dyDescent="0.2">
      <c r="A325" s="403">
        <v>49</v>
      </c>
      <c r="B325" s="403">
        <v>81</v>
      </c>
      <c r="C325" s="403" t="s">
        <v>1148</v>
      </c>
      <c r="D325" s="403" t="s">
        <v>1526</v>
      </c>
      <c r="E325" s="404">
        <v>2</v>
      </c>
      <c r="F325" s="405">
        <v>154.634106</v>
      </c>
      <c r="G325" s="405" t="s">
        <v>281</v>
      </c>
      <c r="H325" s="406">
        <v>2523.62</v>
      </c>
      <c r="I325" s="406" t="s">
        <v>281</v>
      </c>
      <c r="J325" s="406" t="s">
        <v>281</v>
      </c>
      <c r="K325" s="405" t="s">
        <v>281</v>
      </c>
      <c r="L325" s="405" t="s">
        <v>281</v>
      </c>
      <c r="T325" s="401">
        <v>2523.62</v>
      </c>
      <c r="V325" s="401" t="s">
        <v>281</v>
      </c>
      <c r="W325" s="401" t="s">
        <v>281</v>
      </c>
      <c r="X325" s="401" t="s">
        <v>281</v>
      </c>
      <c r="Y325" s="401" t="s">
        <v>281</v>
      </c>
      <c r="Z325" s="401" t="s">
        <v>281</v>
      </c>
    </row>
    <row r="326" spans="1:26" x14ac:dyDescent="0.2">
      <c r="A326" s="407"/>
      <c r="B326" s="407"/>
      <c r="C326" s="407"/>
      <c r="D326" s="408" t="s">
        <v>735</v>
      </c>
      <c r="E326" s="409"/>
      <c r="F326" s="410" t="s">
        <v>281</v>
      </c>
      <c r="G326" s="410" t="s">
        <v>281</v>
      </c>
      <c r="H326" s="409"/>
      <c r="I326" s="409"/>
      <c r="J326" s="411" t="s">
        <v>281</v>
      </c>
      <c r="K326" s="410" t="s">
        <v>281</v>
      </c>
      <c r="L326" s="410" t="s">
        <v>281</v>
      </c>
    </row>
    <row r="327" spans="1:26" x14ac:dyDescent="0.2">
      <c r="A327" s="412"/>
      <c r="B327" s="412"/>
      <c r="C327" s="412"/>
      <c r="D327" s="395" t="s">
        <v>718</v>
      </c>
      <c r="E327" s="412"/>
      <c r="F327" s="412"/>
      <c r="G327" s="412"/>
      <c r="H327" s="412"/>
      <c r="I327" s="412"/>
      <c r="J327" s="412"/>
      <c r="K327" s="412"/>
      <c r="L327" s="412"/>
    </row>
    <row r="328" spans="1:26" ht="30.6" x14ac:dyDescent="0.2">
      <c r="A328" s="403">
        <v>50</v>
      </c>
      <c r="B328" s="403">
        <v>82</v>
      </c>
      <c r="C328" s="403" t="s">
        <v>1131</v>
      </c>
      <c r="D328" s="403" t="s">
        <v>1525</v>
      </c>
      <c r="E328" s="404">
        <v>4</v>
      </c>
      <c r="F328" s="405">
        <v>99.420297000000005</v>
      </c>
      <c r="G328" s="405" t="s">
        <v>281</v>
      </c>
      <c r="H328" s="406">
        <v>3245.08</v>
      </c>
      <c r="I328" s="406" t="s">
        <v>281</v>
      </c>
      <c r="J328" s="406" t="s">
        <v>281</v>
      </c>
      <c r="K328" s="405" t="s">
        <v>281</v>
      </c>
      <c r="L328" s="405" t="s">
        <v>281</v>
      </c>
      <c r="T328" s="401">
        <v>3245.08</v>
      </c>
      <c r="V328" s="401" t="s">
        <v>281</v>
      </c>
      <c r="W328" s="401" t="s">
        <v>281</v>
      </c>
      <c r="X328" s="401" t="s">
        <v>281</v>
      </c>
      <c r="Y328" s="401" t="s">
        <v>281</v>
      </c>
      <c r="Z328" s="401" t="s">
        <v>281</v>
      </c>
    </row>
    <row r="329" spans="1:26" x14ac:dyDescent="0.2">
      <c r="A329" s="407"/>
      <c r="B329" s="407"/>
      <c r="C329" s="407"/>
      <c r="D329" s="408" t="s">
        <v>735</v>
      </c>
      <c r="E329" s="409"/>
      <c r="F329" s="410" t="s">
        <v>281</v>
      </c>
      <c r="G329" s="410" t="s">
        <v>281</v>
      </c>
      <c r="H329" s="409"/>
      <c r="I329" s="409"/>
      <c r="J329" s="411" t="s">
        <v>281</v>
      </c>
      <c r="K329" s="410" t="s">
        <v>281</v>
      </c>
      <c r="L329" s="410" t="s">
        <v>281</v>
      </c>
    </row>
    <row r="330" spans="1:26" x14ac:dyDescent="0.2">
      <c r="A330" s="412"/>
      <c r="B330" s="412"/>
      <c r="C330" s="412"/>
      <c r="D330" s="395" t="s">
        <v>718</v>
      </c>
      <c r="E330" s="412"/>
      <c r="F330" s="412"/>
      <c r="G330" s="412"/>
      <c r="H330" s="412"/>
      <c r="I330" s="412"/>
      <c r="J330" s="412"/>
      <c r="K330" s="412"/>
      <c r="L330" s="412"/>
    </row>
    <row r="331" spans="1:26" ht="40.799999999999997" x14ac:dyDescent="0.2">
      <c r="A331" s="403">
        <v>51</v>
      </c>
      <c r="B331" s="403">
        <v>83</v>
      </c>
      <c r="C331" s="403" t="s">
        <v>1006</v>
      </c>
      <c r="D331" s="403" t="s">
        <v>1110</v>
      </c>
      <c r="E331" s="404">
        <v>4</v>
      </c>
      <c r="F331" s="405">
        <v>19.1755</v>
      </c>
      <c r="G331" s="405" t="s">
        <v>281</v>
      </c>
      <c r="H331" s="406">
        <v>1227.08</v>
      </c>
      <c r="I331" s="406">
        <v>735.2</v>
      </c>
      <c r="J331" s="406" t="s">
        <v>281</v>
      </c>
      <c r="K331" s="405">
        <v>0.437</v>
      </c>
      <c r="L331" s="405">
        <v>1.748</v>
      </c>
      <c r="T331" s="401">
        <v>2315.17</v>
      </c>
      <c r="V331" s="401">
        <v>735.2</v>
      </c>
      <c r="W331" s="401" t="s">
        <v>281</v>
      </c>
      <c r="X331" s="401" t="s">
        <v>281</v>
      </c>
      <c r="Y331" s="401">
        <v>1.748</v>
      </c>
      <c r="Z331" s="401" t="s">
        <v>281</v>
      </c>
    </row>
    <row r="332" spans="1:26" x14ac:dyDescent="0.2">
      <c r="A332" s="407"/>
      <c r="B332" s="407"/>
      <c r="C332" s="407"/>
      <c r="D332" s="408" t="s">
        <v>735</v>
      </c>
      <c r="E332" s="409"/>
      <c r="F332" s="410">
        <v>4.1055000000000001</v>
      </c>
      <c r="G332" s="410" t="s">
        <v>281</v>
      </c>
      <c r="H332" s="409"/>
      <c r="I332" s="409"/>
      <c r="J332" s="411" t="s">
        <v>281</v>
      </c>
      <c r="K332" s="410" t="s">
        <v>281</v>
      </c>
      <c r="L332" s="410" t="s">
        <v>281</v>
      </c>
    </row>
    <row r="333" spans="1:26" ht="20.399999999999999" x14ac:dyDescent="0.2">
      <c r="A333" s="412"/>
      <c r="B333" s="412"/>
      <c r="C333" s="412"/>
      <c r="D333" s="395" t="s">
        <v>714</v>
      </c>
      <c r="E333" s="412"/>
      <c r="F333" s="412"/>
      <c r="G333" s="412"/>
      <c r="H333" s="412"/>
      <c r="I333" s="412"/>
      <c r="J333" s="412"/>
      <c r="K333" s="412"/>
      <c r="L333" s="412"/>
    </row>
    <row r="334" spans="1:26" ht="20.399999999999999" x14ac:dyDescent="0.2">
      <c r="A334" s="412"/>
      <c r="B334" s="412"/>
      <c r="C334" s="412"/>
      <c r="D334" s="395" t="s">
        <v>1023</v>
      </c>
      <c r="E334" s="412"/>
      <c r="F334" s="412"/>
      <c r="G334" s="412"/>
      <c r="H334" s="412"/>
      <c r="I334" s="412"/>
      <c r="J334" s="412"/>
      <c r="K334" s="412"/>
      <c r="L334" s="412"/>
    </row>
    <row r="335" spans="1:26" ht="81.599999999999994" x14ac:dyDescent="0.2">
      <c r="A335" s="412"/>
      <c r="B335" s="412"/>
      <c r="C335" s="412"/>
      <c r="D335" s="395" t="s">
        <v>1024</v>
      </c>
      <c r="E335" s="412"/>
      <c r="F335" s="412"/>
      <c r="G335" s="412"/>
      <c r="H335" s="412"/>
      <c r="I335" s="412"/>
      <c r="J335" s="412"/>
      <c r="K335" s="412"/>
      <c r="L335" s="412"/>
    </row>
    <row r="336" spans="1:26" x14ac:dyDescent="0.2">
      <c r="A336" s="412"/>
      <c r="B336" s="412"/>
      <c r="C336" s="412"/>
      <c r="D336" s="413" t="s">
        <v>206</v>
      </c>
      <c r="E336" s="414" t="s">
        <v>953</v>
      </c>
      <c r="F336" s="414"/>
      <c r="G336" s="414"/>
      <c r="H336" s="415">
        <v>713.14</v>
      </c>
      <c r="I336" s="412"/>
      <c r="J336" s="412"/>
      <c r="K336" s="412"/>
      <c r="L336" s="412"/>
    </row>
    <row r="337" spans="1:26" x14ac:dyDescent="0.2">
      <c r="A337" s="412"/>
      <c r="B337" s="412"/>
      <c r="C337" s="412"/>
      <c r="D337" s="413" t="s">
        <v>207</v>
      </c>
      <c r="E337" s="414" t="s">
        <v>954</v>
      </c>
      <c r="F337" s="414"/>
      <c r="G337" s="414"/>
      <c r="H337" s="415">
        <v>374.95</v>
      </c>
      <c r="I337" s="412"/>
      <c r="J337" s="412"/>
      <c r="K337" s="412"/>
      <c r="L337" s="412"/>
    </row>
    <row r="338" spans="1:26" x14ac:dyDescent="0.2">
      <c r="A338" s="412"/>
      <c r="B338" s="412"/>
      <c r="C338" s="412"/>
      <c r="D338" s="416" t="s">
        <v>715</v>
      </c>
      <c r="E338" s="417"/>
      <c r="F338" s="417"/>
      <c r="G338" s="417"/>
      <c r="H338" s="418">
        <v>2315.17</v>
      </c>
      <c r="I338" s="412"/>
      <c r="J338" s="412"/>
      <c r="K338" s="412"/>
      <c r="L338" s="412"/>
    </row>
    <row r="339" spans="1:26" ht="20.399999999999999" x14ac:dyDescent="0.2">
      <c r="A339" s="403">
        <v>52</v>
      </c>
      <c r="B339" s="403">
        <v>84</v>
      </c>
      <c r="C339" s="403" t="s">
        <v>1132</v>
      </c>
      <c r="D339" s="403" t="s">
        <v>1524</v>
      </c>
      <c r="E339" s="404">
        <v>1</v>
      </c>
      <c r="F339" s="405">
        <v>357.6</v>
      </c>
      <c r="G339" s="405" t="s">
        <v>281</v>
      </c>
      <c r="H339" s="406">
        <v>2918.02</v>
      </c>
      <c r="I339" s="406" t="s">
        <v>281</v>
      </c>
      <c r="J339" s="406" t="s">
        <v>281</v>
      </c>
      <c r="K339" s="405" t="s">
        <v>281</v>
      </c>
      <c r="L339" s="405" t="s">
        <v>281</v>
      </c>
      <c r="T339" s="401">
        <v>2918.02</v>
      </c>
      <c r="V339" s="401" t="s">
        <v>281</v>
      </c>
      <c r="W339" s="401" t="s">
        <v>281</v>
      </c>
      <c r="X339" s="401" t="s">
        <v>281</v>
      </c>
      <c r="Y339" s="401" t="s">
        <v>281</v>
      </c>
      <c r="Z339" s="401" t="s">
        <v>281</v>
      </c>
    </row>
    <row r="340" spans="1:26" x14ac:dyDescent="0.2">
      <c r="A340" s="407"/>
      <c r="B340" s="407"/>
      <c r="C340" s="407"/>
      <c r="D340" s="408" t="s">
        <v>735</v>
      </c>
      <c r="E340" s="409"/>
      <c r="F340" s="410" t="s">
        <v>281</v>
      </c>
      <c r="G340" s="410" t="s">
        <v>281</v>
      </c>
      <c r="H340" s="409"/>
      <c r="I340" s="409"/>
      <c r="J340" s="411" t="s">
        <v>281</v>
      </c>
      <c r="K340" s="410" t="s">
        <v>281</v>
      </c>
      <c r="L340" s="410" t="s">
        <v>281</v>
      </c>
    </row>
    <row r="341" spans="1:26" x14ac:dyDescent="0.2">
      <c r="A341" s="412"/>
      <c r="B341" s="412"/>
      <c r="C341" s="412"/>
      <c r="D341" s="395" t="s">
        <v>718</v>
      </c>
      <c r="E341" s="412"/>
      <c r="F341" s="412"/>
      <c r="G341" s="412"/>
      <c r="H341" s="412"/>
      <c r="I341" s="412"/>
      <c r="J341" s="412"/>
      <c r="K341" s="412"/>
      <c r="L341" s="412"/>
    </row>
    <row r="342" spans="1:26" x14ac:dyDescent="0.2">
      <c r="A342" s="1086" t="s">
        <v>1149</v>
      </c>
      <c r="B342" s="1086"/>
      <c r="C342" s="1086"/>
      <c r="D342" s="1086"/>
      <c r="E342" s="1086"/>
      <c r="F342" s="1086"/>
      <c r="G342" s="1086"/>
      <c r="H342" s="1086"/>
      <c r="I342" s="1086"/>
      <c r="J342" s="1086"/>
      <c r="K342" s="1086"/>
      <c r="L342" s="1086"/>
    </row>
    <row r="343" spans="1:26" x14ac:dyDescent="0.2">
      <c r="A343" s="1085" t="s">
        <v>774</v>
      </c>
      <c r="B343" s="1085"/>
      <c r="C343" s="1085"/>
      <c r="D343" s="1085"/>
      <c r="E343" s="1085"/>
      <c r="F343" s="1085"/>
      <c r="G343" s="1085"/>
      <c r="H343" s="423">
        <v>1116021.19</v>
      </c>
      <c r="I343" s="419"/>
      <c r="J343" s="419"/>
      <c r="K343" s="419"/>
      <c r="L343" s="419"/>
    </row>
    <row r="344" spans="1:26" x14ac:dyDescent="0.2">
      <c r="A344" s="1085" t="s">
        <v>919</v>
      </c>
      <c r="B344" s="1085"/>
      <c r="C344" s="1085"/>
      <c r="D344" s="1085"/>
      <c r="E344" s="1085"/>
      <c r="F344" s="1085"/>
      <c r="G344" s="1085"/>
      <c r="H344" s="423">
        <v>759695.84</v>
      </c>
      <c r="I344" s="419"/>
      <c r="J344" s="419"/>
      <c r="K344" s="419"/>
      <c r="L344" s="419"/>
    </row>
    <row r="345" spans="1:26" x14ac:dyDescent="0.2">
      <c r="A345" s="1085" t="s">
        <v>777</v>
      </c>
      <c r="B345" s="1085"/>
      <c r="C345" s="1085"/>
      <c r="D345" s="1085"/>
      <c r="E345" s="1085"/>
      <c r="F345" s="1085"/>
      <c r="G345" s="1085"/>
      <c r="H345" s="423">
        <v>16366.96</v>
      </c>
      <c r="I345" s="419"/>
      <c r="J345" s="419"/>
      <c r="K345" s="419"/>
      <c r="L345" s="419"/>
    </row>
    <row r="346" spans="1:26" x14ac:dyDescent="0.2">
      <c r="A346" s="1085" t="s">
        <v>778</v>
      </c>
      <c r="B346" s="1085"/>
      <c r="C346" s="1085"/>
      <c r="D346" s="1085"/>
      <c r="E346" s="1085"/>
      <c r="F346" s="1085"/>
      <c r="G346" s="1085"/>
      <c r="H346" s="423">
        <v>319326.58</v>
      </c>
      <c r="I346" s="419"/>
      <c r="J346" s="419"/>
      <c r="K346" s="419"/>
      <c r="L346" s="419"/>
    </row>
    <row r="347" spans="1:26" x14ac:dyDescent="0.2">
      <c r="A347" s="1085" t="s">
        <v>779</v>
      </c>
      <c r="B347" s="1085"/>
      <c r="C347" s="1085"/>
      <c r="D347" s="1085"/>
      <c r="E347" s="1085"/>
      <c r="F347" s="1085"/>
      <c r="G347" s="1085"/>
      <c r="H347" s="423">
        <v>1102546.69</v>
      </c>
      <c r="I347" s="419"/>
      <c r="J347" s="419"/>
      <c r="K347" s="419"/>
      <c r="L347" s="419"/>
    </row>
    <row r="348" spans="1:26" x14ac:dyDescent="0.2">
      <c r="A348" s="1085" t="s">
        <v>1150</v>
      </c>
      <c r="B348" s="1085"/>
      <c r="C348" s="1085"/>
      <c r="D348" s="1085"/>
      <c r="E348" s="1085"/>
      <c r="F348" s="1085"/>
      <c r="G348" s="1085"/>
      <c r="H348" s="423">
        <v>473747.06</v>
      </c>
      <c r="I348" s="419"/>
      <c r="J348" s="419"/>
      <c r="K348" s="419"/>
      <c r="L348" s="419"/>
    </row>
    <row r="349" spans="1:26" x14ac:dyDescent="0.2">
      <c r="A349" s="1085" t="s">
        <v>206</v>
      </c>
      <c r="B349" s="1085"/>
      <c r="C349" s="1085"/>
      <c r="D349" s="1085"/>
      <c r="E349" s="1085"/>
      <c r="F349" s="1085"/>
      <c r="G349" s="1085"/>
      <c r="H349" s="423">
        <v>315091.09000000003</v>
      </c>
      <c r="I349" s="419"/>
      <c r="J349" s="419"/>
      <c r="K349" s="419"/>
      <c r="L349" s="419"/>
    </row>
    <row r="350" spans="1:26" x14ac:dyDescent="0.2">
      <c r="A350" s="1085" t="s">
        <v>207</v>
      </c>
      <c r="B350" s="1085"/>
      <c r="C350" s="1085"/>
      <c r="D350" s="1085"/>
      <c r="E350" s="1085"/>
      <c r="F350" s="1085"/>
      <c r="G350" s="1085"/>
      <c r="H350" s="423">
        <v>145181.47</v>
      </c>
      <c r="I350" s="419"/>
      <c r="J350" s="419"/>
      <c r="K350" s="419"/>
      <c r="L350" s="419"/>
    </row>
    <row r="351" spans="1:26" s="426" customFormat="1" x14ac:dyDescent="0.2">
      <c r="A351" s="1086" t="s">
        <v>73</v>
      </c>
      <c r="B351" s="1086"/>
      <c r="C351" s="1086"/>
      <c r="D351" s="1086"/>
      <c r="E351" s="1086"/>
      <c r="F351" s="1086"/>
      <c r="G351" s="1086"/>
      <c r="H351" s="424">
        <v>1576293.75</v>
      </c>
      <c r="I351" s="425"/>
      <c r="J351" s="425"/>
      <c r="K351" s="425"/>
      <c r="L351" s="425"/>
    </row>
    <row r="352" spans="1:26" s="393" customFormat="1" x14ac:dyDescent="0.2">
      <c r="A352" s="1084" t="s">
        <v>784</v>
      </c>
      <c r="B352" s="1084"/>
      <c r="C352" s="1084"/>
      <c r="D352" s="1084"/>
      <c r="E352" s="1084"/>
      <c r="F352" s="1084"/>
      <c r="G352" s="1084"/>
      <c r="H352" s="382">
        <f>ROUND(H351*0.082,2)</f>
        <v>129256.09</v>
      </c>
      <c r="I352" s="383"/>
      <c r="J352" s="383"/>
      <c r="K352" s="383"/>
      <c r="L352" s="383"/>
    </row>
    <row r="353" spans="1:12" s="386" customFormat="1" x14ac:dyDescent="0.2">
      <c r="A353" s="1083" t="s">
        <v>785</v>
      </c>
      <c r="B353" s="1083"/>
      <c r="C353" s="1083"/>
      <c r="D353" s="1083"/>
      <c r="E353" s="1083"/>
      <c r="F353" s="1083"/>
      <c r="G353" s="1083"/>
      <c r="H353" s="384">
        <f>H351+H352</f>
        <v>1705549.84</v>
      </c>
      <c r="I353" s="385"/>
      <c r="J353" s="385"/>
      <c r="K353" s="385"/>
      <c r="L353" s="385"/>
    </row>
    <row r="354" spans="1:12" s="393" customFormat="1" x14ac:dyDescent="0.2">
      <c r="A354" s="1084" t="s">
        <v>786</v>
      </c>
      <c r="B354" s="1084"/>
      <c r="C354" s="1084"/>
      <c r="D354" s="1084"/>
      <c r="E354" s="1084"/>
      <c r="F354" s="1084"/>
      <c r="G354" s="1084"/>
      <c r="H354" s="382">
        <f>ROUND(H353*0.024,2)</f>
        <v>40933.199999999997</v>
      </c>
      <c r="I354" s="383"/>
      <c r="J354" s="383"/>
      <c r="K354" s="383"/>
      <c r="L354" s="383"/>
    </row>
    <row r="355" spans="1:12" s="389" customFormat="1" ht="12" x14ac:dyDescent="0.25">
      <c r="A355" s="1054" t="s">
        <v>787</v>
      </c>
      <c r="B355" s="1054"/>
      <c r="C355" s="1054"/>
      <c r="D355" s="1054"/>
      <c r="E355" s="1054"/>
      <c r="F355" s="1054"/>
      <c r="G355" s="1054"/>
      <c r="H355" s="387">
        <f>H353+H354</f>
        <v>1746483.04</v>
      </c>
      <c r="I355" s="388"/>
      <c r="J355" s="388"/>
      <c r="K355" s="388"/>
      <c r="L355" s="388"/>
    </row>
    <row r="356" spans="1:12" s="389" customFormat="1" ht="12" x14ac:dyDescent="0.25">
      <c r="A356" s="1054" t="s">
        <v>1686</v>
      </c>
      <c r="B356" s="1054"/>
      <c r="C356" s="1054"/>
      <c r="D356" s="1054"/>
      <c r="E356" s="1054"/>
      <c r="F356" s="1054"/>
      <c r="G356" s="1054"/>
      <c r="H356" s="387">
        <f>ROUND(H355*1.0514,2)</f>
        <v>1836252.27</v>
      </c>
      <c r="I356" s="388"/>
      <c r="J356" s="388"/>
      <c r="K356" s="388"/>
      <c r="L356" s="388"/>
    </row>
    <row r="357" spans="1:12" s="389" customFormat="1" ht="12" x14ac:dyDescent="0.25">
      <c r="A357" s="611"/>
      <c r="B357" s="611"/>
      <c r="C357" s="611"/>
      <c r="D357" s="611"/>
      <c r="E357" s="611"/>
      <c r="F357" s="611"/>
      <c r="G357" s="611"/>
      <c r="H357" s="612"/>
      <c r="I357" s="613"/>
      <c r="J357" s="613"/>
      <c r="K357" s="613"/>
      <c r="L357" s="613"/>
    </row>
    <row r="358" spans="1:12" s="389" customFormat="1" ht="12" x14ac:dyDescent="0.25">
      <c r="A358" s="611"/>
      <c r="B358" s="611"/>
      <c r="C358" s="611"/>
      <c r="D358" s="611"/>
      <c r="E358" s="611"/>
      <c r="F358" s="611"/>
      <c r="G358" s="611"/>
      <c r="H358" s="612"/>
      <c r="I358" s="613"/>
      <c r="J358" s="613"/>
      <c r="K358" s="613"/>
      <c r="L358" s="613"/>
    </row>
    <row r="359" spans="1:12" s="389" customFormat="1" ht="12" x14ac:dyDescent="0.25">
      <c r="A359" s="611"/>
      <c r="B359" s="611"/>
      <c r="C359" s="611"/>
      <c r="D359" s="611"/>
      <c r="E359" s="611"/>
      <c r="F359" s="611"/>
      <c r="G359" s="611"/>
      <c r="H359" s="612"/>
      <c r="I359" s="613"/>
      <c r="J359" s="613"/>
      <c r="K359" s="613"/>
      <c r="L359" s="613"/>
    </row>
    <row r="360" spans="1:12" s="393" customFormat="1" x14ac:dyDescent="0.2"/>
    <row r="361" spans="1:12" s="393" customFormat="1" ht="24" x14ac:dyDescent="0.25">
      <c r="C361" s="428" t="s">
        <v>729</v>
      </c>
      <c r="D361" s="429" t="s">
        <v>824</v>
      </c>
      <c r="E361" s="427" t="s">
        <v>281</v>
      </c>
      <c r="F361" s="427"/>
      <c r="G361" s="389" t="s">
        <v>823</v>
      </c>
    </row>
    <row r="362" spans="1:12" s="393" customFormat="1" ht="12" x14ac:dyDescent="0.25">
      <c r="C362" s="428"/>
      <c r="G362" s="389"/>
    </row>
    <row r="363" spans="1:12" s="393" customFormat="1" ht="24" x14ac:dyDescent="0.25">
      <c r="C363" s="428" t="s">
        <v>730</v>
      </c>
      <c r="D363" s="429" t="s">
        <v>821</v>
      </c>
      <c r="E363" s="427" t="s">
        <v>281</v>
      </c>
      <c r="F363" s="427"/>
      <c r="G363" s="389" t="s">
        <v>822</v>
      </c>
    </row>
    <row r="364" spans="1:12" s="393" customFormat="1" x14ac:dyDescent="0.2"/>
  </sheetData>
  <mergeCells count="77">
    <mergeCell ref="A355:G355"/>
    <mergeCell ref="K36:L36"/>
    <mergeCell ref="A351:G351"/>
    <mergeCell ref="A352:G352"/>
    <mergeCell ref="A353:G353"/>
    <mergeCell ref="A354:G354"/>
    <mergeCell ref="A350:G350"/>
    <mergeCell ref="A40:L40"/>
    <mergeCell ref="A102:L102"/>
    <mergeCell ref="A342:L342"/>
    <mergeCell ref="A343:G343"/>
    <mergeCell ref="A344:G344"/>
    <mergeCell ref="A345:G345"/>
    <mergeCell ref="A346:G346"/>
    <mergeCell ref="A347:G347"/>
    <mergeCell ref="A348:G348"/>
    <mergeCell ref="A349:G349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F35:F36"/>
    <mergeCell ref="G35:G36"/>
    <mergeCell ref="H35:H37"/>
    <mergeCell ref="I35:I37"/>
    <mergeCell ref="J35:J36"/>
    <mergeCell ref="K35:L35"/>
    <mergeCell ref="C27:L27"/>
    <mergeCell ref="C28:L28"/>
    <mergeCell ref="F30:I30"/>
    <mergeCell ref="J30:K30"/>
    <mergeCell ref="F31:I31"/>
    <mergeCell ref="J31:K31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A16:B16"/>
    <mergeCell ref="C16:I16"/>
    <mergeCell ref="C17:I17"/>
    <mergeCell ref="H18:J18"/>
    <mergeCell ref="K18:L18"/>
    <mergeCell ref="K11:L12"/>
    <mergeCell ref="A12:B12"/>
    <mergeCell ref="C12:I12"/>
    <mergeCell ref="C13:I13"/>
    <mergeCell ref="K13:L14"/>
    <mergeCell ref="A14:B14"/>
    <mergeCell ref="C14:I14"/>
    <mergeCell ref="A356:G356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D321"/>
  <sheetViews>
    <sheetView view="pageBreakPreview" topLeftCell="A34" zoomScale="85" zoomScaleNormal="100" zoomScaleSheetLayoutView="85" workbookViewId="0">
      <pane ySplit="4" topLeftCell="A221" activePane="bottomLeft" state="frozen"/>
      <selection activeCell="A34" sqref="A34"/>
      <selection pane="bottomLeft" activeCell="D172" sqref="D172"/>
    </sheetView>
  </sheetViews>
  <sheetFormatPr defaultColWidth="9.109375" defaultRowHeight="10.199999999999999" outlineLevelRow="1" x14ac:dyDescent="0.2"/>
  <cols>
    <col min="1" max="1" width="6.33203125" style="619" customWidth="1"/>
    <col min="2" max="2" width="6.6640625" style="619" customWidth="1"/>
    <col min="3" max="3" width="15.6640625" style="619" customWidth="1"/>
    <col min="4" max="4" width="40.6640625" style="619" customWidth="1"/>
    <col min="5" max="12" width="12.6640625" style="619" customWidth="1"/>
    <col min="13" max="13" width="25.77734375" style="638" customWidth="1"/>
    <col min="14" max="14" width="30.33203125" style="638" customWidth="1"/>
    <col min="15" max="15" width="25.77734375" style="638" customWidth="1"/>
    <col min="16" max="16" width="28.44140625" style="619" customWidth="1"/>
    <col min="17" max="17" width="15.88671875" style="619" customWidth="1"/>
    <col min="18" max="19" width="9.109375" style="619"/>
    <col min="20" max="29" width="0" style="619" hidden="1" customWidth="1"/>
    <col min="30" max="30" width="118.6640625" style="619" hidden="1" customWidth="1"/>
    <col min="31" max="36" width="0" style="619" hidden="1" customWidth="1"/>
    <col min="37" max="16384" width="9.109375" style="619"/>
  </cols>
  <sheetData>
    <row r="1" spans="1:15" ht="10.199999999999999" hidden="1" customHeight="1" outlineLevel="1" x14ac:dyDescent="0.2">
      <c r="A1" s="1108"/>
      <c r="B1" s="1108"/>
      <c r="C1" s="1108"/>
      <c r="D1" s="1108"/>
      <c r="E1" s="396"/>
      <c r="F1" s="396"/>
      <c r="I1" s="1109" t="s">
        <v>680</v>
      </c>
      <c r="J1" s="1109"/>
      <c r="K1" s="1109"/>
      <c r="L1" s="1109"/>
    </row>
    <row r="2" spans="1:15" ht="10.199999999999999" hidden="1" customHeight="1" outlineLevel="1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5" ht="10.199999999999999" hidden="1" customHeight="1" outlineLevel="1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5" ht="10.199999999999999" hidden="1" customHeight="1" outlineLevel="1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5" ht="10.199999999999999" hidden="1" customHeight="1" outlineLevel="1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5" ht="10.199999999999999" hidden="1" customHeight="1" outlineLevel="1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5" ht="10.199999999999999" hidden="1" customHeight="1" outlineLevel="1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5" ht="10.199999999999999" hidden="1" customHeight="1" outlineLevel="1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618" t="s">
        <v>4</v>
      </c>
      <c r="K8" s="1101"/>
      <c r="L8" s="1102"/>
    </row>
    <row r="9" spans="1:15" ht="10.199999999999999" hidden="1" customHeight="1" outlineLevel="1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5" s="616" customFormat="1" ht="10.199999999999999" hidden="1" customHeight="1" outlineLevel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614" t="s">
        <v>4</v>
      </c>
      <c r="K10" s="1101"/>
      <c r="L10" s="1102"/>
      <c r="M10" s="639"/>
      <c r="N10" s="639"/>
      <c r="O10" s="639"/>
    </row>
    <row r="11" spans="1:15" s="616" customFormat="1" ht="10.199999999999999" hidden="1" customHeight="1" outlineLevel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9"/>
      <c r="N11" s="639"/>
      <c r="O11" s="639"/>
    </row>
    <row r="12" spans="1:15" s="616" customFormat="1" ht="10.199999999999999" hidden="1" customHeight="1" outlineLevel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614" t="s">
        <v>4</v>
      </c>
      <c r="K12" s="1064"/>
      <c r="L12" s="1065"/>
      <c r="M12" s="639"/>
      <c r="N12" s="639"/>
      <c r="O12" s="639"/>
    </row>
    <row r="13" spans="1:15" s="616" customFormat="1" ht="10.199999999999999" hidden="1" customHeight="1" outlineLevel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9"/>
      <c r="N13" s="639"/>
      <c r="O13" s="639"/>
    </row>
    <row r="14" spans="1:15" s="616" customFormat="1" ht="10.199999999999999" hidden="1" customHeight="1" outlineLevel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9"/>
      <c r="N14" s="639"/>
      <c r="O14" s="639"/>
    </row>
    <row r="15" spans="1:15" ht="10.199999999999999" hidden="1" customHeight="1" outlineLevel="1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5" ht="10.199999999999999" hidden="1" customHeight="1" outlineLevel="1" x14ac:dyDescent="0.2">
      <c r="A16" s="1103" t="s">
        <v>686</v>
      </c>
      <c r="B16" s="1103"/>
      <c r="C16" s="1104" t="s">
        <v>1219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ht="10.199999999999999" hidden="1" customHeight="1" outlineLevel="1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hidden="1" customHeight="1" outlineLevel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hidden="1" customHeight="1" outlineLevel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ht="10.199999999999999" hidden="1" customHeight="1" outlineLevel="1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615" t="s">
        <v>10</v>
      </c>
      <c r="K20" s="1073">
        <v>45110</v>
      </c>
      <c r="L20" s="1074"/>
    </row>
    <row r="21" spans="1:12" ht="10.199999999999999" hidden="1" customHeight="1" outlineLevel="1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ht="10.199999999999999" hidden="1" customHeight="1" outlineLevel="1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hidden="1" customHeight="1" outlineLevel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ht="10.199999999999999" hidden="1" customHeight="1" outlineLevel="1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617" t="s">
        <v>16</v>
      </c>
      <c r="L24" s="359"/>
    </row>
    <row r="25" spans="1:12" ht="10.199999999999999" hidden="1" customHeight="1" outlineLevel="1" x14ac:dyDescent="0.2">
      <c r="A25" s="398"/>
      <c r="B25" s="398"/>
      <c r="C25" s="398"/>
      <c r="D25" s="398"/>
      <c r="E25" s="398"/>
      <c r="F25" s="398"/>
      <c r="G25" s="398"/>
      <c r="H25" s="615">
        <v>9</v>
      </c>
      <c r="I25" s="365">
        <v>45230</v>
      </c>
      <c r="J25" s="365">
        <v>45200</v>
      </c>
      <c r="K25" s="366">
        <v>45230</v>
      </c>
      <c r="L25" s="359"/>
    </row>
    <row r="26" spans="1:12" ht="10.199999999999999" hidden="1" customHeight="1" outlineLevel="1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ht="10.199999999999999" hidden="1" customHeight="1" outlineLevel="1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ht="10.199999999999999" hidden="1" customHeight="1" outlineLevel="1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ht="10.199999999999999" hidden="1" customHeight="1" outlineLevel="1" x14ac:dyDescent="0.2">
      <c r="A29" s="398"/>
      <c r="B29" s="398"/>
      <c r="C29" s="620"/>
      <c r="D29" s="620"/>
      <c r="E29" s="620"/>
      <c r="F29" s="620"/>
      <c r="G29" s="620"/>
      <c r="H29" s="620"/>
      <c r="I29" s="620"/>
      <c r="J29" s="620"/>
      <c r="K29" s="620"/>
      <c r="L29" s="620"/>
    </row>
    <row r="30" spans="1:12" ht="10.199999999999999" hidden="1" customHeight="1" outlineLevel="1" x14ac:dyDescent="0.2">
      <c r="A30" s="398"/>
      <c r="B30" s="398"/>
      <c r="C30" s="620"/>
      <c r="D30" s="620"/>
      <c r="E30" s="620"/>
      <c r="F30" s="1090" t="s">
        <v>692</v>
      </c>
      <c r="G30" s="1090"/>
      <c r="H30" s="1090"/>
      <c r="I30" s="1090"/>
      <c r="J30" s="1091">
        <v>37360.449999999997</v>
      </c>
      <c r="K30" s="1091"/>
      <c r="L30" s="398" t="s">
        <v>693</v>
      </c>
    </row>
    <row r="31" spans="1:12" ht="10.199999999999999" hidden="1" customHeight="1" outlineLevel="1" x14ac:dyDescent="0.2">
      <c r="A31" s="398"/>
      <c r="B31" s="398"/>
      <c r="C31" s="620"/>
      <c r="D31" s="620"/>
      <c r="E31" s="620"/>
      <c r="F31" s="1090" t="s">
        <v>694</v>
      </c>
      <c r="G31" s="1090"/>
      <c r="H31" s="1090"/>
      <c r="I31" s="1090"/>
      <c r="J31" s="1091">
        <v>4295.6499999999996</v>
      </c>
      <c r="K31" s="1091"/>
      <c r="L31" s="398" t="s">
        <v>695</v>
      </c>
    </row>
    <row r="32" spans="1:12" ht="10.199999999999999" hidden="1" customHeight="1" outlineLevel="1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1836.51</v>
      </c>
      <c r="K32" s="1091"/>
      <c r="L32" s="398" t="s">
        <v>693</v>
      </c>
    </row>
    <row r="33" spans="1:26" ht="10.199999999999999" hidden="1" customHeight="1" outlineLevel="1" x14ac:dyDescent="0.2"/>
    <row r="34" spans="1:26" collapsed="1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ht="10.199999999999999" customHeight="1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  <c r="M37" s="637" t="s">
        <v>1688</v>
      </c>
      <c r="N37" s="637" t="s">
        <v>1701</v>
      </c>
      <c r="O37" s="637" t="s">
        <v>1690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ht="10.199999999999999" customHeight="1" x14ac:dyDescent="0.2">
      <c r="A40" s="643" t="s">
        <v>1170</v>
      </c>
      <c r="B40" s="644"/>
      <c r="C40" s="644"/>
      <c r="D40" s="644"/>
      <c r="E40" s="644"/>
      <c r="F40" s="644"/>
      <c r="G40" s="644"/>
      <c r="H40" s="644"/>
      <c r="I40" s="644"/>
      <c r="J40" s="644"/>
      <c r="K40" s="644"/>
      <c r="L40" s="645"/>
    </row>
    <row r="41" spans="1:26" s="790" customFormat="1" ht="51" x14ac:dyDescent="0.2">
      <c r="A41" s="784">
        <v>1</v>
      </c>
      <c r="B41" s="784">
        <v>1</v>
      </c>
      <c r="C41" s="784" t="s">
        <v>1171</v>
      </c>
      <c r="D41" s="784" t="s">
        <v>1154</v>
      </c>
      <c r="E41" s="785">
        <v>4.4526000000000003</v>
      </c>
      <c r="F41" s="786">
        <v>5169.46216</v>
      </c>
      <c r="G41" s="786">
        <v>5034.9989999999998</v>
      </c>
      <c r="H41" s="787">
        <v>323099.89</v>
      </c>
      <c r="I41" s="787">
        <v>26156.400000000001</v>
      </c>
      <c r="J41" s="787">
        <v>296825.40999999997</v>
      </c>
      <c r="K41" s="786">
        <v>16.822199999999999</v>
      </c>
      <c r="L41" s="786">
        <v>74.902528000000004</v>
      </c>
      <c r="M41" s="788">
        <f>411.6/1000</f>
        <v>0.41160000000000002</v>
      </c>
      <c r="N41" s="788" t="s">
        <v>2218</v>
      </c>
      <c r="O41" s="788"/>
      <c r="Q41" s="790">
        <f>H41/E41*M41</f>
        <v>29867.473998113499</v>
      </c>
      <c r="T41" s="790">
        <v>544837.32999999996</v>
      </c>
      <c r="V41" s="790">
        <v>26156.400000000001</v>
      </c>
      <c r="W41" s="790">
        <v>296825.40999999997</v>
      </c>
      <c r="X41" s="790">
        <v>142979.71</v>
      </c>
      <c r="Y41" s="790">
        <v>74.902528000000004</v>
      </c>
      <c r="Z41" s="790">
        <v>236.56663800000001</v>
      </c>
    </row>
    <row r="42" spans="1:26" x14ac:dyDescent="0.2">
      <c r="A42" s="407"/>
      <c r="B42" s="407"/>
      <c r="C42" s="407"/>
      <c r="D42" s="408" t="s">
        <v>763</v>
      </c>
      <c r="E42" s="409"/>
      <c r="F42" s="410">
        <v>131.21315999999999</v>
      </c>
      <c r="G42" s="410">
        <v>717.255</v>
      </c>
      <c r="H42" s="409"/>
      <c r="I42" s="409"/>
      <c r="J42" s="411">
        <v>142979.71</v>
      </c>
      <c r="K42" s="410">
        <v>53.13</v>
      </c>
      <c r="L42" s="410">
        <v>236.56663800000001</v>
      </c>
      <c r="Q42" s="790"/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  <c r="Q43" s="790"/>
    </row>
    <row r="44" spans="1:26" ht="30.6" x14ac:dyDescent="0.2">
      <c r="A44" s="412"/>
      <c r="B44" s="412"/>
      <c r="C44" s="412"/>
      <c r="D44" s="395" t="s">
        <v>1054</v>
      </c>
      <c r="E44" s="412"/>
      <c r="F44" s="412"/>
      <c r="G44" s="412"/>
      <c r="H44" s="412"/>
      <c r="I44" s="412"/>
      <c r="J44" s="412"/>
      <c r="K44" s="412"/>
      <c r="L44" s="412"/>
      <c r="Q44" s="790"/>
    </row>
    <row r="45" spans="1:26" ht="153" x14ac:dyDescent="0.2">
      <c r="A45" s="412"/>
      <c r="B45" s="412"/>
      <c r="C45" s="412"/>
      <c r="D45" s="395" t="s">
        <v>1055</v>
      </c>
      <c r="E45" s="412"/>
      <c r="F45" s="412"/>
      <c r="G45" s="412"/>
      <c r="H45" s="412"/>
      <c r="I45" s="412"/>
      <c r="J45" s="412"/>
      <c r="K45" s="412"/>
      <c r="L45" s="412"/>
      <c r="Q45" s="790"/>
    </row>
    <row r="46" spans="1:26" x14ac:dyDescent="0.2">
      <c r="A46" s="412"/>
      <c r="B46" s="412"/>
      <c r="C46" s="412"/>
      <c r="D46" s="413" t="s">
        <v>206</v>
      </c>
      <c r="E46" s="414" t="s">
        <v>764</v>
      </c>
      <c r="F46" s="414"/>
      <c r="G46" s="414"/>
      <c r="H46" s="415">
        <v>155605.22</v>
      </c>
      <c r="I46" s="412"/>
      <c r="J46" s="412"/>
      <c r="K46" s="412"/>
      <c r="L46" s="412"/>
      <c r="Q46" s="790">
        <f t="shared" ref="Q46:Q104" si="0">H46/E46*M46</f>
        <v>0</v>
      </c>
    </row>
    <row r="47" spans="1:26" x14ac:dyDescent="0.2">
      <c r="A47" s="412"/>
      <c r="B47" s="412"/>
      <c r="C47" s="412"/>
      <c r="D47" s="413" t="s">
        <v>207</v>
      </c>
      <c r="E47" s="414" t="s">
        <v>972</v>
      </c>
      <c r="F47" s="414"/>
      <c r="G47" s="414"/>
      <c r="H47" s="415">
        <v>66132.22</v>
      </c>
      <c r="I47" s="412"/>
      <c r="J47" s="412"/>
      <c r="K47" s="412"/>
      <c r="L47" s="412"/>
      <c r="Q47" s="790">
        <f t="shared" si="0"/>
        <v>0</v>
      </c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544837.32999999996</v>
      </c>
      <c r="I48" s="412"/>
      <c r="J48" s="412"/>
      <c r="K48" s="412"/>
      <c r="L48" s="412"/>
      <c r="Q48" s="790"/>
    </row>
    <row r="49" spans="1:26" s="790" customFormat="1" ht="40.799999999999997" x14ac:dyDescent="0.2">
      <c r="A49" s="784">
        <v>2</v>
      </c>
      <c r="B49" s="784">
        <v>2</v>
      </c>
      <c r="C49" s="784" t="s">
        <v>974</v>
      </c>
      <c r="D49" s="784" t="s">
        <v>965</v>
      </c>
      <c r="E49" s="785">
        <v>3.2063999999999999</v>
      </c>
      <c r="F49" s="786">
        <v>1460.6748</v>
      </c>
      <c r="G49" s="786" t="s">
        <v>281</v>
      </c>
      <c r="H49" s="787">
        <v>209680.64000000001</v>
      </c>
      <c r="I49" s="787">
        <v>209680.64000000001</v>
      </c>
      <c r="J49" s="787" t="s">
        <v>281</v>
      </c>
      <c r="K49" s="786">
        <v>187.26599999999999</v>
      </c>
      <c r="L49" s="786">
        <v>600.449702</v>
      </c>
      <c r="M49" s="788">
        <f>41.2/100</f>
        <v>0.41199999999999998</v>
      </c>
      <c r="N49" s="788" t="s">
        <v>2219</v>
      </c>
      <c r="O49" s="788"/>
      <c r="Q49" s="790">
        <f t="shared" si="0"/>
        <v>26942.497405189599</v>
      </c>
      <c r="T49" s="790">
        <v>467587.83</v>
      </c>
      <c r="V49" s="790">
        <v>209680.64000000001</v>
      </c>
      <c r="W49" s="790" t="s">
        <v>281</v>
      </c>
      <c r="X49" s="790" t="s">
        <v>281</v>
      </c>
      <c r="Y49" s="790">
        <v>600.449702</v>
      </c>
      <c r="Z49" s="790" t="s">
        <v>281</v>
      </c>
    </row>
    <row r="50" spans="1:26" x14ac:dyDescent="0.2">
      <c r="A50" s="407"/>
      <c r="B50" s="407"/>
      <c r="C50" s="407"/>
      <c r="D50" s="408" t="s">
        <v>901</v>
      </c>
      <c r="E50" s="409"/>
      <c r="F50" s="410">
        <v>1460.6748</v>
      </c>
      <c r="G50" s="410" t="s">
        <v>281</v>
      </c>
      <c r="H50" s="409"/>
      <c r="I50" s="409"/>
      <c r="J50" s="411" t="s">
        <v>281</v>
      </c>
      <c r="K50" s="410" t="s">
        <v>281</v>
      </c>
      <c r="L50" s="410" t="s">
        <v>281</v>
      </c>
      <c r="Q50" s="790"/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  <c r="Q51" s="790"/>
    </row>
    <row r="52" spans="1:26" ht="30.6" x14ac:dyDescent="0.2">
      <c r="A52" s="412"/>
      <c r="B52" s="412"/>
      <c r="C52" s="412"/>
      <c r="D52" s="395" t="s">
        <v>975</v>
      </c>
      <c r="E52" s="412"/>
      <c r="F52" s="412"/>
      <c r="G52" s="412"/>
      <c r="H52" s="412"/>
      <c r="I52" s="412"/>
      <c r="J52" s="412"/>
      <c r="K52" s="412"/>
      <c r="L52" s="412"/>
      <c r="Q52" s="790"/>
    </row>
    <row r="53" spans="1:26" ht="163.19999999999999" x14ac:dyDescent="0.2">
      <c r="A53" s="412"/>
      <c r="B53" s="412"/>
      <c r="C53" s="412"/>
      <c r="D53" s="395" t="s">
        <v>976</v>
      </c>
      <c r="E53" s="412"/>
      <c r="F53" s="412"/>
      <c r="G53" s="412"/>
      <c r="H53" s="412"/>
      <c r="I53" s="412"/>
      <c r="J53" s="412"/>
      <c r="K53" s="412"/>
      <c r="L53" s="412"/>
      <c r="Q53" s="790"/>
    </row>
    <row r="54" spans="1:26" x14ac:dyDescent="0.2">
      <c r="A54" s="412"/>
      <c r="B54" s="412"/>
      <c r="C54" s="412"/>
      <c r="D54" s="413" t="s">
        <v>206</v>
      </c>
      <c r="E54" s="414" t="s">
        <v>770</v>
      </c>
      <c r="F54" s="414"/>
      <c r="G54" s="414"/>
      <c r="H54" s="415">
        <v>186615.77</v>
      </c>
      <c r="I54" s="412"/>
      <c r="J54" s="412"/>
      <c r="K54" s="412"/>
      <c r="L54" s="412"/>
      <c r="Q54" s="790">
        <f t="shared" si="0"/>
        <v>0</v>
      </c>
    </row>
    <row r="55" spans="1:26" x14ac:dyDescent="0.2">
      <c r="A55" s="412"/>
      <c r="B55" s="412"/>
      <c r="C55" s="412"/>
      <c r="D55" s="413" t="s">
        <v>207</v>
      </c>
      <c r="E55" s="414" t="s">
        <v>977</v>
      </c>
      <c r="F55" s="414"/>
      <c r="G55" s="414"/>
      <c r="H55" s="415">
        <v>71291.42</v>
      </c>
      <c r="I55" s="412"/>
      <c r="J55" s="412"/>
      <c r="K55" s="412"/>
      <c r="L55" s="412"/>
      <c r="Q55" s="790">
        <f t="shared" si="0"/>
        <v>0</v>
      </c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467587.83</v>
      </c>
      <c r="I56" s="412"/>
      <c r="J56" s="412"/>
      <c r="K56" s="412"/>
      <c r="L56" s="412"/>
      <c r="Q56" s="790"/>
    </row>
    <row r="57" spans="1:26" s="790" customFormat="1" ht="51" x14ac:dyDescent="0.2">
      <c r="A57" s="784">
        <v>3</v>
      </c>
      <c r="B57" s="784">
        <v>3</v>
      </c>
      <c r="C57" s="784" t="s">
        <v>910</v>
      </c>
      <c r="D57" s="784" t="s">
        <v>1020</v>
      </c>
      <c r="E57" s="785">
        <v>1.0688</v>
      </c>
      <c r="F57" s="786">
        <v>531.24824999999998</v>
      </c>
      <c r="G57" s="786" t="s">
        <v>281</v>
      </c>
      <c r="H57" s="787">
        <v>25420.32</v>
      </c>
      <c r="I57" s="787">
        <v>25420.32</v>
      </c>
      <c r="J57" s="787" t="s">
        <v>281</v>
      </c>
      <c r="K57" s="786">
        <v>70.833100000000002</v>
      </c>
      <c r="L57" s="786">
        <v>75.706417000000002</v>
      </c>
      <c r="M57" s="788">
        <f>M49</f>
        <v>0.41199999999999998</v>
      </c>
      <c r="N57" s="788" t="s">
        <v>2219</v>
      </c>
      <c r="O57" s="788"/>
      <c r="Q57" s="790">
        <f t="shared" si="0"/>
        <v>9799.0005988023895</v>
      </c>
      <c r="T57" s="790">
        <v>56687.31</v>
      </c>
      <c r="V57" s="790">
        <v>25420.32</v>
      </c>
      <c r="W57" s="790" t="s">
        <v>281</v>
      </c>
      <c r="X57" s="790" t="s">
        <v>281</v>
      </c>
      <c r="Y57" s="790">
        <v>75.706417000000002</v>
      </c>
      <c r="Z57" s="790" t="s">
        <v>281</v>
      </c>
    </row>
    <row r="58" spans="1:26" x14ac:dyDescent="0.2">
      <c r="A58" s="407"/>
      <c r="B58" s="407"/>
      <c r="C58" s="407"/>
      <c r="D58" s="408" t="s">
        <v>901</v>
      </c>
      <c r="E58" s="409"/>
      <c r="F58" s="410">
        <v>531.24824999999998</v>
      </c>
      <c r="G58" s="410" t="s">
        <v>281</v>
      </c>
      <c r="H58" s="409"/>
      <c r="I58" s="409"/>
      <c r="J58" s="411" t="s">
        <v>281</v>
      </c>
      <c r="K58" s="410" t="s">
        <v>281</v>
      </c>
      <c r="L58" s="410" t="s">
        <v>281</v>
      </c>
      <c r="Q58" s="790"/>
    </row>
    <row r="59" spans="1:26" ht="20.399999999999999" x14ac:dyDescent="0.2">
      <c r="A59" s="412"/>
      <c r="B59" s="412"/>
      <c r="C59" s="412"/>
      <c r="D59" s="395" t="s">
        <v>714</v>
      </c>
      <c r="E59" s="412"/>
      <c r="F59" s="412"/>
      <c r="G59" s="412"/>
      <c r="H59" s="412"/>
      <c r="I59" s="412"/>
      <c r="J59" s="412"/>
      <c r="K59" s="412"/>
      <c r="L59" s="412"/>
      <c r="Q59" s="790"/>
    </row>
    <row r="60" spans="1:26" ht="20.399999999999999" x14ac:dyDescent="0.2">
      <c r="A60" s="412"/>
      <c r="B60" s="412"/>
      <c r="C60" s="412"/>
      <c r="D60" s="395" t="s">
        <v>978</v>
      </c>
      <c r="E60" s="412"/>
      <c r="F60" s="412"/>
      <c r="G60" s="412"/>
      <c r="H60" s="412"/>
      <c r="I60" s="412"/>
      <c r="J60" s="412"/>
      <c r="K60" s="412"/>
      <c r="L60" s="412"/>
      <c r="Q60" s="790"/>
    </row>
    <row r="61" spans="1:26" ht="132.6" x14ac:dyDescent="0.2">
      <c r="A61" s="412"/>
      <c r="B61" s="412"/>
      <c r="C61" s="412"/>
      <c r="D61" s="395" t="s">
        <v>979</v>
      </c>
      <c r="E61" s="412"/>
      <c r="F61" s="412"/>
      <c r="G61" s="412"/>
      <c r="H61" s="412"/>
      <c r="I61" s="412"/>
      <c r="J61" s="412"/>
      <c r="K61" s="412"/>
      <c r="L61" s="412"/>
      <c r="Q61" s="790"/>
    </row>
    <row r="62" spans="1:26" x14ac:dyDescent="0.2">
      <c r="A62" s="412"/>
      <c r="B62" s="412"/>
      <c r="C62" s="412"/>
      <c r="D62" s="413" t="s">
        <v>206</v>
      </c>
      <c r="E62" s="414" t="s">
        <v>770</v>
      </c>
      <c r="F62" s="414"/>
      <c r="G62" s="414"/>
      <c r="H62" s="415">
        <v>22624.080000000002</v>
      </c>
      <c r="I62" s="412"/>
      <c r="J62" s="412"/>
      <c r="K62" s="412"/>
      <c r="L62" s="412"/>
      <c r="Q62" s="790">
        <f t="shared" si="0"/>
        <v>0</v>
      </c>
    </row>
    <row r="63" spans="1:26" x14ac:dyDescent="0.2">
      <c r="A63" s="412"/>
      <c r="B63" s="412"/>
      <c r="C63" s="412"/>
      <c r="D63" s="413" t="s">
        <v>207</v>
      </c>
      <c r="E63" s="414" t="s">
        <v>977</v>
      </c>
      <c r="F63" s="414"/>
      <c r="G63" s="414"/>
      <c r="H63" s="415">
        <v>8642.91</v>
      </c>
      <c r="I63" s="412"/>
      <c r="J63" s="412"/>
      <c r="K63" s="412"/>
      <c r="L63" s="412"/>
      <c r="Q63" s="790">
        <f t="shared" si="0"/>
        <v>0</v>
      </c>
    </row>
    <row r="64" spans="1:26" x14ac:dyDescent="0.2">
      <c r="A64" s="412"/>
      <c r="B64" s="412"/>
      <c r="C64" s="412"/>
      <c r="D64" s="416" t="s">
        <v>715</v>
      </c>
      <c r="E64" s="417"/>
      <c r="F64" s="417"/>
      <c r="G64" s="417"/>
      <c r="H64" s="418">
        <v>56687.31</v>
      </c>
      <c r="I64" s="412"/>
      <c r="J64" s="412"/>
      <c r="K64" s="412"/>
      <c r="L64" s="412"/>
      <c r="Q64" s="790"/>
    </row>
    <row r="65" spans="1:26" s="817" customFormat="1" ht="30.6" x14ac:dyDescent="0.2">
      <c r="A65" s="813">
        <v>4</v>
      </c>
      <c r="B65" s="813">
        <v>4</v>
      </c>
      <c r="C65" s="813" t="s">
        <v>888</v>
      </c>
      <c r="D65" s="813" t="s">
        <v>889</v>
      </c>
      <c r="E65" s="814">
        <v>62.770800000000001</v>
      </c>
      <c r="F65" s="815">
        <v>2.91</v>
      </c>
      <c r="G65" s="815">
        <v>2.91</v>
      </c>
      <c r="H65" s="816">
        <v>2487.61</v>
      </c>
      <c r="I65" s="816" t="s">
        <v>281</v>
      </c>
      <c r="J65" s="816">
        <v>2487.61</v>
      </c>
      <c r="K65" s="815" t="s">
        <v>281</v>
      </c>
      <c r="L65" s="815" t="s">
        <v>281</v>
      </c>
      <c r="M65" s="818">
        <v>0</v>
      </c>
      <c r="N65" s="818" t="s">
        <v>2375</v>
      </c>
      <c r="O65" s="818"/>
      <c r="Q65" s="790">
        <f t="shared" si="0"/>
        <v>0</v>
      </c>
      <c r="T65" s="817">
        <v>2487.61</v>
      </c>
      <c r="V65" s="817" t="s">
        <v>281</v>
      </c>
      <c r="W65" s="817">
        <v>2487.61</v>
      </c>
      <c r="X65" s="817" t="s">
        <v>281</v>
      </c>
      <c r="Y65" s="817" t="s">
        <v>281</v>
      </c>
      <c r="Z65" s="817" t="s">
        <v>281</v>
      </c>
    </row>
    <row r="66" spans="1:26" x14ac:dyDescent="0.2">
      <c r="A66" s="407"/>
      <c r="B66" s="407"/>
      <c r="C66" s="407"/>
      <c r="D66" s="408" t="s">
        <v>743</v>
      </c>
      <c r="E66" s="409"/>
      <c r="F66" s="410" t="s">
        <v>281</v>
      </c>
      <c r="G66" s="410" t="s">
        <v>281</v>
      </c>
      <c r="H66" s="409"/>
      <c r="I66" s="409"/>
      <c r="J66" s="411" t="s">
        <v>281</v>
      </c>
      <c r="K66" s="410" t="s">
        <v>281</v>
      </c>
      <c r="L66" s="410" t="s">
        <v>281</v>
      </c>
      <c r="Q66" s="790"/>
    </row>
    <row r="67" spans="1:26" x14ac:dyDescent="0.2">
      <c r="A67" s="412"/>
      <c r="B67" s="412"/>
      <c r="C67" s="412"/>
      <c r="D67" s="395" t="s">
        <v>792</v>
      </c>
      <c r="E67" s="412"/>
      <c r="F67" s="412"/>
      <c r="G67" s="412"/>
      <c r="H67" s="412"/>
      <c r="I67" s="412"/>
      <c r="J67" s="412"/>
      <c r="K67" s="412"/>
      <c r="L67" s="412"/>
      <c r="Q67" s="790"/>
    </row>
    <row r="68" spans="1:26" x14ac:dyDescent="0.2">
      <c r="A68" s="412"/>
      <c r="B68" s="412"/>
      <c r="C68" s="412"/>
      <c r="D68" s="416" t="s">
        <v>715</v>
      </c>
      <c r="E68" s="417"/>
      <c r="F68" s="417"/>
      <c r="G68" s="417"/>
      <c r="H68" s="418">
        <v>2487.61</v>
      </c>
      <c r="I68" s="412"/>
      <c r="J68" s="412"/>
      <c r="K68" s="412"/>
      <c r="L68" s="412"/>
      <c r="Q68" s="790"/>
    </row>
    <row r="69" spans="1:26" s="829" customFormat="1" ht="30.6" x14ac:dyDescent="0.2">
      <c r="A69" s="825">
        <v>5</v>
      </c>
      <c r="B69" s="825">
        <v>5</v>
      </c>
      <c r="C69" s="825" t="s">
        <v>744</v>
      </c>
      <c r="D69" s="825" t="s">
        <v>1695</v>
      </c>
      <c r="E69" s="826">
        <v>1556.472</v>
      </c>
      <c r="F69" s="827">
        <v>162.38</v>
      </c>
      <c r="G69" s="827" t="s">
        <v>281</v>
      </c>
      <c r="H69" s="828">
        <v>2062356.53</v>
      </c>
      <c r="I69" s="828" t="s">
        <v>281</v>
      </c>
      <c r="J69" s="828" t="s">
        <v>281</v>
      </c>
      <c r="K69" s="827" t="s">
        <v>281</v>
      </c>
      <c r="L69" s="827" t="s">
        <v>281</v>
      </c>
      <c r="M69" s="874">
        <f>M41*1000+M57*100</f>
        <v>452.8</v>
      </c>
      <c r="N69" s="874" t="s">
        <v>2379</v>
      </c>
      <c r="O69" s="874"/>
      <c r="Q69" s="790">
        <f t="shared" si="0"/>
        <v>599969.05616291205</v>
      </c>
      <c r="T69" s="829">
        <v>2062356.53</v>
      </c>
      <c r="V69" s="829" t="s">
        <v>281</v>
      </c>
      <c r="W69" s="829" t="s">
        <v>281</v>
      </c>
      <c r="X69" s="829" t="s">
        <v>281</v>
      </c>
      <c r="Y69" s="829" t="s">
        <v>281</v>
      </c>
      <c r="Z69" s="829" t="s">
        <v>281</v>
      </c>
    </row>
    <row r="70" spans="1:26" x14ac:dyDescent="0.2">
      <c r="A70" s="407"/>
      <c r="B70" s="407"/>
      <c r="C70" s="407"/>
      <c r="D70" s="408" t="s">
        <v>745</v>
      </c>
      <c r="E70" s="409"/>
      <c r="F70" s="410" t="s">
        <v>281</v>
      </c>
      <c r="G70" s="410" t="s">
        <v>281</v>
      </c>
      <c r="H70" s="409"/>
      <c r="I70" s="409"/>
      <c r="J70" s="411" t="s">
        <v>281</v>
      </c>
      <c r="K70" s="410" t="s">
        <v>281</v>
      </c>
      <c r="L70" s="410" t="s">
        <v>281</v>
      </c>
      <c r="Q70" s="790"/>
    </row>
    <row r="71" spans="1:26" x14ac:dyDescent="0.2">
      <c r="A71" s="412"/>
      <c r="B71" s="412"/>
      <c r="C71" s="412"/>
      <c r="D71" s="395" t="s">
        <v>718</v>
      </c>
      <c r="E71" s="412"/>
      <c r="F71" s="412"/>
      <c r="G71" s="412"/>
      <c r="H71" s="412"/>
      <c r="I71" s="412"/>
      <c r="J71" s="412"/>
      <c r="K71" s="412"/>
      <c r="L71" s="412"/>
      <c r="Q71" s="790"/>
    </row>
    <row r="72" spans="1:26" s="817" customFormat="1" ht="40.799999999999997" x14ac:dyDescent="0.2">
      <c r="A72" s="813">
        <v>6</v>
      </c>
      <c r="B72" s="813">
        <v>6</v>
      </c>
      <c r="C72" s="813" t="s">
        <v>1172</v>
      </c>
      <c r="D72" s="813" t="s">
        <v>1155</v>
      </c>
      <c r="E72" s="814">
        <v>4.3671600000000002</v>
      </c>
      <c r="F72" s="815">
        <v>26.148125</v>
      </c>
      <c r="G72" s="815">
        <v>26.148125</v>
      </c>
      <c r="H72" s="816">
        <v>1511.91</v>
      </c>
      <c r="I72" s="816" t="s">
        <v>281</v>
      </c>
      <c r="J72" s="816">
        <v>1511.91</v>
      </c>
      <c r="K72" s="815" t="s">
        <v>281</v>
      </c>
      <c r="L72" s="815" t="s">
        <v>281</v>
      </c>
      <c r="M72" s="818">
        <v>0</v>
      </c>
      <c r="N72" s="818" t="s">
        <v>2375</v>
      </c>
      <c r="O72" s="818"/>
      <c r="Q72" s="790">
        <f t="shared" si="0"/>
        <v>0</v>
      </c>
      <c r="T72" s="817">
        <v>2657.84</v>
      </c>
      <c r="V72" s="817" t="s">
        <v>281</v>
      </c>
      <c r="W72" s="817">
        <v>1511.91</v>
      </c>
      <c r="X72" s="817">
        <v>874.09</v>
      </c>
      <c r="Y72" s="817" t="s">
        <v>281</v>
      </c>
      <c r="Z72" s="817">
        <v>1.443892</v>
      </c>
    </row>
    <row r="73" spans="1:26" x14ac:dyDescent="0.2">
      <c r="A73" s="407"/>
      <c r="B73" s="407"/>
      <c r="C73" s="407"/>
      <c r="D73" s="408" t="s">
        <v>1060</v>
      </c>
      <c r="E73" s="409"/>
      <c r="F73" s="410" t="s">
        <v>281</v>
      </c>
      <c r="G73" s="410">
        <v>4.4706250000000001</v>
      </c>
      <c r="H73" s="409"/>
      <c r="I73" s="409"/>
      <c r="J73" s="411">
        <v>874.09</v>
      </c>
      <c r="K73" s="410">
        <v>0.330625</v>
      </c>
      <c r="L73" s="410">
        <v>1.443892</v>
      </c>
      <c r="Q73" s="790"/>
    </row>
    <row r="74" spans="1:26" ht="20.399999999999999" x14ac:dyDescent="0.2">
      <c r="A74" s="412"/>
      <c r="B74" s="412"/>
      <c r="C74" s="412"/>
      <c r="D74" s="395" t="s">
        <v>714</v>
      </c>
      <c r="E74" s="412"/>
      <c r="F74" s="412"/>
      <c r="G74" s="412"/>
      <c r="H74" s="412"/>
      <c r="I74" s="412"/>
      <c r="J74" s="412"/>
      <c r="K74" s="412"/>
      <c r="L74" s="412"/>
      <c r="Q74" s="790"/>
    </row>
    <row r="75" spans="1:26" ht="20.399999999999999" x14ac:dyDescent="0.2">
      <c r="A75" s="412"/>
      <c r="B75" s="412"/>
      <c r="C75" s="412"/>
      <c r="D75" s="395" t="s">
        <v>978</v>
      </c>
      <c r="E75" s="412"/>
      <c r="F75" s="412"/>
      <c r="G75" s="412"/>
      <c r="H75" s="412"/>
      <c r="I75" s="412"/>
      <c r="J75" s="412"/>
      <c r="K75" s="412"/>
      <c r="L75" s="412"/>
      <c r="Q75" s="790"/>
    </row>
    <row r="76" spans="1:26" ht="132.6" x14ac:dyDescent="0.2">
      <c r="A76" s="412"/>
      <c r="B76" s="412"/>
      <c r="C76" s="412"/>
      <c r="D76" s="395" t="s">
        <v>979</v>
      </c>
      <c r="E76" s="412"/>
      <c r="F76" s="412"/>
      <c r="G76" s="412"/>
      <c r="H76" s="412"/>
      <c r="I76" s="412"/>
      <c r="J76" s="412"/>
      <c r="K76" s="412"/>
      <c r="L76" s="412"/>
      <c r="Q76" s="790"/>
    </row>
    <row r="77" spans="1:26" x14ac:dyDescent="0.2">
      <c r="A77" s="412"/>
      <c r="B77" s="412"/>
      <c r="C77" s="412"/>
      <c r="D77" s="413" t="s">
        <v>206</v>
      </c>
      <c r="E77" s="414" t="s">
        <v>764</v>
      </c>
      <c r="F77" s="414"/>
      <c r="G77" s="414"/>
      <c r="H77" s="415">
        <v>804.16</v>
      </c>
      <c r="I77" s="412"/>
      <c r="J77" s="412"/>
      <c r="K77" s="412"/>
      <c r="L77" s="412"/>
      <c r="Q77" s="790">
        <f t="shared" si="0"/>
        <v>0</v>
      </c>
    </row>
    <row r="78" spans="1:26" x14ac:dyDescent="0.2">
      <c r="A78" s="412"/>
      <c r="B78" s="412"/>
      <c r="C78" s="412"/>
      <c r="D78" s="413" t="s">
        <v>207</v>
      </c>
      <c r="E78" s="414" t="s">
        <v>972</v>
      </c>
      <c r="F78" s="414"/>
      <c r="G78" s="414"/>
      <c r="H78" s="415">
        <v>341.77</v>
      </c>
      <c r="I78" s="412"/>
      <c r="J78" s="412"/>
      <c r="K78" s="412"/>
      <c r="L78" s="412"/>
      <c r="Q78" s="790">
        <f t="shared" si="0"/>
        <v>0</v>
      </c>
    </row>
    <row r="79" spans="1:26" x14ac:dyDescent="0.2">
      <c r="A79" s="412"/>
      <c r="B79" s="412"/>
      <c r="C79" s="412"/>
      <c r="D79" s="416" t="s">
        <v>715</v>
      </c>
      <c r="E79" s="417"/>
      <c r="F79" s="417"/>
      <c r="G79" s="417"/>
      <c r="H79" s="418">
        <v>2657.84</v>
      </c>
      <c r="I79" s="412"/>
      <c r="J79" s="412"/>
      <c r="K79" s="412"/>
      <c r="L79" s="412"/>
      <c r="Q79" s="790"/>
    </row>
    <row r="80" spans="1:26" s="817" customFormat="1" ht="40.799999999999997" x14ac:dyDescent="0.2">
      <c r="A80" s="813">
        <v>7</v>
      </c>
      <c r="B80" s="813">
        <v>7</v>
      </c>
      <c r="C80" s="813" t="s">
        <v>1173</v>
      </c>
      <c r="D80" s="813" t="s">
        <v>1156</v>
      </c>
      <c r="E80" s="814">
        <v>1.0917851999999999</v>
      </c>
      <c r="F80" s="815">
        <v>975.80662500000005</v>
      </c>
      <c r="G80" s="815" t="s">
        <v>281</v>
      </c>
      <c r="H80" s="816">
        <v>47696.67</v>
      </c>
      <c r="I80" s="816">
        <v>47696.67</v>
      </c>
      <c r="J80" s="816" t="s">
        <v>281</v>
      </c>
      <c r="K80" s="815">
        <v>114.39624999999999</v>
      </c>
      <c r="L80" s="815">
        <v>124.89613300000001</v>
      </c>
      <c r="M80" s="818">
        <v>0</v>
      </c>
      <c r="N80" s="818" t="s">
        <v>2375</v>
      </c>
      <c r="O80" s="818"/>
      <c r="Q80" s="790">
        <f t="shared" si="0"/>
        <v>0</v>
      </c>
      <c r="T80" s="817">
        <v>110227.01</v>
      </c>
      <c r="V80" s="817">
        <v>47696.67</v>
      </c>
      <c r="W80" s="817" t="s">
        <v>281</v>
      </c>
      <c r="X80" s="817" t="s">
        <v>281</v>
      </c>
      <c r="Y80" s="817">
        <v>124.89613300000001</v>
      </c>
      <c r="Z80" s="817" t="s">
        <v>281</v>
      </c>
    </row>
    <row r="81" spans="1:26" x14ac:dyDescent="0.2">
      <c r="A81" s="407"/>
      <c r="B81" s="407"/>
      <c r="C81" s="407"/>
      <c r="D81" s="408" t="s">
        <v>1060</v>
      </c>
      <c r="E81" s="409"/>
      <c r="F81" s="410">
        <v>975.80662500000005</v>
      </c>
      <c r="G81" s="410" t="s">
        <v>281</v>
      </c>
      <c r="H81" s="409"/>
      <c r="I81" s="409"/>
      <c r="J81" s="411" t="s">
        <v>281</v>
      </c>
      <c r="K81" s="410" t="s">
        <v>281</v>
      </c>
      <c r="L81" s="410" t="s">
        <v>281</v>
      </c>
      <c r="Q81" s="790"/>
    </row>
    <row r="82" spans="1:26" ht="20.399999999999999" x14ac:dyDescent="0.2">
      <c r="A82" s="412"/>
      <c r="B82" s="412"/>
      <c r="C82" s="412"/>
      <c r="D82" s="395" t="s">
        <v>714</v>
      </c>
      <c r="E82" s="412"/>
      <c r="F82" s="412"/>
      <c r="G82" s="412"/>
      <c r="H82" s="412"/>
      <c r="I82" s="412"/>
      <c r="J82" s="412"/>
      <c r="K82" s="412"/>
      <c r="L82" s="412"/>
      <c r="Q82" s="790"/>
    </row>
    <row r="83" spans="1:26" ht="20.399999999999999" x14ac:dyDescent="0.2">
      <c r="A83" s="412"/>
      <c r="B83" s="412"/>
      <c r="C83" s="412"/>
      <c r="D83" s="395" t="s">
        <v>978</v>
      </c>
      <c r="E83" s="412"/>
      <c r="F83" s="412"/>
      <c r="G83" s="412"/>
      <c r="H83" s="412"/>
      <c r="I83" s="412"/>
      <c r="J83" s="412"/>
      <c r="K83" s="412"/>
      <c r="L83" s="412"/>
      <c r="Q83" s="790"/>
    </row>
    <row r="84" spans="1:26" ht="132.6" x14ac:dyDescent="0.2">
      <c r="A84" s="412"/>
      <c r="B84" s="412"/>
      <c r="C84" s="412"/>
      <c r="D84" s="395" t="s">
        <v>979</v>
      </c>
      <c r="E84" s="412"/>
      <c r="F84" s="412"/>
      <c r="G84" s="412"/>
      <c r="H84" s="412"/>
      <c r="I84" s="412"/>
      <c r="J84" s="412"/>
      <c r="K84" s="412"/>
      <c r="L84" s="412"/>
      <c r="Q84" s="790"/>
    </row>
    <row r="85" spans="1:26" x14ac:dyDescent="0.2">
      <c r="A85" s="412"/>
      <c r="B85" s="412"/>
      <c r="C85" s="412"/>
      <c r="D85" s="413" t="s">
        <v>206</v>
      </c>
      <c r="E85" s="414" t="s">
        <v>764</v>
      </c>
      <c r="F85" s="414"/>
      <c r="G85" s="414"/>
      <c r="H85" s="415">
        <v>43880.94</v>
      </c>
      <c r="I85" s="412"/>
      <c r="J85" s="412"/>
      <c r="K85" s="412"/>
      <c r="L85" s="412"/>
      <c r="Q85" s="790">
        <f t="shared" si="0"/>
        <v>0</v>
      </c>
    </row>
    <row r="86" spans="1:26" x14ac:dyDescent="0.2">
      <c r="A86" s="412"/>
      <c r="B86" s="412"/>
      <c r="C86" s="412"/>
      <c r="D86" s="413" t="s">
        <v>207</v>
      </c>
      <c r="E86" s="414" t="s">
        <v>972</v>
      </c>
      <c r="F86" s="414"/>
      <c r="G86" s="414"/>
      <c r="H86" s="415">
        <v>18649.400000000001</v>
      </c>
      <c r="I86" s="412"/>
      <c r="J86" s="412"/>
      <c r="K86" s="412"/>
      <c r="L86" s="412"/>
      <c r="Q86" s="790">
        <f t="shared" si="0"/>
        <v>0</v>
      </c>
    </row>
    <row r="87" spans="1:26" x14ac:dyDescent="0.2">
      <c r="A87" s="412"/>
      <c r="B87" s="412"/>
      <c r="C87" s="412"/>
      <c r="D87" s="416" t="s">
        <v>715</v>
      </c>
      <c r="E87" s="417"/>
      <c r="F87" s="417"/>
      <c r="G87" s="417"/>
      <c r="H87" s="418">
        <v>110227.01</v>
      </c>
      <c r="I87" s="412"/>
      <c r="J87" s="412"/>
      <c r="K87" s="412"/>
      <c r="L87" s="412"/>
      <c r="Q87" s="790"/>
    </row>
    <row r="88" spans="1:26" s="817" customFormat="1" ht="40.799999999999997" x14ac:dyDescent="0.2">
      <c r="A88" s="813">
        <v>8</v>
      </c>
      <c r="B88" s="813">
        <v>8</v>
      </c>
      <c r="C88" s="813" t="s">
        <v>1174</v>
      </c>
      <c r="D88" s="813" t="s">
        <v>1157</v>
      </c>
      <c r="E88" s="814">
        <v>2.2248000000000001</v>
      </c>
      <c r="F88" s="815">
        <v>1927.39195</v>
      </c>
      <c r="G88" s="815">
        <v>1872.4156250000001</v>
      </c>
      <c r="H88" s="816">
        <v>60630.41</v>
      </c>
      <c r="I88" s="816">
        <v>5475.88</v>
      </c>
      <c r="J88" s="816">
        <v>55154.53</v>
      </c>
      <c r="K88" s="815">
        <v>7.0489249999999997</v>
      </c>
      <c r="L88" s="815">
        <v>15.682448000000001</v>
      </c>
      <c r="M88" s="818">
        <v>0</v>
      </c>
      <c r="N88" s="818" t="s">
        <v>2375</v>
      </c>
      <c r="O88" s="818"/>
      <c r="Q88" s="790">
        <f t="shared" si="0"/>
        <v>0</v>
      </c>
      <c r="T88" s="817">
        <v>96444.53</v>
      </c>
      <c r="V88" s="817">
        <v>5475.88</v>
      </c>
      <c r="W88" s="817">
        <v>55154.53</v>
      </c>
      <c r="X88" s="817">
        <v>21842.29</v>
      </c>
      <c r="Y88" s="817">
        <v>15.682448000000001</v>
      </c>
      <c r="Z88" s="817">
        <v>36.139094999999998</v>
      </c>
    </row>
    <row r="89" spans="1:26" x14ac:dyDescent="0.2">
      <c r="A89" s="407"/>
      <c r="B89" s="407"/>
      <c r="C89" s="407"/>
      <c r="D89" s="408" t="s">
        <v>1060</v>
      </c>
      <c r="E89" s="409"/>
      <c r="F89" s="410">
        <v>54.976325000000003</v>
      </c>
      <c r="G89" s="410">
        <v>219.29062500000001</v>
      </c>
      <c r="H89" s="409"/>
      <c r="I89" s="409"/>
      <c r="J89" s="411">
        <v>21842.29</v>
      </c>
      <c r="K89" s="410">
        <v>16.243749999999999</v>
      </c>
      <c r="L89" s="410">
        <v>36.139094999999998</v>
      </c>
      <c r="Q89" s="790"/>
    </row>
    <row r="90" spans="1:26" ht="20.399999999999999" x14ac:dyDescent="0.2">
      <c r="A90" s="412"/>
      <c r="B90" s="412"/>
      <c r="C90" s="412"/>
      <c r="D90" s="395" t="s">
        <v>714</v>
      </c>
      <c r="E90" s="412"/>
      <c r="F90" s="412"/>
      <c r="G90" s="412"/>
      <c r="H90" s="412"/>
      <c r="I90" s="412"/>
      <c r="J90" s="412"/>
      <c r="K90" s="412"/>
      <c r="L90" s="412"/>
      <c r="Q90" s="790"/>
    </row>
    <row r="91" spans="1:26" ht="20.399999999999999" x14ac:dyDescent="0.2">
      <c r="A91" s="412"/>
      <c r="B91" s="412"/>
      <c r="C91" s="412"/>
      <c r="D91" s="395" t="s">
        <v>978</v>
      </c>
      <c r="E91" s="412"/>
      <c r="F91" s="412"/>
      <c r="G91" s="412"/>
      <c r="H91" s="412"/>
      <c r="I91" s="412"/>
      <c r="J91" s="412"/>
      <c r="K91" s="412"/>
      <c r="L91" s="412"/>
      <c r="Q91" s="790"/>
    </row>
    <row r="92" spans="1:26" ht="132.6" x14ac:dyDescent="0.2">
      <c r="A92" s="412"/>
      <c r="B92" s="412"/>
      <c r="C92" s="412"/>
      <c r="D92" s="395" t="s">
        <v>979</v>
      </c>
      <c r="E92" s="412"/>
      <c r="F92" s="412"/>
      <c r="G92" s="412"/>
      <c r="H92" s="412"/>
      <c r="I92" s="412"/>
      <c r="J92" s="412"/>
      <c r="K92" s="412"/>
      <c r="L92" s="412"/>
      <c r="Q92" s="790"/>
    </row>
    <row r="93" spans="1:26" x14ac:dyDescent="0.2">
      <c r="A93" s="412"/>
      <c r="B93" s="412"/>
      <c r="C93" s="412"/>
      <c r="D93" s="413" t="s">
        <v>206</v>
      </c>
      <c r="E93" s="414" t="s">
        <v>764</v>
      </c>
      <c r="F93" s="414"/>
      <c r="G93" s="414"/>
      <c r="H93" s="415">
        <v>25132.720000000001</v>
      </c>
      <c r="I93" s="412"/>
      <c r="J93" s="412"/>
      <c r="K93" s="412"/>
      <c r="L93" s="412"/>
      <c r="Q93" s="790">
        <f t="shared" si="0"/>
        <v>0</v>
      </c>
    </row>
    <row r="94" spans="1:26" x14ac:dyDescent="0.2">
      <c r="A94" s="412"/>
      <c r="B94" s="412"/>
      <c r="C94" s="412"/>
      <c r="D94" s="413" t="s">
        <v>207</v>
      </c>
      <c r="E94" s="414" t="s">
        <v>972</v>
      </c>
      <c r="F94" s="414"/>
      <c r="G94" s="414"/>
      <c r="H94" s="415">
        <v>10681.4</v>
      </c>
      <c r="I94" s="412"/>
      <c r="J94" s="412"/>
      <c r="K94" s="412"/>
      <c r="L94" s="412"/>
      <c r="Q94" s="790">
        <f t="shared" si="0"/>
        <v>0</v>
      </c>
    </row>
    <row r="95" spans="1:26" x14ac:dyDescent="0.2">
      <c r="A95" s="412"/>
      <c r="B95" s="412"/>
      <c r="C95" s="412"/>
      <c r="D95" s="416" t="s">
        <v>715</v>
      </c>
      <c r="E95" s="417"/>
      <c r="F95" s="417"/>
      <c r="G95" s="417"/>
      <c r="H95" s="418">
        <v>96444.53</v>
      </c>
      <c r="I95" s="412"/>
      <c r="J95" s="412"/>
      <c r="K95" s="412"/>
      <c r="L95" s="412"/>
      <c r="Q95" s="790"/>
    </row>
    <row r="96" spans="1:26" s="817" customFormat="1" ht="40.799999999999997" x14ac:dyDescent="0.2">
      <c r="A96" s="813">
        <v>9</v>
      </c>
      <c r="B96" s="813">
        <v>9</v>
      </c>
      <c r="C96" s="813" t="s">
        <v>1173</v>
      </c>
      <c r="D96" s="813" t="s">
        <v>1156</v>
      </c>
      <c r="E96" s="814">
        <v>0.55620000000000003</v>
      </c>
      <c r="F96" s="815">
        <v>975.80662500000005</v>
      </c>
      <c r="G96" s="815" t="s">
        <v>281</v>
      </c>
      <c r="H96" s="816">
        <v>24298.63</v>
      </c>
      <c r="I96" s="816">
        <v>24298.63</v>
      </c>
      <c r="J96" s="816" t="s">
        <v>281</v>
      </c>
      <c r="K96" s="815">
        <v>114.39624999999999</v>
      </c>
      <c r="L96" s="815">
        <v>63.627194000000003</v>
      </c>
      <c r="M96" s="818">
        <v>0</v>
      </c>
      <c r="N96" s="818" t="s">
        <v>2375</v>
      </c>
      <c r="O96" s="818"/>
      <c r="Q96" s="790">
        <f t="shared" si="0"/>
        <v>0</v>
      </c>
      <c r="T96" s="817">
        <v>56154.13</v>
      </c>
      <c r="V96" s="817">
        <v>24298.63</v>
      </c>
      <c r="W96" s="817" t="s">
        <v>281</v>
      </c>
      <c r="X96" s="817" t="s">
        <v>281</v>
      </c>
      <c r="Y96" s="817">
        <v>63.627194000000003</v>
      </c>
      <c r="Z96" s="817" t="s">
        <v>281</v>
      </c>
    </row>
    <row r="97" spans="1:26" x14ac:dyDescent="0.2">
      <c r="A97" s="407"/>
      <c r="B97" s="407"/>
      <c r="C97" s="407"/>
      <c r="D97" s="408" t="s">
        <v>1060</v>
      </c>
      <c r="E97" s="409"/>
      <c r="F97" s="410">
        <v>975.80662500000005</v>
      </c>
      <c r="G97" s="410" t="s">
        <v>281</v>
      </c>
      <c r="H97" s="409"/>
      <c r="I97" s="409"/>
      <c r="J97" s="411" t="s">
        <v>281</v>
      </c>
      <c r="K97" s="410" t="s">
        <v>281</v>
      </c>
      <c r="L97" s="410" t="s">
        <v>281</v>
      </c>
      <c r="Q97" s="790"/>
    </row>
    <row r="98" spans="1:26" ht="20.399999999999999" x14ac:dyDescent="0.2">
      <c r="A98" s="412"/>
      <c r="B98" s="412"/>
      <c r="C98" s="412"/>
      <c r="D98" s="395" t="s">
        <v>714</v>
      </c>
      <c r="E98" s="412"/>
      <c r="F98" s="412"/>
      <c r="G98" s="412"/>
      <c r="H98" s="412"/>
      <c r="I98" s="412"/>
      <c r="J98" s="412"/>
      <c r="K98" s="412"/>
      <c r="L98" s="412"/>
      <c r="Q98" s="790"/>
    </row>
    <row r="99" spans="1:26" ht="20.399999999999999" x14ac:dyDescent="0.2">
      <c r="A99" s="412"/>
      <c r="B99" s="412"/>
      <c r="C99" s="412"/>
      <c r="D99" s="395" t="s">
        <v>978</v>
      </c>
      <c r="E99" s="412"/>
      <c r="F99" s="412"/>
      <c r="G99" s="412"/>
      <c r="H99" s="412"/>
      <c r="I99" s="412"/>
      <c r="J99" s="412"/>
      <c r="K99" s="412"/>
      <c r="L99" s="412"/>
      <c r="Q99" s="790"/>
    </row>
    <row r="100" spans="1:26" ht="132.6" x14ac:dyDescent="0.2">
      <c r="A100" s="412"/>
      <c r="B100" s="412"/>
      <c r="C100" s="412"/>
      <c r="D100" s="395" t="s">
        <v>979</v>
      </c>
      <c r="E100" s="412"/>
      <c r="F100" s="412"/>
      <c r="G100" s="412"/>
      <c r="H100" s="412"/>
      <c r="I100" s="412"/>
      <c r="J100" s="412"/>
      <c r="K100" s="412"/>
      <c r="L100" s="412"/>
      <c r="Q100" s="790"/>
    </row>
    <row r="101" spans="1:26" x14ac:dyDescent="0.2">
      <c r="A101" s="412"/>
      <c r="B101" s="412"/>
      <c r="C101" s="412"/>
      <c r="D101" s="413" t="s">
        <v>206</v>
      </c>
      <c r="E101" s="414" t="s">
        <v>764</v>
      </c>
      <c r="F101" s="414"/>
      <c r="G101" s="414"/>
      <c r="H101" s="415">
        <v>22354.74</v>
      </c>
      <c r="I101" s="412"/>
      <c r="J101" s="412"/>
      <c r="K101" s="412"/>
      <c r="L101" s="412"/>
      <c r="Q101" s="790">
        <f t="shared" si="0"/>
        <v>0</v>
      </c>
    </row>
    <row r="102" spans="1:26" x14ac:dyDescent="0.2">
      <c r="A102" s="412"/>
      <c r="B102" s="412"/>
      <c r="C102" s="412"/>
      <c r="D102" s="413" t="s">
        <v>207</v>
      </c>
      <c r="E102" s="414" t="s">
        <v>972</v>
      </c>
      <c r="F102" s="414"/>
      <c r="G102" s="414"/>
      <c r="H102" s="415">
        <v>9500.76</v>
      </c>
      <c r="I102" s="412"/>
      <c r="J102" s="412"/>
      <c r="K102" s="412"/>
      <c r="L102" s="412"/>
      <c r="Q102" s="790">
        <f t="shared" si="0"/>
        <v>0</v>
      </c>
    </row>
    <row r="103" spans="1:26" x14ac:dyDescent="0.2">
      <c r="A103" s="412"/>
      <c r="B103" s="412"/>
      <c r="C103" s="412"/>
      <c r="D103" s="416" t="s">
        <v>715</v>
      </c>
      <c r="E103" s="417"/>
      <c r="F103" s="417"/>
      <c r="G103" s="417"/>
      <c r="H103" s="418">
        <v>56154.13</v>
      </c>
      <c r="I103" s="412"/>
      <c r="J103" s="412"/>
      <c r="K103" s="412"/>
      <c r="L103" s="412"/>
      <c r="Q103" s="790"/>
    </row>
    <row r="104" spans="1:26" s="790" customFormat="1" ht="40.799999999999997" x14ac:dyDescent="0.2">
      <c r="A104" s="784">
        <v>10</v>
      </c>
      <c r="B104" s="784">
        <v>10</v>
      </c>
      <c r="C104" s="784" t="s">
        <v>1066</v>
      </c>
      <c r="D104" s="784" t="s">
        <v>1042</v>
      </c>
      <c r="E104" s="785">
        <v>2.9906999999999999</v>
      </c>
      <c r="F104" s="786">
        <v>4855.1961499999998</v>
      </c>
      <c r="G104" s="786">
        <v>4690.2606249999999</v>
      </c>
      <c r="H104" s="787">
        <v>206467.67</v>
      </c>
      <c r="I104" s="787">
        <v>20450.32</v>
      </c>
      <c r="J104" s="787">
        <v>185719.63</v>
      </c>
      <c r="K104" s="786">
        <v>19.044</v>
      </c>
      <c r="L104" s="786">
        <v>56.954891000000003</v>
      </c>
      <c r="M104" s="788">
        <f>82.3/100</f>
        <v>0.82299999999999995</v>
      </c>
      <c r="N104" s="788" t="s">
        <v>2367</v>
      </c>
      <c r="O104" s="788"/>
      <c r="Q104" s="790">
        <f t="shared" si="0"/>
        <v>56817.097137793797</v>
      </c>
      <c r="T104" s="790">
        <v>345802.31</v>
      </c>
      <c r="V104" s="790">
        <v>20450.32</v>
      </c>
      <c r="W104" s="790">
        <v>185719.63</v>
      </c>
      <c r="X104" s="790">
        <v>32955.06</v>
      </c>
      <c r="Y104" s="790">
        <v>56.954891000000003</v>
      </c>
      <c r="Z104" s="790">
        <v>59.671942000000001</v>
      </c>
    </row>
    <row r="105" spans="1:26" x14ac:dyDescent="0.2">
      <c r="A105" s="407"/>
      <c r="B105" s="407"/>
      <c r="C105" s="407"/>
      <c r="D105" s="408" t="s">
        <v>901</v>
      </c>
      <c r="E105" s="409"/>
      <c r="F105" s="410">
        <v>152.735525</v>
      </c>
      <c r="G105" s="410">
        <v>246.12875</v>
      </c>
      <c r="H105" s="409"/>
      <c r="I105" s="409"/>
      <c r="J105" s="411">
        <v>32955.06</v>
      </c>
      <c r="K105" s="410">
        <v>19.952500000000001</v>
      </c>
      <c r="L105" s="410">
        <v>59.671942000000001</v>
      </c>
      <c r="Q105" s="790"/>
    </row>
    <row r="106" spans="1:26" ht="20.399999999999999" x14ac:dyDescent="0.2">
      <c r="A106" s="412"/>
      <c r="B106" s="412"/>
      <c r="C106" s="412"/>
      <c r="D106" s="395" t="s">
        <v>714</v>
      </c>
      <c r="E106" s="412"/>
      <c r="F106" s="412"/>
      <c r="G106" s="412"/>
      <c r="H106" s="412"/>
      <c r="I106" s="412"/>
      <c r="J106" s="412"/>
      <c r="K106" s="412"/>
      <c r="L106" s="412"/>
      <c r="Q106" s="790"/>
    </row>
    <row r="107" spans="1:26" ht="20.399999999999999" x14ac:dyDescent="0.2">
      <c r="A107" s="412"/>
      <c r="B107" s="412"/>
      <c r="C107" s="412"/>
      <c r="D107" s="395" t="s">
        <v>978</v>
      </c>
      <c r="E107" s="412"/>
      <c r="F107" s="412"/>
      <c r="G107" s="412"/>
      <c r="H107" s="412"/>
      <c r="I107" s="412"/>
      <c r="J107" s="412"/>
      <c r="K107" s="412"/>
      <c r="L107" s="412"/>
      <c r="Q107" s="790"/>
    </row>
    <row r="108" spans="1:26" ht="132.6" x14ac:dyDescent="0.2">
      <c r="A108" s="412"/>
      <c r="B108" s="412"/>
      <c r="C108" s="412"/>
      <c r="D108" s="395" t="s">
        <v>979</v>
      </c>
      <c r="E108" s="412"/>
      <c r="F108" s="412"/>
      <c r="G108" s="412"/>
      <c r="H108" s="412"/>
      <c r="I108" s="412"/>
      <c r="J108" s="412"/>
      <c r="K108" s="412"/>
      <c r="L108" s="412"/>
      <c r="Q108" s="790"/>
    </row>
    <row r="109" spans="1:26" x14ac:dyDescent="0.2">
      <c r="A109" s="412"/>
      <c r="B109" s="412"/>
      <c r="C109" s="412"/>
      <c r="D109" s="413" t="s">
        <v>206</v>
      </c>
      <c r="E109" s="414" t="s">
        <v>1025</v>
      </c>
      <c r="F109" s="414"/>
      <c r="G109" s="414"/>
      <c r="H109" s="415">
        <v>78505.91</v>
      </c>
      <c r="I109" s="412"/>
      <c r="J109" s="412"/>
      <c r="K109" s="412"/>
      <c r="L109" s="412"/>
      <c r="Q109" s="790">
        <f t="shared" ref="Q109:Q158" si="1">H109/E109*M109</f>
        <v>0</v>
      </c>
    </row>
    <row r="110" spans="1:26" x14ac:dyDescent="0.2">
      <c r="A110" s="412"/>
      <c r="B110" s="412"/>
      <c r="C110" s="412"/>
      <c r="D110" s="413" t="s">
        <v>207</v>
      </c>
      <c r="E110" s="414" t="s">
        <v>1026</v>
      </c>
      <c r="F110" s="414"/>
      <c r="G110" s="414"/>
      <c r="H110" s="415">
        <v>60828.73</v>
      </c>
      <c r="I110" s="412"/>
      <c r="J110" s="412"/>
      <c r="K110" s="412"/>
      <c r="L110" s="412"/>
      <c r="Q110" s="790">
        <f t="shared" si="1"/>
        <v>0</v>
      </c>
    </row>
    <row r="111" spans="1:26" x14ac:dyDescent="0.2">
      <c r="A111" s="412"/>
      <c r="B111" s="412"/>
      <c r="C111" s="412"/>
      <c r="D111" s="416" t="s">
        <v>715</v>
      </c>
      <c r="E111" s="417"/>
      <c r="F111" s="417"/>
      <c r="G111" s="417"/>
      <c r="H111" s="418">
        <v>345802.31</v>
      </c>
      <c r="I111" s="412"/>
      <c r="J111" s="412"/>
      <c r="K111" s="412"/>
      <c r="L111" s="412"/>
      <c r="Q111" s="790"/>
    </row>
    <row r="112" spans="1:26" s="790" customFormat="1" ht="30.6" x14ac:dyDescent="0.2">
      <c r="A112" s="784">
        <v>11</v>
      </c>
      <c r="B112" s="784">
        <v>11</v>
      </c>
      <c r="C112" s="784" t="s">
        <v>766</v>
      </c>
      <c r="D112" s="784" t="s">
        <v>1540</v>
      </c>
      <c r="E112" s="785">
        <v>328.97699999999998</v>
      </c>
      <c r="F112" s="786">
        <v>101.17976</v>
      </c>
      <c r="G112" s="786" t="s">
        <v>281</v>
      </c>
      <c r="H112" s="787">
        <v>271613.28000000003</v>
      </c>
      <c r="I112" s="787" t="s">
        <v>281</v>
      </c>
      <c r="J112" s="787" t="s">
        <v>281</v>
      </c>
      <c r="K112" s="786" t="s">
        <v>281</v>
      </c>
      <c r="L112" s="786" t="s">
        <v>281</v>
      </c>
      <c r="M112" s="788">
        <f>M104*100*1.1</f>
        <v>90.53</v>
      </c>
      <c r="N112" s="788" t="s">
        <v>2376</v>
      </c>
      <c r="O112" s="788"/>
      <c r="Q112" s="790">
        <f t="shared" si="1"/>
        <v>74744.283759654994</v>
      </c>
      <c r="T112" s="790">
        <v>271613.28000000003</v>
      </c>
      <c r="V112" s="790" t="s">
        <v>281</v>
      </c>
      <c r="W112" s="790" t="s">
        <v>281</v>
      </c>
      <c r="X112" s="790" t="s">
        <v>281</v>
      </c>
      <c r="Y112" s="790" t="s">
        <v>281</v>
      </c>
      <c r="Z112" s="790" t="s">
        <v>281</v>
      </c>
    </row>
    <row r="113" spans="1:26" x14ac:dyDescent="0.2">
      <c r="A113" s="407"/>
      <c r="B113" s="407"/>
      <c r="C113" s="407"/>
      <c r="D113" s="408" t="s">
        <v>745</v>
      </c>
      <c r="E113" s="409"/>
      <c r="F113" s="410" t="s">
        <v>281</v>
      </c>
      <c r="G113" s="410" t="s">
        <v>281</v>
      </c>
      <c r="H113" s="409"/>
      <c r="I113" s="409"/>
      <c r="J113" s="411" t="s">
        <v>281</v>
      </c>
      <c r="K113" s="410" t="s">
        <v>281</v>
      </c>
      <c r="L113" s="410" t="s">
        <v>281</v>
      </c>
      <c r="Q113" s="790"/>
    </row>
    <row r="114" spans="1:26" x14ac:dyDescent="0.2">
      <c r="A114" s="412"/>
      <c r="B114" s="412"/>
      <c r="C114" s="412"/>
      <c r="D114" s="395" t="s">
        <v>718</v>
      </c>
      <c r="E114" s="412"/>
      <c r="F114" s="412"/>
      <c r="G114" s="412"/>
      <c r="H114" s="412"/>
      <c r="I114" s="412"/>
      <c r="J114" s="412"/>
      <c r="K114" s="412"/>
      <c r="L114" s="412"/>
      <c r="Q114" s="790"/>
    </row>
    <row r="115" spans="1:26" s="790" customFormat="1" ht="40.799999999999997" x14ac:dyDescent="0.2">
      <c r="A115" s="784">
        <v>12</v>
      </c>
      <c r="B115" s="784">
        <v>12</v>
      </c>
      <c r="C115" s="784" t="s">
        <v>1175</v>
      </c>
      <c r="D115" s="784" t="s">
        <v>1158</v>
      </c>
      <c r="E115" s="785">
        <v>18.074999999999999</v>
      </c>
      <c r="F115" s="786">
        <v>7820.0191750000004</v>
      </c>
      <c r="G115" s="786">
        <v>7573.8424999999997</v>
      </c>
      <c r="H115" s="787">
        <v>2000427.13</v>
      </c>
      <c r="I115" s="787">
        <v>185389.13</v>
      </c>
      <c r="J115" s="787">
        <v>1812518.89</v>
      </c>
      <c r="K115" s="786">
        <v>28.565999999999999</v>
      </c>
      <c r="L115" s="786">
        <v>516.33045000000004</v>
      </c>
      <c r="M115" s="788">
        <f>80.46/100+37.7/100+37.7/100+144.06/100</f>
        <v>2.9992000000000001</v>
      </c>
      <c r="N115" s="789" t="s">
        <v>2368</v>
      </c>
      <c r="O115" s="788"/>
      <c r="Q115" s="790">
        <f t="shared" si="1"/>
        <v>331932.56145482702</v>
      </c>
      <c r="T115" s="790">
        <v>3296464.35</v>
      </c>
      <c r="V115" s="790">
        <v>185389.13</v>
      </c>
      <c r="W115" s="790">
        <v>1812518.89</v>
      </c>
      <c r="X115" s="790">
        <v>311367.18</v>
      </c>
      <c r="Y115" s="790">
        <v>516.33045000000004</v>
      </c>
      <c r="Z115" s="790">
        <v>535.24593800000002</v>
      </c>
    </row>
    <row r="116" spans="1:26" x14ac:dyDescent="0.2">
      <c r="A116" s="407"/>
      <c r="B116" s="407"/>
      <c r="C116" s="407"/>
      <c r="D116" s="408" t="s">
        <v>901</v>
      </c>
      <c r="E116" s="409"/>
      <c r="F116" s="410">
        <v>229.096675</v>
      </c>
      <c r="G116" s="410">
        <v>384.77562499999999</v>
      </c>
      <c r="H116" s="409"/>
      <c r="I116" s="409"/>
      <c r="J116" s="411">
        <v>311367.18</v>
      </c>
      <c r="K116" s="410">
        <v>29.612500000000001</v>
      </c>
      <c r="L116" s="410">
        <v>535.24593800000002</v>
      </c>
      <c r="Q116" s="790"/>
    </row>
    <row r="117" spans="1:26" ht="20.399999999999999" x14ac:dyDescent="0.2">
      <c r="A117" s="412"/>
      <c r="B117" s="412"/>
      <c r="C117" s="412"/>
      <c r="D117" s="395" t="s">
        <v>714</v>
      </c>
      <c r="E117" s="412"/>
      <c r="F117" s="412"/>
      <c r="G117" s="412"/>
      <c r="H117" s="412"/>
      <c r="I117" s="412"/>
      <c r="J117" s="412"/>
      <c r="K117" s="412"/>
      <c r="L117" s="412"/>
      <c r="Q117" s="790"/>
    </row>
    <row r="118" spans="1:26" ht="20.399999999999999" x14ac:dyDescent="0.2">
      <c r="A118" s="412"/>
      <c r="B118" s="412"/>
      <c r="C118" s="412"/>
      <c r="D118" s="395" t="s">
        <v>978</v>
      </c>
      <c r="E118" s="412"/>
      <c r="F118" s="412"/>
      <c r="G118" s="412"/>
      <c r="H118" s="412"/>
      <c r="I118" s="412"/>
      <c r="J118" s="412"/>
      <c r="K118" s="412"/>
      <c r="L118" s="412"/>
      <c r="Q118" s="790"/>
    </row>
    <row r="119" spans="1:26" ht="132.6" x14ac:dyDescent="0.2">
      <c r="A119" s="412"/>
      <c r="B119" s="412"/>
      <c r="C119" s="412"/>
      <c r="D119" s="395" t="s">
        <v>979</v>
      </c>
      <c r="E119" s="412"/>
      <c r="F119" s="412"/>
      <c r="G119" s="412"/>
      <c r="H119" s="412"/>
      <c r="I119" s="412"/>
      <c r="J119" s="412"/>
      <c r="K119" s="412"/>
      <c r="L119" s="412"/>
      <c r="Q119" s="790"/>
    </row>
    <row r="120" spans="1:26" x14ac:dyDescent="0.2">
      <c r="A120" s="412"/>
      <c r="B120" s="412"/>
      <c r="C120" s="412"/>
      <c r="D120" s="413" t="s">
        <v>206</v>
      </c>
      <c r="E120" s="414" t="s">
        <v>1025</v>
      </c>
      <c r="F120" s="414"/>
      <c r="G120" s="414"/>
      <c r="H120" s="415">
        <v>730231.78</v>
      </c>
      <c r="I120" s="412"/>
      <c r="J120" s="412"/>
      <c r="K120" s="412"/>
      <c r="L120" s="412"/>
      <c r="Q120" s="790">
        <f t="shared" si="1"/>
        <v>0</v>
      </c>
    </row>
    <row r="121" spans="1:26" x14ac:dyDescent="0.2">
      <c r="A121" s="412"/>
      <c r="B121" s="412"/>
      <c r="C121" s="412"/>
      <c r="D121" s="413" t="s">
        <v>207</v>
      </c>
      <c r="E121" s="414" t="s">
        <v>1026</v>
      </c>
      <c r="F121" s="414"/>
      <c r="G121" s="414"/>
      <c r="H121" s="415">
        <v>565805.43999999994</v>
      </c>
      <c r="I121" s="412"/>
      <c r="J121" s="412"/>
      <c r="K121" s="412"/>
      <c r="L121" s="412"/>
      <c r="Q121" s="790">
        <f t="shared" si="1"/>
        <v>0</v>
      </c>
    </row>
    <row r="122" spans="1:26" x14ac:dyDescent="0.2">
      <c r="A122" s="412"/>
      <c r="B122" s="412"/>
      <c r="C122" s="412"/>
      <c r="D122" s="416" t="s">
        <v>715</v>
      </c>
      <c r="E122" s="417"/>
      <c r="F122" s="417"/>
      <c r="G122" s="417"/>
      <c r="H122" s="418">
        <v>3296464.35</v>
      </c>
      <c r="I122" s="412"/>
      <c r="J122" s="412"/>
      <c r="K122" s="412"/>
      <c r="L122" s="412"/>
      <c r="Q122" s="790"/>
    </row>
    <row r="123" spans="1:26" s="790" customFormat="1" ht="40.799999999999997" x14ac:dyDescent="0.2">
      <c r="A123" s="784">
        <v>13</v>
      </c>
      <c r="B123" s="784">
        <v>13</v>
      </c>
      <c r="C123" s="784" t="s">
        <v>766</v>
      </c>
      <c r="D123" s="784" t="s">
        <v>1556</v>
      </c>
      <c r="E123" s="785">
        <v>2277.4499999999998</v>
      </c>
      <c r="F123" s="786">
        <v>499.07792000000001</v>
      </c>
      <c r="G123" s="786" t="s">
        <v>281</v>
      </c>
      <c r="H123" s="787">
        <v>9274869.5800000001</v>
      </c>
      <c r="I123" s="787" t="s">
        <v>281</v>
      </c>
      <c r="J123" s="787" t="s">
        <v>281</v>
      </c>
      <c r="K123" s="786" t="s">
        <v>281</v>
      </c>
      <c r="L123" s="786" t="s">
        <v>281</v>
      </c>
      <c r="M123" s="788">
        <f>M115*100*1.26</f>
        <v>377.89920000000001</v>
      </c>
      <c r="N123" s="788" t="s">
        <v>2377</v>
      </c>
      <c r="O123" s="788" t="s">
        <v>2378</v>
      </c>
      <c r="Q123" s="790">
        <f t="shared" si="1"/>
        <v>1538986.9346797201</v>
      </c>
      <c r="T123" s="790">
        <v>9274869.5800000001</v>
      </c>
      <c r="V123" s="790" t="s">
        <v>281</v>
      </c>
      <c r="W123" s="790" t="s">
        <v>281</v>
      </c>
      <c r="X123" s="790" t="s">
        <v>281</v>
      </c>
      <c r="Y123" s="790" t="s">
        <v>281</v>
      </c>
      <c r="Z123" s="790" t="s">
        <v>281</v>
      </c>
    </row>
    <row r="124" spans="1:26" x14ac:dyDescent="0.2">
      <c r="A124" s="407"/>
      <c r="B124" s="407"/>
      <c r="C124" s="407"/>
      <c r="D124" s="408" t="s">
        <v>745</v>
      </c>
      <c r="E124" s="409"/>
      <c r="F124" s="410" t="s">
        <v>281</v>
      </c>
      <c r="G124" s="410" t="s">
        <v>281</v>
      </c>
      <c r="H124" s="409"/>
      <c r="I124" s="409"/>
      <c r="J124" s="411" t="s">
        <v>281</v>
      </c>
      <c r="K124" s="410" t="s">
        <v>281</v>
      </c>
      <c r="L124" s="410" t="s">
        <v>281</v>
      </c>
      <c r="Q124" s="790"/>
    </row>
    <row r="125" spans="1:26" x14ac:dyDescent="0.2">
      <c r="A125" s="412"/>
      <c r="B125" s="412"/>
      <c r="C125" s="412"/>
      <c r="D125" s="395" t="s">
        <v>718</v>
      </c>
      <c r="E125" s="412"/>
      <c r="F125" s="412"/>
      <c r="G125" s="412"/>
      <c r="H125" s="412"/>
      <c r="I125" s="412"/>
      <c r="J125" s="412"/>
      <c r="K125" s="412"/>
      <c r="L125" s="412"/>
      <c r="Q125" s="790"/>
    </row>
    <row r="126" spans="1:26" x14ac:dyDescent="0.2">
      <c r="A126" s="412"/>
      <c r="B126" s="412"/>
      <c r="C126" s="412"/>
      <c r="D126" s="412"/>
      <c r="E126" s="412"/>
      <c r="F126" s="412"/>
      <c r="G126" s="412"/>
      <c r="H126" s="412"/>
      <c r="I126" s="412"/>
      <c r="J126" s="412"/>
      <c r="K126" s="412"/>
      <c r="L126" s="412"/>
      <c r="Q126" s="790"/>
    </row>
    <row r="127" spans="1:26" ht="10.199999999999999" customHeight="1" x14ac:dyDescent="0.2">
      <c r="A127" s="643" t="s">
        <v>1021</v>
      </c>
      <c r="B127" s="644"/>
      <c r="C127" s="644"/>
      <c r="D127" s="644"/>
      <c r="E127" s="644"/>
      <c r="F127" s="644"/>
      <c r="G127" s="644"/>
      <c r="H127" s="644"/>
      <c r="I127" s="644"/>
      <c r="J127" s="644"/>
      <c r="K127" s="644"/>
      <c r="L127" s="645"/>
      <c r="Q127" s="790"/>
    </row>
    <row r="128" spans="1:26" s="817" customFormat="1" ht="20.399999999999999" x14ac:dyDescent="0.2">
      <c r="A128" s="813">
        <v>14</v>
      </c>
      <c r="B128" s="813">
        <v>14</v>
      </c>
      <c r="C128" s="813" t="s">
        <v>1176</v>
      </c>
      <c r="D128" s="813" t="s">
        <v>1160</v>
      </c>
      <c r="E128" s="814">
        <v>1</v>
      </c>
      <c r="F128" s="815">
        <v>3464.1565000000001</v>
      </c>
      <c r="G128" s="815">
        <v>2860.97</v>
      </c>
      <c r="H128" s="816">
        <v>64883.9</v>
      </c>
      <c r="I128" s="816">
        <v>27004.66</v>
      </c>
      <c r="J128" s="816">
        <v>37879.24</v>
      </c>
      <c r="K128" s="815">
        <v>75.209999999999994</v>
      </c>
      <c r="L128" s="815">
        <v>75.209999999999994</v>
      </c>
      <c r="M128" s="818">
        <v>0</v>
      </c>
      <c r="N128" s="818" t="s">
        <v>2323</v>
      </c>
      <c r="O128" s="818"/>
      <c r="Q128" s="790">
        <f t="shared" si="1"/>
        <v>0</v>
      </c>
      <c r="T128" s="817">
        <v>132309.22</v>
      </c>
      <c r="V128" s="817">
        <v>27004.66</v>
      </c>
      <c r="W128" s="817">
        <v>37879.24</v>
      </c>
      <c r="X128" s="817">
        <v>14045.76</v>
      </c>
      <c r="Y128" s="817">
        <v>75.209999999999994</v>
      </c>
      <c r="Z128" s="817">
        <v>25.161999999999999</v>
      </c>
    </row>
    <row r="129" spans="1:26" x14ac:dyDescent="0.2">
      <c r="A129" s="407"/>
      <c r="B129" s="407"/>
      <c r="C129" s="407"/>
      <c r="D129" s="408" t="s">
        <v>735</v>
      </c>
      <c r="E129" s="409"/>
      <c r="F129" s="410">
        <v>603.18650000000002</v>
      </c>
      <c r="G129" s="410">
        <v>313.73149999999998</v>
      </c>
      <c r="H129" s="409"/>
      <c r="I129" s="409"/>
      <c r="J129" s="411">
        <v>14045.76</v>
      </c>
      <c r="K129" s="410">
        <v>25.161999999999999</v>
      </c>
      <c r="L129" s="410">
        <v>25.161999999999999</v>
      </c>
      <c r="Q129" s="790"/>
    </row>
    <row r="130" spans="1:26" ht="20.399999999999999" x14ac:dyDescent="0.2">
      <c r="A130" s="412"/>
      <c r="B130" s="412"/>
      <c r="C130" s="412"/>
      <c r="D130" s="395" t="s">
        <v>714</v>
      </c>
      <c r="E130" s="412"/>
      <c r="F130" s="412"/>
      <c r="G130" s="412"/>
      <c r="H130" s="412"/>
      <c r="I130" s="412"/>
      <c r="J130" s="412"/>
      <c r="K130" s="412"/>
      <c r="L130" s="412"/>
      <c r="Q130" s="790"/>
    </row>
    <row r="131" spans="1:26" ht="20.399999999999999" x14ac:dyDescent="0.2">
      <c r="A131" s="412"/>
      <c r="B131" s="412"/>
      <c r="C131" s="412"/>
      <c r="D131" s="395" t="s">
        <v>1023</v>
      </c>
      <c r="E131" s="412"/>
      <c r="F131" s="412"/>
      <c r="G131" s="412"/>
      <c r="H131" s="412"/>
      <c r="I131" s="412"/>
      <c r="J131" s="412"/>
      <c r="K131" s="412"/>
      <c r="L131" s="412"/>
      <c r="Q131" s="790"/>
    </row>
    <row r="132" spans="1:26" ht="81.599999999999994" x14ac:dyDescent="0.2">
      <c r="A132" s="412"/>
      <c r="B132" s="412"/>
      <c r="C132" s="412"/>
      <c r="D132" s="395" t="s">
        <v>1024</v>
      </c>
      <c r="E132" s="412"/>
      <c r="F132" s="412"/>
      <c r="G132" s="412"/>
      <c r="H132" s="412"/>
      <c r="I132" s="412"/>
      <c r="J132" s="412"/>
      <c r="K132" s="412"/>
      <c r="L132" s="412"/>
      <c r="Q132" s="790"/>
    </row>
    <row r="133" spans="1:26" x14ac:dyDescent="0.2">
      <c r="A133" s="412"/>
      <c r="B133" s="412"/>
      <c r="C133" s="412"/>
      <c r="D133" s="413" t="s">
        <v>206</v>
      </c>
      <c r="E133" s="414" t="s">
        <v>838</v>
      </c>
      <c r="F133" s="414"/>
      <c r="G133" s="414"/>
      <c r="H133" s="415">
        <v>44744.959999999999</v>
      </c>
      <c r="I133" s="412"/>
      <c r="J133" s="412"/>
      <c r="K133" s="412"/>
      <c r="L133" s="412"/>
      <c r="Q133" s="790"/>
    </row>
    <row r="134" spans="1:26" x14ac:dyDescent="0.2">
      <c r="A134" s="412"/>
      <c r="B134" s="412"/>
      <c r="C134" s="412"/>
      <c r="D134" s="413" t="s">
        <v>207</v>
      </c>
      <c r="E134" s="414" t="s">
        <v>1177</v>
      </c>
      <c r="F134" s="414"/>
      <c r="G134" s="414"/>
      <c r="H134" s="415">
        <v>22680.36</v>
      </c>
      <c r="I134" s="412"/>
      <c r="J134" s="412"/>
      <c r="K134" s="412"/>
      <c r="L134" s="412"/>
      <c r="Q134" s="790"/>
    </row>
    <row r="135" spans="1:26" x14ac:dyDescent="0.2">
      <c r="A135" s="412"/>
      <c r="B135" s="412"/>
      <c r="C135" s="412"/>
      <c r="D135" s="416" t="s">
        <v>715</v>
      </c>
      <c r="E135" s="417"/>
      <c r="F135" s="417"/>
      <c r="G135" s="417"/>
      <c r="H135" s="418">
        <v>132309.22</v>
      </c>
      <c r="I135" s="412"/>
      <c r="J135" s="412"/>
      <c r="K135" s="412"/>
      <c r="L135" s="412"/>
      <c r="Q135" s="790"/>
    </row>
    <row r="136" spans="1:26" s="790" customFormat="1" ht="30.6" x14ac:dyDescent="0.2">
      <c r="A136" s="784">
        <v>15</v>
      </c>
      <c r="B136" s="784">
        <v>15</v>
      </c>
      <c r="C136" s="784" t="s">
        <v>1178</v>
      </c>
      <c r="D136" s="784" t="s">
        <v>1161</v>
      </c>
      <c r="E136" s="785">
        <v>4</v>
      </c>
      <c r="F136" s="786">
        <v>490.65899999999999</v>
      </c>
      <c r="G136" s="786">
        <v>147.22300000000001</v>
      </c>
      <c r="H136" s="787">
        <v>69299.44</v>
      </c>
      <c r="I136" s="787">
        <v>61502.52</v>
      </c>
      <c r="J136" s="787">
        <v>7796.92</v>
      </c>
      <c r="K136" s="786">
        <v>40.261499999999998</v>
      </c>
      <c r="L136" s="786">
        <v>161.04599999999999</v>
      </c>
      <c r="M136" s="788">
        <v>1</v>
      </c>
      <c r="N136" s="788" t="s">
        <v>2364</v>
      </c>
      <c r="O136" s="788" t="s">
        <v>2365</v>
      </c>
      <c r="Q136" s="790">
        <f t="shared" si="1"/>
        <v>17324.86</v>
      </c>
      <c r="T136" s="790">
        <v>177028.39</v>
      </c>
      <c r="V136" s="790">
        <v>61502.52</v>
      </c>
      <c r="W136" s="790">
        <v>7796.92</v>
      </c>
      <c r="X136" s="790">
        <v>4085.88</v>
      </c>
      <c r="Y136" s="790">
        <v>161.04599999999999</v>
      </c>
      <c r="Z136" s="790">
        <v>7.8659999999999997</v>
      </c>
    </row>
    <row r="137" spans="1:26" x14ac:dyDescent="0.2">
      <c r="A137" s="407"/>
      <c r="B137" s="407"/>
      <c r="C137" s="407"/>
      <c r="D137" s="408" t="s">
        <v>1179</v>
      </c>
      <c r="E137" s="409"/>
      <c r="F137" s="410">
        <v>343.43599999999998</v>
      </c>
      <c r="G137" s="410">
        <v>22.815999999999999</v>
      </c>
      <c r="H137" s="409"/>
      <c r="I137" s="409"/>
      <c r="J137" s="411">
        <v>4085.88</v>
      </c>
      <c r="K137" s="410">
        <v>1.9664999999999999</v>
      </c>
      <c r="L137" s="410">
        <v>7.8659999999999997</v>
      </c>
      <c r="Q137" s="790"/>
    </row>
    <row r="138" spans="1:26" ht="20.399999999999999" x14ac:dyDescent="0.2">
      <c r="A138" s="412"/>
      <c r="B138" s="412"/>
      <c r="C138" s="412"/>
      <c r="D138" s="395" t="s">
        <v>714</v>
      </c>
      <c r="E138" s="412"/>
      <c r="F138" s="412"/>
      <c r="G138" s="412"/>
      <c r="H138" s="412"/>
      <c r="I138" s="412"/>
      <c r="J138" s="412"/>
      <c r="K138" s="412"/>
      <c r="L138" s="412"/>
      <c r="Q138" s="790"/>
    </row>
    <row r="139" spans="1:26" ht="20.399999999999999" x14ac:dyDescent="0.2">
      <c r="A139" s="412"/>
      <c r="B139" s="412"/>
      <c r="C139" s="412"/>
      <c r="D139" s="395" t="s">
        <v>1023</v>
      </c>
      <c r="E139" s="412"/>
      <c r="F139" s="412"/>
      <c r="G139" s="412"/>
      <c r="H139" s="412"/>
      <c r="I139" s="412"/>
      <c r="J139" s="412"/>
      <c r="K139" s="412"/>
      <c r="L139" s="412"/>
      <c r="Q139" s="790"/>
    </row>
    <row r="140" spans="1:26" ht="81.599999999999994" x14ac:dyDescent="0.2">
      <c r="A140" s="412"/>
      <c r="B140" s="412"/>
      <c r="C140" s="412"/>
      <c r="D140" s="395" t="s">
        <v>1024</v>
      </c>
      <c r="E140" s="412"/>
      <c r="F140" s="412"/>
      <c r="G140" s="412"/>
      <c r="H140" s="412"/>
      <c r="I140" s="412"/>
      <c r="J140" s="412"/>
      <c r="K140" s="412"/>
      <c r="L140" s="412"/>
      <c r="Q140" s="790"/>
    </row>
    <row r="141" spans="1:26" x14ac:dyDescent="0.2">
      <c r="A141" s="412"/>
      <c r="B141" s="412"/>
      <c r="C141" s="412"/>
      <c r="D141" s="413" t="s">
        <v>206</v>
      </c>
      <c r="E141" s="414" t="s">
        <v>838</v>
      </c>
      <c r="F141" s="414"/>
      <c r="G141" s="414"/>
      <c r="H141" s="415">
        <v>71491.360000000001</v>
      </c>
      <c r="I141" s="412"/>
      <c r="J141" s="412"/>
      <c r="K141" s="412"/>
      <c r="L141" s="412"/>
      <c r="Q141" s="790"/>
    </row>
    <row r="142" spans="1:26" x14ac:dyDescent="0.2">
      <c r="A142" s="412"/>
      <c r="B142" s="412"/>
      <c r="C142" s="412"/>
      <c r="D142" s="413" t="s">
        <v>207</v>
      </c>
      <c r="E142" s="414" t="s">
        <v>1177</v>
      </c>
      <c r="F142" s="414"/>
      <c r="G142" s="414"/>
      <c r="H142" s="415">
        <v>36237.589999999997</v>
      </c>
      <c r="I142" s="412"/>
      <c r="J142" s="412"/>
      <c r="K142" s="412"/>
      <c r="L142" s="412"/>
      <c r="Q142" s="790"/>
    </row>
    <row r="143" spans="1:26" x14ac:dyDescent="0.2">
      <c r="A143" s="412"/>
      <c r="B143" s="412"/>
      <c r="C143" s="412"/>
      <c r="D143" s="416" t="s">
        <v>715</v>
      </c>
      <c r="E143" s="417"/>
      <c r="F143" s="417"/>
      <c r="G143" s="417"/>
      <c r="H143" s="418">
        <v>177028.39</v>
      </c>
      <c r="I143" s="412"/>
      <c r="J143" s="412"/>
      <c r="K143" s="412"/>
      <c r="L143" s="412"/>
      <c r="Q143" s="790"/>
    </row>
    <row r="144" spans="1:26" s="790" customFormat="1" ht="30.6" x14ac:dyDescent="0.2">
      <c r="A144" s="784">
        <v>16</v>
      </c>
      <c r="B144" s="784">
        <v>16</v>
      </c>
      <c r="C144" s="784" t="s">
        <v>1180</v>
      </c>
      <c r="D144" s="784" t="s">
        <v>1162</v>
      </c>
      <c r="E144" s="785">
        <v>0.51400000000000001</v>
      </c>
      <c r="F144" s="786">
        <v>16598.1685</v>
      </c>
      <c r="G144" s="786">
        <v>15841.744500000001</v>
      </c>
      <c r="H144" s="787">
        <v>125215.44</v>
      </c>
      <c r="I144" s="787">
        <v>17406.66</v>
      </c>
      <c r="J144" s="787">
        <v>107808.78</v>
      </c>
      <c r="K144" s="786">
        <v>83.397999999999996</v>
      </c>
      <c r="L144" s="786">
        <v>42.866571999999998</v>
      </c>
      <c r="M144" s="788">
        <f>(31.035+31.035+95+8.27)/1000</f>
        <v>0.16533999999999999</v>
      </c>
      <c r="N144" s="789" t="s">
        <v>2366</v>
      </c>
      <c r="O144" s="788"/>
      <c r="Q144" s="790">
        <f t="shared" si="1"/>
        <v>40278.445232684797</v>
      </c>
      <c r="T144" s="790">
        <v>173929.08</v>
      </c>
      <c r="V144" s="790">
        <v>17406.66</v>
      </c>
      <c r="W144" s="790">
        <v>107808.78</v>
      </c>
      <c r="X144" s="790">
        <v>12251.57</v>
      </c>
      <c r="Y144" s="790">
        <v>42.866571999999998</v>
      </c>
      <c r="Z144" s="790">
        <v>18.56054</v>
      </c>
    </row>
    <row r="145" spans="1:26" x14ac:dyDescent="0.2">
      <c r="A145" s="407"/>
      <c r="B145" s="407"/>
      <c r="C145" s="407"/>
      <c r="D145" s="408" t="s">
        <v>1181</v>
      </c>
      <c r="E145" s="409"/>
      <c r="F145" s="410">
        <v>756.42399999999998</v>
      </c>
      <c r="G145" s="410">
        <v>532.404</v>
      </c>
      <c r="H145" s="409"/>
      <c r="I145" s="409"/>
      <c r="J145" s="411">
        <v>12251.57</v>
      </c>
      <c r="K145" s="410">
        <v>36.11</v>
      </c>
      <c r="L145" s="410">
        <v>18.56054</v>
      </c>
      <c r="Q145" s="790"/>
    </row>
    <row r="146" spans="1:26" ht="20.399999999999999" x14ac:dyDescent="0.2">
      <c r="A146" s="412"/>
      <c r="B146" s="412"/>
      <c r="C146" s="412"/>
      <c r="D146" s="395" t="s">
        <v>714</v>
      </c>
      <c r="E146" s="412"/>
      <c r="F146" s="412"/>
      <c r="G146" s="412"/>
      <c r="H146" s="412"/>
      <c r="I146" s="412"/>
      <c r="J146" s="412"/>
      <c r="K146" s="412"/>
      <c r="L146" s="412"/>
      <c r="Q146" s="790"/>
    </row>
    <row r="147" spans="1:26" ht="20.399999999999999" x14ac:dyDescent="0.2">
      <c r="A147" s="412"/>
      <c r="B147" s="412"/>
      <c r="C147" s="412"/>
      <c r="D147" s="395" t="s">
        <v>1023</v>
      </c>
      <c r="E147" s="412"/>
      <c r="F147" s="412"/>
      <c r="G147" s="412"/>
      <c r="H147" s="412"/>
      <c r="I147" s="412"/>
      <c r="J147" s="412"/>
      <c r="K147" s="412"/>
      <c r="L147" s="412"/>
      <c r="Q147" s="790"/>
    </row>
    <row r="148" spans="1:26" ht="81.599999999999994" x14ac:dyDescent="0.2">
      <c r="A148" s="412"/>
      <c r="B148" s="412"/>
      <c r="C148" s="412"/>
      <c r="D148" s="395" t="s">
        <v>1024</v>
      </c>
      <c r="E148" s="412"/>
      <c r="F148" s="412"/>
      <c r="G148" s="412"/>
      <c r="H148" s="412"/>
      <c r="I148" s="412"/>
      <c r="J148" s="412"/>
      <c r="K148" s="412"/>
      <c r="L148" s="412"/>
      <c r="Q148" s="790"/>
    </row>
    <row r="149" spans="1:26" x14ac:dyDescent="0.2">
      <c r="A149" s="412"/>
      <c r="B149" s="412"/>
      <c r="C149" s="412"/>
      <c r="D149" s="413" t="s">
        <v>206</v>
      </c>
      <c r="E149" s="414" t="s">
        <v>838</v>
      </c>
      <c r="F149" s="414"/>
      <c r="G149" s="414"/>
      <c r="H149" s="415">
        <v>32327.47</v>
      </c>
      <c r="I149" s="412"/>
      <c r="J149" s="412"/>
      <c r="K149" s="412"/>
      <c r="L149" s="412"/>
      <c r="Q149" s="790"/>
    </row>
    <row r="150" spans="1:26" x14ac:dyDescent="0.2">
      <c r="A150" s="412"/>
      <c r="B150" s="412"/>
      <c r="C150" s="412"/>
      <c r="D150" s="413" t="s">
        <v>207</v>
      </c>
      <c r="E150" s="414" t="s">
        <v>1177</v>
      </c>
      <c r="F150" s="414"/>
      <c r="G150" s="414"/>
      <c r="H150" s="415">
        <v>16386.169999999998</v>
      </c>
      <c r="I150" s="412"/>
      <c r="J150" s="412"/>
      <c r="K150" s="412"/>
      <c r="L150" s="412"/>
      <c r="Q150" s="790"/>
    </row>
    <row r="151" spans="1:26" x14ac:dyDescent="0.2">
      <c r="A151" s="412"/>
      <c r="B151" s="412"/>
      <c r="C151" s="412"/>
      <c r="D151" s="416" t="s">
        <v>715</v>
      </c>
      <c r="E151" s="417"/>
      <c r="F151" s="417"/>
      <c r="G151" s="417"/>
      <c r="H151" s="418">
        <v>173929.08</v>
      </c>
      <c r="I151" s="412"/>
      <c r="J151" s="412"/>
      <c r="K151" s="412"/>
      <c r="L151" s="412"/>
      <c r="Q151" s="790"/>
    </row>
    <row r="152" spans="1:26" s="817" customFormat="1" ht="30.6" x14ac:dyDescent="0.2">
      <c r="A152" s="813">
        <v>17</v>
      </c>
      <c r="B152" s="813">
        <v>17</v>
      </c>
      <c r="C152" s="813" t="s">
        <v>1182</v>
      </c>
      <c r="D152" s="813" t="s">
        <v>1163</v>
      </c>
      <c r="E152" s="814">
        <v>0.29499999999999998</v>
      </c>
      <c r="F152" s="815">
        <v>19443.004000000001</v>
      </c>
      <c r="G152" s="815">
        <v>5324.2240000000002</v>
      </c>
      <c r="H152" s="816">
        <v>207264.21</v>
      </c>
      <c r="I152" s="816">
        <v>186468.85</v>
      </c>
      <c r="J152" s="816">
        <v>20795.36</v>
      </c>
      <c r="K152" s="815">
        <v>1794</v>
      </c>
      <c r="L152" s="815">
        <v>529.23</v>
      </c>
      <c r="M152" s="818">
        <v>0</v>
      </c>
      <c r="N152" s="818" t="s">
        <v>2380</v>
      </c>
      <c r="O152" s="818"/>
      <c r="Q152" s="790"/>
      <c r="T152" s="817">
        <v>527314.84</v>
      </c>
      <c r="V152" s="817">
        <v>186468.85</v>
      </c>
      <c r="W152" s="817">
        <v>20795.36</v>
      </c>
      <c r="X152" s="817">
        <v>8386.94</v>
      </c>
      <c r="Y152" s="817">
        <v>529.23</v>
      </c>
      <c r="Z152" s="817">
        <v>14.927</v>
      </c>
    </row>
    <row r="153" spans="1:26" x14ac:dyDescent="0.2">
      <c r="A153" s="407"/>
      <c r="B153" s="407"/>
      <c r="C153" s="407"/>
      <c r="D153" s="408" t="s">
        <v>1181</v>
      </c>
      <c r="E153" s="409"/>
      <c r="F153" s="410">
        <v>14118.78</v>
      </c>
      <c r="G153" s="410">
        <v>635.03</v>
      </c>
      <c r="H153" s="409"/>
      <c r="I153" s="409"/>
      <c r="J153" s="411">
        <v>8386.94</v>
      </c>
      <c r="K153" s="410">
        <v>50.6</v>
      </c>
      <c r="L153" s="410">
        <v>14.927</v>
      </c>
      <c r="Q153" s="790"/>
    </row>
    <row r="154" spans="1:26" ht="20.399999999999999" x14ac:dyDescent="0.2">
      <c r="A154" s="412"/>
      <c r="B154" s="412"/>
      <c r="C154" s="412"/>
      <c r="D154" s="395" t="s">
        <v>714</v>
      </c>
      <c r="E154" s="412"/>
      <c r="F154" s="412"/>
      <c r="G154" s="412"/>
      <c r="H154" s="412"/>
      <c r="I154" s="412"/>
      <c r="J154" s="412"/>
      <c r="K154" s="412"/>
      <c r="L154" s="412"/>
      <c r="Q154" s="790"/>
    </row>
    <row r="155" spans="1:26" ht="20.399999999999999" x14ac:dyDescent="0.2">
      <c r="A155" s="412"/>
      <c r="B155" s="412"/>
      <c r="C155" s="412"/>
      <c r="D155" s="395" t="s">
        <v>1023</v>
      </c>
      <c r="E155" s="412"/>
      <c r="F155" s="412"/>
      <c r="G155" s="412"/>
      <c r="H155" s="412"/>
      <c r="I155" s="412"/>
      <c r="J155" s="412"/>
      <c r="K155" s="412"/>
      <c r="L155" s="412"/>
      <c r="Q155" s="790"/>
    </row>
    <row r="156" spans="1:26" ht="81.599999999999994" x14ac:dyDescent="0.2">
      <c r="A156" s="412"/>
      <c r="B156" s="412"/>
      <c r="C156" s="412"/>
      <c r="D156" s="395" t="s">
        <v>1024</v>
      </c>
      <c r="E156" s="412"/>
      <c r="F156" s="412"/>
      <c r="G156" s="412"/>
      <c r="H156" s="412"/>
      <c r="I156" s="412"/>
      <c r="J156" s="412"/>
      <c r="K156" s="412"/>
      <c r="L156" s="412"/>
      <c r="Q156" s="790"/>
    </row>
    <row r="157" spans="1:26" x14ac:dyDescent="0.2">
      <c r="A157" s="412"/>
      <c r="B157" s="412"/>
      <c r="C157" s="412"/>
      <c r="D157" s="413" t="s">
        <v>206</v>
      </c>
      <c r="E157" s="414" t="s">
        <v>838</v>
      </c>
      <c r="F157" s="414"/>
      <c r="G157" s="414"/>
      <c r="H157" s="415">
        <v>212392.81</v>
      </c>
      <c r="I157" s="412"/>
      <c r="J157" s="412"/>
      <c r="K157" s="412"/>
      <c r="L157" s="412"/>
      <c r="Q157" s="790">
        <f t="shared" si="1"/>
        <v>0</v>
      </c>
    </row>
    <row r="158" spans="1:26" x14ac:dyDescent="0.2">
      <c r="A158" s="412"/>
      <c r="B158" s="412"/>
      <c r="C158" s="412"/>
      <c r="D158" s="413" t="s">
        <v>207</v>
      </c>
      <c r="E158" s="414" t="s">
        <v>1177</v>
      </c>
      <c r="F158" s="414"/>
      <c r="G158" s="414"/>
      <c r="H158" s="415">
        <v>107657.82</v>
      </c>
      <c r="I158" s="412"/>
      <c r="J158" s="412"/>
      <c r="K158" s="412"/>
      <c r="L158" s="412"/>
      <c r="Q158" s="790">
        <f t="shared" si="1"/>
        <v>0</v>
      </c>
    </row>
    <row r="159" spans="1:26" x14ac:dyDescent="0.2">
      <c r="A159" s="412"/>
      <c r="B159" s="412"/>
      <c r="C159" s="412"/>
      <c r="D159" s="416" t="s">
        <v>715</v>
      </c>
      <c r="E159" s="417"/>
      <c r="F159" s="417"/>
      <c r="G159" s="417"/>
      <c r="H159" s="418">
        <v>527314.84</v>
      </c>
      <c r="I159" s="412"/>
      <c r="J159" s="412"/>
      <c r="K159" s="412"/>
      <c r="L159" s="412"/>
      <c r="Q159" s="790"/>
    </row>
    <row r="160" spans="1:26" s="790" customFormat="1" ht="20.399999999999999" x14ac:dyDescent="0.2">
      <c r="A160" s="784">
        <v>18</v>
      </c>
      <c r="B160" s="784">
        <v>18</v>
      </c>
      <c r="C160" s="784" t="s">
        <v>1183</v>
      </c>
      <c r="D160" s="784" t="s">
        <v>1184</v>
      </c>
      <c r="E160" s="785">
        <v>163.95</v>
      </c>
      <c r="F160" s="786">
        <v>8.39</v>
      </c>
      <c r="G160" s="786" t="s">
        <v>281</v>
      </c>
      <c r="H160" s="787">
        <v>18211.57</v>
      </c>
      <c r="I160" s="787" t="s">
        <v>281</v>
      </c>
      <c r="J160" s="787" t="s">
        <v>281</v>
      </c>
      <c r="K160" s="786" t="s">
        <v>281</v>
      </c>
      <c r="L160" s="786" t="s">
        <v>281</v>
      </c>
      <c r="M160" s="788"/>
      <c r="N160" s="788"/>
      <c r="O160" s="885" t="s">
        <v>2381</v>
      </c>
      <c r="T160" s="790">
        <v>18211.57</v>
      </c>
      <c r="V160" s="790" t="s">
        <v>281</v>
      </c>
      <c r="W160" s="790" t="s">
        <v>281</v>
      </c>
      <c r="X160" s="790" t="s">
        <v>281</v>
      </c>
      <c r="Y160" s="790" t="s">
        <v>281</v>
      </c>
      <c r="Z160" s="790" t="s">
        <v>281</v>
      </c>
    </row>
    <row r="161" spans="1:26" s="790" customFormat="1" x14ac:dyDescent="0.2">
      <c r="A161" s="875"/>
      <c r="B161" s="875"/>
      <c r="C161" s="875"/>
      <c r="D161" s="876" t="s">
        <v>743</v>
      </c>
      <c r="E161" s="877"/>
      <c r="F161" s="878" t="s">
        <v>281</v>
      </c>
      <c r="G161" s="878" t="s">
        <v>281</v>
      </c>
      <c r="H161" s="877"/>
      <c r="I161" s="877"/>
      <c r="J161" s="879" t="s">
        <v>281</v>
      </c>
      <c r="K161" s="878" t="s">
        <v>281</v>
      </c>
      <c r="L161" s="878" t="s">
        <v>281</v>
      </c>
      <c r="M161" s="820"/>
      <c r="N161" s="820"/>
      <c r="O161" s="820"/>
    </row>
    <row r="162" spans="1:26" s="790" customFormat="1" x14ac:dyDescent="0.2">
      <c r="A162" s="880"/>
      <c r="B162" s="880"/>
      <c r="C162" s="880"/>
      <c r="D162" s="881" t="s">
        <v>716</v>
      </c>
      <c r="E162" s="880"/>
      <c r="F162" s="880"/>
      <c r="G162" s="880"/>
      <c r="H162" s="880"/>
      <c r="I162" s="880"/>
      <c r="J162" s="880"/>
      <c r="K162" s="880"/>
      <c r="L162" s="880"/>
      <c r="M162" s="820"/>
      <c r="N162" s="820"/>
      <c r="O162" s="820"/>
    </row>
    <row r="163" spans="1:26" s="790" customFormat="1" x14ac:dyDescent="0.2">
      <c r="A163" s="880"/>
      <c r="B163" s="880"/>
      <c r="C163" s="880"/>
      <c r="D163" s="882" t="s">
        <v>715</v>
      </c>
      <c r="E163" s="883"/>
      <c r="F163" s="883"/>
      <c r="G163" s="883"/>
      <c r="H163" s="884">
        <v>18211.57</v>
      </c>
      <c r="I163" s="880"/>
      <c r="J163" s="880"/>
      <c r="K163" s="880"/>
      <c r="L163" s="880"/>
      <c r="M163" s="820"/>
      <c r="N163" s="820"/>
      <c r="O163" s="820"/>
    </row>
    <row r="164" spans="1:26" s="790" customFormat="1" ht="30.6" x14ac:dyDescent="0.2">
      <c r="A164" s="784">
        <v>19</v>
      </c>
      <c r="B164" s="784">
        <v>19</v>
      </c>
      <c r="C164" s="784" t="s">
        <v>868</v>
      </c>
      <c r="D164" s="784" t="s">
        <v>1185</v>
      </c>
      <c r="E164" s="785">
        <v>45.91</v>
      </c>
      <c r="F164" s="786">
        <v>22.33</v>
      </c>
      <c r="G164" s="786" t="s">
        <v>281</v>
      </c>
      <c r="H164" s="787">
        <v>13573.29</v>
      </c>
      <c r="I164" s="787" t="s">
        <v>281</v>
      </c>
      <c r="J164" s="787" t="s">
        <v>281</v>
      </c>
      <c r="K164" s="786" t="s">
        <v>281</v>
      </c>
      <c r="L164" s="786" t="s">
        <v>281</v>
      </c>
      <c r="M164" s="788"/>
      <c r="N164" s="788"/>
      <c r="O164" s="890" t="s">
        <v>2381</v>
      </c>
      <c r="T164" s="790">
        <v>13573.29</v>
      </c>
      <c r="V164" s="790" t="s">
        <v>281</v>
      </c>
      <c r="W164" s="790" t="s">
        <v>281</v>
      </c>
      <c r="X164" s="790" t="s">
        <v>281</v>
      </c>
      <c r="Y164" s="790" t="s">
        <v>281</v>
      </c>
      <c r="Z164" s="790" t="s">
        <v>281</v>
      </c>
    </row>
    <row r="165" spans="1:26" s="790" customFormat="1" x14ac:dyDescent="0.2">
      <c r="A165" s="875"/>
      <c r="B165" s="875"/>
      <c r="C165" s="875"/>
      <c r="D165" s="876" t="s">
        <v>743</v>
      </c>
      <c r="E165" s="877"/>
      <c r="F165" s="878" t="s">
        <v>281</v>
      </c>
      <c r="G165" s="878" t="s">
        <v>281</v>
      </c>
      <c r="H165" s="877"/>
      <c r="I165" s="877"/>
      <c r="J165" s="879" t="s">
        <v>281</v>
      </c>
      <c r="K165" s="878" t="s">
        <v>281</v>
      </c>
      <c r="L165" s="878" t="s">
        <v>281</v>
      </c>
      <c r="M165" s="820"/>
      <c r="N165" s="820"/>
      <c r="O165" s="831"/>
    </row>
    <row r="166" spans="1:26" s="790" customFormat="1" x14ac:dyDescent="0.2">
      <c r="A166" s="880"/>
      <c r="B166" s="880"/>
      <c r="C166" s="880"/>
      <c r="D166" s="881" t="s">
        <v>716</v>
      </c>
      <c r="E166" s="880"/>
      <c r="F166" s="880"/>
      <c r="G166" s="880"/>
      <c r="H166" s="880"/>
      <c r="I166" s="880"/>
      <c r="J166" s="880"/>
      <c r="K166" s="880"/>
      <c r="L166" s="880"/>
      <c r="M166" s="820"/>
      <c r="N166" s="820"/>
      <c r="O166" s="831"/>
    </row>
    <row r="167" spans="1:26" s="790" customFormat="1" x14ac:dyDescent="0.2">
      <c r="A167" s="880"/>
      <c r="B167" s="880"/>
      <c r="C167" s="880"/>
      <c r="D167" s="882" t="s">
        <v>715</v>
      </c>
      <c r="E167" s="883"/>
      <c r="F167" s="883"/>
      <c r="G167" s="883"/>
      <c r="H167" s="884">
        <v>13573.29</v>
      </c>
      <c r="I167" s="880"/>
      <c r="J167" s="880"/>
      <c r="K167" s="880"/>
      <c r="L167" s="880"/>
      <c r="M167" s="820"/>
      <c r="N167" s="820"/>
      <c r="O167" s="831"/>
    </row>
    <row r="168" spans="1:26" s="790" customFormat="1" ht="30.6" x14ac:dyDescent="0.2">
      <c r="A168" s="784">
        <v>20</v>
      </c>
      <c r="B168" s="784">
        <v>20</v>
      </c>
      <c r="C168" s="784" t="s">
        <v>1186</v>
      </c>
      <c r="D168" s="784" t="s">
        <v>1187</v>
      </c>
      <c r="E168" s="785">
        <v>209.86</v>
      </c>
      <c r="F168" s="786">
        <v>3.86</v>
      </c>
      <c r="G168" s="786">
        <v>3.86</v>
      </c>
      <c r="H168" s="787">
        <v>11032.34</v>
      </c>
      <c r="I168" s="787" t="s">
        <v>281</v>
      </c>
      <c r="J168" s="787">
        <v>11032.34</v>
      </c>
      <c r="K168" s="786" t="s">
        <v>281</v>
      </c>
      <c r="L168" s="786" t="s">
        <v>281</v>
      </c>
      <c r="M168" s="788"/>
      <c r="N168" s="788"/>
      <c r="O168" s="890" t="s">
        <v>2381</v>
      </c>
      <c r="T168" s="790">
        <v>11032.34</v>
      </c>
      <c r="V168" s="790" t="s">
        <v>281</v>
      </c>
      <c r="W168" s="790">
        <v>11032.34</v>
      </c>
      <c r="X168" s="790" t="s">
        <v>281</v>
      </c>
      <c r="Y168" s="790" t="s">
        <v>281</v>
      </c>
      <c r="Z168" s="790" t="s">
        <v>281</v>
      </c>
    </row>
    <row r="169" spans="1:26" s="790" customFormat="1" x14ac:dyDescent="0.2">
      <c r="A169" s="875"/>
      <c r="B169" s="875"/>
      <c r="C169" s="875"/>
      <c r="D169" s="876" t="s">
        <v>743</v>
      </c>
      <c r="E169" s="877"/>
      <c r="F169" s="878" t="s">
        <v>281</v>
      </c>
      <c r="G169" s="878" t="s">
        <v>281</v>
      </c>
      <c r="H169" s="877"/>
      <c r="I169" s="877"/>
      <c r="J169" s="879" t="s">
        <v>281</v>
      </c>
      <c r="K169" s="878" t="s">
        <v>281</v>
      </c>
      <c r="L169" s="878" t="s">
        <v>281</v>
      </c>
      <c r="M169" s="820"/>
      <c r="N169" s="820"/>
      <c r="O169" s="831"/>
    </row>
    <row r="170" spans="1:26" s="790" customFormat="1" x14ac:dyDescent="0.2">
      <c r="A170" s="880"/>
      <c r="B170" s="880"/>
      <c r="C170" s="880"/>
      <c r="D170" s="881" t="s">
        <v>792</v>
      </c>
      <c r="E170" s="880"/>
      <c r="F170" s="880"/>
      <c r="G170" s="880"/>
      <c r="H170" s="880"/>
      <c r="I170" s="880"/>
      <c r="J170" s="880"/>
      <c r="K170" s="880"/>
      <c r="L170" s="880"/>
      <c r="M170" s="820"/>
      <c r="N170" s="820"/>
      <c r="O170" s="831"/>
    </row>
    <row r="171" spans="1:26" s="790" customFormat="1" x14ac:dyDescent="0.2">
      <c r="A171" s="880"/>
      <c r="B171" s="880"/>
      <c r="C171" s="880"/>
      <c r="D171" s="882" t="s">
        <v>715</v>
      </c>
      <c r="E171" s="883"/>
      <c r="F171" s="883"/>
      <c r="G171" s="883"/>
      <c r="H171" s="884">
        <v>11032.34</v>
      </c>
      <c r="I171" s="880"/>
      <c r="J171" s="880"/>
      <c r="K171" s="880"/>
      <c r="L171" s="880"/>
      <c r="M171" s="820"/>
      <c r="N171" s="820"/>
      <c r="O171" s="831"/>
    </row>
    <row r="172" spans="1:26" s="790" customFormat="1" ht="30.6" x14ac:dyDescent="0.2">
      <c r="A172" s="784">
        <v>21</v>
      </c>
      <c r="B172" s="784">
        <v>21</v>
      </c>
      <c r="C172" s="784" t="s">
        <v>872</v>
      </c>
      <c r="D172" s="784" t="s">
        <v>1188</v>
      </c>
      <c r="E172" s="785">
        <v>45.91</v>
      </c>
      <c r="F172" s="786">
        <v>22.33</v>
      </c>
      <c r="G172" s="786" t="s">
        <v>281</v>
      </c>
      <c r="H172" s="787">
        <v>13573.29</v>
      </c>
      <c r="I172" s="787" t="s">
        <v>281</v>
      </c>
      <c r="J172" s="787" t="s">
        <v>281</v>
      </c>
      <c r="K172" s="786" t="s">
        <v>281</v>
      </c>
      <c r="L172" s="786" t="s">
        <v>281</v>
      </c>
      <c r="M172" s="788"/>
      <c r="N172" s="788"/>
      <c r="O172" s="890" t="s">
        <v>2381</v>
      </c>
      <c r="T172" s="790">
        <v>13573.29</v>
      </c>
      <c r="V172" s="790" t="s">
        <v>281</v>
      </c>
      <c r="W172" s="790" t="s">
        <v>281</v>
      </c>
      <c r="X172" s="790" t="s">
        <v>281</v>
      </c>
      <c r="Y172" s="790" t="s">
        <v>281</v>
      </c>
      <c r="Z172" s="790" t="s">
        <v>281</v>
      </c>
    </row>
    <row r="173" spans="1:26" s="790" customFormat="1" x14ac:dyDescent="0.2">
      <c r="A173" s="875"/>
      <c r="B173" s="875"/>
      <c r="C173" s="875"/>
      <c r="D173" s="876" t="s">
        <v>743</v>
      </c>
      <c r="E173" s="877"/>
      <c r="F173" s="878" t="s">
        <v>281</v>
      </c>
      <c r="G173" s="878" t="s">
        <v>281</v>
      </c>
      <c r="H173" s="877"/>
      <c r="I173" s="877"/>
      <c r="J173" s="879" t="s">
        <v>281</v>
      </c>
      <c r="K173" s="878" t="s">
        <v>281</v>
      </c>
      <c r="L173" s="878" t="s">
        <v>281</v>
      </c>
      <c r="M173" s="820"/>
      <c r="N173" s="820"/>
      <c r="O173" s="831"/>
    </row>
    <row r="174" spans="1:26" s="790" customFormat="1" x14ac:dyDescent="0.2">
      <c r="A174" s="880"/>
      <c r="B174" s="880"/>
      <c r="C174" s="880"/>
      <c r="D174" s="881" t="s">
        <v>716</v>
      </c>
      <c r="E174" s="880"/>
      <c r="F174" s="880"/>
      <c r="G174" s="880"/>
      <c r="H174" s="880"/>
      <c r="I174" s="880"/>
      <c r="J174" s="880"/>
      <c r="K174" s="880"/>
      <c r="L174" s="880"/>
      <c r="M174" s="820"/>
      <c r="N174" s="820"/>
      <c r="O174" s="831"/>
    </row>
    <row r="175" spans="1:26" s="790" customFormat="1" x14ac:dyDescent="0.2">
      <c r="A175" s="880"/>
      <c r="B175" s="880"/>
      <c r="C175" s="880"/>
      <c r="D175" s="882" t="s">
        <v>715</v>
      </c>
      <c r="E175" s="883"/>
      <c r="F175" s="883"/>
      <c r="G175" s="883"/>
      <c r="H175" s="884">
        <v>13573.29</v>
      </c>
      <c r="I175" s="880"/>
      <c r="J175" s="880"/>
      <c r="K175" s="880"/>
      <c r="L175" s="880"/>
      <c r="M175" s="820"/>
      <c r="N175" s="820"/>
      <c r="O175" s="831"/>
    </row>
    <row r="176" spans="1:26" s="790" customFormat="1" ht="20.399999999999999" x14ac:dyDescent="0.2">
      <c r="A176" s="784">
        <v>22</v>
      </c>
      <c r="B176" s="784">
        <v>22</v>
      </c>
      <c r="C176" s="784" t="s">
        <v>1189</v>
      </c>
      <c r="D176" s="784" t="s">
        <v>1190</v>
      </c>
      <c r="E176" s="785">
        <v>163.95</v>
      </c>
      <c r="F176" s="786">
        <v>8.39</v>
      </c>
      <c r="G176" s="786" t="s">
        <v>281</v>
      </c>
      <c r="H176" s="787">
        <v>18211.57</v>
      </c>
      <c r="I176" s="787" t="s">
        <v>281</v>
      </c>
      <c r="J176" s="787" t="s">
        <v>281</v>
      </c>
      <c r="K176" s="786" t="s">
        <v>281</v>
      </c>
      <c r="L176" s="786" t="s">
        <v>281</v>
      </c>
      <c r="M176" s="788"/>
      <c r="N176" s="788"/>
      <c r="O176" s="890" t="s">
        <v>2381</v>
      </c>
      <c r="T176" s="790">
        <v>18211.57</v>
      </c>
      <c r="V176" s="790" t="s">
        <v>281</v>
      </c>
      <c r="W176" s="790" t="s">
        <v>281</v>
      </c>
      <c r="X176" s="790" t="s">
        <v>281</v>
      </c>
      <c r="Y176" s="790" t="s">
        <v>281</v>
      </c>
      <c r="Z176" s="790" t="s">
        <v>281</v>
      </c>
    </row>
    <row r="177" spans="1:26" s="790" customFormat="1" x14ac:dyDescent="0.2">
      <c r="A177" s="875"/>
      <c r="B177" s="875"/>
      <c r="C177" s="875"/>
      <c r="D177" s="876" t="s">
        <v>743</v>
      </c>
      <c r="E177" s="877"/>
      <c r="F177" s="878" t="s">
        <v>281</v>
      </c>
      <c r="G177" s="878" t="s">
        <v>281</v>
      </c>
      <c r="H177" s="877"/>
      <c r="I177" s="877"/>
      <c r="J177" s="879" t="s">
        <v>281</v>
      </c>
      <c r="K177" s="878" t="s">
        <v>281</v>
      </c>
      <c r="L177" s="878" t="s">
        <v>281</v>
      </c>
      <c r="M177" s="820"/>
      <c r="N177" s="820"/>
      <c r="O177" s="831"/>
    </row>
    <row r="178" spans="1:26" s="790" customFormat="1" x14ac:dyDescent="0.2">
      <c r="A178" s="880"/>
      <c r="B178" s="880"/>
      <c r="C178" s="880"/>
      <c r="D178" s="881" t="s">
        <v>716</v>
      </c>
      <c r="E178" s="880"/>
      <c r="F178" s="880"/>
      <c r="G178" s="880"/>
      <c r="H178" s="880"/>
      <c r="I178" s="880"/>
      <c r="J178" s="880"/>
      <c r="K178" s="880"/>
      <c r="L178" s="880"/>
      <c r="M178" s="820"/>
      <c r="N178" s="820"/>
      <c r="O178" s="831"/>
    </row>
    <row r="179" spans="1:26" s="790" customFormat="1" x14ac:dyDescent="0.2">
      <c r="A179" s="880"/>
      <c r="B179" s="880"/>
      <c r="C179" s="880"/>
      <c r="D179" s="882" t="s">
        <v>715</v>
      </c>
      <c r="E179" s="883"/>
      <c r="F179" s="883"/>
      <c r="G179" s="883"/>
      <c r="H179" s="884">
        <v>18211.57</v>
      </c>
      <c r="I179" s="880"/>
      <c r="J179" s="880"/>
      <c r="K179" s="880"/>
      <c r="L179" s="880"/>
      <c r="M179" s="820"/>
      <c r="N179" s="820"/>
      <c r="O179" s="831"/>
    </row>
    <row r="180" spans="1:26" s="790" customFormat="1" ht="30.6" x14ac:dyDescent="0.2">
      <c r="A180" s="784">
        <v>23</v>
      </c>
      <c r="B180" s="784">
        <v>23</v>
      </c>
      <c r="C180" s="784" t="s">
        <v>885</v>
      </c>
      <c r="D180" s="784" t="s">
        <v>1191</v>
      </c>
      <c r="E180" s="785">
        <v>255.36</v>
      </c>
      <c r="F180" s="786">
        <v>17.95</v>
      </c>
      <c r="G180" s="786" t="s">
        <v>281</v>
      </c>
      <c r="H180" s="787">
        <v>60688.86</v>
      </c>
      <c r="I180" s="787" t="s">
        <v>281</v>
      </c>
      <c r="J180" s="787" t="s">
        <v>281</v>
      </c>
      <c r="K180" s="786" t="s">
        <v>281</v>
      </c>
      <c r="L180" s="786" t="s">
        <v>281</v>
      </c>
      <c r="M180" s="788"/>
      <c r="N180" s="788"/>
      <c r="O180" s="890" t="s">
        <v>2381</v>
      </c>
      <c r="T180" s="790">
        <v>60688.86</v>
      </c>
      <c r="V180" s="790" t="s">
        <v>281</v>
      </c>
      <c r="W180" s="790" t="s">
        <v>281</v>
      </c>
      <c r="X180" s="790" t="s">
        <v>281</v>
      </c>
      <c r="Y180" s="790" t="s">
        <v>281</v>
      </c>
      <c r="Z180" s="790" t="s">
        <v>281</v>
      </c>
    </row>
    <row r="181" spans="1:26" s="790" customFormat="1" x14ac:dyDescent="0.2">
      <c r="A181" s="875"/>
      <c r="B181" s="875"/>
      <c r="C181" s="875"/>
      <c r="D181" s="876" t="s">
        <v>743</v>
      </c>
      <c r="E181" s="877"/>
      <c r="F181" s="878" t="s">
        <v>281</v>
      </c>
      <c r="G181" s="878" t="s">
        <v>281</v>
      </c>
      <c r="H181" s="877"/>
      <c r="I181" s="877"/>
      <c r="J181" s="879" t="s">
        <v>281</v>
      </c>
      <c r="K181" s="878" t="s">
        <v>281</v>
      </c>
      <c r="L181" s="878" t="s">
        <v>281</v>
      </c>
      <c r="M181" s="820"/>
      <c r="N181" s="820"/>
      <c r="O181" s="831"/>
    </row>
    <row r="182" spans="1:26" s="790" customFormat="1" x14ac:dyDescent="0.2">
      <c r="A182" s="880"/>
      <c r="B182" s="880"/>
      <c r="C182" s="880"/>
      <c r="D182" s="881" t="s">
        <v>716</v>
      </c>
      <c r="E182" s="880"/>
      <c r="F182" s="880"/>
      <c r="G182" s="880"/>
      <c r="H182" s="880"/>
      <c r="I182" s="880"/>
      <c r="J182" s="880"/>
      <c r="K182" s="880"/>
      <c r="L182" s="880"/>
      <c r="M182" s="820"/>
      <c r="N182" s="820"/>
      <c r="O182" s="831"/>
    </row>
    <row r="183" spans="1:26" s="790" customFormat="1" x14ac:dyDescent="0.2">
      <c r="A183" s="880"/>
      <c r="B183" s="880"/>
      <c r="C183" s="880"/>
      <c r="D183" s="882" t="s">
        <v>715</v>
      </c>
      <c r="E183" s="883"/>
      <c r="F183" s="883"/>
      <c r="G183" s="883"/>
      <c r="H183" s="884">
        <v>60688.86</v>
      </c>
      <c r="I183" s="880"/>
      <c r="J183" s="880"/>
      <c r="K183" s="880"/>
      <c r="L183" s="880"/>
      <c r="M183" s="820"/>
      <c r="N183" s="820"/>
      <c r="O183" s="831"/>
    </row>
    <row r="184" spans="1:26" s="790" customFormat="1" ht="20.399999999999999" x14ac:dyDescent="0.2">
      <c r="A184" s="784">
        <v>24</v>
      </c>
      <c r="B184" s="784">
        <v>24</v>
      </c>
      <c r="C184" s="784" t="s">
        <v>1192</v>
      </c>
      <c r="D184" s="784" t="s">
        <v>1193</v>
      </c>
      <c r="E184" s="785">
        <v>68.17</v>
      </c>
      <c r="F184" s="786">
        <v>10.88</v>
      </c>
      <c r="G184" s="786" t="s">
        <v>281</v>
      </c>
      <c r="H184" s="787">
        <v>9819.89</v>
      </c>
      <c r="I184" s="787" t="s">
        <v>281</v>
      </c>
      <c r="J184" s="787" t="s">
        <v>281</v>
      </c>
      <c r="K184" s="786" t="s">
        <v>281</v>
      </c>
      <c r="L184" s="786" t="s">
        <v>281</v>
      </c>
      <c r="M184" s="788"/>
      <c r="N184" s="788"/>
      <c r="O184" s="890" t="s">
        <v>2381</v>
      </c>
      <c r="T184" s="790">
        <v>9819.89</v>
      </c>
      <c r="V184" s="790" t="s">
        <v>281</v>
      </c>
      <c r="W184" s="790" t="s">
        <v>281</v>
      </c>
      <c r="X184" s="790" t="s">
        <v>281</v>
      </c>
      <c r="Y184" s="790" t="s">
        <v>281</v>
      </c>
      <c r="Z184" s="790" t="s">
        <v>281</v>
      </c>
    </row>
    <row r="185" spans="1:26" s="790" customFormat="1" x14ac:dyDescent="0.2">
      <c r="A185" s="875"/>
      <c r="B185" s="875"/>
      <c r="C185" s="875"/>
      <c r="D185" s="876" t="s">
        <v>743</v>
      </c>
      <c r="E185" s="877"/>
      <c r="F185" s="878" t="s">
        <v>281</v>
      </c>
      <c r="G185" s="878" t="s">
        <v>281</v>
      </c>
      <c r="H185" s="877"/>
      <c r="I185" s="877"/>
      <c r="J185" s="879" t="s">
        <v>281</v>
      </c>
      <c r="K185" s="878" t="s">
        <v>281</v>
      </c>
      <c r="L185" s="878" t="s">
        <v>281</v>
      </c>
      <c r="M185" s="820"/>
      <c r="N185" s="820"/>
      <c r="O185" s="831"/>
    </row>
    <row r="186" spans="1:26" s="790" customFormat="1" x14ac:dyDescent="0.2">
      <c r="A186" s="880"/>
      <c r="B186" s="880"/>
      <c r="C186" s="880"/>
      <c r="D186" s="881" t="s">
        <v>716</v>
      </c>
      <c r="E186" s="880"/>
      <c r="F186" s="880"/>
      <c r="G186" s="880"/>
      <c r="H186" s="880"/>
      <c r="I186" s="880"/>
      <c r="J186" s="880"/>
      <c r="K186" s="880"/>
      <c r="L186" s="880"/>
      <c r="M186" s="820"/>
      <c r="N186" s="820"/>
      <c r="O186" s="831"/>
    </row>
    <row r="187" spans="1:26" s="790" customFormat="1" x14ac:dyDescent="0.2">
      <c r="A187" s="880"/>
      <c r="B187" s="880"/>
      <c r="C187" s="880"/>
      <c r="D187" s="882" t="s">
        <v>715</v>
      </c>
      <c r="E187" s="883"/>
      <c r="F187" s="883"/>
      <c r="G187" s="883"/>
      <c r="H187" s="884">
        <v>9819.89</v>
      </c>
      <c r="I187" s="880"/>
      <c r="J187" s="880"/>
      <c r="K187" s="880"/>
      <c r="L187" s="880"/>
      <c r="M187" s="820"/>
      <c r="N187" s="820"/>
      <c r="O187" s="831"/>
    </row>
    <row r="188" spans="1:26" s="790" customFormat="1" ht="30.6" x14ac:dyDescent="0.2">
      <c r="A188" s="784">
        <v>25</v>
      </c>
      <c r="B188" s="784">
        <v>25</v>
      </c>
      <c r="C188" s="784" t="s">
        <v>753</v>
      </c>
      <c r="D188" s="784" t="s">
        <v>1194</v>
      </c>
      <c r="E188" s="785">
        <v>914.13599999999997</v>
      </c>
      <c r="F188" s="786">
        <v>3.28</v>
      </c>
      <c r="G188" s="786">
        <v>3.28</v>
      </c>
      <c r="H188" s="787">
        <v>39700.93</v>
      </c>
      <c r="I188" s="787" t="s">
        <v>281</v>
      </c>
      <c r="J188" s="787">
        <v>39700.93</v>
      </c>
      <c r="K188" s="786" t="s">
        <v>281</v>
      </c>
      <c r="L188" s="786" t="s">
        <v>281</v>
      </c>
      <c r="M188" s="788"/>
      <c r="N188" s="788"/>
      <c r="O188" s="890" t="s">
        <v>2381</v>
      </c>
      <c r="T188" s="790">
        <v>39700.93</v>
      </c>
      <c r="V188" s="790" t="s">
        <v>281</v>
      </c>
      <c r="W188" s="790">
        <v>39700.93</v>
      </c>
      <c r="X188" s="790" t="s">
        <v>281</v>
      </c>
      <c r="Y188" s="790" t="s">
        <v>281</v>
      </c>
      <c r="Z188" s="790" t="s">
        <v>281</v>
      </c>
    </row>
    <row r="189" spans="1:26" s="790" customFormat="1" x14ac:dyDescent="0.2">
      <c r="A189" s="875"/>
      <c r="B189" s="875"/>
      <c r="C189" s="875"/>
      <c r="D189" s="876" t="s">
        <v>743</v>
      </c>
      <c r="E189" s="877"/>
      <c r="F189" s="878" t="s">
        <v>281</v>
      </c>
      <c r="G189" s="878" t="s">
        <v>281</v>
      </c>
      <c r="H189" s="877"/>
      <c r="I189" s="877"/>
      <c r="J189" s="879" t="s">
        <v>281</v>
      </c>
      <c r="K189" s="878" t="s">
        <v>281</v>
      </c>
      <c r="L189" s="878" t="s">
        <v>281</v>
      </c>
      <c r="M189" s="820"/>
      <c r="N189" s="820"/>
      <c r="O189" s="831"/>
    </row>
    <row r="190" spans="1:26" s="790" customFormat="1" x14ac:dyDescent="0.2">
      <c r="A190" s="880"/>
      <c r="B190" s="880"/>
      <c r="C190" s="880"/>
      <c r="D190" s="881" t="s">
        <v>716</v>
      </c>
      <c r="E190" s="880"/>
      <c r="F190" s="880"/>
      <c r="G190" s="880"/>
      <c r="H190" s="880"/>
      <c r="I190" s="880"/>
      <c r="J190" s="880"/>
      <c r="K190" s="880"/>
      <c r="L190" s="880"/>
      <c r="M190" s="820"/>
      <c r="N190" s="820"/>
      <c r="O190" s="831"/>
    </row>
    <row r="191" spans="1:26" s="790" customFormat="1" x14ac:dyDescent="0.2">
      <c r="A191" s="880"/>
      <c r="B191" s="880"/>
      <c r="C191" s="880"/>
      <c r="D191" s="882" t="s">
        <v>715</v>
      </c>
      <c r="E191" s="883"/>
      <c r="F191" s="883"/>
      <c r="G191" s="883"/>
      <c r="H191" s="884">
        <v>39700.93</v>
      </c>
      <c r="I191" s="880"/>
      <c r="J191" s="880"/>
      <c r="K191" s="880"/>
      <c r="L191" s="880"/>
      <c r="M191" s="820"/>
      <c r="N191" s="820"/>
      <c r="O191" s="831"/>
    </row>
    <row r="192" spans="1:26" s="790" customFormat="1" ht="30.6" x14ac:dyDescent="0.2">
      <c r="A192" s="784">
        <v>26</v>
      </c>
      <c r="B192" s="784">
        <v>26</v>
      </c>
      <c r="C192" s="784" t="s">
        <v>755</v>
      </c>
      <c r="D192" s="784" t="s">
        <v>1195</v>
      </c>
      <c r="E192" s="785">
        <v>228.53399999999999</v>
      </c>
      <c r="F192" s="786">
        <v>42.98</v>
      </c>
      <c r="G192" s="786">
        <v>42.98</v>
      </c>
      <c r="H192" s="787">
        <v>130049.56</v>
      </c>
      <c r="I192" s="787" t="s">
        <v>281</v>
      </c>
      <c r="J192" s="787">
        <v>130049.56</v>
      </c>
      <c r="K192" s="786" t="s">
        <v>281</v>
      </c>
      <c r="L192" s="786" t="s">
        <v>281</v>
      </c>
      <c r="M192" s="788"/>
      <c r="N192" s="788"/>
      <c r="O192" s="890" t="s">
        <v>2381</v>
      </c>
      <c r="T192" s="790">
        <v>130049.56</v>
      </c>
      <c r="V192" s="790" t="s">
        <v>281</v>
      </c>
      <c r="W192" s="790">
        <v>130049.56</v>
      </c>
      <c r="X192" s="790" t="s">
        <v>281</v>
      </c>
      <c r="Y192" s="790" t="s">
        <v>281</v>
      </c>
      <c r="Z192" s="790" t="s">
        <v>281</v>
      </c>
    </row>
    <row r="193" spans="1:26" s="790" customFormat="1" x14ac:dyDescent="0.2">
      <c r="A193" s="875"/>
      <c r="B193" s="875"/>
      <c r="C193" s="875"/>
      <c r="D193" s="876" t="s">
        <v>743</v>
      </c>
      <c r="E193" s="877"/>
      <c r="F193" s="878" t="s">
        <v>281</v>
      </c>
      <c r="G193" s="878" t="s">
        <v>281</v>
      </c>
      <c r="H193" s="877"/>
      <c r="I193" s="877"/>
      <c r="J193" s="879" t="s">
        <v>281</v>
      </c>
      <c r="K193" s="878" t="s">
        <v>281</v>
      </c>
      <c r="L193" s="878" t="s">
        <v>281</v>
      </c>
      <c r="M193" s="820"/>
      <c r="N193" s="820"/>
      <c r="O193" s="820"/>
    </row>
    <row r="194" spans="1:26" s="790" customFormat="1" x14ac:dyDescent="0.2">
      <c r="A194" s="880"/>
      <c r="B194" s="880"/>
      <c r="C194" s="880"/>
      <c r="D194" s="881" t="s">
        <v>716</v>
      </c>
      <c r="E194" s="880"/>
      <c r="F194" s="880"/>
      <c r="G194" s="880"/>
      <c r="H194" s="880"/>
      <c r="I194" s="880"/>
      <c r="J194" s="880"/>
      <c r="K194" s="880"/>
      <c r="L194" s="880"/>
      <c r="M194" s="820"/>
      <c r="N194" s="820"/>
      <c r="O194" s="820"/>
    </row>
    <row r="195" spans="1:26" s="790" customFormat="1" x14ac:dyDescent="0.2">
      <c r="A195" s="886"/>
      <c r="B195" s="886"/>
      <c r="C195" s="886"/>
      <c r="D195" s="887" t="s">
        <v>715</v>
      </c>
      <c r="E195" s="888"/>
      <c r="F195" s="888"/>
      <c r="G195" s="888"/>
      <c r="H195" s="889">
        <v>130049.56</v>
      </c>
      <c r="I195" s="886"/>
      <c r="J195" s="886"/>
      <c r="K195" s="886"/>
      <c r="L195" s="886"/>
      <c r="M195" s="820"/>
      <c r="N195" s="820"/>
      <c r="O195" s="820"/>
    </row>
    <row r="196" spans="1:26" x14ac:dyDescent="0.2">
      <c r="Q196" s="790"/>
    </row>
    <row r="197" spans="1:26" ht="10.199999999999999" customHeight="1" x14ac:dyDescent="0.2">
      <c r="A197" s="643" t="s">
        <v>1071</v>
      </c>
      <c r="B197" s="644"/>
      <c r="C197" s="644"/>
      <c r="D197" s="644"/>
      <c r="E197" s="644"/>
      <c r="F197" s="644"/>
      <c r="G197" s="644"/>
      <c r="H197" s="644"/>
      <c r="I197" s="644"/>
      <c r="J197" s="644"/>
      <c r="K197" s="644"/>
      <c r="L197" s="645"/>
      <c r="Q197" s="790"/>
    </row>
    <row r="198" spans="1:26" s="790" customFormat="1" ht="61.2" x14ac:dyDescent="0.2">
      <c r="A198" s="784">
        <v>28</v>
      </c>
      <c r="B198" s="784">
        <v>28</v>
      </c>
      <c r="C198" s="784" t="s">
        <v>1196</v>
      </c>
      <c r="D198" s="784" t="s">
        <v>1164</v>
      </c>
      <c r="E198" s="785">
        <v>0.23849999999999999</v>
      </c>
      <c r="F198" s="786">
        <v>1778590.4210000001</v>
      </c>
      <c r="G198" s="786">
        <v>33867.730000000003</v>
      </c>
      <c r="H198" s="787">
        <v>3613767.21</v>
      </c>
      <c r="I198" s="787">
        <v>136122.57999999999</v>
      </c>
      <c r="J198" s="787">
        <v>106945.49</v>
      </c>
      <c r="K198" s="786">
        <v>1534.1</v>
      </c>
      <c r="L198" s="786">
        <v>365.88285000000002</v>
      </c>
      <c r="M198" s="788">
        <f>39.6/1000</f>
        <v>3.9600000000000003E-2</v>
      </c>
      <c r="N198" s="788" t="s">
        <v>2369</v>
      </c>
      <c r="O198" s="788"/>
      <c r="Q198" s="790">
        <f t="shared" ref="Q198:Q221" si="2">H198/E198*M198</f>
        <v>600021.72543396195</v>
      </c>
      <c r="T198" s="790">
        <v>3869713.83</v>
      </c>
      <c r="V198" s="790">
        <v>136122.57999999999</v>
      </c>
      <c r="W198" s="790">
        <v>106945.49</v>
      </c>
      <c r="X198" s="790">
        <v>19704.89</v>
      </c>
      <c r="Y198" s="790">
        <v>365.88285000000002</v>
      </c>
      <c r="Z198" s="790">
        <v>36.067163000000001</v>
      </c>
    </row>
    <row r="199" spans="1:26" x14ac:dyDescent="0.2">
      <c r="A199" s="407"/>
      <c r="B199" s="407"/>
      <c r="C199" s="407"/>
      <c r="D199" s="408" t="s">
        <v>1181</v>
      </c>
      <c r="E199" s="409"/>
      <c r="F199" s="410">
        <v>12748.370999999999</v>
      </c>
      <c r="G199" s="410">
        <v>1845.4337499999999</v>
      </c>
      <c r="H199" s="409"/>
      <c r="I199" s="409"/>
      <c r="J199" s="411">
        <v>19704.89</v>
      </c>
      <c r="K199" s="410">
        <v>151.22499999999999</v>
      </c>
      <c r="L199" s="410">
        <v>36.067163000000001</v>
      </c>
      <c r="Q199" s="790"/>
    </row>
    <row r="200" spans="1:26" ht="20.399999999999999" x14ac:dyDescent="0.2">
      <c r="A200" s="412"/>
      <c r="B200" s="412"/>
      <c r="C200" s="412"/>
      <c r="D200" s="395" t="s">
        <v>714</v>
      </c>
      <c r="E200" s="412"/>
      <c r="F200" s="412"/>
      <c r="G200" s="412"/>
      <c r="H200" s="412"/>
      <c r="I200" s="412"/>
      <c r="J200" s="412"/>
      <c r="K200" s="412"/>
      <c r="L200" s="412"/>
      <c r="Q200" s="790"/>
    </row>
    <row r="201" spans="1:26" ht="20.399999999999999" x14ac:dyDescent="0.2">
      <c r="A201" s="412"/>
      <c r="B201" s="412"/>
      <c r="C201" s="412"/>
      <c r="D201" s="395" t="s">
        <v>978</v>
      </c>
      <c r="E201" s="412"/>
      <c r="F201" s="412"/>
      <c r="G201" s="412"/>
      <c r="H201" s="412"/>
      <c r="I201" s="412"/>
      <c r="J201" s="412"/>
      <c r="K201" s="412"/>
      <c r="L201" s="412"/>
      <c r="Q201" s="790"/>
    </row>
    <row r="202" spans="1:26" ht="132.6" x14ac:dyDescent="0.2">
      <c r="A202" s="412"/>
      <c r="B202" s="412"/>
      <c r="C202" s="412"/>
      <c r="D202" s="395" t="s">
        <v>979</v>
      </c>
      <c r="E202" s="412"/>
      <c r="F202" s="412"/>
      <c r="G202" s="412"/>
      <c r="H202" s="412"/>
      <c r="I202" s="412"/>
      <c r="J202" s="412"/>
      <c r="K202" s="412"/>
      <c r="L202" s="412"/>
      <c r="Q202" s="790"/>
    </row>
    <row r="203" spans="1:26" x14ac:dyDescent="0.2">
      <c r="A203" s="412"/>
      <c r="B203" s="412"/>
      <c r="C203" s="412"/>
      <c r="D203" s="413" t="s">
        <v>206</v>
      </c>
      <c r="E203" s="414" t="s">
        <v>838</v>
      </c>
      <c r="F203" s="414"/>
      <c r="G203" s="414"/>
      <c r="H203" s="415">
        <v>169851.94</v>
      </c>
      <c r="I203" s="412"/>
      <c r="J203" s="412"/>
      <c r="K203" s="412"/>
      <c r="L203" s="412"/>
      <c r="Q203" s="790">
        <f t="shared" si="2"/>
        <v>0</v>
      </c>
    </row>
    <row r="204" spans="1:26" x14ac:dyDescent="0.2">
      <c r="A204" s="412"/>
      <c r="B204" s="412"/>
      <c r="C204" s="412"/>
      <c r="D204" s="413" t="s">
        <v>207</v>
      </c>
      <c r="E204" s="414" t="s">
        <v>1177</v>
      </c>
      <c r="F204" s="414"/>
      <c r="G204" s="414"/>
      <c r="H204" s="415">
        <v>86094.68</v>
      </c>
      <c r="I204" s="412"/>
      <c r="J204" s="412"/>
      <c r="K204" s="412"/>
      <c r="L204" s="412"/>
      <c r="Q204" s="790">
        <f t="shared" si="2"/>
        <v>0</v>
      </c>
    </row>
    <row r="205" spans="1:26" x14ac:dyDescent="0.2">
      <c r="A205" s="412"/>
      <c r="B205" s="412"/>
      <c r="C205" s="412"/>
      <c r="D205" s="416" t="s">
        <v>715</v>
      </c>
      <c r="E205" s="417"/>
      <c r="F205" s="417"/>
      <c r="G205" s="417"/>
      <c r="H205" s="418">
        <v>3869713.83</v>
      </c>
      <c r="I205" s="412"/>
      <c r="J205" s="412"/>
      <c r="K205" s="412"/>
      <c r="L205" s="412"/>
      <c r="Q205" s="790"/>
    </row>
    <row r="206" spans="1:26" s="790" customFormat="1" x14ac:dyDescent="0.2">
      <c r="A206" s="784">
        <v>29</v>
      </c>
      <c r="B206" s="784">
        <v>29</v>
      </c>
      <c r="C206" s="784" t="s">
        <v>1197</v>
      </c>
      <c r="D206" s="784" t="s">
        <v>1555</v>
      </c>
      <c r="E206" s="785">
        <v>-477</v>
      </c>
      <c r="F206" s="786">
        <v>351.2</v>
      </c>
      <c r="G206" s="786" t="s">
        <v>281</v>
      </c>
      <c r="H206" s="787">
        <v>-1366981.83</v>
      </c>
      <c r="I206" s="787" t="s">
        <v>281</v>
      </c>
      <c r="J206" s="787" t="s">
        <v>281</v>
      </c>
      <c r="K206" s="786" t="s">
        <v>281</v>
      </c>
      <c r="L206" s="786" t="s">
        <v>281</v>
      </c>
      <c r="M206" s="820"/>
      <c r="N206" s="820"/>
      <c r="O206" s="820"/>
      <c r="T206" s="790">
        <v>-1366981.83</v>
      </c>
      <c r="V206" s="790" t="s">
        <v>281</v>
      </c>
      <c r="W206" s="790" t="s">
        <v>281</v>
      </c>
      <c r="X206" s="790" t="s">
        <v>281</v>
      </c>
      <c r="Y206" s="790" t="s">
        <v>281</v>
      </c>
      <c r="Z206" s="790" t="s">
        <v>281</v>
      </c>
    </row>
    <row r="207" spans="1:26" x14ac:dyDescent="0.2">
      <c r="A207" s="407"/>
      <c r="B207" s="407"/>
      <c r="C207" s="407"/>
      <c r="D207" s="408" t="s">
        <v>883</v>
      </c>
      <c r="E207" s="409"/>
      <c r="F207" s="410" t="s">
        <v>281</v>
      </c>
      <c r="G207" s="410" t="s">
        <v>281</v>
      </c>
      <c r="H207" s="409"/>
      <c r="I207" s="409"/>
      <c r="J207" s="411" t="s">
        <v>281</v>
      </c>
      <c r="K207" s="410" t="s">
        <v>281</v>
      </c>
      <c r="L207" s="410" t="s">
        <v>281</v>
      </c>
      <c r="Q207" s="790"/>
    </row>
    <row r="208" spans="1:26" x14ac:dyDescent="0.2">
      <c r="A208" s="412"/>
      <c r="B208" s="412"/>
      <c r="C208" s="412"/>
      <c r="D208" s="395" t="s">
        <v>718</v>
      </c>
      <c r="E208" s="412"/>
      <c r="F208" s="412"/>
      <c r="G208" s="412"/>
      <c r="H208" s="412"/>
      <c r="I208" s="412"/>
      <c r="J208" s="412"/>
      <c r="K208" s="412"/>
      <c r="L208" s="412"/>
      <c r="Q208" s="790"/>
    </row>
    <row r="209" spans="1:26" s="790" customFormat="1" ht="30.6" x14ac:dyDescent="0.2">
      <c r="A209" s="784">
        <v>30</v>
      </c>
      <c r="B209" s="784">
        <v>30</v>
      </c>
      <c r="C209" s="784" t="s">
        <v>1198</v>
      </c>
      <c r="D209" s="784" t="s">
        <v>1554</v>
      </c>
      <c r="E209" s="785">
        <v>31.629000000000001</v>
      </c>
      <c r="F209" s="786">
        <v>16959.682959999998</v>
      </c>
      <c r="G209" s="786" t="s">
        <v>281</v>
      </c>
      <c r="H209" s="787">
        <v>4377169.26</v>
      </c>
      <c r="I209" s="787" t="s">
        <v>281</v>
      </c>
      <c r="J209" s="787" t="s">
        <v>281</v>
      </c>
      <c r="K209" s="786" t="s">
        <v>281</v>
      </c>
      <c r="L209" s="786" t="s">
        <v>281</v>
      </c>
      <c r="M209" s="788">
        <f>5148/1000</f>
        <v>5.1479999999999997</v>
      </c>
      <c r="N209" s="788" t="s">
        <v>2372</v>
      </c>
      <c r="O209" s="788" t="s">
        <v>2371</v>
      </c>
      <c r="Q209" s="790">
        <f t="shared" si="2"/>
        <v>712436.92024660902</v>
      </c>
      <c r="T209" s="790">
        <v>4377169.26</v>
      </c>
      <c r="V209" s="790" t="s">
        <v>281</v>
      </c>
      <c r="W209" s="790" t="s">
        <v>281</v>
      </c>
      <c r="X209" s="790" t="s">
        <v>281</v>
      </c>
      <c r="Y209" s="790" t="s">
        <v>281</v>
      </c>
      <c r="Z209" s="790" t="s">
        <v>281</v>
      </c>
    </row>
    <row r="210" spans="1:26" x14ac:dyDescent="0.2">
      <c r="A210" s="407"/>
      <c r="B210" s="407"/>
      <c r="C210" s="407"/>
      <c r="D210" s="408" t="s">
        <v>224</v>
      </c>
      <c r="E210" s="409"/>
      <c r="F210" s="410" t="s">
        <v>281</v>
      </c>
      <c r="G210" s="410" t="s">
        <v>281</v>
      </c>
      <c r="H210" s="409"/>
      <c r="I210" s="409"/>
      <c r="J210" s="411" t="s">
        <v>281</v>
      </c>
      <c r="K210" s="410" t="s">
        <v>281</v>
      </c>
      <c r="L210" s="410" t="s">
        <v>281</v>
      </c>
      <c r="Q210" s="790"/>
    </row>
    <row r="211" spans="1:26" x14ac:dyDescent="0.2">
      <c r="A211" s="412"/>
      <c r="B211" s="412"/>
      <c r="C211" s="412"/>
      <c r="D211" s="395" t="s">
        <v>718</v>
      </c>
      <c r="E211" s="412"/>
      <c r="F211" s="412"/>
      <c r="G211" s="412"/>
      <c r="H211" s="412"/>
      <c r="I211" s="412"/>
      <c r="J211" s="412"/>
      <c r="K211" s="412"/>
      <c r="L211" s="412"/>
      <c r="Q211" s="790"/>
    </row>
    <row r="212" spans="1:26" s="790" customFormat="1" ht="20.399999999999999" x14ac:dyDescent="0.2">
      <c r="A212" s="784">
        <v>31</v>
      </c>
      <c r="B212" s="784">
        <v>31</v>
      </c>
      <c r="C212" s="784" t="s">
        <v>1199</v>
      </c>
      <c r="D212" s="784" t="s">
        <v>1553</v>
      </c>
      <c r="E212" s="785">
        <v>-439</v>
      </c>
      <c r="F212" s="786">
        <v>287.60000000000002</v>
      </c>
      <c r="G212" s="786" t="s">
        <v>281</v>
      </c>
      <c r="H212" s="787">
        <v>-1030253.98</v>
      </c>
      <c r="I212" s="787" t="s">
        <v>281</v>
      </c>
      <c r="J212" s="787" t="s">
        <v>281</v>
      </c>
      <c r="K212" s="786" t="s">
        <v>281</v>
      </c>
      <c r="L212" s="786" t="s">
        <v>281</v>
      </c>
      <c r="T212" s="790">
        <v>-1030253.98</v>
      </c>
      <c r="V212" s="790" t="s">
        <v>281</v>
      </c>
      <c r="W212" s="790" t="s">
        <v>281</v>
      </c>
      <c r="X212" s="790" t="s">
        <v>281</v>
      </c>
      <c r="Y212" s="790" t="s">
        <v>281</v>
      </c>
      <c r="Z212" s="790" t="s">
        <v>281</v>
      </c>
    </row>
    <row r="213" spans="1:26" x14ac:dyDescent="0.2">
      <c r="A213" s="407"/>
      <c r="B213" s="407"/>
      <c r="C213" s="407"/>
      <c r="D213" s="408" t="s">
        <v>735</v>
      </c>
      <c r="E213" s="409"/>
      <c r="F213" s="410" t="s">
        <v>281</v>
      </c>
      <c r="G213" s="410" t="s">
        <v>281</v>
      </c>
      <c r="H213" s="409"/>
      <c r="I213" s="409"/>
      <c r="J213" s="411" t="s">
        <v>281</v>
      </c>
      <c r="K213" s="410" t="s">
        <v>281</v>
      </c>
      <c r="L213" s="410" t="s">
        <v>281</v>
      </c>
      <c r="Q213" s="790"/>
    </row>
    <row r="214" spans="1:26" x14ac:dyDescent="0.2">
      <c r="A214" s="412"/>
      <c r="B214" s="412"/>
      <c r="C214" s="412"/>
      <c r="D214" s="395" t="s">
        <v>718</v>
      </c>
      <c r="E214" s="412"/>
      <c r="F214" s="412"/>
      <c r="G214" s="412"/>
      <c r="H214" s="412"/>
      <c r="I214" s="412"/>
      <c r="J214" s="412"/>
      <c r="K214" s="412"/>
      <c r="L214" s="412"/>
      <c r="Q214" s="790"/>
    </row>
    <row r="215" spans="1:26" s="790" customFormat="1" ht="51" x14ac:dyDescent="0.2">
      <c r="A215" s="784">
        <v>32</v>
      </c>
      <c r="B215" s="784">
        <v>32</v>
      </c>
      <c r="C215" s="784" t="s">
        <v>1200</v>
      </c>
      <c r="D215" s="784" t="s">
        <v>1551</v>
      </c>
      <c r="E215" s="785">
        <v>439</v>
      </c>
      <c r="F215" s="786">
        <v>248.0412</v>
      </c>
      <c r="G215" s="786" t="s">
        <v>281</v>
      </c>
      <c r="H215" s="787">
        <v>888544.78</v>
      </c>
      <c r="I215" s="787" t="s">
        <v>281</v>
      </c>
      <c r="J215" s="787" t="s">
        <v>281</v>
      </c>
      <c r="K215" s="786" t="s">
        <v>281</v>
      </c>
      <c r="L215" s="786" t="s">
        <v>281</v>
      </c>
      <c r="M215" s="788">
        <v>73</v>
      </c>
      <c r="N215" s="788" t="s">
        <v>2370</v>
      </c>
      <c r="O215" s="788"/>
      <c r="Q215" s="790">
        <f t="shared" si="2"/>
        <v>147753.46</v>
      </c>
      <c r="T215" s="790">
        <v>888544.78</v>
      </c>
      <c r="V215" s="790" t="s">
        <v>281</v>
      </c>
      <c r="W215" s="790" t="s">
        <v>281</v>
      </c>
      <c r="X215" s="790" t="s">
        <v>281</v>
      </c>
      <c r="Y215" s="790" t="s">
        <v>281</v>
      </c>
      <c r="Z215" s="790" t="s">
        <v>281</v>
      </c>
    </row>
    <row r="216" spans="1:26" x14ac:dyDescent="0.2">
      <c r="A216" s="407"/>
      <c r="B216" s="407"/>
      <c r="C216" s="407"/>
      <c r="D216" s="408" t="s">
        <v>735</v>
      </c>
      <c r="E216" s="409"/>
      <c r="F216" s="410" t="s">
        <v>281</v>
      </c>
      <c r="G216" s="410" t="s">
        <v>281</v>
      </c>
      <c r="H216" s="409"/>
      <c r="I216" s="409"/>
      <c r="J216" s="411" t="s">
        <v>281</v>
      </c>
      <c r="K216" s="410" t="s">
        <v>281</v>
      </c>
      <c r="L216" s="410" t="s">
        <v>281</v>
      </c>
      <c r="Q216" s="790"/>
    </row>
    <row r="217" spans="1:26" x14ac:dyDescent="0.2">
      <c r="A217" s="412"/>
      <c r="B217" s="412"/>
      <c r="C217" s="412"/>
      <c r="D217" s="395" t="s">
        <v>718</v>
      </c>
      <c r="E217" s="412"/>
      <c r="F217" s="412"/>
      <c r="G217" s="412"/>
      <c r="H217" s="412"/>
      <c r="I217" s="412"/>
      <c r="J217" s="412"/>
      <c r="K217" s="412"/>
      <c r="L217" s="412"/>
      <c r="Q217" s="790"/>
    </row>
    <row r="218" spans="1:26" s="790" customFormat="1" x14ac:dyDescent="0.2">
      <c r="A218" s="784">
        <v>33</v>
      </c>
      <c r="B218" s="784">
        <v>33</v>
      </c>
      <c r="C218" s="784" t="s">
        <v>1201</v>
      </c>
      <c r="D218" s="784" t="s">
        <v>1552</v>
      </c>
      <c r="E218" s="785">
        <v>-76</v>
      </c>
      <c r="F218" s="786">
        <v>145.30000000000001</v>
      </c>
      <c r="G218" s="786" t="s">
        <v>281</v>
      </c>
      <c r="H218" s="787">
        <v>-90109.4</v>
      </c>
      <c r="I218" s="787" t="s">
        <v>281</v>
      </c>
      <c r="J218" s="787" t="s">
        <v>281</v>
      </c>
      <c r="K218" s="786" t="s">
        <v>281</v>
      </c>
      <c r="L218" s="786" t="s">
        <v>281</v>
      </c>
      <c r="M218" s="820"/>
      <c r="N218" s="820"/>
      <c r="O218" s="820"/>
      <c r="T218" s="790">
        <v>-90109.4</v>
      </c>
      <c r="V218" s="790" t="s">
        <v>281</v>
      </c>
      <c r="W218" s="790" t="s">
        <v>281</v>
      </c>
      <c r="X218" s="790" t="s">
        <v>281</v>
      </c>
      <c r="Y218" s="790" t="s">
        <v>281</v>
      </c>
      <c r="Z218" s="790" t="s">
        <v>281</v>
      </c>
    </row>
    <row r="219" spans="1:26" x14ac:dyDescent="0.2">
      <c r="A219" s="407"/>
      <c r="B219" s="407"/>
      <c r="C219" s="407"/>
      <c r="D219" s="408" t="s">
        <v>735</v>
      </c>
      <c r="E219" s="409"/>
      <c r="F219" s="410" t="s">
        <v>281</v>
      </c>
      <c r="G219" s="410" t="s">
        <v>281</v>
      </c>
      <c r="H219" s="409"/>
      <c r="I219" s="409"/>
      <c r="J219" s="411" t="s">
        <v>281</v>
      </c>
      <c r="K219" s="410" t="s">
        <v>281</v>
      </c>
      <c r="L219" s="410" t="s">
        <v>281</v>
      </c>
      <c r="Q219" s="790"/>
    </row>
    <row r="220" spans="1:26" x14ac:dyDescent="0.2">
      <c r="A220" s="412"/>
      <c r="B220" s="412"/>
      <c r="C220" s="412"/>
      <c r="D220" s="395" t="s">
        <v>718</v>
      </c>
      <c r="E220" s="412"/>
      <c r="F220" s="412"/>
      <c r="G220" s="412"/>
      <c r="H220" s="412"/>
      <c r="I220" s="412"/>
      <c r="J220" s="412"/>
      <c r="K220" s="412"/>
      <c r="L220" s="412"/>
      <c r="Q220" s="790"/>
    </row>
    <row r="221" spans="1:26" s="790" customFormat="1" ht="30.6" x14ac:dyDescent="0.2">
      <c r="A221" s="784">
        <v>34</v>
      </c>
      <c r="B221" s="784">
        <v>34</v>
      </c>
      <c r="C221" s="784" t="s">
        <v>1202</v>
      </c>
      <c r="D221" s="784" t="s">
        <v>1550</v>
      </c>
      <c r="E221" s="785">
        <v>1.43075</v>
      </c>
      <c r="F221" s="786">
        <v>28421.159800000001</v>
      </c>
      <c r="G221" s="786" t="s">
        <v>281</v>
      </c>
      <c r="H221" s="787">
        <v>331814.76</v>
      </c>
      <c r="I221" s="787" t="s">
        <v>281</v>
      </c>
      <c r="J221" s="787" t="s">
        <v>281</v>
      </c>
      <c r="K221" s="786" t="s">
        <v>281</v>
      </c>
      <c r="L221" s="786" t="s">
        <v>281</v>
      </c>
      <c r="M221" s="788">
        <f>20*29.5/1000</f>
        <v>0.59</v>
      </c>
      <c r="N221" s="788" t="s">
        <v>2374</v>
      </c>
      <c r="O221" s="788" t="s">
        <v>2373</v>
      </c>
      <c r="Q221" s="790">
        <f t="shared" si="2"/>
        <v>136830.82886597901</v>
      </c>
      <c r="T221" s="790">
        <v>331814.76</v>
      </c>
      <c r="V221" s="790" t="s">
        <v>281</v>
      </c>
      <c r="W221" s="790" t="s">
        <v>281</v>
      </c>
      <c r="X221" s="790" t="s">
        <v>281</v>
      </c>
      <c r="Y221" s="790" t="s">
        <v>281</v>
      </c>
      <c r="Z221" s="790" t="s">
        <v>281</v>
      </c>
    </row>
    <row r="222" spans="1:26" x14ac:dyDescent="0.2">
      <c r="A222" s="407"/>
      <c r="B222" s="407"/>
      <c r="C222" s="407"/>
      <c r="D222" s="408" t="s">
        <v>224</v>
      </c>
      <c r="E222" s="409"/>
      <c r="F222" s="410" t="s">
        <v>281</v>
      </c>
      <c r="G222" s="410" t="s">
        <v>281</v>
      </c>
      <c r="H222" s="409"/>
      <c r="I222" s="409"/>
      <c r="J222" s="411" t="s">
        <v>281</v>
      </c>
      <c r="K222" s="410" t="s">
        <v>281</v>
      </c>
      <c r="L222" s="410" t="s">
        <v>281</v>
      </c>
      <c r="Q222" s="790"/>
    </row>
    <row r="223" spans="1:26" x14ac:dyDescent="0.2">
      <c r="A223" s="412"/>
      <c r="B223" s="412"/>
      <c r="C223" s="412"/>
      <c r="D223" s="395" t="s">
        <v>718</v>
      </c>
      <c r="E223" s="412"/>
      <c r="F223" s="412"/>
      <c r="G223" s="412"/>
      <c r="H223" s="412"/>
      <c r="I223" s="412"/>
      <c r="J223" s="412"/>
      <c r="K223" s="412"/>
      <c r="L223" s="412"/>
      <c r="Q223" s="790"/>
    </row>
    <row r="224" spans="1:26" s="790" customFormat="1" ht="30.6" x14ac:dyDescent="0.2">
      <c r="A224" s="784">
        <v>35</v>
      </c>
      <c r="B224" s="784">
        <v>35</v>
      </c>
      <c r="C224" s="784" t="s">
        <v>1203</v>
      </c>
      <c r="D224" s="784" t="s">
        <v>1549</v>
      </c>
      <c r="E224" s="785">
        <v>-878</v>
      </c>
      <c r="F224" s="786">
        <v>66.400000000000006</v>
      </c>
      <c r="G224" s="786" t="s">
        <v>281</v>
      </c>
      <c r="H224" s="787">
        <v>-475717.96</v>
      </c>
      <c r="I224" s="787" t="s">
        <v>281</v>
      </c>
      <c r="J224" s="787" t="s">
        <v>281</v>
      </c>
      <c r="K224" s="786" t="s">
        <v>281</v>
      </c>
      <c r="L224" s="786" t="s">
        <v>281</v>
      </c>
      <c r="M224" s="820"/>
      <c r="N224" s="820"/>
      <c r="O224" s="820"/>
      <c r="T224" s="790">
        <v>-475717.96</v>
      </c>
      <c r="V224" s="790" t="s">
        <v>281</v>
      </c>
      <c r="W224" s="790" t="s">
        <v>281</v>
      </c>
      <c r="X224" s="790" t="s">
        <v>281</v>
      </c>
      <c r="Y224" s="790" t="s">
        <v>281</v>
      </c>
      <c r="Z224" s="790" t="s">
        <v>281</v>
      </c>
    </row>
    <row r="225" spans="1:26" x14ac:dyDescent="0.2">
      <c r="A225" s="407"/>
      <c r="B225" s="407"/>
      <c r="C225" s="407"/>
      <c r="D225" s="408" t="s">
        <v>735</v>
      </c>
      <c r="E225" s="409"/>
      <c r="F225" s="410" t="s">
        <v>281</v>
      </c>
      <c r="G225" s="410" t="s">
        <v>281</v>
      </c>
      <c r="H225" s="409"/>
      <c r="I225" s="409"/>
      <c r="J225" s="411" t="s">
        <v>281</v>
      </c>
      <c r="K225" s="410" t="s">
        <v>281</v>
      </c>
      <c r="L225" s="410" t="s">
        <v>281</v>
      </c>
      <c r="Q225" s="790"/>
    </row>
    <row r="226" spans="1:26" x14ac:dyDescent="0.2">
      <c r="A226" s="412"/>
      <c r="B226" s="412"/>
      <c r="C226" s="412"/>
      <c r="D226" s="395" t="s">
        <v>718</v>
      </c>
      <c r="E226" s="412"/>
      <c r="F226" s="412"/>
      <c r="G226" s="412"/>
      <c r="H226" s="412"/>
      <c r="I226" s="412"/>
      <c r="J226" s="412"/>
      <c r="K226" s="412"/>
      <c r="L226" s="412"/>
      <c r="Q226" s="790"/>
    </row>
    <row r="227" spans="1:26" s="790" customFormat="1" ht="30.6" x14ac:dyDescent="0.2">
      <c r="A227" s="784">
        <v>36</v>
      </c>
      <c r="B227" s="784">
        <v>36</v>
      </c>
      <c r="C227" s="784" t="s">
        <v>1204</v>
      </c>
      <c r="D227" s="784" t="s">
        <v>1548</v>
      </c>
      <c r="E227" s="785">
        <v>-0.82050000000000001</v>
      </c>
      <c r="F227" s="786">
        <v>11859</v>
      </c>
      <c r="G227" s="786" t="s">
        <v>281</v>
      </c>
      <c r="H227" s="787">
        <v>-79399.33</v>
      </c>
      <c r="I227" s="787" t="s">
        <v>281</v>
      </c>
      <c r="J227" s="787" t="s">
        <v>281</v>
      </c>
      <c r="K227" s="786" t="s">
        <v>281</v>
      </c>
      <c r="L227" s="786" t="s">
        <v>281</v>
      </c>
      <c r="M227" s="820"/>
      <c r="N227" s="820"/>
      <c r="O227" s="820"/>
      <c r="T227" s="790">
        <v>-79399.33</v>
      </c>
      <c r="V227" s="790" t="s">
        <v>281</v>
      </c>
      <c r="W227" s="790" t="s">
        <v>281</v>
      </c>
      <c r="X227" s="790" t="s">
        <v>281</v>
      </c>
      <c r="Y227" s="790" t="s">
        <v>281</v>
      </c>
      <c r="Z227" s="790" t="s">
        <v>281</v>
      </c>
    </row>
    <row r="228" spans="1:26" x14ac:dyDescent="0.2">
      <c r="A228" s="407"/>
      <c r="B228" s="407"/>
      <c r="C228" s="407"/>
      <c r="D228" s="408" t="s">
        <v>224</v>
      </c>
      <c r="E228" s="409"/>
      <c r="F228" s="410" t="s">
        <v>281</v>
      </c>
      <c r="G228" s="410" t="s">
        <v>281</v>
      </c>
      <c r="H228" s="409"/>
      <c r="I228" s="409"/>
      <c r="J228" s="411" t="s">
        <v>281</v>
      </c>
      <c r="K228" s="410" t="s">
        <v>281</v>
      </c>
      <c r="L228" s="410" t="s">
        <v>281</v>
      </c>
      <c r="Q228" s="790"/>
    </row>
    <row r="229" spans="1:26" x14ac:dyDescent="0.2">
      <c r="A229" s="412"/>
      <c r="B229" s="412"/>
      <c r="C229" s="412"/>
      <c r="D229" s="395" t="s">
        <v>718</v>
      </c>
      <c r="E229" s="412"/>
      <c r="F229" s="412"/>
      <c r="G229" s="412"/>
      <c r="H229" s="412"/>
      <c r="I229" s="412"/>
      <c r="J229" s="412"/>
      <c r="K229" s="412"/>
      <c r="L229" s="412"/>
      <c r="Q229" s="790"/>
    </row>
    <row r="230" spans="1:26" s="790" customFormat="1" ht="20.399999999999999" x14ac:dyDescent="0.2">
      <c r="A230" s="784">
        <v>37</v>
      </c>
      <c r="B230" s="784">
        <v>37</v>
      </c>
      <c r="C230" s="784" t="s">
        <v>1205</v>
      </c>
      <c r="D230" s="784" t="s">
        <v>1547</v>
      </c>
      <c r="E230" s="785">
        <v>-1.97725</v>
      </c>
      <c r="F230" s="786">
        <v>11856</v>
      </c>
      <c r="G230" s="786" t="s">
        <v>281</v>
      </c>
      <c r="H230" s="787">
        <v>-191288.97</v>
      </c>
      <c r="I230" s="787" t="s">
        <v>281</v>
      </c>
      <c r="J230" s="787" t="s">
        <v>281</v>
      </c>
      <c r="K230" s="786" t="s">
        <v>281</v>
      </c>
      <c r="L230" s="786" t="s">
        <v>281</v>
      </c>
      <c r="M230" s="820"/>
      <c r="N230" s="820"/>
      <c r="O230" s="820"/>
      <c r="T230" s="790">
        <v>-191288.97</v>
      </c>
      <c r="V230" s="790" t="s">
        <v>281</v>
      </c>
      <c r="W230" s="790" t="s">
        <v>281</v>
      </c>
      <c r="X230" s="790" t="s">
        <v>281</v>
      </c>
      <c r="Y230" s="790" t="s">
        <v>281</v>
      </c>
      <c r="Z230" s="790" t="s">
        <v>281</v>
      </c>
    </row>
    <row r="231" spans="1:26" x14ac:dyDescent="0.2">
      <c r="A231" s="407"/>
      <c r="B231" s="407"/>
      <c r="C231" s="407"/>
      <c r="D231" s="408" t="s">
        <v>224</v>
      </c>
      <c r="E231" s="409"/>
      <c r="F231" s="410" t="s">
        <v>281</v>
      </c>
      <c r="G231" s="410" t="s">
        <v>281</v>
      </c>
      <c r="H231" s="409"/>
      <c r="I231" s="409"/>
      <c r="J231" s="411" t="s">
        <v>281</v>
      </c>
      <c r="K231" s="410" t="s">
        <v>281</v>
      </c>
      <c r="L231" s="410" t="s">
        <v>281</v>
      </c>
      <c r="Q231" s="790"/>
    </row>
    <row r="232" spans="1:26" x14ac:dyDescent="0.2">
      <c r="A232" s="412"/>
      <c r="B232" s="412"/>
      <c r="C232" s="412"/>
      <c r="D232" s="395" t="s">
        <v>718</v>
      </c>
      <c r="E232" s="412"/>
      <c r="F232" s="412"/>
      <c r="G232" s="412"/>
      <c r="H232" s="412"/>
      <c r="I232" s="412"/>
      <c r="J232" s="412"/>
      <c r="K232" s="412"/>
      <c r="L232" s="412"/>
      <c r="Q232" s="790"/>
    </row>
    <row r="233" spans="1:26" s="790" customFormat="1" ht="30.6" x14ac:dyDescent="0.2">
      <c r="A233" s="784">
        <v>38</v>
      </c>
      <c r="B233" s="784">
        <v>38</v>
      </c>
      <c r="C233" s="784" t="s">
        <v>1206</v>
      </c>
      <c r="D233" s="784" t="s">
        <v>1546</v>
      </c>
      <c r="E233" s="785">
        <v>-878</v>
      </c>
      <c r="F233" s="786">
        <v>5.5</v>
      </c>
      <c r="G233" s="786" t="s">
        <v>281</v>
      </c>
      <c r="H233" s="787">
        <v>-39404.639999999999</v>
      </c>
      <c r="I233" s="787" t="s">
        <v>281</v>
      </c>
      <c r="J233" s="787" t="s">
        <v>281</v>
      </c>
      <c r="K233" s="786" t="s">
        <v>281</v>
      </c>
      <c r="L233" s="786" t="s">
        <v>281</v>
      </c>
      <c r="M233" s="820"/>
      <c r="N233" s="820"/>
      <c r="O233" s="820"/>
      <c r="T233" s="790">
        <v>-39404.639999999999</v>
      </c>
      <c r="V233" s="790" t="s">
        <v>281</v>
      </c>
      <c r="W233" s="790" t="s">
        <v>281</v>
      </c>
      <c r="X233" s="790" t="s">
        <v>281</v>
      </c>
      <c r="Y233" s="790" t="s">
        <v>281</v>
      </c>
      <c r="Z233" s="790" t="s">
        <v>281</v>
      </c>
    </row>
    <row r="234" spans="1:26" x14ac:dyDescent="0.2">
      <c r="A234" s="407"/>
      <c r="B234" s="407"/>
      <c r="C234" s="407"/>
      <c r="D234" s="408" t="s">
        <v>735</v>
      </c>
      <c r="E234" s="409"/>
      <c r="F234" s="410" t="s">
        <v>281</v>
      </c>
      <c r="G234" s="410" t="s">
        <v>281</v>
      </c>
      <c r="H234" s="409"/>
      <c r="I234" s="409"/>
      <c r="J234" s="411" t="s">
        <v>281</v>
      </c>
      <c r="K234" s="410" t="s">
        <v>281</v>
      </c>
      <c r="L234" s="410" t="s">
        <v>281</v>
      </c>
      <c r="Q234" s="790"/>
    </row>
    <row r="235" spans="1:26" x14ac:dyDescent="0.2">
      <c r="A235" s="412"/>
      <c r="B235" s="412"/>
      <c r="C235" s="412"/>
      <c r="D235" s="395" t="s">
        <v>718</v>
      </c>
      <c r="E235" s="412"/>
      <c r="F235" s="412"/>
      <c r="G235" s="412"/>
      <c r="H235" s="412"/>
      <c r="I235" s="412"/>
      <c r="J235" s="412"/>
      <c r="K235" s="412"/>
      <c r="L235" s="412"/>
      <c r="Q235" s="790"/>
    </row>
    <row r="236" spans="1:26" s="790" customFormat="1" ht="51" x14ac:dyDescent="0.2">
      <c r="A236" s="784">
        <v>39</v>
      </c>
      <c r="B236" s="784">
        <v>39</v>
      </c>
      <c r="C236" s="784" t="s">
        <v>1207</v>
      </c>
      <c r="D236" s="784" t="s">
        <v>1545</v>
      </c>
      <c r="E236" s="785">
        <v>877.75</v>
      </c>
      <c r="F236" s="786">
        <v>373.09231999999997</v>
      </c>
      <c r="G236" s="786" t="s">
        <v>281</v>
      </c>
      <c r="H236" s="787">
        <v>2672248.4300000002</v>
      </c>
      <c r="I236" s="787" t="s">
        <v>281</v>
      </c>
      <c r="J236" s="787" t="s">
        <v>281</v>
      </c>
      <c r="K236" s="786" t="s">
        <v>281</v>
      </c>
      <c r="L236" s="786" t="s">
        <v>281</v>
      </c>
      <c r="M236" s="788">
        <v>73</v>
      </c>
      <c r="N236" s="788" t="s">
        <v>2370</v>
      </c>
      <c r="O236" s="788"/>
      <c r="Q236" s="790">
        <f t="shared" ref="Q236:Q294" si="3">H236/E236*M236</f>
        <v>222243.38979208199</v>
      </c>
      <c r="T236" s="790">
        <v>2672248.4300000002</v>
      </c>
      <c r="V236" s="790" t="s">
        <v>281</v>
      </c>
      <c r="W236" s="790" t="s">
        <v>281</v>
      </c>
      <c r="X236" s="790" t="s">
        <v>281</v>
      </c>
      <c r="Y236" s="790" t="s">
        <v>281</v>
      </c>
      <c r="Z236" s="790" t="s">
        <v>281</v>
      </c>
    </row>
    <row r="237" spans="1:26" x14ac:dyDescent="0.2">
      <c r="A237" s="407"/>
      <c r="B237" s="407"/>
      <c r="C237" s="407"/>
      <c r="D237" s="408" t="s">
        <v>1179</v>
      </c>
      <c r="E237" s="409"/>
      <c r="F237" s="410" t="s">
        <v>281</v>
      </c>
      <c r="G237" s="410" t="s">
        <v>281</v>
      </c>
      <c r="H237" s="409"/>
      <c r="I237" s="409"/>
      <c r="J237" s="411" t="s">
        <v>281</v>
      </c>
      <c r="K237" s="410" t="s">
        <v>281</v>
      </c>
      <c r="L237" s="410" t="s">
        <v>281</v>
      </c>
      <c r="Q237" s="790"/>
    </row>
    <row r="238" spans="1:26" x14ac:dyDescent="0.2">
      <c r="A238" s="412"/>
      <c r="B238" s="412"/>
      <c r="C238" s="412"/>
      <c r="D238" s="395" t="s">
        <v>718</v>
      </c>
      <c r="E238" s="412"/>
      <c r="F238" s="412"/>
      <c r="G238" s="412"/>
      <c r="H238" s="412"/>
      <c r="I238" s="412"/>
      <c r="J238" s="412"/>
      <c r="K238" s="412"/>
      <c r="L238" s="412"/>
      <c r="Q238" s="790"/>
    </row>
    <row r="239" spans="1:26" s="817" customFormat="1" ht="30.6" x14ac:dyDescent="0.2">
      <c r="A239" s="813">
        <v>40</v>
      </c>
      <c r="B239" s="813">
        <v>76</v>
      </c>
      <c r="C239" s="813" t="s">
        <v>1208</v>
      </c>
      <c r="D239" s="813" t="s">
        <v>1165</v>
      </c>
      <c r="E239" s="814">
        <v>9.2999999999999992E-3</v>
      </c>
      <c r="F239" s="815">
        <v>588763.36199999996</v>
      </c>
      <c r="G239" s="815">
        <v>825.01</v>
      </c>
      <c r="H239" s="816">
        <v>51476.43</v>
      </c>
      <c r="I239" s="816">
        <v>8263.5300000000007</v>
      </c>
      <c r="J239" s="816">
        <v>101.59</v>
      </c>
      <c r="K239" s="815">
        <v>2063.1</v>
      </c>
      <c r="L239" s="815">
        <v>19.18683</v>
      </c>
      <c r="M239" s="818">
        <v>0</v>
      </c>
      <c r="N239" s="818" t="s">
        <v>2375</v>
      </c>
      <c r="O239" s="818"/>
      <c r="Q239" s="790"/>
      <c r="T239" s="817">
        <v>68809.179999999993</v>
      </c>
      <c r="V239" s="817">
        <v>8263.5300000000007</v>
      </c>
      <c r="W239" s="817">
        <v>101.59</v>
      </c>
      <c r="X239" s="817" t="s">
        <v>281</v>
      </c>
      <c r="Y239" s="817">
        <v>19.18683</v>
      </c>
      <c r="Z239" s="817" t="s">
        <v>281</v>
      </c>
    </row>
    <row r="240" spans="1:26" x14ac:dyDescent="0.2">
      <c r="A240" s="407"/>
      <c r="B240" s="407"/>
      <c r="C240" s="407"/>
      <c r="D240" s="408" t="s">
        <v>1181</v>
      </c>
      <c r="E240" s="409"/>
      <c r="F240" s="410">
        <v>19847.022000000001</v>
      </c>
      <c r="G240" s="410" t="s">
        <v>281</v>
      </c>
      <c r="H240" s="409"/>
      <c r="I240" s="409"/>
      <c r="J240" s="411" t="s">
        <v>281</v>
      </c>
      <c r="K240" s="410" t="s">
        <v>281</v>
      </c>
      <c r="L240" s="410" t="s">
        <v>281</v>
      </c>
      <c r="Q240" s="790"/>
    </row>
    <row r="241" spans="1:26" ht="20.399999999999999" x14ac:dyDescent="0.2">
      <c r="A241" s="412"/>
      <c r="B241" s="412"/>
      <c r="C241" s="412"/>
      <c r="D241" s="395" t="s">
        <v>714</v>
      </c>
      <c r="E241" s="412"/>
      <c r="F241" s="412"/>
      <c r="G241" s="412"/>
      <c r="H241" s="412"/>
      <c r="I241" s="412"/>
      <c r="J241" s="412"/>
      <c r="K241" s="412"/>
      <c r="L241" s="412"/>
      <c r="Q241" s="790"/>
    </row>
    <row r="242" spans="1:26" ht="20.399999999999999" x14ac:dyDescent="0.2">
      <c r="A242" s="412"/>
      <c r="B242" s="412"/>
      <c r="C242" s="412"/>
      <c r="D242" s="395" t="s">
        <v>978</v>
      </c>
      <c r="E242" s="412"/>
      <c r="F242" s="412"/>
      <c r="G242" s="412"/>
      <c r="H242" s="412"/>
      <c r="I242" s="412"/>
      <c r="J242" s="412"/>
      <c r="K242" s="412"/>
      <c r="L242" s="412"/>
      <c r="Q242" s="790"/>
    </row>
    <row r="243" spans="1:26" ht="132.6" x14ac:dyDescent="0.2">
      <c r="A243" s="412"/>
      <c r="B243" s="412"/>
      <c r="C243" s="412"/>
      <c r="D243" s="395" t="s">
        <v>979</v>
      </c>
      <c r="E243" s="412"/>
      <c r="F243" s="412"/>
      <c r="G243" s="412"/>
      <c r="H243" s="412"/>
      <c r="I243" s="412"/>
      <c r="J243" s="412"/>
      <c r="K243" s="412"/>
      <c r="L243" s="412"/>
      <c r="Q243" s="790"/>
    </row>
    <row r="244" spans="1:26" x14ac:dyDescent="0.2">
      <c r="A244" s="412"/>
      <c r="B244" s="412"/>
      <c r="C244" s="412"/>
      <c r="D244" s="413" t="s">
        <v>206</v>
      </c>
      <c r="E244" s="414" t="s">
        <v>1209</v>
      </c>
      <c r="F244" s="414"/>
      <c r="G244" s="414"/>
      <c r="H244" s="415">
        <v>12064.75</v>
      </c>
      <c r="I244" s="412"/>
      <c r="J244" s="412"/>
      <c r="K244" s="412"/>
      <c r="L244" s="412"/>
      <c r="Q244" s="790"/>
    </row>
    <row r="245" spans="1:26" x14ac:dyDescent="0.2">
      <c r="A245" s="412"/>
      <c r="B245" s="412"/>
      <c r="C245" s="412"/>
      <c r="D245" s="413" t="s">
        <v>207</v>
      </c>
      <c r="E245" s="414" t="s">
        <v>1210</v>
      </c>
      <c r="F245" s="414"/>
      <c r="G245" s="414"/>
      <c r="H245" s="415">
        <v>5268</v>
      </c>
      <c r="I245" s="412"/>
      <c r="J245" s="412"/>
      <c r="K245" s="412"/>
      <c r="L245" s="412"/>
      <c r="Q245" s="790"/>
    </row>
    <row r="246" spans="1:26" x14ac:dyDescent="0.2">
      <c r="A246" s="412"/>
      <c r="B246" s="412"/>
      <c r="C246" s="412"/>
      <c r="D246" s="416" t="s">
        <v>715</v>
      </c>
      <c r="E246" s="417"/>
      <c r="F246" s="417"/>
      <c r="G246" s="417"/>
      <c r="H246" s="418">
        <v>68809.179999999993</v>
      </c>
      <c r="I246" s="412"/>
      <c r="J246" s="412"/>
      <c r="K246" s="412"/>
      <c r="L246" s="412"/>
      <c r="Q246" s="790"/>
    </row>
    <row r="247" spans="1:26" s="817" customFormat="1" ht="40.799999999999997" x14ac:dyDescent="0.2">
      <c r="A247" s="813">
        <v>41</v>
      </c>
      <c r="B247" s="813">
        <v>84</v>
      </c>
      <c r="C247" s="813" t="s">
        <v>1211</v>
      </c>
      <c r="D247" s="813" t="s">
        <v>1544</v>
      </c>
      <c r="E247" s="814">
        <v>1.2</v>
      </c>
      <c r="F247" s="815">
        <v>16432.602999999999</v>
      </c>
      <c r="G247" s="815" t="s">
        <v>281</v>
      </c>
      <c r="H247" s="816">
        <v>160908.04999999999</v>
      </c>
      <c r="I247" s="816" t="s">
        <v>281</v>
      </c>
      <c r="J247" s="816" t="s">
        <v>281</v>
      </c>
      <c r="K247" s="815" t="s">
        <v>281</v>
      </c>
      <c r="L247" s="815" t="s">
        <v>281</v>
      </c>
      <c r="M247" s="818">
        <v>0</v>
      </c>
      <c r="N247" s="818" t="s">
        <v>2375</v>
      </c>
      <c r="O247" s="818"/>
      <c r="Q247" s="790"/>
      <c r="T247" s="817">
        <v>160908.04999999999</v>
      </c>
      <c r="V247" s="817" t="s">
        <v>281</v>
      </c>
      <c r="W247" s="817" t="s">
        <v>281</v>
      </c>
      <c r="X247" s="817" t="s">
        <v>281</v>
      </c>
      <c r="Y247" s="817" t="s">
        <v>281</v>
      </c>
      <c r="Z247" s="817" t="s">
        <v>281</v>
      </c>
    </row>
    <row r="248" spans="1:26" x14ac:dyDescent="0.2">
      <c r="A248" s="407"/>
      <c r="B248" s="407"/>
      <c r="C248" s="407"/>
      <c r="D248" s="408" t="s">
        <v>1212</v>
      </c>
      <c r="E248" s="409"/>
      <c r="F248" s="410" t="s">
        <v>281</v>
      </c>
      <c r="G248" s="410" t="s">
        <v>281</v>
      </c>
      <c r="H248" s="409"/>
      <c r="I248" s="409"/>
      <c r="J248" s="411" t="s">
        <v>281</v>
      </c>
      <c r="K248" s="410" t="s">
        <v>281</v>
      </c>
      <c r="L248" s="410" t="s">
        <v>281</v>
      </c>
      <c r="Q248" s="790"/>
    </row>
    <row r="249" spans="1:26" x14ac:dyDescent="0.2">
      <c r="A249" s="412"/>
      <c r="B249" s="412"/>
      <c r="C249" s="412"/>
      <c r="D249" s="395" t="s">
        <v>718</v>
      </c>
      <c r="E249" s="412"/>
      <c r="F249" s="412"/>
      <c r="G249" s="412"/>
      <c r="H249" s="412"/>
      <c r="I249" s="412"/>
      <c r="J249" s="412"/>
      <c r="K249" s="412"/>
      <c r="L249" s="412"/>
      <c r="Q249" s="790"/>
    </row>
    <row r="250" spans="1:26" s="790" customFormat="1" ht="61.2" x14ac:dyDescent="0.2">
      <c r="A250" s="784">
        <v>42</v>
      </c>
      <c r="B250" s="784">
        <v>93</v>
      </c>
      <c r="C250" s="784" t="s">
        <v>1213</v>
      </c>
      <c r="D250" s="784" t="s">
        <v>1166</v>
      </c>
      <c r="E250" s="785">
        <v>3</v>
      </c>
      <c r="F250" s="786">
        <v>30139.700400000002</v>
      </c>
      <c r="G250" s="786">
        <v>5399.5518750000001</v>
      </c>
      <c r="H250" s="787">
        <v>897714.78</v>
      </c>
      <c r="I250" s="787">
        <v>94903.26</v>
      </c>
      <c r="J250" s="787">
        <v>214470.21</v>
      </c>
      <c r="K250" s="786">
        <v>73.451650000000001</v>
      </c>
      <c r="L250" s="786">
        <v>220.35495</v>
      </c>
      <c r="M250" s="788">
        <v>3</v>
      </c>
      <c r="N250" s="789" t="s">
        <v>2220</v>
      </c>
      <c r="O250" s="788"/>
      <c r="T250" s="790">
        <v>1129118.31</v>
      </c>
      <c r="V250" s="790">
        <v>94903.26</v>
      </c>
      <c r="W250" s="790">
        <v>214470.21</v>
      </c>
      <c r="X250" s="790">
        <v>45981.69</v>
      </c>
      <c r="Y250" s="790">
        <v>220.35495</v>
      </c>
      <c r="Z250" s="790">
        <v>77.366249999999994</v>
      </c>
    </row>
    <row r="251" spans="1:26" x14ac:dyDescent="0.2">
      <c r="A251" s="407"/>
      <c r="B251" s="407"/>
      <c r="C251" s="407"/>
      <c r="D251" s="408" t="s">
        <v>1179</v>
      </c>
      <c r="E251" s="409"/>
      <c r="F251" s="410">
        <v>706.598525</v>
      </c>
      <c r="G251" s="410">
        <v>342.35500000000002</v>
      </c>
      <c r="H251" s="409"/>
      <c r="I251" s="409"/>
      <c r="J251" s="411">
        <v>45981.69</v>
      </c>
      <c r="K251" s="410">
        <v>25.78875</v>
      </c>
      <c r="L251" s="410">
        <v>77.366249999999994</v>
      </c>
      <c r="Q251" s="790"/>
    </row>
    <row r="252" spans="1:26" ht="20.399999999999999" x14ac:dyDescent="0.2">
      <c r="A252" s="412"/>
      <c r="B252" s="412"/>
      <c r="C252" s="412"/>
      <c r="D252" s="395" t="s">
        <v>714</v>
      </c>
      <c r="E252" s="412"/>
      <c r="F252" s="412"/>
      <c r="G252" s="412"/>
      <c r="H252" s="412"/>
      <c r="I252" s="412"/>
      <c r="J252" s="412"/>
      <c r="K252" s="412"/>
      <c r="L252" s="412"/>
      <c r="Q252" s="790"/>
    </row>
    <row r="253" spans="1:26" ht="20.399999999999999" x14ac:dyDescent="0.2">
      <c r="A253" s="412"/>
      <c r="B253" s="412"/>
      <c r="C253" s="412"/>
      <c r="D253" s="395" t="s">
        <v>978</v>
      </c>
      <c r="E253" s="412"/>
      <c r="F253" s="412"/>
      <c r="G253" s="412"/>
      <c r="H253" s="412"/>
      <c r="I253" s="412"/>
      <c r="J253" s="412"/>
      <c r="K253" s="412"/>
      <c r="L253" s="412"/>
      <c r="Q253" s="790"/>
    </row>
    <row r="254" spans="1:26" ht="132.6" x14ac:dyDescent="0.2">
      <c r="A254" s="412"/>
      <c r="B254" s="412"/>
      <c r="C254" s="412"/>
      <c r="D254" s="395" t="s">
        <v>979</v>
      </c>
      <c r="E254" s="412"/>
      <c r="F254" s="412"/>
      <c r="G254" s="412"/>
      <c r="H254" s="412"/>
      <c r="I254" s="412"/>
      <c r="J254" s="412"/>
      <c r="K254" s="412"/>
      <c r="L254" s="412"/>
      <c r="Q254" s="790"/>
    </row>
    <row r="255" spans="1:26" x14ac:dyDescent="0.2">
      <c r="A255" s="412"/>
      <c r="B255" s="412"/>
      <c r="C255" s="412"/>
      <c r="D255" s="413" t="s">
        <v>206</v>
      </c>
      <c r="E255" s="414" t="s">
        <v>838</v>
      </c>
      <c r="F255" s="414"/>
      <c r="G255" s="414"/>
      <c r="H255" s="415">
        <v>153564.6</v>
      </c>
      <c r="I255" s="412"/>
      <c r="J255" s="412"/>
      <c r="K255" s="412"/>
      <c r="L255" s="412"/>
      <c r="Q255" s="790"/>
    </row>
    <row r="256" spans="1:26" x14ac:dyDescent="0.2">
      <c r="A256" s="412"/>
      <c r="B256" s="412"/>
      <c r="C256" s="412"/>
      <c r="D256" s="413" t="s">
        <v>207</v>
      </c>
      <c r="E256" s="414" t="s">
        <v>1177</v>
      </c>
      <c r="F256" s="414"/>
      <c r="G256" s="414"/>
      <c r="H256" s="415">
        <v>77838.929999999993</v>
      </c>
      <c r="I256" s="412"/>
      <c r="J256" s="412"/>
      <c r="K256" s="412"/>
      <c r="L256" s="412"/>
      <c r="Q256" s="790"/>
    </row>
    <row r="257" spans="1:26" x14ac:dyDescent="0.2">
      <c r="A257" s="412"/>
      <c r="B257" s="412"/>
      <c r="C257" s="412"/>
      <c r="D257" s="416" t="s">
        <v>715</v>
      </c>
      <c r="E257" s="417"/>
      <c r="F257" s="417"/>
      <c r="G257" s="417"/>
      <c r="H257" s="418">
        <v>1129118.31</v>
      </c>
      <c r="I257" s="412"/>
      <c r="J257" s="412"/>
      <c r="K257" s="412"/>
      <c r="L257" s="412"/>
      <c r="Q257" s="790"/>
    </row>
    <row r="258" spans="1:26" s="790" customFormat="1" ht="71.400000000000006" x14ac:dyDescent="0.2">
      <c r="A258" s="784">
        <v>43</v>
      </c>
      <c r="B258" s="784">
        <v>94</v>
      </c>
      <c r="C258" s="784" t="s">
        <v>1214</v>
      </c>
      <c r="D258" s="784" t="s">
        <v>1167</v>
      </c>
      <c r="E258" s="785">
        <v>3</v>
      </c>
      <c r="F258" s="786">
        <v>12784.458000000001</v>
      </c>
      <c r="G258" s="786">
        <v>12365.49</v>
      </c>
      <c r="H258" s="787">
        <v>547428.87</v>
      </c>
      <c r="I258" s="787">
        <v>56271.6</v>
      </c>
      <c r="J258" s="787">
        <v>491157.27</v>
      </c>
      <c r="K258" s="786">
        <v>45.639474999999997</v>
      </c>
      <c r="L258" s="786">
        <v>136.91842500000001</v>
      </c>
      <c r="M258" s="788">
        <v>3</v>
      </c>
      <c r="N258" s="789" t="s">
        <v>2220</v>
      </c>
      <c r="O258" s="788"/>
      <c r="Q258" s="790">
        <f t="shared" si="3"/>
        <v>547428.87</v>
      </c>
      <c r="T258" s="790">
        <v>743980.83</v>
      </c>
      <c r="V258" s="790">
        <v>56271.6</v>
      </c>
      <c r="W258" s="790">
        <v>491157.27</v>
      </c>
      <c r="X258" s="790">
        <v>63394.74</v>
      </c>
      <c r="Y258" s="790">
        <v>136.91842500000001</v>
      </c>
      <c r="Z258" s="790">
        <v>110.65875</v>
      </c>
    </row>
    <row r="259" spans="1:26" x14ac:dyDescent="0.2">
      <c r="A259" s="407"/>
      <c r="B259" s="407"/>
      <c r="C259" s="407"/>
      <c r="D259" s="408" t="s">
        <v>1179</v>
      </c>
      <c r="E259" s="409"/>
      <c r="F259" s="410">
        <v>418.96800000000002</v>
      </c>
      <c r="G259" s="410">
        <v>472.00312500000001</v>
      </c>
      <c r="H259" s="409"/>
      <c r="I259" s="409"/>
      <c r="J259" s="411">
        <v>63394.74</v>
      </c>
      <c r="K259" s="410">
        <v>36.886249999999997</v>
      </c>
      <c r="L259" s="410">
        <v>110.65875</v>
      </c>
      <c r="Q259" s="790"/>
    </row>
    <row r="260" spans="1:26" ht="20.399999999999999" x14ac:dyDescent="0.2">
      <c r="A260" s="412"/>
      <c r="B260" s="412"/>
      <c r="C260" s="412"/>
      <c r="D260" s="395" t="s">
        <v>714</v>
      </c>
      <c r="E260" s="412"/>
      <c r="F260" s="412"/>
      <c r="G260" s="412"/>
      <c r="H260" s="412"/>
      <c r="I260" s="412"/>
      <c r="J260" s="412"/>
      <c r="K260" s="412"/>
      <c r="L260" s="412"/>
      <c r="Q260" s="790"/>
    </row>
    <row r="261" spans="1:26" ht="20.399999999999999" x14ac:dyDescent="0.2">
      <c r="A261" s="412"/>
      <c r="B261" s="412"/>
      <c r="C261" s="412"/>
      <c r="D261" s="395" t="s">
        <v>978</v>
      </c>
      <c r="E261" s="412"/>
      <c r="F261" s="412"/>
      <c r="G261" s="412"/>
      <c r="H261" s="412"/>
      <c r="I261" s="412"/>
      <c r="J261" s="412"/>
      <c r="K261" s="412"/>
      <c r="L261" s="412"/>
      <c r="Q261" s="790"/>
    </row>
    <row r="262" spans="1:26" ht="132.6" x14ac:dyDescent="0.2">
      <c r="A262" s="412"/>
      <c r="B262" s="412"/>
      <c r="C262" s="412"/>
      <c r="D262" s="395" t="s">
        <v>979</v>
      </c>
      <c r="E262" s="412"/>
      <c r="F262" s="412"/>
      <c r="G262" s="412"/>
      <c r="H262" s="412"/>
      <c r="I262" s="412"/>
      <c r="J262" s="412"/>
      <c r="K262" s="412"/>
      <c r="L262" s="412"/>
      <c r="Q262" s="790"/>
    </row>
    <row r="263" spans="1:26" x14ac:dyDescent="0.2">
      <c r="A263" s="412"/>
      <c r="B263" s="412"/>
      <c r="C263" s="412"/>
      <c r="D263" s="413" t="s">
        <v>206</v>
      </c>
      <c r="E263" s="414" t="s">
        <v>838</v>
      </c>
      <c r="F263" s="414"/>
      <c r="G263" s="414"/>
      <c r="H263" s="415">
        <v>130436.31</v>
      </c>
      <c r="I263" s="412"/>
      <c r="J263" s="412"/>
      <c r="K263" s="412"/>
      <c r="L263" s="412"/>
      <c r="Q263" s="790">
        <f t="shared" si="3"/>
        <v>0</v>
      </c>
    </row>
    <row r="264" spans="1:26" x14ac:dyDescent="0.2">
      <c r="A264" s="412"/>
      <c r="B264" s="412"/>
      <c r="C264" s="412"/>
      <c r="D264" s="413" t="s">
        <v>207</v>
      </c>
      <c r="E264" s="414" t="s">
        <v>1177</v>
      </c>
      <c r="F264" s="414"/>
      <c r="G264" s="414"/>
      <c r="H264" s="415">
        <v>66115.649999999994</v>
      </c>
      <c r="I264" s="412"/>
      <c r="J264" s="412"/>
      <c r="K264" s="412"/>
      <c r="L264" s="412"/>
      <c r="Q264" s="790">
        <f t="shared" si="3"/>
        <v>0</v>
      </c>
    </row>
    <row r="265" spans="1:26" x14ac:dyDescent="0.2">
      <c r="A265" s="412"/>
      <c r="B265" s="412"/>
      <c r="C265" s="412"/>
      <c r="D265" s="416" t="s">
        <v>715</v>
      </c>
      <c r="E265" s="417"/>
      <c r="F265" s="417"/>
      <c r="G265" s="417"/>
      <c r="H265" s="418">
        <v>743980.83</v>
      </c>
      <c r="I265" s="412"/>
      <c r="J265" s="412"/>
      <c r="K265" s="412"/>
      <c r="L265" s="412"/>
      <c r="Q265" s="790"/>
    </row>
    <row r="266" spans="1:26" s="790" customFormat="1" ht="40.799999999999997" x14ac:dyDescent="0.2">
      <c r="A266" s="784">
        <v>44</v>
      </c>
      <c r="B266" s="784">
        <v>95</v>
      </c>
      <c r="C266" s="784" t="s">
        <v>1215</v>
      </c>
      <c r="D266" s="784" t="s">
        <v>1543</v>
      </c>
      <c r="E266" s="785">
        <v>1</v>
      </c>
      <c r="F266" s="786">
        <v>407404.41236000002</v>
      </c>
      <c r="G266" s="786" t="s">
        <v>281</v>
      </c>
      <c r="H266" s="787">
        <v>3324420</v>
      </c>
      <c r="I266" s="787" t="s">
        <v>281</v>
      </c>
      <c r="J266" s="787" t="s">
        <v>281</v>
      </c>
      <c r="K266" s="786" t="s">
        <v>281</v>
      </c>
      <c r="L266" s="786" t="s">
        <v>281</v>
      </c>
      <c r="M266" s="788">
        <v>1</v>
      </c>
      <c r="N266" s="789" t="s">
        <v>2221</v>
      </c>
      <c r="O266" s="788"/>
      <c r="Q266" s="790">
        <f t="shared" si="3"/>
        <v>3324420</v>
      </c>
      <c r="T266" s="790">
        <v>3324420</v>
      </c>
      <c r="V266" s="790" t="s">
        <v>281</v>
      </c>
      <c r="W266" s="790" t="s">
        <v>281</v>
      </c>
      <c r="X266" s="790" t="s">
        <v>281</v>
      </c>
      <c r="Y266" s="790" t="s">
        <v>281</v>
      </c>
      <c r="Z266" s="790" t="s">
        <v>281</v>
      </c>
    </row>
    <row r="267" spans="1:26" x14ac:dyDescent="0.2">
      <c r="A267" s="407"/>
      <c r="B267" s="407"/>
      <c r="C267" s="407"/>
      <c r="D267" s="408" t="s">
        <v>1179</v>
      </c>
      <c r="E267" s="409"/>
      <c r="F267" s="410" t="s">
        <v>281</v>
      </c>
      <c r="G267" s="410" t="s">
        <v>281</v>
      </c>
      <c r="H267" s="409"/>
      <c r="I267" s="409"/>
      <c r="J267" s="411" t="s">
        <v>281</v>
      </c>
      <c r="K267" s="410" t="s">
        <v>281</v>
      </c>
      <c r="L267" s="410" t="s">
        <v>281</v>
      </c>
      <c r="Q267" s="790"/>
    </row>
    <row r="268" spans="1:26" x14ac:dyDescent="0.2">
      <c r="A268" s="412"/>
      <c r="B268" s="412"/>
      <c r="C268" s="412"/>
      <c r="D268" s="395" t="s">
        <v>718</v>
      </c>
      <c r="E268" s="412"/>
      <c r="F268" s="412"/>
      <c r="G268" s="412"/>
      <c r="H268" s="412"/>
      <c r="I268" s="412"/>
      <c r="J268" s="412"/>
      <c r="K268" s="412"/>
      <c r="L268" s="412"/>
      <c r="Q268" s="790"/>
    </row>
    <row r="269" spans="1:26" s="790" customFormat="1" ht="40.799999999999997" x14ac:dyDescent="0.2">
      <c r="A269" s="784">
        <v>45</v>
      </c>
      <c r="B269" s="784">
        <v>96</v>
      </c>
      <c r="C269" s="784" t="s">
        <v>1215</v>
      </c>
      <c r="D269" s="784" t="s">
        <v>1542</v>
      </c>
      <c r="E269" s="785">
        <v>1</v>
      </c>
      <c r="F269" s="786">
        <v>407404.41236000002</v>
      </c>
      <c r="G269" s="786" t="s">
        <v>281</v>
      </c>
      <c r="H269" s="787">
        <v>3324420</v>
      </c>
      <c r="I269" s="787" t="s">
        <v>281</v>
      </c>
      <c r="J269" s="787" t="s">
        <v>281</v>
      </c>
      <c r="K269" s="786" t="s">
        <v>281</v>
      </c>
      <c r="L269" s="786" t="s">
        <v>281</v>
      </c>
      <c r="M269" s="788">
        <v>1</v>
      </c>
      <c r="N269" s="789" t="s">
        <v>2222</v>
      </c>
      <c r="O269" s="788"/>
      <c r="Q269" s="790">
        <f t="shared" si="3"/>
        <v>3324420</v>
      </c>
      <c r="T269" s="790">
        <v>3324420</v>
      </c>
      <c r="V269" s="790" t="s">
        <v>281</v>
      </c>
      <c r="W269" s="790" t="s">
        <v>281</v>
      </c>
      <c r="X269" s="790" t="s">
        <v>281</v>
      </c>
      <c r="Y269" s="790" t="s">
        <v>281</v>
      </c>
      <c r="Z269" s="790" t="s">
        <v>281</v>
      </c>
    </row>
    <row r="270" spans="1:26" x14ac:dyDescent="0.2">
      <c r="A270" s="407"/>
      <c r="B270" s="407"/>
      <c r="C270" s="407"/>
      <c r="D270" s="408" t="s">
        <v>1179</v>
      </c>
      <c r="E270" s="409"/>
      <c r="F270" s="410" t="s">
        <v>281</v>
      </c>
      <c r="G270" s="410" t="s">
        <v>281</v>
      </c>
      <c r="H270" s="409"/>
      <c r="I270" s="409"/>
      <c r="J270" s="411" t="s">
        <v>281</v>
      </c>
      <c r="K270" s="410" t="s">
        <v>281</v>
      </c>
      <c r="L270" s="410" t="s">
        <v>281</v>
      </c>
      <c r="Q270" s="790"/>
    </row>
    <row r="271" spans="1:26" x14ac:dyDescent="0.2">
      <c r="A271" s="412"/>
      <c r="B271" s="412"/>
      <c r="C271" s="412"/>
      <c r="D271" s="395" t="s">
        <v>718</v>
      </c>
      <c r="E271" s="412"/>
      <c r="F271" s="412"/>
      <c r="G271" s="412"/>
      <c r="H271" s="412"/>
      <c r="I271" s="412"/>
      <c r="J271" s="412"/>
      <c r="K271" s="412"/>
      <c r="L271" s="412"/>
      <c r="Q271" s="790"/>
    </row>
    <row r="272" spans="1:26" s="790" customFormat="1" ht="40.799999999999997" x14ac:dyDescent="0.2">
      <c r="A272" s="784">
        <v>46</v>
      </c>
      <c r="B272" s="784">
        <v>97</v>
      </c>
      <c r="C272" s="784" t="s">
        <v>1215</v>
      </c>
      <c r="D272" s="784" t="s">
        <v>1541</v>
      </c>
      <c r="E272" s="785">
        <v>3</v>
      </c>
      <c r="F272" s="786">
        <v>40492.396999999997</v>
      </c>
      <c r="G272" s="786" t="s">
        <v>281</v>
      </c>
      <c r="H272" s="787">
        <v>991253.88</v>
      </c>
      <c r="I272" s="787" t="s">
        <v>281</v>
      </c>
      <c r="J272" s="787" t="s">
        <v>281</v>
      </c>
      <c r="K272" s="786" t="s">
        <v>281</v>
      </c>
      <c r="L272" s="786" t="s">
        <v>281</v>
      </c>
      <c r="M272" s="788">
        <v>3</v>
      </c>
      <c r="N272" s="789" t="s">
        <v>2220</v>
      </c>
      <c r="O272" s="788"/>
      <c r="Q272" s="790">
        <f t="shared" si="3"/>
        <v>991253.88</v>
      </c>
      <c r="T272" s="790">
        <v>991253.88</v>
      </c>
      <c r="V272" s="790" t="s">
        <v>281</v>
      </c>
      <c r="W272" s="790" t="s">
        <v>281</v>
      </c>
      <c r="X272" s="790" t="s">
        <v>281</v>
      </c>
      <c r="Y272" s="790" t="s">
        <v>281</v>
      </c>
      <c r="Z272" s="790" t="s">
        <v>281</v>
      </c>
    </row>
    <row r="273" spans="1:26" x14ac:dyDescent="0.2">
      <c r="A273" s="407"/>
      <c r="B273" s="407"/>
      <c r="C273" s="407"/>
      <c r="D273" s="408" t="s">
        <v>1179</v>
      </c>
      <c r="E273" s="409"/>
      <c r="F273" s="410" t="s">
        <v>281</v>
      </c>
      <c r="G273" s="410" t="s">
        <v>281</v>
      </c>
      <c r="H273" s="409"/>
      <c r="I273" s="409"/>
      <c r="J273" s="411" t="s">
        <v>281</v>
      </c>
      <c r="K273" s="410" t="s">
        <v>281</v>
      </c>
      <c r="L273" s="410" t="s">
        <v>281</v>
      </c>
      <c r="Q273" s="790"/>
    </row>
    <row r="274" spans="1:26" x14ac:dyDescent="0.2">
      <c r="A274" s="412"/>
      <c r="B274" s="412"/>
      <c r="C274" s="412"/>
      <c r="D274" s="395" t="s">
        <v>718</v>
      </c>
      <c r="E274" s="412"/>
      <c r="F274" s="412"/>
      <c r="G274" s="412"/>
      <c r="H274" s="412"/>
      <c r="I274" s="412"/>
      <c r="J274" s="412"/>
      <c r="K274" s="412"/>
      <c r="L274" s="412"/>
      <c r="Q274" s="790"/>
    </row>
    <row r="275" spans="1:26" s="817" customFormat="1" ht="40.799999999999997" x14ac:dyDescent="0.2">
      <c r="A275" s="813">
        <v>47</v>
      </c>
      <c r="B275" s="813">
        <v>118</v>
      </c>
      <c r="C275" s="813" t="s">
        <v>1216</v>
      </c>
      <c r="D275" s="813" t="s">
        <v>1168</v>
      </c>
      <c r="E275" s="814">
        <v>0.10970000000000001</v>
      </c>
      <c r="F275" s="815">
        <v>249341.30674999999</v>
      </c>
      <c r="G275" s="815">
        <v>17566.221249999999</v>
      </c>
      <c r="H275" s="816">
        <v>239041.44</v>
      </c>
      <c r="I275" s="816">
        <v>7403.18</v>
      </c>
      <c r="J275" s="816">
        <v>25513.67</v>
      </c>
      <c r="K275" s="815">
        <v>181.39410000000001</v>
      </c>
      <c r="L275" s="815">
        <v>19.898933</v>
      </c>
      <c r="M275" s="818">
        <v>0</v>
      </c>
      <c r="N275" s="818" t="s">
        <v>2375</v>
      </c>
      <c r="O275" s="818"/>
      <c r="Q275" s="790"/>
      <c r="T275" s="817">
        <v>260498.93</v>
      </c>
      <c r="V275" s="817">
        <v>7403.18</v>
      </c>
      <c r="W275" s="817">
        <v>25513.67</v>
      </c>
      <c r="X275" s="817">
        <v>5660.74</v>
      </c>
      <c r="Y275" s="817">
        <v>19.898933</v>
      </c>
      <c r="Z275" s="817">
        <v>8.4665769999999991</v>
      </c>
    </row>
    <row r="276" spans="1:26" x14ac:dyDescent="0.2">
      <c r="A276" s="407"/>
      <c r="B276" s="407"/>
      <c r="C276" s="407"/>
      <c r="D276" s="408" t="s">
        <v>763</v>
      </c>
      <c r="E276" s="409"/>
      <c r="F276" s="410">
        <v>1507.3855000000001</v>
      </c>
      <c r="G276" s="410">
        <v>1152.6018750000001</v>
      </c>
      <c r="H276" s="409"/>
      <c r="I276" s="409"/>
      <c r="J276" s="411">
        <v>5660.74</v>
      </c>
      <c r="K276" s="410">
        <v>77.179374999999993</v>
      </c>
      <c r="L276" s="410">
        <v>8.4665769999999991</v>
      </c>
      <c r="Q276" s="790"/>
    </row>
    <row r="277" spans="1:26" ht="20.399999999999999" x14ac:dyDescent="0.2">
      <c r="A277" s="412"/>
      <c r="B277" s="412"/>
      <c r="C277" s="412"/>
      <c r="D277" s="395" t="s">
        <v>714</v>
      </c>
      <c r="E277" s="412"/>
      <c r="F277" s="412"/>
      <c r="G277" s="412"/>
      <c r="H277" s="412"/>
      <c r="I277" s="412"/>
      <c r="J277" s="412"/>
      <c r="K277" s="412"/>
      <c r="L277" s="412"/>
      <c r="Q277" s="790"/>
    </row>
    <row r="278" spans="1:26" ht="20.399999999999999" x14ac:dyDescent="0.2">
      <c r="A278" s="412"/>
      <c r="B278" s="412"/>
      <c r="C278" s="412"/>
      <c r="D278" s="395" t="s">
        <v>978</v>
      </c>
      <c r="E278" s="412"/>
      <c r="F278" s="412"/>
      <c r="G278" s="412"/>
      <c r="H278" s="412"/>
      <c r="I278" s="412"/>
      <c r="J278" s="412"/>
      <c r="K278" s="412"/>
      <c r="L278" s="412"/>
      <c r="Q278" s="790"/>
    </row>
    <row r="279" spans="1:26" ht="132.6" x14ac:dyDescent="0.2">
      <c r="A279" s="412"/>
      <c r="B279" s="412"/>
      <c r="C279" s="412"/>
      <c r="D279" s="395" t="s">
        <v>979</v>
      </c>
      <c r="E279" s="412"/>
      <c r="F279" s="412"/>
      <c r="G279" s="412"/>
      <c r="H279" s="412"/>
      <c r="I279" s="412"/>
      <c r="J279" s="412"/>
      <c r="K279" s="412"/>
      <c r="L279" s="412"/>
      <c r="Q279" s="790"/>
    </row>
    <row r="280" spans="1:26" x14ac:dyDescent="0.2">
      <c r="A280" s="412"/>
      <c r="B280" s="412"/>
      <c r="C280" s="412"/>
      <c r="D280" s="413" t="s">
        <v>206</v>
      </c>
      <c r="E280" s="414" t="s">
        <v>838</v>
      </c>
      <c r="F280" s="414"/>
      <c r="G280" s="414"/>
      <c r="H280" s="415">
        <v>14239.67</v>
      </c>
      <c r="I280" s="412"/>
      <c r="J280" s="412"/>
      <c r="K280" s="412"/>
      <c r="L280" s="412"/>
      <c r="Q280" s="790"/>
    </row>
    <row r="281" spans="1:26" x14ac:dyDescent="0.2">
      <c r="A281" s="412"/>
      <c r="B281" s="412"/>
      <c r="C281" s="412"/>
      <c r="D281" s="413" t="s">
        <v>207</v>
      </c>
      <c r="E281" s="414" t="s">
        <v>1177</v>
      </c>
      <c r="F281" s="414"/>
      <c r="G281" s="414"/>
      <c r="H281" s="415">
        <v>7217.82</v>
      </c>
      <c r="I281" s="412"/>
      <c r="J281" s="412"/>
      <c r="K281" s="412"/>
      <c r="L281" s="412"/>
      <c r="Q281" s="790"/>
    </row>
    <row r="282" spans="1:26" x14ac:dyDescent="0.2">
      <c r="A282" s="412"/>
      <c r="B282" s="412"/>
      <c r="C282" s="412"/>
      <c r="D282" s="416" t="s">
        <v>715</v>
      </c>
      <c r="E282" s="417"/>
      <c r="F282" s="417"/>
      <c r="G282" s="417"/>
      <c r="H282" s="418">
        <v>260498.93</v>
      </c>
      <c r="I282" s="412"/>
      <c r="J282" s="412"/>
      <c r="K282" s="412"/>
      <c r="L282" s="412"/>
      <c r="Q282" s="790"/>
    </row>
    <row r="283" spans="1:26" s="817" customFormat="1" ht="40.799999999999997" x14ac:dyDescent="0.2">
      <c r="A283" s="813">
        <v>48</v>
      </c>
      <c r="B283" s="813">
        <v>119</v>
      </c>
      <c r="C283" s="813" t="s">
        <v>1216</v>
      </c>
      <c r="D283" s="813" t="s">
        <v>1168</v>
      </c>
      <c r="E283" s="814">
        <v>0.10970000000000001</v>
      </c>
      <c r="F283" s="815">
        <v>249341.30674999999</v>
      </c>
      <c r="G283" s="815">
        <v>17566.221249999999</v>
      </c>
      <c r="H283" s="816">
        <v>239041.44</v>
      </c>
      <c r="I283" s="816">
        <v>7403.18</v>
      </c>
      <c r="J283" s="816">
        <v>25513.67</v>
      </c>
      <c r="K283" s="815">
        <v>181.39410000000001</v>
      </c>
      <c r="L283" s="815">
        <v>19.898933</v>
      </c>
      <c r="M283" s="818">
        <v>0</v>
      </c>
      <c r="N283" s="818" t="s">
        <v>2375</v>
      </c>
      <c r="O283" s="818"/>
      <c r="Q283" s="790"/>
      <c r="T283" s="817">
        <v>260498.93</v>
      </c>
      <c r="V283" s="817">
        <v>7403.18</v>
      </c>
      <c r="W283" s="817">
        <v>25513.67</v>
      </c>
      <c r="X283" s="817">
        <v>5660.74</v>
      </c>
      <c r="Y283" s="817">
        <v>19.898933</v>
      </c>
      <c r="Z283" s="817">
        <v>8.4665769999999991</v>
      </c>
    </row>
    <row r="284" spans="1:26" x14ac:dyDescent="0.2">
      <c r="A284" s="407"/>
      <c r="B284" s="407"/>
      <c r="C284" s="407"/>
      <c r="D284" s="408" t="s">
        <v>763</v>
      </c>
      <c r="E284" s="409"/>
      <c r="F284" s="410">
        <v>1507.3855000000001</v>
      </c>
      <c r="G284" s="410">
        <v>1152.6018750000001</v>
      </c>
      <c r="H284" s="409"/>
      <c r="I284" s="409"/>
      <c r="J284" s="411">
        <v>5660.74</v>
      </c>
      <c r="K284" s="410">
        <v>77.179374999999993</v>
      </c>
      <c r="L284" s="410">
        <v>8.4665769999999991</v>
      </c>
      <c r="Q284" s="790"/>
    </row>
    <row r="285" spans="1:26" ht="20.399999999999999" x14ac:dyDescent="0.2">
      <c r="A285" s="412"/>
      <c r="B285" s="412"/>
      <c r="C285" s="412"/>
      <c r="D285" s="395" t="s">
        <v>714</v>
      </c>
      <c r="E285" s="412"/>
      <c r="F285" s="412"/>
      <c r="G285" s="412"/>
      <c r="H285" s="412"/>
      <c r="I285" s="412"/>
      <c r="J285" s="412"/>
      <c r="K285" s="412"/>
      <c r="L285" s="412"/>
      <c r="Q285" s="790"/>
    </row>
    <row r="286" spans="1:26" ht="20.399999999999999" x14ac:dyDescent="0.2">
      <c r="A286" s="412"/>
      <c r="B286" s="412"/>
      <c r="C286" s="412"/>
      <c r="D286" s="395" t="s">
        <v>978</v>
      </c>
      <c r="E286" s="412"/>
      <c r="F286" s="412"/>
      <c r="G286" s="412"/>
      <c r="H286" s="412"/>
      <c r="I286" s="412"/>
      <c r="J286" s="412"/>
      <c r="K286" s="412"/>
      <c r="L286" s="412"/>
      <c r="Q286" s="790"/>
    </row>
    <row r="287" spans="1:26" ht="132.6" x14ac:dyDescent="0.2">
      <c r="A287" s="412"/>
      <c r="B287" s="412"/>
      <c r="C287" s="412"/>
      <c r="D287" s="395" t="s">
        <v>979</v>
      </c>
      <c r="E287" s="412"/>
      <c r="F287" s="412"/>
      <c r="G287" s="412"/>
      <c r="H287" s="412"/>
      <c r="I287" s="412"/>
      <c r="J287" s="412"/>
      <c r="K287" s="412"/>
      <c r="L287" s="412"/>
      <c r="Q287" s="790"/>
    </row>
    <row r="288" spans="1:26" x14ac:dyDescent="0.2">
      <c r="A288" s="412"/>
      <c r="B288" s="412"/>
      <c r="C288" s="412"/>
      <c r="D288" s="413" t="s">
        <v>206</v>
      </c>
      <c r="E288" s="414" t="s">
        <v>838</v>
      </c>
      <c r="F288" s="414"/>
      <c r="G288" s="414"/>
      <c r="H288" s="415">
        <v>14239.67</v>
      </c>
      <c r="I288" s="412"/>
      <c r="J288" s="412"/>
      <c r="K288" s="412"/>
      <c r="L288" s="412"/>
      <c r="Q288" s="790">
        <f t="shared" si="3"/>
        <v>0</v>
      </c>
    </row>
    <row r="289" spans="1:26" x14ac:dyDescent="0.2">
      <c r="A289" s="412"/>
      <c r="B289" s="412"/>
      <c r="C289" s="412"/>
      <c r="D289" s="413" t="s">
        <v>207</v>
      </c>
      <c r="E289" s="414" t="s">
        <v>1177</v>
      </c>
      <c r="F289" s="414"/>
      <c r="G289" s="414"/>
      <c r="H289" s="415">
        <v>7217.82</v>
      </c>
      <c r="I289" s="412"/>
      <c r="J289" s="412"/>
      <c r="K289" s="412"/>
      <c r="L289" s="412"/>
      <c r="Q289" s="790">
        <f t="shared" si="3"/>
        <v>0</v>
      </c>
    </row>
    <row r="290" spans="1:26" x14ac:dyDescent="0.2">
      <c r="A290" s="412"/>
      <c r="B290" s="412"/>
      <c r="C290" s="412"/>
      <c r="D290" s="416" t="s">
        <v>715</v>
      </c>
      <c r="E290" s="417"/>
      <c r="F290" s="417"/>
      <c r="G290" s="417"/>
      <c r="H290" s="418">
        <v>260498.93</v>
      </c>
      <c r="I290" s="412"/>
      <c r="J290" s="412"/>
      <c r="K290" s="412"/>
      <c r="L290" s="412"/>
      <c r="Q290" s="790"/>
    </row>
    <row r="291" spans="1:26" s="817" customFormat="1" ht="51" x14ac:dyDescent="0.2">
      <c r="A291" s="813">
        <v>49</v>
      </c>
      <c r="B291" s="813">
        <v>120</v>
      </c>
      <c r="C291" s="813" t="s">
        <v>1217</v>
      </c>
      <c r="D291" s="813" t="s">
        <v>1169</v>
      </c>
      <c r="E291" s="814">
        <v>-128.34899999999999</v>
      </c>
      <c r="F291" s="815">
        <v>196.81</v>
      </c>
      <c r="G291" s="815" t="s">
        <v>281</v>
      </c>
      <c r="H291" s="816">
        <v>-206124.64</v>
      </c>
      <c r="I291" s="816" t="s">
        <v>281</v>
      </c>
      <c r="J291" s="816" t="s">
        <v>281</v>
      </c>
      <c r="K291" s="815" t="s">
        <v>281</v>
      </c>
      <c r="L291" s="815" t="s">
        <v>281</v>
      </c>
      <c r="M291" s="818">
        <v>0</v>
      </c>
      <c r="N291" s="818" t="s">
        <v>2375</v>
      </c>
      <c r="O291" s="818"/>
      <c r="Q291" s="790"/>
      <c r="T291" s="817">
        <v>-206124.64</v>
      </c>
      <c r="V291" s="817" t="s">
        <v>281</v>
      </c>
      <c r="W291" s="817" t="s">
        <v>281</v>
      </c>
      <c r="X291" s="817" t="s">
        <v>281</v>
      </c>
      <c r="Y291" s="817" t="s">
        <v>281</v>
      </c>
      <c r="Z291" s="817" t="s">
        <v>281</v>
      </c>
    </row>
    <row r="292" spans="1:26" x14ac:dyDescent="0.2">
      <c r="A292" s="407"/>
      <c r="B292" s="407"/>
      <c r="C292" s="407"/>
      <c r="D292" s="408" t="s">
        <v>745</v>
      </c>
      <c r="E292" s="409"/>
      <c r="F292" s="410" t="s">
        <v>281</v>
      </c>
      <c r="G292" s="410" t="s">
        <v>281</v>
      </c>
      <c r="H292" s="409"/>
      <c r="I292" s="409"/>
      <c r="J292" s="411" t="s">
        <v>281</v>
      </c>
      <c r="K292" s="410" t="s">
        <v>281</v>
      </c>
      <c r="L292" s="410" t="s">
        <v>281</v>
      </c>
      <c r="Q292" s="790"/>
    </row>
    <row r="293" spans="1:26" x14ac:dyDescent="0.2">
      <c r="A293" s="412"/>
      <c r="B293" s="412"/>
      <c r="C293" s="412"/>
      <c r="D293" s="395" t="s">
        <v>718</v>
      </c>
      <c r="E293" s="412"/>
      <c r="F293" s="412"/>
      <c r="G293" s="412"/>
      <c r="H293" s="412"/>
      <c r="I293" s="412"/>
      <c r="J293" s="412"/>
      <c r="K293" s="412"/>
      <c r="L293" s="412"/>
      <c r="Q293" s="790"/>
    </row>
    <row r="294" spans="1:26" s="817" customFormat="1" ht="51" x14ac:dyDescent="0.2">
      <c r="A294" s="813">
        <v>50</v>
      </c>
      <c r="B294" s="813">
        <v>121</v>
      </c>
      <c r="C294" s="813" t="s">
        <v>766</v>
      </c>
      <c r="D294" s="813" t="s">
        <v>1159</v>
      </c>
      <c r="E294" s="814">
        <v>128.34899999999999</v>
      </c>
      <c r="F294" s="815">
        <v>499.07792000000001</v>
      </c>
      <c r="G294" s="815" t="s">
        <v>281</v>
      </c>
      <c r="H294" s="816">
        <v>522698.74</v>
      </c>
      <c r="I294" s="816" t="s">
        <v>281</v>
      </c>
      <c r="J294" s="816" t="s">
        <v>281</v>
      </c>
      <c r="K294" s="815" t="s">
        <v>281</v>
      </c>
      <c r="L294" s="815" t="s">
        <v>281</v>
      </c>
      <c r="M294" s="818">
        <v>0</v>
      </c>
      <c r="N294" s="818" t="s">
        <v>2375</v>
      </c>
      <c r="O294" s="818"/>
      <c r="Q294" s="790">
        <f t="shared" si="3"/>
        <v>0</v>
      </c>
      <c r="T294" s="817">
        <v>522698.74</v>
      </c>
      <c r="V294" s="817" t="s">
        <v>281</v>
      </c>
      <c r="W294" s="817" t="s">
        <v>281</v>
      </c>
      <c r="X294" s="817" t="s">
        <v>281</v>
      </c>
      <c r="Y294" s="817" t="s">
        <v>281</v>
      </c>
      <c r="Z294" s="817" t="s">
        <v>281</v>
      </c>
    </row>
    <row r="295" spans="1:26" x14ac:dyDescent="0.2">
      <c r="A295" s="407"/>
      <c r="B295" s="407"/>
      <c r="C295" s="407"/>
      <c r="D295" s="408" t="s">
        <v>745</v>
      </c>
      <c r="E295" s="409"/>
      <c r="F295" s="410" t="s">
        <v>281</v>
      </c>
      <c r="G295" s="410" t="s">
        <v>281</v>
      </c>
      <c r="H295" s="409"/>
      <c r="I295" s="409"/>
      <c r="J295" s="411" t="s">
        <v>281</v>
      </c>
      <c r="K295" s="410" t="s">
        <v>281</v>
      </c>
      <c r="L295" s="410" t="s">
        <v>281</v>
      </c>
    </row>
    <row r="296" spans="1:26" x14ac:dyDescent="0.2">
      <c r="A296" s="412"/>
      <c r="B296" s="412"/>
      <c r="C296" s="412"/>
      <c r="D296" s="395" t="s">
        <v>718</v>
      </c>
      <c r="E296" s="412"/>
      <c r="F296" s="412"/>
      <c r="G296" s="412"/>
      <c r="H296" s="412"/>
      <c r="I296" s="412"/>
      <c r="J296" s="412"/>
      <c r="K296" s="412"/>
      <c r="L296" s="412"/>
    </row>
    <row r="297" spans="1:26" x14ac:dyDescent="0.2">
      <c r="A297" s="412"/>
      <c r="B297" s="412"/>
      <c r="C297" s="412"/>
      <c r="D297" s="412"/>
      <c r="E297" s="412"/>
      <c r="F297" s="412"/>
      <c r="G297" s="412"/>
      <c r="H297" s="412"/>
      <c r="I297" s="412"/>
      <c r="J297" s="412"/>
      <c r="K297" s="412"/>
      <c r="L297" s="412"/>
    </row>
    <row r="298" spans="1:26" ht="10.199999999999999" customHeight="1" x14ac:dyDescent="0.2">
      <c r="A298" s="1144" t="s">
        <v>1218</v>
      </c>
      <c r="B298" s="1145"/>
      <c r="C298" s="1145"/>
      <c r="D298" s="1145"/>
      <c r="E298" s="1145"/>
      <c r="F298" s="1145"/>
      <c r="G298" s="1145"/>
      <c r="H298" s="1145"/>
      <c r="I298" s="1145"/>
      <c r="J298" s="1145"/>
      <c r="K298" s="1145"/>
      <c r="L298" s="1146"/>
    </row>
    <row r="299" spans="1:26" ht="10.199999999999999" customHeight="1" x14ac:dyDescent="0.2">
      <c r="A299" s="1141" t="s">
        <v>774</v>
      </c>
      <c r="B299" s="1142"/>
      <c r="C299" s="1142"/>
      <c r="D299" s="1142"/>
      <c r="E299" s="1142"/>
      <c r="F299" s="1142"/>
      <c r="G299" s="1143"/>
      <c r="H299" s="423">
        <v>33994751.880000003</v>
      </c>
      <c r="I299" s="419"/>
      <c r="J299" s="419"/>
      <c r="K299" s="419"/>
      <c r="L299" s="419"/>
      <c r="Q299" s="894">
        <f>SUM(Q41:Q294)</f>
        <v>12733471.279999999</v>
      </c>
    </row>
    <row r="300" spans="1:26" ht="10.199999999999999" customHeight="1" x14ac:dyDescent="0.2">
      <c r="A300" s="1141" t="s">
        <v>919</v>
      </c>
      <c r="B300" s="1142"/>
      <c r="C300" s="1142"/>
      <c r="D300" s="1142"/>
      <c r="E300" s="1142"/>
      <c r="F300" s="1142"/>
      <c r="G300" s="1143"/>
      <c r="H300" s="423">
        <v>29274450.859999999</v>
      </c>
      <c r="I300" s="419"/>
      <c r="J300" s="419"/>
      <c r="K300" s="419"/>
      <c r="L300" s="419"/>
      <c r="Q300" s="894">
        <f>Q299*1.28</f>
        <v>16298843.24</v>
      </c>
    </row>
    <row r="301" spans="1:26" ht="10.199999999999999" customHeight="1" x14ac:dyDescent="0.2">
      <c r="A301" s="1141" t="s">
        <v>776</v>
      </c>
      <c r="B301" s="1142"/>
      <c r="C301" s="1142"/>
      <c r="D301" s="1142"/>
      <c r="E301" s="1142"/>
      <c r="F301" s="1142"/>
      <c r="G301" s="1143"/>
      <c r="H301" s="423">
        <v>3572983.01</v>
      </c>
      <c r="I301" s="419"/>
      <c r="J301" s="419"/>
      <c r="K301" s="419"/>
      <c r="L301" s="419"/>
    </row>
    <row r="302" spans="1:26" ht="10.199999999999999" customHeight="1" x14ac:dyDescent="0.2">
      <c r="A302" s="1141" t="s">
        <v>777</v>
      </c>
      <c r="B302" s="1142"/>
      <c r="C302" s="1142"/>
      <c r="D302" s="1142"/>
      <c r="E302" s="1142"/>
      <c r="F302" s="1142"/>
      <c r="G302" s="1143"/>
      <c r="H302" s="423">
        <v>689191.28</v>
      </c>
      <c r="I302" s="419"/>
      <c r="J302" s="419"/>
      <c r="K302" s="419"/>
      <c r="L302" s="419"/>
      <c r="Q302" s="897">
        <f>Q300/H313</f>
        <v>0.3745</v>
      </c>
    </row>
    <row r="303" spans="1:26" ht="10.199999999999999" customHeight="1" x14ac:dyDescent="0.2">
      <c r="A303" s="1141" t="s">
        <v>778</v>
      </c>
      <c r="B303" s="1142"/>
      <c r="C303" s="1142"/>
      <c r="D303" s="1142"/>
      <c r="E303" s="1142"/>
      <c r="F303" s="1142"/>
      <c r="G303" s="1143"/>
      <c r="H303" s="423">
        <v>1147318.01</v>
      </c>
      <c r="I303" s="419"/>
      <c r="J303" s="419"/>
      <c r="K303" s="419"/>
      <c r="L303" s="419"/>
    </row>
    <row r="304" spans="1:26" ht="10.199999999999999" customHeight="1" x14ac:dyDescent="0.2">
      <c r="A304" s="1141" t="s">
        <v>779</v>
      </c>
      <c r="B304" s="1142"/>
      <c r="C304" s="1142"/>
      <c r="D304" s="1142"/>
      <c r="E304" s="1142"/>
      <c r="F304" s="1142"/>
      <c r="G304" s="1143"/>
      <c r="H304" s="423">
        <v>37360449.630000003</v>
      </c>
      <c r="I304" s="419"/>
      <c r="J304" s="419"/>
      <c r="K304" s="419"/>
      <c r="L304" s="419"/>
    </row>
    <row r="305" spans="1:15" ht="10.199999999999999" customHeight="1" x14ac:dyDescent="0.2">
      <c r="A305" s="1141" t="s">
        <v>1029</v>
      </c>
      <c r="B305" s="1142"/>
      <c r="C305" s="1142"/>
      <c r="D305" s="1142"/>
      <c r="E305" s="1142"/>
      <c r="F305" s="1142"/>
      <c r="G305" s="1143"/>
      <c r="H305" s="423">
        <v>176267.01</v>
      </c>
      <c r="I305" s="419"/>
      <c r="J305" s="419"/>
      <c r="K305" s="419"/>
      <c r="L305" s="419"/>
    </row>
    <row r="306" spans="1:15" ht="10.199999999999999" customHeight="1" x14ac:dyDescent="0.2">
      <c r="A306" s="1141" t="s">
        <v>206</v>
      </c>
      <c r="B306" s="1142"/>
      <c r="C306" s="1142"/>
      <c r="D306" s="1142"/>
      <c r="E306" s="1142"/>
      <c r="F306" s="1142"/>
      <c r="G306" s="1143"/>
      <c r="H306" s="423">
        <v>2121108.86</v>
      </c>
      <c r="I306" s="419"/>
      <c r="J306" s="419"/>
      <c r="K306" s="419"/>
      <c r="L306" s="419"/>
    </row>
    <row r="307" spans="1:15" ht="10.199999999999999" customHeight="1" x14ac:dyDescent="0.2">
      <c r="A307" s="1141" t="s">
        <v>207</v>
      </c>
      <c r="B307" s="1142"/>
      <c r="C307" s="1142"/>
      <c r="D307" s="1142"/>
      <c r="E307" s="1142"/>
      <c r="F307" s="1142"/>
      <c r="G307" s="1143"/>
      <c r="H307" s="423">
        <v>1244588.8899999999</v>
      </c>
      <c r="I307" s="419"/>
      <c r="J307" s="419"/>
      <c r="K307" s="419"/>
      <c r="L307" s="419"/>
    </row>
    <row r="308" spans="1:15" s="426" customFormat="1" ht="10.199999999999999" customHeight="1" x14ac:dyDescent="0.2">
      <c r="A308" s="1144" t="s">
        <v>73</v>
      </c>
      <c r="B308" s="1145"/>
      <c r="C308" s="1145"/>
      <c r="D308" s="1145"/>
      <c r="E308" s="1145"/>
      <c r="F308" s="1145"/>
      <c r="G308" s="1146"/>
      <c r="H308" s="424">
        <v>37360449.630000003</v>
      </c>
      <c r="I308" s="425"/>
      <c r="J308" s="425"/>
      <c r="K308" s="425"/>
      <c r="L308" s="425"/>
      <c r="M308" s="640"/>
      <c r="N308" s="640"/>
      <c r="O308" s="640"/>
    </row>
    <row r="309" spans="1:15" s="616" customFormat="1" ht="10.199999999999999" customHeight="1" x14ac:dyDescent="0.2">
      <c r="A309" s="1138" t="s">
        <v>784</v>
      </c>
      <c r="B309" s="1139"/>
      <c r="C309" s="1139"/>
      <c r="D309" s="1139"/>
      <c r="E309" s="1139"/>
      <c r="F309" s="1139"/>
      <c r="G309" s="1140"/>
      <c r="H309" s="382">
        <f>ROUND(H308*0.082,2)</f>
        <v>3063556.87</v>
      </c>
      <c r="I309" s="383"/>
      <c r="J309" s="383"/>
      <c r="K309" s="383"/>
      <c r="L309" s="383"/>
      <c r="M309" s="639"/>
      <c r="N309" s="639"/>
      <c r="O309" s="639"/>
    </row>
    <row r="310" spans="1:15" s="386" customFormat="1" ht="10.199999999999999" customHeight="1" x14ac:dyDescent="0.2">
      <c r="A310" s="1147" t="s">
        <v>785</v>
      </c>
      <c r="B310" s="1148"/>
      <c r="C310" s="1148"/>
      <c r="D310" s="1148"/>
      <c r="E310" s="1148"/>
      <c r="F310" s="1148"/>
      <c r="G310" s="1149"/>
      <c r="H310" s="384">
        <f>H308+H309</f>
        <v>40424006.5</v>
      </c>
      <c r="I310" s="385"/>
      <c r="J310" s="385"/>
      <c r="K310" s="385"/>
      <c r="L310" s="385"/>
      <c r="M310" s="641"/>
      <c r="N310" s="641"/>
      <c r="O310" s="641"/>
    </row>
    <row r="311" spans="1:15" s="616" customFormat="1" ht="10.199999999999999" customHeight="1" x14ac:dyDescent="0.2">
      <c r="A311" s="1138" t="s">
        <v>786</v>
      </c>
      <c r="B311" s="1139"/>
      <c r="C311" s="1139"/>
      <c r="D311" s="1139"/>
      <c r="E311" s="1139"/>
      <c r="F311" s="1139"/>
      <c r="G311" s="1140"/>
      <c r="H311" s="382">
        <f>ROUND(H310*0.024,2)</f>
        <v>970176.16</v>
      </c>
      <c r="I311" s="383"/>
      <c r="J311" s="383"/>
      <c r="K311" s="383"/>
      <c r="L311" s="383"/>
      <c r="M311" s="639"/>
      <c r="N311" s="639"/>
      <c r="O311" s="639"/>
    </row>
    <row r="312" spans="1:15" s="389" customFormat="1" ht="12" customHeight="1" x14ac:dyDescent="0.25">
      <c r="A312" s="1135" t="s">
        <v>787</v>
      </c>
      <c r="B312" s="1136"/>
      <c r="C312" s="1136"/>
      <c r="D312" s="1136"/>
      <c r="E312" s="1136"/>
      <c r="F312" s="1136"/>
      <c r="G312" s="1137"/>
      <c r="H312" s="387">
        <f>H310+H311</f>
        <v>41394182.659999996</v>
      </c>
      <c r="I312" s="388"/>
      <c r="J312" s="388"/>
      <c r="K312" s="388"/>
      <c r="L312" s="388"/>
      <c r="M312" s="642"/>
      <c r="N312" s="642"/>
      <c r="O312" s="642"/>
    </row>
    <row r="313" spans="1:15" s="389" customFormat="1" ht="12" customHeight="1" x14ac:dyDescent="0.25">
      <c r="A313" s="1135" t="s">
        <v>1686</v>
      </c>
      <c r="B313" s="1136"/>
      <c r="C313" s="1136"/>
      <c r="D313" s="1136"/>
      <c r="E313" s="1136"/>
      <c r="F313" s="1136"/>
      <c r="G313" s="1137"/>
      <c r="H313" s="387">
        <f>ROUND(H312*1.0514,2)</f>
        <v>43521843.649999999</v>
      </c>
      <c r="I313" s="388"/>
      <c r="J313" s="388"/>
      <c r="K313" s="388"/>
      <c r="L313" s="388"/>
      <c r="M313" s="642"/>
      <c r="N313" s="642"/>
      <c r="O313" s="642"/>
    </row>
    <row r="314" spans="1:15" s="389" customFormat="1" ht="12" x14ac:dyDescent="0.25">
      <c r="A314" s="611"/>
      <c r="B314" s="611"/>
      <c r="C314" s="611"/>
      <c r="D314" s="611"/>
      <c r="E314" s="611"/>
      <c r="F314" s="611"/>
      <c r="G314" s="611"/>
      <c r="H314" s="612"/>
      <c r="I314" s="613"/>
      <c r="J314" s="613"/>
      <c r="K314" s="613"/>
      <c r="L314" s="613"/>
      <c r="M314" s="642"/>
      <c r="N314" s="642"/>
      <c r="O314" s="895"/>
    </row>
    <row r="315" spans="1:15" s="389" customFormat="1" ht="12" x14ac:dyDescent="0.25">
      <c r="A315" s="611"/>
      <c r="B315" s="611"/>
      <c r="C315" s="611"/>
      <c r="D315" s="611"/>
      <c r="E315" s="611"/>
      <c r="F315" s="611"/>
      <c r="G315" s="611"/>
      <c r="H315" s="612"/>
      <c r="I315" s="613"/>
      <c r="J315" s="613"/>
      <c r="K315" s="613"/>
      <c r="L315" s="613"/>
      <c r="M315" s="642"/>
      <c r="N315" s="642"/>
      <c r="O315" s="896"/>
    </row>
    <row r="316" spans="1:15" s="389" customFormat="1" ht="12" x14ac:dyDescent="0.25">
      <c r="A316" s="611"/>
      <c r="B316" s="611"/>
      <c r="C316" s="611"/>
      <c r="D316" s="611"/>
      <c r="E316" s="611"/>
      <c r="F316" s="611"/>
      <c r="G316" s="611"/>
      <c r="H316" s="612"/>
      <c r="I316" s="613"/>
      <c r="J316" s="613"/>
      <c r="K316" s="613"/>
      <c r="L316" s="613"/>
      <c r="M316" s="642"/>
      <c r="N316" s="642"/>
      <c r="O316" s="642"/>
    </row>
    <row r="317" spans="1:15" s="616" customFormat="1" x14ac:dyDescent="0.2">
      <c r="M317" s="639"/>
      <c r="N317" s="639"/>
      <c r="O317" s="639"/>
    </row>
    <row r="318" spans="1:15" s="616" customFormat="1" ht="24" x14ac:dyDescent="0.25">
      <c r="C318" s="428" t="s">
        <v>729</v>
      </c>
      <c r="D318" s="429" t="s">
        <v>824</v>
      </c>
      <c r="E318" s="427" t="s">
        <v>281</v>
      </c>
      <c r="F318" s="427"/>
      <c r="G318" s="389" t="s">
        <v>823</v>
      </c>
      <c r="M318" s="639"/>
      <c r="N318" s="639"/>
      <c r="O318" s="639"/>
    </row>
    <row r="319" spans="1:15" s="616" customFormat="1" ht="12" x14ac:dyDescent="0.25">
      <c r="C319" s="428"/>
      <c r="G319" s="389"/>
      <c r="M319" s="639"/>
      <c r="N319" s="639"/>
      <c r="O319" s="639"/>
    </row>
    <row r="320" spans="1:15" s="616" customFormat="1" ht="24" x14ac:dyDescent="0.25">
      <c r="C320" s="428" t="s">
        <v>730</v>
      </c>
      <c r="D320" s="429" t="s">
        <v>821</v>
      </c>
      <c r="E320" s="427" t="s">
        <v>281</v>
      </c>
      <c r="F320" s="427"/>
      <c r="G320" s="389" t="s">
        <v>822</v>
      </c>
      <c r="M320" s="639"/>
      <c r="N320" s="639"/>
      <c r="O320" s="639"/>
    </row>
    <row r="321" spans="13:15" s="616" customFormat="1" x14ac:dyDescent="0.2">
      <c r="M321" s="639"/>
      <c r="N321" s="639"/>
      <c r="O321" s="639"/>
    </row>
  </sheetData>
  <mergeCells count="76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A16:B16"/>
    <mergeCell ref="C16:I16"/>
    <mergeCell ref="C17:I17"/>
    <mergeCell ref="H18:J18"/>
    <mergeCell ref="K18:L18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K35:L35"/>
    <mergeCell ref="C27:L27"/>
    <mergeCell ref="C28:L28"/>
    <mergeCell ref="F30:I30"/>
    <mergeCell ref="J30:K30"/>
    <mergeCell ref="F31:I31"/>
    <mergeCell ref="J31:K31"/>
    <mergeCell ref="A303:G303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F35:F36"/>
    <mergeCell ref="G35:G36"/>
    <mergeCell ref="H35:H37"/>
    <mergeCell ref="I35:I37"/>
    <mergeCell ref="J35:J36"/>
    <mergeCell ref="K36:L36"/>
    <mergeCell ref="A313:G313"/>
    <mergeCell ref="A311:G311"/>
    <mergeCell ref="A312:G312"/>
    <mergeCell ref="A305:G305"/>
    <mergeCell ref="A306:G306"/>
    <mergeCell ref="A307:G307"/>
    <mergeCell ref="A308:G308"/>
    <mergeCell ref="A309:G309"/>
    <mergeCell ref="A310:G310"/>
    <mergeCell ref="A304:G304"/>
    <mergeCell ref="A298:L298"/>
    <mergeCell ref="A299:G299"/>
    <mergeCell ref="A300:G300"/>
    <mergeCell ref="A301:G301"/>
    <mergeCell ref="A302:G302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206"/>
  <sheetViews>
    <sheetView view="pageBreakPreview" zoomScaleNormal="100" zoomScaleSheetLayoutView="100" workbookViewId="0">
      <selection activeCell="M41" sqref="M41"/>
    </sheetView>
  </sheetViews>
  <sheetFormatPr defaultColWidth="9.109375" defaultRowHeight="10.199999999999999" x14ac:dyDescent="0.2"/>
  <cols>
    <col min="1" max="1" width="6.33203125" style="435" customWidth="1"/>
    <col min="2" max="2" width="6.6640625" style="435" customWidth="1"/>
    <col min="3" max="3" width="15.6640625" style="435" customWidth="1"/>
    <col min="4" max="4" width="40.6640625" style="435" customWidth="1"/>
    <col min="5" max="12" width="12.6640625" style="435" customWidth="1"/>
    <col min="13" max="13" width="16.88671875" style="435" customWidth="1"/>
    <col min="14" max="19" width="9.109375" style="435"/>
    <col min="20" max="29" width="0" style="435" hidden="1" customWidth="1"/>
    <col min="30" max="30" width="118.6640625" style="435" hidden="1" customWidth="1"/>
    <col min="31" max="36" width="0" style="435" hidden="1" customWidth="1"/>
    <col min="37" max="16384" width="9.109375" style="435"/>
  </cols>
  <sheetData>
    <row r="1" spans="1:12" ht="11.25" customHeight="1" x14ac:dyDescent="0.2">
      <c r="A1" s="1108"/>
      <c r="B1" s="1108"/>
      <c r="C1" s="1108"/>
      <c r="D1" s="1108"/>
      <c r="E1" s="396"/>
      <c r="F1" s="396"/>
      <c r="I1" s="1109" t="s">
        <v>680</v>
      </c>
      <c r="J1" s="1109"/>
      <c r="K1" s="1109"/>
      <c r="L1" s="1109"/>
    </row>
    <row r="2" spans="1:12" ht="11.25" customHeight="1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2" ht="11.25" customHeight="1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2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2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2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2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2" ht="11.25" customHeight="1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434" t="s">
        <v>4</v>
      </c>
      <c r="K8" s="1101"/>
      <c r="L8" s="1102"/>
    </row>
    <row r="9" spans="1:12" ht="11.25" customHeight="1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2" s="432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430" t="s">
        <v>4</v>
      </c>
      <c r="K10" s="1101"/>
      <c r="L10" s="1102"/>
    </row>
    <row r="11" spans="1:12" s="432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s="432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430" t="s">
        <v>4</v>
      </c>
      <c r="K12" s="1064"/>
      <c r="L12" s="1065"/>
    </row>
    <row r="13" spans="1:12" s="432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s="432" customFormat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ht="11.25" customHeight="1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2" ht="11.25" customHeight="1" x14ac:dyDescent="0.2">
      <c r="A16" s="1103" t="s">
        <v>686</v>
      </c>
      <c r="B16" s="1103"/>
      <c r="C16" s="1104" t="s">
        <v>1262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431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433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431">
        <v>10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ht="11.25" customHeight="1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1:12" ht="11.25" customHeight="1" x14ac:dyDescent="0.2">
      <c r="A30" s="398"/>
      <c r="B30" s="398"/>
      <c r="C30" s="436"/>
      <c r="D30" s="436"/>
      <c r="E30" s="436"/>
      <c r="F30" s="1090" t="s">
        <v>692</v>
      </c>
      <c r="G30" s="1090"/>
      <c r="H30" s="1090"/>
      <c r="I30" s="1090"/>
      <c r="J30" s="1091">
        <v>604.55999999999995</v>
      </c>
      <c r="K30" s="1091"/>
      <c r="L30" s="398" t="s">
        <v>693</v>
      </c>
    </row>
    <row r="31" spans="1:12" ht="11.25" customHeight="1" x14ac:dyDescent="0.2">
      <c r="A31" s="398"/>
      <c r="B31" s="398"/>
      <c r="C31" s="436"/>
      <c r="D31" s="436"/>
      <c r="E31" s="436"/>
      <c r="F31" s="1090" t="s">
        <v>694</v>
      </c>
      <c r="G31" s="1090"/>
      <c r="H31" s="1090"/>
      <c r="I31" s="1090"/>
      <c r="J31" s="1091">
        <v>509.89</v>
      </c>
      <c r="K31" s="1091"/>
      <c r="L31" s="398" t="s">
        <v>695</v>
      </c>
    </row>
    <row r="32" spans="1:12" ht="11.25" customHeight="1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206.38</v>
      </c>
      <c r="K32" s="1091"/>
      <c r="L32" s="398" t="s">
        <v>693</v>
      </c>
    </row>
    <row r="34" spans="1:26" ht="11.25" customHeight="1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ht="11.25" customHeight="1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ht="11.25" customHeight="1" x14ac:dyDescent="0.2">
      <c r="A40" s="1150" t="s">
        <v>1235</v>
      </c>
      <c r="B40" s="1151"/>
      <c r="C40" s="1151"/>
      <c r="D40" s="1151"/>
      <c r="E40" s="1151"/>
      <c r="F40" s="1151"/>
      <c r="G40" s="1151"/>
      <c r="H40" s="1151"/>
      <c r="I40" s="1151"/>
      <c r="J40" s="1151"/>
      <c r="K40" s="1151"/>
      <c r="L40" s="1152"/>
    </row>
    <row r="41" spans="1:26" ht="51" x14ac:dyDescent="0.2">
      <c r="A41" s="403">
        <v>1</v>
      </c>
      <c r="B41" s="403">
        <v>1</v>
      </c>
      <c r="C41" s="403" t="s">
        <v>1236</v>
      </c>
      <c r="D41" s="403" t="s">
        <v>1234</v>
      </c>
      <c r="E41" s="404">
        <v>0.14599999999999999</v>
      </c>
      <c r="F41" s="405">
        <v>4710.5437499999998</v>
      </c>
      <c r="G41" s="405">
        <v>4710.5437499999998</v>
      </c>
      <c r="H41" s="406">
        <v>9105.67</v>
      </c>
      <c r="I41" s="406" t="s">
        <v>281</v>
      </c>
      <c r="J41" s="406">
        <v>9105.67</v>
      </c>
      <c r="K41" s="405" t="s">
        <v>281</v>
      </c>
      <c r="L41" s="405" t="s">
        <v>281</v>
      </c>
      <c r="M41" s="843" t="s">
        <v>2323</v>
      </c>
      <c r="T41" s="435">
        <v>13833.22</v>
      </c>
      <c r="V41" s="435" t="s">
        <v>281</v>
      </c>
      <c r="W41" s="435">
        <v>9105.67</v>
      </c>
      <c r="X41" s="435">
        <v>3606.07</v>
      </c>
      <c r="Y41" s="435" t="s">
        <v>281</v>
      </c>
      <c r="Z41" s="435">
        <v>5.9663269999999997</v>
      </c>
    </row>
    <row r="42" spans="1:26" x14ac:dyDescent="0.2">
      <c r="A42" s="407"/>
      <c r="B42" s="407"/>
      <c r="C42" s="407"/>
      <c r="D42" s="408" t="s">
        <v>763</v>
      </c>
      <c r="E42" s="409"/>
      <c r="F42" s="410" t="s">
        <v>281</v>
      </c>
      <c r="G42" s="410">
        <v>551.68949999999995</v>
      </c>
      <c r="H42" s="409"/>
      <c r="I42" s="409"/>
      <c r="J42" s="411">
        <v>3606.07</v>
      </c>
      <c r="K42" s="410">
        <v>40.865250000000003</v>
      </c>
      <c r="L42" s="410">
        <v>5.9663269999999997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30.6" x14ac:dyDescent="0.2">
      <c r="A44" s="412"/>
      <c r="B44" s="412"/>
      <c r="C44" s="412"/>
      <c r="D44" s="395" t="s">
        <v>970</v>
      </c>
      <c r="E44" s="412"/>
      <c r="F44" s="412"/>
      <c r="G44" s="412"/>
      <c r="H44" s="412"/>
      <c r="I44" s="412"/>
      <c r="J44" s="412"/>
      <c r="K44" s="412"/>
      <c r="L44" s="412"/>
    </row>
    <row r="45" spans="1:26" ht="183.6" x14ac:dyDescent="0.2">
      <c r="A45" s="412"/>
      <c r="B45" s="412"/>
      <c r="C45" s="412"/>
      <c r="D45" s="395" t="s">
        <v>971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764</v>
      </c>
      <c r="F46" s="414"/>
      <c r="G46" s="414"/>
      <c r="H46" s="415">
        <v>3317.58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972</v>
      </c>
      <c r="F47" s="414"/>
      <c r="G47" s="414"/>
      <c r="H47" s="415">
        <v>1409.97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13833.22</v>
      </c>
      <c r="I48" s="412"/>
      <c r="J48" s="412"/>
      <c r="K48" s="412"/>
      <c r="L48" s="412"/>
    </row>
    <row r="49" spans="1:26" ht="51" x14ac:dyDescent="0.2">
      <c r="A49" s="403">
        <v>2</v>
      </c>
      <c r="B49" s="403">
        <v>2</v>
      </c>
      <c r="C49" s="403" t="s">
        <v>904</v>
      </c>
      <c r="D49" s="403" t="s">
        <v>1233</v>
      </c>
      <c r="E49" s="404">
        <v>1.4E-2</v>
      </c>
      <c r="F49" s="405">
        <v>4462.2574999999997</v>
      </c>
      <c r="G49" s="405">
        <v>4356.4156249999996</v>
      </c>
      <c r="H49" s="406">
        <v>871.63</v>
      </c>
      <c r="I49" s="406">
        <v>63.62</v>
      </c>
      <c r="J49" s="406">
        <v>807.51</v>
      </c>
      <c r="K49" s="405">
        <v>13.013400000000001</v>
      </c>
      <c r="L49" s="405">
        <v>0.18218799999999999</v>
      </c>
      <c r="T49" s="435">
        <v>1409.99</v>
      </c>
      <c r="V49" s="435">
        <v>63.62</v>
      </c>
      <c r="W49" s="435">
        <v>807.51</v>
      </c>
      <c r="X49" s="435">
        <v>347.03</v>
      </c>
      <c r="Y49" s="435">
        <v>0.18218799999999999</v>
      </c>
      <c r="Z49" s="435">
        <v>0.57416599999999995</v>
      </c>
    </row>
    <row r="50" spans="1:26" x14ac:dyDescent="0.2">
      <c r="A50" s="407"/>
      <c r="B50" s="407"/>
      <c r="C50" s="407"/>
      <c r="D50" s="408" t="s">
        <v>763</v>
      </c>
      <c r="E50" s="409"/>
      <c r="F50" s="410">
        <v>101.501875</v>
      </c>
      <c r="G50" s="410">
        <v>553.66750000000002</v>
      </c>
      <c r="H50" s="409"/>
      <c r="I50" s="409"/>
      <c r="J50" s="411">
        <v>347.03</v>
      </c>
      <c r="K50" s="410">
        <v>41.011875000000003</v>
      </c>
      <c r="L50" s="410">
        <v>0.57416599999999995</v>
      </c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</row>
    <row r="52" spans="1:26" ht="20.399999999999999" x14ac:dyDescent="0.2">
      <c r="A52" s="412"/>
      <c r="B52" s="412"/>
      <c r="C52" s="412"/>
      <c r="D52" s="395" t="s">
        <v>978</v>
      </c>
      <c r="E52" s="412"/>
      <c r="F52" s="412"/>
      <c r="G52" s="412"/>
      <c r="H52" s="412"/>
      <c r="I52" s="412"/>
      <c r="J52" s="412"/>
      <c r="K52" s="412"/>
      <c r="L52" s="412"/>
    </row>
    <row r="53" spans="1:26" ht="132.6" x14ac:dyDescent="0.2">
      <c r="A53" s="412"/>
      <c r="B53" s="412"/>
      <c r="C53" s="412"/>
      <c r="D53" s="395" t="s">
        <v>979</v>
      </c>
      <c r="E53" s="412"/>
      <c r="F53" s="412"/>
      <c r="G53" s="412"/>
      <c r="H53" s="412"/>
      <c r="I53" s="412"/>
      <c r="J53" s="412"/>
      <c r="K53" s="412"/>
      <c r="L53" s="412"/>
    </row>
    <row r="54" spans="1:26" x14ac:dyDescent="0.2">
      <c r="A54" s="412"/>
      <c r="B54" s="412"/>
      <c r="C54" s="412"/>
      <c r="D54" s="413" t="s">
        <v>206</v>
      </c>
      <c r="E54" s="414" t="s">
        <v>764</v>
      </c>
      <c r="F54" s="414"/>
      <c r="G54" s="414"/>
      <c r="H54" s="415">
        <v>377.8</v>
      </c>
      <c r="I54" s="412"/>
      <c r="J54" s="412"/>
      <c r="K54" s="412"/>
      <c r="L54" s="412"/>
    </row>
    <row r="55" spans="1:26" x14ac:dyDescent="0.2">
      <c r="A55" s="412"/>
      <c r="B55" s="412"/>
      <c r="C55" s="412"/>
      <c r="D55" s="413" t="s">
        <v>207</v>
      </c>
      <c r="E55" s="414" t="s">
        <v>972</v>
      </c>
      <c r="F55" s="414"/>
      <c r="G55" s="414"/>
      <c r="H55" s="415">
        <v>160.56</v>
      </c>
      <c r="I55" s="412"/>
      <c r="J55" s="412"/>
      <c r="K55" s="412"/>
      <c r="L55" s="412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1409.99</v>
      </c>
      <c r="I56" s="412"/>
      <c r="J56" s="412"/>
      <c r="K56" s="412"/>
      <c r="L56" s="412"/>
    </row>
    <row r="57" spans="1:26" ht="51" x14ac:dyDescent="0.2">
      <c r="A57" s="403">
        <v>3</v>
      </c>
      <c r="B57" s="403">
        <v>3</v>
      </c>
      <c r="C57" s="403" t="s">
        <v>1237</v>
      </c>
      <c r="D57" s="403" t="s">
        <v>1232</v>
      </c>
      <c r="E57" s="404">
        <v>0.92</v>
      </c>
      <c r="F57" s="405">
        <v>5914.3884749999997</v>
      </c>
      <c r="G57" s="405">
        <v>3128</v>
      </c>
      <c r="H57" s="406">
        <v>152868.42000000001</v>
      </c>
      <c r="I57" s="406">
        <v>114766.88</v>
      </c>
      <c r="J57" s="406">
        <v>38101.54</v>
      </c>
      <c r="K57" s="405">
        <v>326.65750000000003</v>
      </c>
      <c r="L57" s="405">
        <v>300.5249</v>
      </c>
      <c r="T57" s="435">
        <v>352642.24</v>
      </c>
      <c r="V57" s="435">
        <v>114766.88</v>
      </c>
      <c r="W57" s="435">
        <v>38101.54</v>
      </c>
      <c r="X57" s="435">
        <v>47650.86</v>
      </c>
      <c r="Y57" s="435">
        <v>300.5249</v>
      </c>
      <c r="Z57" s="435">
        <v>105.8</v>
      </c>
    </row>
    <row r="58" spans="1:26" x14ac:dyDescent="0.2">
      <c r="A58" s="407"/>
      <c r="B58" s="407"/>
      <c r="C58" s="407"/>
      <c r="D58" s="408" t="s">
        <v>901</v>
      </c>
      <c r="E58" s="409"/>
      <c r="F58" s="410">
        <v>2786.3884750000002</v>
      </c>
      <c r="G58" s="410">
        <v>1156.9000000000001</v>
      </c>
      <c r="H58" s="409"/>
      <c r="I58" s="409"/>
      <c r="J58" s="411">
        <v>47650.86</v>
      </c>
      <c r="K58" s="410">
        <v>115</v>
      </c>
      <c r="L58" s="410">
        <v>105.8</v>
      </c>
    </row>
    <row r="59" spans="1:26" ht="20.399999999999999" x14ac:dyDescent="0.2">
      <c r="A59" s="412"/>
      <c r="B59" s="412"/>
      <c r="C59" s="412"/>
      <c r="D59" s="395" t="s">
        <v>714</v>
      </c>
      <c r="E59" s="412"/>
      <c r="F59" s="412"/>
      <c r="G59" s="412"/>
      <c r="H59" s="412"/>
      <c r="I59" s="412"/>
      <c r="J59" s="412"/>
      <c r="K59" s="412"/>
      <c r="L59" s="412"/>
    </row>
    <row r="60" spans="1:26" ht="20.399999999999999" x14ac:dyDescent="0.2">
      <c r="A60" s="412"/>
      <c r="B60" s="412"/>
      <c r="C60" s="412"/>
      <c r="D60" s="395" t="s">
        <v>978</v>
      </c>
      <c r="E60" s="412"/>
      <c r="F60" s="412"/>
      <c r="G60" s="412"/>
      <c r="H60" s="412"/>
      <c r="I60" s="412"/>
      <c r="J60" s="412"/>
      <c r="K60" s="412"/>
      <c r="L60" s="412"/>
    </row>
    <row r="61" spans="1:26" ht="132.6" x14ac:dyDescent="0.2">
      <c r="A61" s="412"/>
      <c r="B61" s="412"/>
      <c r="C61" s="412"/>
      <c r="D61" s="395" t="s">
        <v>979</v>
      </c>
      <c r="E61" s="412"/>
      <c r="F61" s="412"/>
      <c r="G61" s="412"/>
      <c r="H61" s="412"/>
      <c r="I61" s="412"/>
      <c r="J61" s="412"/>
      <c r="K61" s="412"/>
      <c r="L61" s="412"/>
    </row>
    <row r="62" spans="1:26" x14ac:dyDescent="0.2">
      <c r="A62" s="412"/>
      <c r="B62" s="412"/>
      <c r="C62" s="412"/>
      <c r="D62" s="413" t="s">
        <v>206</v>
      </c>
      <c r="E62" s="414" t="s">
        <v>770</v>
      </c>
      <c r="F62" s="414"/>
      <c r="G62" s="414"/>
      <c r="H62" s="415">
        <v>144551.79</v>
      </c>
      <c r="I62" s="412"/>
      <c r="J62" s="412"/>
      <c r="K62" s="412"/>
      <c r="L62" s="412"/>
    </row>
    <row r="63" spans="1:26" x14ac:dyDescent="0.2">
      <c r="A63" s="412"/>
      <c r="B63" s="412"/>
      <c r="C63" s="412"/>
      <c r="D63" s="413" t="s">
        <v>207</v>
      </c>
      <c r="E63" s="414" t="s">
        <v>977</v>
      </c>
      <c r="F63" s="414"/>
      <c r="G63" s="414"/>
      <c r="H63" s="415">
        <v>55222.03</v>
      </c>
      <c r="I63" s="412"/>
      <c r="J63" s="412"/>
      <c r="K63" s="412"/>
      <c r="L63" s="412"/>
    </row>
    <row r="64" spans="1:26" x14ac:dyDescent="0.2">
      <c r="A64" s="412"/>
      <c r="B64" s="412"/>
      <c r="C64" s="412"/>
      <c r="D64" s="416" t="s">
        <v>715</v>
      </c>
      <c r="E64" s="417"/>
      <c r="F64" s="417"/>
      <c r="G64" s="417"/>
      <c r="H64" s="418">
        <v>352642.24</v>
      </c>
      <c r="I64" s="412"/>
      <c r="J64" s="412"/>
      <c r="K64" s="412"/>
      <c r="L64" s="412"/>
    </row>
    <row r="65" spans="1:26" ht="40.799999999999997" x14ac:dyDescent="0.2">
      <c r="A65" s="403">
        <v>4</v>
      </c>
      <c r="B65" s="403">
        <v>4</v>
      </c>
      <c r="C65" s="403" t="s">
        <v>1028</v>
      </c>
      <c r="D65" s="403" t="s">
        <v>1019</v>
      </c>
      <c r="E65" s="404">
        <v>0.05</v>
      </c>
      <c r="F65" s="405">
        <v>1906.3044</v>
      </c>
      <c r="G65" s="405" t="s">
        <v>281</v>
      </c>
      <c r="H65" s="406">
        <v>4267.26</v>
      </c>
      <c r="I65" s="406">
        <v>4267.26</v>
      </c>
      <c r="J65" s="406" t="s">
        <v>281</v>
      </c>
      <c r="K65" s="405">
        <v>244.398</v>
      </c>
      <c r="L65" s="405">
        <v>12.219900000000001</v>
      </c>
      <c r="T65" s="435">
        <v>9515.99</v>
      </c>
      <c r="V65" s="435">
        <v>4267.26</v>
      </c>
      <c r="W65" s="435" t="s">
        <v>281</v>
      </c>
      <c r="X65" s="435" t="s">
        <v>281</v>
      </c>
      <c r="Y65" s="435">
        <v>12.219900000000001</v>
      </c>
      <c r="Z65" s="435" t="s">
        <v>281</v>
      </c>
    </row>
    <row r="66" spans="1:26" x14ac:dyDescent="0.2">
      <c r="A66" s="407"/>
      <c r="B66" s="407"/>
      <c r="C66" s="407"/>
      <c r="D66" s="408" t="s">
        <v>901</v>
      </c>
      <c r="E66" s="409"/>
      <c r="F66" s="410">
        <v>1906.3044</v>
      </c>
      <c r="G66" s="410" t="s">
        <v>281</v>
      </c>
      <c r="H66" s="409"/>
      <c r="I66" s="409"/>
      <c r="J66" s="411" t="s">
        <v>281</v>
      </c>
      <c r="K66" s="410" t="s">
        <v>281</v>
      </c>
      <c r="L66" s="410" t="s">
        <v>281</v>
      </c>
    </row>
    <row r="67" spans="1:26" ht="20.399999999999999" x14ac:dyDescent="0.2">
      <c r="A67" s="412"/>
      <c r="B67" s="412"/>
      <c r="C67" s="412"/>
      <c r="D67" s="395" t="s">
        <v>714</v>
      </c>
      <c r="E67" s="412"/>
      <c r="F67" s="412"/>
      <c r="G67" s="412"/>
      <c r="H67" s="412"/>
      <c r="I67" s="412"/>
      <c r="J67" s="412"/>
      <c r="K67" s="412"/>
      <c r="L67" s="412"/>
    </row>
    <row r="68" spans="1:26" ht="30.6" x14ac:dyDescent="0.2">
      <c r="A68" s="412"/>
      <c r="B68" s="412"/>
      <c r="C68" s="412"/>
      <c r="D68" s="395" t="s">
        <v>975</v>
      </c>
      <c r="E68" s="412"/>
      <c r="F68" s="412"/>
      <c r="G68" s="412"/>
      <c r="H68" s="412"/>
      <c r="I68" s="412"/>
      <c r="J68" s="412"/>
      <c r="K68" s="412"/>
      <c r="L68" s="412"/>
    </row>
    <row r="69" spans="1:26" ht="163.19999999999999" x14ac:dyDescent="0.2">
      <c r="A69" s="412"/>
      <c r="B69" s="412"/>
      <c r="C69" s="412"/>
      <c r="D69" s="395" t="s">
        <v>976</v>
      </c>
      <c r="E69" s="412"/>
      <c r="F69" s="412"/>
      <c r="G69" s="412"/>
      <c r="H69" s="412"/>
      <c r="I69" s="412"/>
      <c r="J69" s="412"/>
      <c r="K69" s="412"/>
      <c r="L69" s="412"/>
    </row>
    <row r="70" spans="1:26" x14ac:dyDescent="0.2">
      <c r="A70" s="412"/>
      <c r="B70" s="412"/>
      <c r="C70" s="412"/>
      <c r="D70" s="413" t="s">
        <v>206</v>
      </c>
      <c r="E70" s="414" t="s">
        <v>770</v>
      </c>
      <c r="F70" s="414"/>
      <c r="G70" s="414"/>
      <c r="H70" s="415">
        <v>3797.86</v>
      </c>
      <c r="I70" s="412"/>
      <c r="J70" s="412"/>
      <c r="K70" s="412"/>
      <c r="L70" s="412"/>
    </row>
    <row r="71" spans="1:26" x14ac:dyDescent="0.2">
      <c r="A71" s="412"/>
      <c r="B71" s="412"/>
      <c r="C71" s="412"/>
      <c r="D71" s="413" t="s">
        <v>207</v>
      </c>
      <c r="E71" s="414" t="s">
        <v>977</v>
      </c>
      <c r="F71" s="414"/>
      <c r="G71" s="414"/>
      <c r="H71" s="415">
        <v>1450.87</v>
      </c>
      <c r="I71" s="412"/>
      <c r="J71" s="412"/>
      <c r="K71" s="412"/>
      <c r="L71" s="412"/>
    </row>
    <row r="72" spans="1:26" x14ac:dyDescent="0.2">
      <c r="A72" s="412"/>
      <c r="B72" s="412"/>
      <c r="C72" s="412"/>
      <c r="D72" s="416" t="s">
        <v>715</v>
      </c>
      <c r="E72" s="417"/>
      <c r="F72" s="417"/>
      <c r="G72" s="417"/>
      <c r="H72" s="418">
        <v>9515.99</v>
      </c>
      <c r="I72" s="412"/>
      <c r="J72" s="412"/>
      <c r="K72" s="412"/>
      <c r="L72" s="412"/>
    </row>
    <row r="73" spans="1:26" ht="51" x14ac:dyDescent="0.2">
      <c r="A73" s="403">
        <v>5</v>
      </c>
      <c r="B73" s="403">
        <v>5</v>
      </c>
      <c r="C73" s="403" t="s">
        <v>762</v>
      </c>
      <c r="D73" s="403" t="s">
        <v>1036</v>
      </c>
      <c r="E73" s="404">
        <v>0.23100000000000001</v>
      </c>
      <c r="F73" s="405">
        <v>689.03687500000001</v>
      </c>
      <c r="G73" s="405">
        <v>689.03687500000001</v>
      </c>
      <c r="H73" s="406">
        <v>2107.38</v>
      </c>
      <c r="I73" s="406" t="s">
        <v>281</v>
      </c>
      <c r="J73" s="406">
        <v>2107.38</v>
      </c>
      <c r="K73" s="405" t="s">
        <v>281</v>
      </c>
      <c r="L73" s="405" t="s">
        <v>281</v>
      </c>
      <c r="T73" s="435">
        <v>3929.68</v>
      </c>
      <c r="V73" s="435" t="s">
        <v>281</v>
      </c>
      <c r="W73" s="435">
        <v>2107.38</v>
      </c>
      <c r="X73" s="435">
        <v>1390.01</v>
      </c>
      <c r="Y73" s="435" t="s">
        <v>281</v>
      </c>
      <c r="Z73" s="435">
        <v>2.6764239999999999</v>
      </c>
    </row>
    <row r="74" spans="1:26" x14ac:dyDescent="0.2">
      <c r="A74" s="407"/>
      <c r="B74" s="407"/>
      <c r="C74" s="407"/>
      <c r="D74" s="408" t="s">
        <v>763</v>
      </c>
      <c r="E74" s="409"/>
      <c r="F74" s="410" t="s">
        <v>281</v>
      </c>
      <c r="G74" s="410">
        <v>134.40625</v>
      </c>
      <c r="H74" s="409"/>
      <c r="I74" s="409"/>
      <c r="J74" s="411">
        <v>1390.01</v>
      </c>
      <c r="K74" s="410">
        <v>11.58625</v>
      </c>
      <c r="L74" s="410">
        <v>2.6764239999999999</v>
      </c>
    </row>
    <row r="75" spans="1:26" ht="20.399999999999999" x14ac:dyDescent="0.2">
      <c r="A75" s="412"/>
      <c r="B75" s="412"/>
      <c r="C75" s="412"/>
      <c r="D75" s="395" t="s">
        <v>714</v>
      </c>
      <c r="E75" s="412"/>
      <c r="F75" s="412"/>
      <c r="G75" s="412"/>
      <c r="H75" s="412"/>
      <c r="I75" s="412"/>
      <c r="J75" s="412"/>
      <c r="K75" s="412"/>
      <c r="L75" s="412"/>
    </row>
    <row r="76" spans="1:26" ht="20.399999999999999" x14ac:dyDescent="0.2">
      <c r="A76" s="412"/>
      <c r="B76" s="412"/>
      <c r="C76" s="412"/>
      <c r="D76" s="395" t="s">
        <v>978</v>
      </c>
      <c r="E76" s="412"/>
      <c r="F76" s="412"/>
      <c r="G76" s="412"/>
      <c r="H76" s="412"/>
      <c r="I76" s="412"/>
      <c r="J76" s="412"/>
      <c r="K76" s="412"/>
      <c r="L76" s="412"/>
    </row>
    <row r="77" spans="1:26" ht="132.6" x14ac:dyDescent="0.2">
      <c r="A77" s="412"/>
      <c r="B77" s="412"/>
      <c r="C77" s="412"/>
      <c r="D77" s="395" t="s">
        <v>979</v>
      </c>
      <c r="E77" s="412"/>
      <c r="F77" s="412"/>
      <c r="G77" s="412"/>
      <c r="H77" s="412"/>
      <c r="I77" s="412"/>
      <c r="J77" s="412"/>
      <c r="K77" s="412"/>
      <c r="L77" s="412"/>
    </row>
    <row r="78" spans="1:26" x14ac:dyDescent="0.2">
      <c r="A78" s="412"/>
      <c r="B78" s="412"/>
      <c r="C78" s="412"/>
      <c r="D78" s="413" t="s">
        <v>206</v>
      </c>
      <c r="E78" s="414" t="s">
        <v>764</v>
      </c>
      <c r="F78" s="414"/>
      <c r="G78" s="414"/>
      <c r="H78" s="415">
        <v>1278.81</v>
      </c>
      <c r="I78" s="412"/>
      <c r="J78" s="412"/>
      <c r="K78" s="412"/>
      <c r="L78" s="412"/>
    </row>
    <row r="79" spans="1:26" x14ac:dyDescent="0.2">
      <c r="A79" s="412"/>
      <c r="B79" s="412"/>
      <c r="C79" s="412"/>
      <c r="D79" s="413" t="s">
        <v>207</v>
      </c>
      <c r="E79" s="414" t="s">
        <v>972</v>
      </c>
      <c r="F79" s="414"/>
      <c r="G79" s="414"/>
      <c r="H79" s="415">
        <v>543.49</v>
      </c>
      <c r="I79" s="412"/>
      <c r="J79" s="412"/>
      <c r="K79" s="412"/>
      <c r="L79" s="412"/>
    </row>
    <row r="80" spans="1:26" x14ac:dyDescent="0.2">
      <c r="A80" s="412"/>
      <c r="B80" s="412"/>
      <c r="C80" s="412"/>
      <c r="D80" s="416" t="s">
        <v>715</v>
      </c>
      <c r="E80" s="417"/>
      <c r="F80" s="417"/>
      <c r="G80" s="417"/>
      <c r="H80" s="418">
        <v>3929.68</v>
      </c>
      <c r="I80" s="412"/>
      <c r="J80" s="412"/>
      <c r="K80" s="412"/>
      <c r="L80" s="412"/>
    </row>
    <row r="81" spans="1:26" ht="30.6" x14ac:dyDescent="0.2">
      <c r="A81" s="403">
        <v>6</v>
      </c>
      <c r="B81" s="403">
        <v>6</v>
      </c>
      <c r="C81" s="403" t="s">
        <v>744</v>
      </c>
      <c r="D81" s="403" t="s">
        <v>1035</v>
      </c>
      <c r="E81" s="404">
        <v>14</v>
      </c>
      <c r="F81" s="405">
        <v>162.38</v>
      </c>
      <c r="G81" s="405" t="s">
        <v>281</v>
      </c>
      <c r="H81" s="406">
        <v>18550.28</v>
      </c>
      <c r="I81" s="406" t="s">
        <v>281</v>
      </c>
      <c r="J81" s="406" t="s">
        <v>281</v>
      </c>
      <c r="K81" s="405" t="s">
        <v>281</v>
      </c>
      <c r="L81" s="405" t="s">
        <v>281</v>
      </c>
      <c r="T81" s="435">
        <v>18550.28</v>
      </c>
      <c r="V81" s="435" t="s">
        <v>281</v>
      </c>
      <c r="W81" s="435" t="s">
        <v>281</v>
      </c>
      <c r="X81" s="435" t="s">
        <v>281</v>
      </c>
      <c r="Y81" s="435" t="s">
        <v>281</v>
      </c>
      <c r="Z81" s="435" t="s">
        <v>281</v>
      </c>
    </row>
    <row r="82" spans="1:26" x14ac:dyDescent="0.2">
      <c r="A82" s="407"/>
      <c r="B82" s="407"/>
      <c r="C82" s="407"/>
      <c r="D82" s="408" t="s">
        <v>745</v>
      </c>
      <c r="E82" s="409"/>
      <c r="F82" s="410" t="s">
        <v>281</v>
      </c>
      <c r="G82" s="410" t="s">
        <v>281</v>
      </c>
      <c r="H82" s="409"/>
      <c r="I82" s="409"/>
      <c r="J82" s="411" t="s">
        <v>281</v>
      </c>
      <c r="K82" s="410" t="s">
        <v>281</v>
      </c>
      <c r="L82" s="410" t="s">
        <v>281</v>
      </c>
    </row>
    <row r="83" spans="1:26" x14ac:dyDescent="0.2">
      <c r="A83" s="412"/>
      <c r="B83" s="412"/>
      <c r="C83" s="412"/>
      <c r="D83" s="395" t="s">
        <v>718</v>
      </c>
      <c r="E83" s="412"/>
      <c r="F83" s="412"/>
      <c r="G83" s="412"/>
      <c r="H83" s="412"/>
      <c r="I83" s="412"/>
      <c r="J83" s="412"/>
      <c r="K83" s="412"/>
      <c r="L83" s="412"/>
    </row>
    <row r="84" spans="1:26" ht="51" x14ac:dyDescent="0.2">
      <c r="A84" s="403">
        <v>7</v>
      </c>
      <c r="B84" s="403">
        <v>7</v>
      </c>
      <c r="C84" s="403" t="s">
        <v>1238</v>
      </c>
      <c r="D84" s="403" t="s">
        <v>1231</v>
      </c>
      <c r="E84" s="404">
        <v>0.67</v>
      </c>
      <c r="F84" s="405">
        <v>245.848725</v>
      </c>
      <c r="G84" s="405">
        <v>118.14812499999999</v>
      </c>
      <c r="H84" s="406">
        <v>4878.57</v>
      </c>
      <c r="I84" s="406">
        <v>3830.5</v>
      </c>
      <c r="J84" s="406">
        <v>1048.07</v>
      </c>
      <c r="K84" s="405">
        <v>17.761175000000001</v>
      </c>
      <c r="L84" s="405">
        <v>11.899986999999999</v>
      </c>
      <c r="T84" s="435">
        <v>10160.94</v>
      </c>
      <c r="V84" s="435">
        <v>3830.5</v>
      </c>
      <c r="W84" s="435">
        <v>1048.07</v>
      </c>
      <c r="X84" s="435">
        <v>434.64</v>
      </c>
      <c r="Y84" s="435">
        <v>11.899986999999999</v>
      </c>
      <c r="Z84" s="435">
        <v>0.895706</v>
      </c>
    </row>
    <row r="85" spans="1:26" x14ac:dyDescent="0.2">
      <c r="A85" s="407"/>
      <c r="B85" s="407"/>
      <c r="C85" s="407"/>
      <c r="D85" s="408" t="s">
        <v>1239</v>
      </c>
      <c r="E85" s="409"/>
      <c r="F85" s="410">
        <v>127.70059999999999</v>
      </c>
      <c r="G85" s="410">
        <v>14.49</v>
      </c>
      <c r="H85" s="409"/>
      <c r="I85" s="409"/>
      <c r="J85" s="411">
        <v>434.64</v>
      </c>
      <c r="K85" s="410">
        <v>1.336875</v>
      </c>
      <c r="L85" s="410">
        <v>0.895706</v>
      </c>
    </row>
    <row r="86" spans="1:26" ht="20.399999999999999" x14ac:dyDescent="0.2">
      <c r="A86" s="412"/>
      <c r="B86" s="412"/>
      <c r="C86" s="412"/>
      <c r="D86" s="395" t="s">
        <v>714</v>
      </c>
      <c r="E86" s="412"/>
      <c r="F86" s="412"/>
      <c r="G86" s="412"/>
      <c r="H86" s="412"/>
      <c r="I86" s="412"/>
      <c r="J86" s="412"/>
      <c r="K86" s="412"/>
      <c r="L86" s="412"/>
    </row>
    <row r="87" spans="1:26" ht="20.399999999999999" x14ac:dyDescent="0.2">
      <c r="A87" s="412"/>
      <c r="B87" s="412"/>
      <c r="C87" s="412"/>
      <c r="D87" s="395" t="s">
        <v>978</v>
      </c>
      <c r="E87" s="412"/>
      <c r="F87" s="412"/>
      <c r="G87" s="412"/>
      <c r="H87" s="412"/>
      <c r="I87" s="412"/>
      <c r="J87" s="412"/>
      <c r="K87" s="412"/>
      <c r="L87" s="412"/>
    </row>
    <row r="88" spans="1:26" ht="132.6" x14ac:dyDescent="0.2">
      <c r="A88" s="412"/>
      <c r="B88" s="412"/>
      <c r="C88" s="412"/>
      <c r="D88" s="395" t="s">
        <v>979</v>
      </c>
      <c r="E88" s="412"/>
      <c r="F88" s="412"/>
      <c r="G88" s="412"/>
      <c r="H88" s="412"/>
      <c r="I88" s="412"/>
      <c r="J88" s="412"/>
      <c r="K88" s="412"/>
      <c r="L88" s="412"/>
    </row>
    <row r="89" spans="1:26" x14ac:dyDescent="0.2">
      <c r="A89" s="412"/>
      <c r="B89" s="412"/>
      <c r="C89" s="412"/>
      <c r="D89" s="413" t="s">
        <v>206</v>
      </c>
      <c r="E89" s="414" t="s">
        <v>770</v>
      </c>
      <c r="F89" s="414"/>
      <c r="G89" s="414"/>
      <c r="H89" s="415">
        <v>3795.97</v>
      </c>
      <c r="I89" s="412"/>
      <c r="J89" s="412"/>
      <c r="K89" s="412"/>
      <c r="L89" s="412"/>
    </row>
    <row r="90" spans="1:26" x14ac:dyDescent="0.2">
      <c r="A90" s="412"/>
      <c r="B90" s="412"/>
      <c r="C90" s="412"/>
      <c r="D90" s="413" t="s">
        <v>207</v>
      </c>
      <c r="E90" s="414" t="s">
        <v>1240</v>
      </c>
      <c r="F90" s="414"/>
      <c r="G90" s="414"/>
      <c r="H90" s="415">
        <v>1486.4</v>
      </c>
      <c r="I90" s="412"/>
      <c r="J90" s="412"/>
      <c r="K90" s="412"/>
      <c r="L90" s="412"/>
    </row>
    <row r="91" spans="1:26" x14ac:dyDescent="0.2">
      <c r="A91" s="412"/>
      <c r="B91" s="412"/>
      <c r="C91" s="412"/>
      <c r="D91" s="416" t="s">
        <v>715</v>
      </c>
      <c r="E91" s="417"/>
      <c r="F91" s="417"/>
      <c r="G91" s="417"/>
      <c r="H91" s="418">
        <v>10160.94</v>
      </c>
      <c r="I91" s="412"/>
      <c r="J91" s="412"/>
      <c r="K91" s="412"/>
      <c r="L91" s="412"/>
    </row>
    <row r="92" spans="1:26" ht="30.6" x14ac:dyDescent="0.2">
      <c r="A92" s="403">
        <v>8</v>
      </c>
      <c r="B92" s="403">
        <v>8</v>
      </c>
      <c r="C92" s="403" t="s">
        <v>766</v>
      </c>
      <c r="D92" s="403" t="s">
        <v>1536</v>
      </c>
      <c r="E92" s="404">
        <v>11</v>
      </c>
      <c r="F92" s="405">
        <v>101.17976</v>
      </c>
      <c r="G92" s="405" t="s">
        <v>281</v>
      </c>
      <c r="H92" s="406">
        <v>9081.93</v>
      </c>
      <c r="I92" s="406" t="s">
        <v>281</v>
      </c>
      <c r="J92" s="406" t="s">
        <v>281</v>
      </c>
      <c r="K92" s="405" t="s">
        <v>281</v>
      </c>
      <c r="L92" s="405" t="s">
        <v>281</v>
      </c>
      <c r="T92" s="435">
        <v>9081.93</v>
      </c>
      <c r="V92" s="435" t="s">
        <v>281</v>
      </c>
      <c r="W92" s="435" t="s">
        <v>281</v>
      </c>
      <c r="X92" s="435" t="s">
        <v>281</v>
      </c>
      <c r="Y92" s="435" t="s">
        <v>281</v>
      </c>
      <c r="Z92" s="435" t="s">
        <v>281</v>
      </c>
    </row>
    <row r="93" spans="1:26" x14ac:dyDescent="0.2">
      <c r="A93" s="407"/>
      <c r="B93" s="407"/>
      <c r="C93" s="407"/>
      <c r="D93" s="408" t="s">
        <v>745</v>
      </c>
      <c r="E93" s="409"/>
      <c r="F93" s="410" t="s">
        <v>281</v>
      </c>
      <c r="G93" s="410" t="s">
        <v>281</v>
      </c>
      <c r="H93" s="409"/>
      <c r="I93" s="409"/>
      <c r="J93" s="411" t="s">
        <v>281</v>
      </c>
      <c r="K93" s="410" t="s">
        <v>281</v>
      </c>
      <c r="L93" s="410" t="s">
        <v>281</v>
      </c>
    </row>
    <row r="94" spans="1:26" x14ac:dyDescent="0.2">
      <c r="A94" s="412"/>
      <c r="B94" s="412"/>
      <c r="C94" s="412"/>
      <c r="D94" s="395" t="s">
        <v>718</v>
      </c>
      <c r="E94" s="412"/>
      <c r="F94" s="412"/>
      <c r="G94" s="412"/>
      <c r="H94" s="412"/>
      <c r="I94" s="412"/>
      <c r="J94" s="412"/>
      <c r="K94" s="412"/>
      <c r="L94" s="412"/>
    </row>
    <row r="95" spans="1:26" ht="40.799999999999997" x14ac:dyDescent="0.2">
      <c r="A95" s="403">
        <v>9</v>
      </c>
      <c r="B95" s="403">
        <v>9</v>
      </c>
      <c r="C95" s="403" t="s">
        <v>1117</v>
      </c>
      <c r="D95" s="403" t="s">
        <v>1230</v>
      </c>
      <c r="E95" s="404">
        <v>0.12</v>
      </c>
      <c r="F95" s="405">
        <v>877.80937500000005</v>
      </c>
      <c r="G95" s="405" t="s">
        <v>281</v>
      </c>
      <c r="H95" s="406">
        <v>4715.9399999999996</v>
      </c>
      <c r="I95" s="406">
        <v>4715.9399999999996</v>
      </c>
      <c r="J95" s="406" t="s">
        <v>281</v>
      </c>
      <c r="K95" s="405">
        <v>117.04125000000001</v>
      </c>
      <c r="L95" s="405">
        <v>14.04495</v>
      </c>
      <c r="T95" s="435">
        <v>10516.55</v>
      </c>
      <c r="V95" s="435">
        <v>4715.9399999999996</v>
      </c>
      <c r="W95" s="435" t="s">
        <v>281</v>
      </c>
      <c r="X95" s="435" t="s">
        <v>281</v>
      </c>
      <c r="Y95" s="435">
        <v>14.04495</v>
      </c>
      <c r="Z95" s="435" t="s">
        <v>281</v>
      </c>
    </row>
    <row r="96" spans="1:26" x14ac:dyDescent="0.2">
      <c r="A96" s="407"/>
      <c r="B96" s="407"/>
      <c r="C96" s="407"/>
      <c r="D96" s="408" t="s">
        <v>901</v>
      </c>
      <c r="E96" s="409"/>
      <c r="F96" s="410">
        <v>877.80937500000005</v>
      </c>
      <c r="G96" s="410" t="s">
        <v>281</v>
      </c>
      <c r="H96" s="409"/>
      <c r="I96" s="409"/>
      <c r="J96" s="411" t="s">
        <v>281</v>
      </c>
      <c r="K96" s="410" t="s">
        <v>281</v>
      </c>
      <c r="L96" s="410" t="s">
        <v>281</v>
      </c>
    </row>
    <row r="97" spans="1:26" ht="20.399999999999999" x14ac:dyDescent="0.2">
      <c r="A97" s="412"/>
      <c r="B97" s="412"/>
      <c r="C97" s="412"/>
      <c r="D97" s="395" t="s">
        <v>714</v>
      </c>
      <c r="E97" s="412"/>
      <c r="F97" s="412"/>
      <c r="G97" s="412"/>
      <c r="H97" s="412"/>
      <c r="I97" s="412"/>
      <c r="J97" s="412"/>
      <c r="K97" s="412"/>
      <c r="L97" s="412"/>
    </row>
    <row r="98" spans="1:26" ht="20.399999999999999" x14ac:dyDescent="0.2">
      <c r="A98" s="412"/>
      <c r="B98" s="412"/>
      <c r="C98" s="412"/>
      <c r="D98" s="395" t="s">
        <v>978</v>
      </c>
      <c r="E98" s="412"/>
      <c r="F98" s="412"/>
      <c r="G98" s="412"/>
      <c r="H98" s="412"/>
      <c r="I98" s="412"/>
      <c r="J98" s="412"/>
      <c r="K98" s="412"/>
      <c r="L98" s="412"/>
    </row>
    <row r="99" spans="1:26" ht="132.6" x14ac:dyDescent="0.2">
      <c r="A99" s="412"/>
      <c r="B99" s="412"/>
      <c r="C99" s="412"/>
      <c r="D99" s="395" t="s">
        <v>979</v>
      </c>
      <c r="E99" s="412"/>
      <c r="F99" s="412"/>
      <c r="G99" s="412"/>
      <c r="H99" s="412"/>
      <c r="I99" s="412"/>
      <c r="J99" s="412"/>
      <c r="K99" s="412"/>
      <c r="L99" s="412"/>
    </row>
    <row r="100" spans="1:26" x14ac:dyDescent="0.2">
      <c r="A100" s="412"/>
      <c r="B100" s="412"/>
      <c r="C100" s="412"/>
      <c r="D100" s="413" t="s">
        <v>206</v>
      </c>
      <c r="E100" s="414" t="s">
        <v>770</v>
      </c>
      <c r="F100" s="414"/>
      <c r="G100" s="414"/>
      <c r="H100" s="415">
        <v>4197.1899999999996</v>
      </c>
      <c r="I100" s="412"/>
      <c r="J100" s="412"/>
      <c r="K100" s="412"/>
      <c r="L100" s="412"/>
    </row>
    <row r="101" spans="1:26" x14ac:dyDescent="0.2">
      <c r="A101" s="412"/>
      <c r="B101" s="412"/>
      <c r="C101" s="412"/>
      <c r="D101" s="413" t="s">
        <v>207</v>
      </c>
      <c r="E101" s="414" t="s">
        <v>977</v>
      </c>
      <c r="F101" s="414"/>
      <c r="G101" s="414"/>
      <c r="H101" s="415">
        <v>1603.42</v>
      </c>
      <c r="I101" s="412"/>
      <c r="J101" s="412"/>
      <c r="K101" s="412"/>
      <c r="L101" s="412"/>
    </row>
    <row r="102" spans="1:26" x14ac:dyDescent="0.2">
      <c r="A102" s="412"/>
      <c r="B102" s="412"/>
      <c r="C102" s="412"/>
      <c r="D102" s="416" t="s">
        <v>715</v>
      </c>
      <c r="E102" s="417"/>
      <c r="F102" s="417"/>
      <c r="G102" s="417"/>
      <c r="H102" s="418">
        <v>10516.55</v>
      </c>
      <c r="I102" s="412"/>
      <c r="J102" s="412"/>
      <c r="K102" s="412"/>
      <c r="L102" s="412"/>
    </row>
    <row r="103" spans="1:26" ht="40.799999999999997" x14ac:dyDescent="0.2">
      <c r="A103" s="403">
        <v>10</v>
      </c>
      <c r="B103" s="403">
        <v>10</v>
      </c>
      <c r="C103" s="403" t="s">
        <v>1241</v>
      </c>
      <c r="D103" s="403" t="s">
        <v>1229</v>
      </c>
      <c r="E103" s="404">
        <v>0.3</v>
      </c>
      <c r="F103" s="405">
        <v>151.603925</v>
      </c>
      <c r="G103" s="405">
        <v>41.4</v>
      </c>
      <c r="H103" s="406">
        <v>1644.59</v>
      </c>
      <c r="I103" s="406">
        <v>1480.15</v>
      </c>
      <c r="J103" s="406">
        <v>164.44</v>
      </c>
      <c r="K103" s="405">
        <v>13.4895</v>
      </c>
      <c r="L103" s="405">
        <v>4.0468500000000001</v>
      </c>
      <c r="T103" s="435">
        <v>4419.22</v>
      </c>
      <c r="V103" s="435">
        <v>1480.15</v>
      </c>
      <c r="W103" s="435">
        <v>164.44</v>
      </c>
      <c r="X103" s="435">
        <v>62.17</v>
      </c>
      <c r="Y103" s="435">
        <v>4.0468500000000001</v>
      </c>
      <c r="Z103" s="435">
        <v>0.13800000000000001</v>
      </c>
    </row>
    <row r="104" spans="1:26" x14ac:dyDescent="0.2">
      <c r="A104" s="407"/>
      <c r="B104" s="407"/>
      <c r="C104" s="407"/>
      <c r="D104" s="408" t="s">
        <v>1239</v>
      </c>
      <c r="E104" s="409"/>
      <c r="F104" s="410">
        <v>110.203925</v>
      </c>
      <c r="G104" s="410">
        <v>4.6287500000000001</v>
      </c>
      <c r="H104" s="409"/>
      <c r="I104" s="409"/>
      <c r="J104" s="411">
        <v>62.17</v>
      </c>
      <c r="K104" s="410">
        <v>0.46</v>
      </c>
      <c r="L104" s="410">
        <v>0.13800000000000001</v>
      </c>
    </row>
    <row r="105" spans="1:26" ht="20.399999999999999" x14ac:dyDescent="0.2">
      <c r="A105" s="412"/>
      <c r="B105" s="412"/>
      <c r="C105" s="412"/>
      <c r="D105" s="395" t="s">
        <v>714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ht="20.399999999999999" x14ac:dyDescent="0.2">
      <c r="A106" s="412"/>
      <c r="B106" s="412"/>
      <c r="C106" s="412"/>
      <c r="D106" s="395" t="s">
        <v>978</v>
      </c>
      <c r="E106" s="412"/>
      <c r="F106" s="412"/>
      <c r="G106" s="412"/>
      <c r="H106" s="412"/>
      <c r="I106" s="412"/>
      <c r="J106" s="412"/>
      <c r="K106" s="412"/>
      <c r="L106" s="412"/>
    </row>
    <row r="107" spans="1:26" ht="132.6" x14ac:dyDescent="0.2">
      <c r="A107" s="412"/>
      <c r="B107" s="412"/>
      <c r="C107" s="412"/>
      <c r="D107" s="395" t="s">
        <v>979</v>
      </c>
      <c r="E107" s="412"/>
      <c r="F107" s="412"/>
      <c r="G107" s="412"/>
      <c r="H107" s="412"/>
      <c r="I107" s="412"/>
      <c r="J107" s="412"/>
      <c r="K107" s="412"/>
      <c r="L107" s="412"/>
    </row>
    <row r="108" spans="1:26" x14ac:dyDescent="0.2">
      <c r="A108" s="412"/>
      <c r="B108" s="412"/>
      <c r="C108" s="412"/>
      <c r="D108" s="413" t="s">
        <v>206</v>
      </c>
      <c r="E108" s="414" t="s">
        <v>1242</v>
      </c>
      <c r="F108" s="414"/>
      <c r="G108" s="414"/>
      <c r="H108" s="415">
        <v>1804.51</v>
      </c>
      <c r="I108" s="412"/>
      <c r="J108" s="412"/>
      <c r="K108" s="412"/>
      <c r="L108" s="412"/>
    </row>
    <row r="109" spans="1:26" x14ac:dyDescent="0.2">
      <c r="A109" s="412"/>
      <c r="B109" s="412"/>
      <c r="C109" s="412"/>
      <c r="D109" s="413" t="s">
        <v>207</v>
      </c>
      <c r="E109" s="414" t="s">
        <v>1243</v>
      </c>
      <c r="F109" s="414"/>
      <c r="G109" s="414"/>
      <c r="H109" s="415">
        <v>970.12</v>
      </c>
      <c r="I109" s="412"/>
      <c r="J109" s="412"/>
      <c r="K109" s="412"/>
      <c r="L109" s="412"/>
    </row>
    <row r="110" spans="1:26" x14ac:dyDescent="0.2">
      <c r="A110" s="412"/>
      <c r="B110" s="412"/>
      <c r="C110" s="412"/>
      <c r="D110" s="416" t="s">
        <v>715</v>
      </c>
      <c r="E110" s="417"/>
      <c r="F110" s="417"/>
      <c r="G110" s="417"/>
      <c r="H110" s="418">
        <v>4419.22</v>
      </c>
      <c r="I110" s="412"/>
      <c r="J110" s="412"/>
      <c r="K110" s="412"/>
      <c r="L110" s="412"/>
    </row>
    <row r="111" spans="1:26" ht="30.6" x14ac:dyDescent="0.2">
      <c r="A111" s="403">
        <v>11</v>
      </c>
      <c r="B111" s="403">
        <v>11</v>
      </c>
      <c r="C111" s="403" t="s">
        <v>766</v>
      </c>
      <c r="D111" s="403" t="s">
        <v>1536</v>
      </c>
      <c r="E111" s="404">
        <v>3.3</v>
      </c>
      <c r="F111" s="405">
        <v>101.17976</v>
      </c>
      <c r="G111" s="405" t="s">
        <v>281</v>
      </c>
      <c r="H111" s="406">
        <v>2724.58</v>
      </c>
      <c r="I111" s="406" t="s">
        <v>281</v>
      </c>
      <c r="J111" s="406" t="s">
        <v>281</v>
      </c>
      <c r="K111" s="405" t="s">
        <v>281</v>
      </c>
      <c r="L111" s="405" t="s">
        <v>281</v>
      </c>
      <c r="T111" s="435">
        <v>2724.58</v>
      </c>
      <c r="V111" s="435" t="s">
        <v>281</v>
      </c>
      <c r="W111" s="435" t="s">
        <v>281</v>
      </c>
      <c r="X111" s="435" t="s">
        <v>281</v>
      </c>
      <c r="Y111" s="435" t="s">
        <v>281</v>
      </c>
      <c r="Z111" s="435" t="s">
        <v>281</v>
      </c>
    </row>
    <row r="112" spans="1:26" x14ac:dyDescent="0.2">
      <c r="A112" s="407"/>
      <c r="B112" s="407"/>
      <c r="C112" s="407"/>
      <c r="D112" s="408" t="s">
        <v>745</v>
      </c>
      <c r="E112" s="409"/>
      <c r="F112" s="410" t="s">
        <v>281</v>
      </c>
      <c r="G112" s="410" t="s">
        <v>281</v>
      </c>
      <c r="H112" s="409"/>
      <c r="I112" s="409"/>
      <c r="J112" s="411" t="s">
        <v>281</v>
      </c>
      <c r="K112" s="410" t="s">
        <v>281</v>
      </c>
      <c r="L112" s="410" t="s">
        <v>281</v>
      </c>
    </row>
    <row r="113" spans="1:26" x14ac:dyDescent="0.2">
      <c r="A113" s="412"/>
      <c r="B113" s="412"/>
      <c r="C113" s="412"/>
      <c r="D113" s="395" t="s">
        <v>718</v>
      </c>
      <c r="E113" s="412"/>
      <c r="F113" s="412"/>
      <c r="G113" s="412"/>
      <c r="H113" s="412"/>
      <c r="I113" s="412"/>
      <c r="J113" s="412"/>
      <c r="K113" s="412"/>
      <c r="L113" s="412"/>
    </row>
    <row r="114" spans="1:26" ht="40.799999999999997" x14ac:dyDescent="0.2">
      <c r="A114" s="403">
        <v>12</v>
      </c>
      <c r="B114" s="403">
        <v>12</v>
      </c>
      <c r="C114" s="403" t="s">
        <v>1244</v>
      </c>
      <c r="D114" s="403" t="s">
        <v>1228</v>
      </c>
      <c r="E114" s="404">
        <v>3.7999999999999999E-2</v>
      </c>
      <c r="F114" s="405">
        <v>7509.6112000000003</v>
      </c>
      <c r="G114" s="405">
        <v>4718.3062499999996</v>
      </c>
      <c r="H114" s="406">
        <v>7085.79</v>
      </c>
      <c r="I114" s="406">
        <v>4703.72</v>
      </c>
      <c r="J114" s="406">
        <v>2373.87</v>
      </c>
      <c r="K114" s="405">
        <v>297.61540000000002</v>
      </c>
      <c r="L114" s="405">
        <v>11.309385000000001</v>
      </c>
      <c r="T114" s="435">
        <v>17359.12</v>
      </c>
      <c r="V114" s="435">
        <v>4703.72</v>
      </c>
      <c r="W114" s="435">
        <v>2373.87</v>
      </c>
      <c r="X114" s="435">
        <v>1006.86</v>
      </c>
      <c r="Y114" s="435">
        <v>11.309385000000001</v>
      </c>
      <c r="Z114" s="435">
        <v>1.6802649999999999</v>
      </c>
    </row>
    <row r="115" spans="1:26" x14ac:dyDescent="0.2">
      <c r="A115" s="407"/>
      <c r="B115" s="407"/>
      <c r="C115" s="407"/>
      <c r="D115" s="408" t="s">
        <v>1245</v>
      </c>
      <c r="E115" s="409"/>
      <c r="F115" s="410">
        <v>2764.8449500000002</v>
      </c>
      <c r="G115" s="410">
        <v>591.833125</v>
      </c>
      <c r="H115" s="409"/>
      <c r="I115" s="409"/>
      <c r="J115" s="411">
        <v>1006.86</v>
      </c>
      <c r="K115" s="410">
        <v>44.217500000000001</v>
      </c>
      <c r="L115" s="410">
        <v>1.6802649999999999</v>
      </c>
    </row>
    <row r="116" spans="1:26" ht="20.399999999999999" x14ac:dyDescent="0.2">
      <c r="A116" s="412"/>
      <c r="B116" s="412"/>
      <c r="C116" s="412"/>
      <c r="D116" s="395" t="s">
        <v>714</v>
      </c>
      <c r="E116" s="412"/>
      <c r="F116" s="412"/>
      <c r="G116" s="412"/>
      <c r="H116" s="412"/>
      <c r="I116" s="412"/>
      <c r="J116" s="412"/>
      <c r="K116" s="412"/>
      <c r="L116" s="412"/>
    </row>
    <row r="117" spans="1:26" ht="20.399999999999999" x14ac:dyDescent="0.2">
      <c r="A117" s="412"/>
      <c r="B117" s="412"/>
      <c r="C117" s="412"/>
      <c r="D117" s="395" t="s">
        <v>978</v>
      </c>
      <c r="E117" s="412"/>
      <c r="F117" s="412"/>
      <c r="G117" s="412"/>
      <c r="H117" s="412"/>
      <c r="I117" s="412"/>
      <c r="J117" s="412"/>
      <c r="K117" s="412"/>
      <c r="L117" s="412"/>
    </row>
    <row r="118" spans="1:26" ht="132.6" x14ac:dyDescent="0.2">
      <c r="A118" s="412"/>
      <c r="B118" s="412"/>
      <c r="C118" s="412"/>
      <c r="D118" s="395" t="s">
        <v>979</v>
      </c>
      <c r="E118" s="412"/>
      <c r="F118" s="412"/>
      <c r="G118" s="412"/>
      <c r="H118" s="412"/>
      <c r="I118" s="412"/>
      <c r="J118" s="412"/>
      <c r="K118" s="412"/>
      <c r="L118" s="412"/>
    </row>
    <row r="119" spans="1:26" x14ac:dyDescent="0.2">
      <c r="A119" s="412"/>
      <c r="B119" s="412"/>
      <c r="C119" s="412"/>
      <c r="D119" s="413" t="s">
        <v>206</v>
      </c>
      <c r="E119" s="414" t="s">
        <v>1242</v>
      </c>
      <c r="F119" s="414"/>
      <c r="G119" s="414"/>
      <c r="H119" s="415">
        <v>6681.38</v>
      </c>
      <c r="I119" s="412"/>
      <c r="J119" s="412"/>
      <c r="K119" s="412"/>
      <c r="L119" s="412"/>
    </row>
    <row r="120" spans="1:26" x14ac:dyDescent="0.2">
      <c r="A120" s="412"/>
      <c r="B120" s="412"/>
      <c r="C120" s="412"/>
      <c r="D120" s="413" t="s">
        <v>207</v>
      </c>
      <c r="E120" s="414" t="s">
        <v>1243</v>
      </c>
      <c r="F120" s="414"/>
      <c r="G120" s="414"/>
      <c r="H120" s="415">
        <v>3591.95</v>
      </c>
      <c r="I120" s="412"/>
      <c r="J120" s="412"/>
      <c r="K120" s="412"/>
      <c r="L120" s="412"/>
    </row>
    <row r="121" spans="1:26" x14ac:dyDescent="0.2">
      <c r="A121" s="412"/>
      <c r="B121" s="412"/>
      <c r="C121" s="412"/>
      <c r="D121" s="416" t="s">
        <v>715</v>
      </c>
      <c r="E121" s="417"/>
      <c r="F121" s="417"/>
      <c r="G121" s="417"/>
      <c r="H121" s="418">
        <v>17359.12</v>
      </c>
      <c r="I121" s="412"/>
      <c r="J121" s="412"/>
      <c r="K121" s="412"/>
      <c r="L121" s="412"/>
    </row>
    <row r="122" spans="1:26" ht="40.799999999999997" x14ac:dyDescent="0.2">
      <c r="A122" s="403">
        <v>13</v>
      </c>
      <c r="B122" s="403">
        <v>13</v>
      </c>
      <c r="C122" s="403" t="s">
        <v>1246</v>
      </c>
      <c r="D122" s="403" t="s">
        <v>1561</v>
      </c>
      <c r="E122" s="404">
        <v>38.304000000000002</v>
      </c>
      <c r="F122" s="405">
        <v>124.92</v>
      </c>
      <c r="G122" s="405" t="s">
        <v>281</v>
      </c>
      <c r="H122" s="406">
        <v>39045.18</v>
      </c>
      <c r="I122" s="406" t="s">
        <v>281</v>
      </c>
      <c r="J122" s="406" t="s">
        <v>281</v>
      </c>
      <c r="K122" s="405" t="s">
        <v>281</v>
      </c>
      <c r="L122" s="405" t="s">
        <v>281</v>
      </c>
      <c r="T122" s="435">
        <v>39045.18</v>
      </c>
      <c r="V122" s="435" t="s">
        <v>281</v>
      </c>
      <c r="W122" s="435" t="s">
        <v>281</v>
      </c>
      <c r="X122" s="435" t="s">
        <v>281</v>
      </c>
      <c r="Y122" s="435" t="s">
        <v>281</v>
      </c>
      <c r="Z122" s="435" t="s">
        <v>281</v>
      </c>
    </row>
    <row r="123" spans="1:26" x14ac:dyDescent="0.2">
      <c r="A123" s="407"/>
      <c r="B123" s="407"/>
      <c r="C123" s="407"/>
      <c r="D123" s="408" t="s">
        <v>883</v>
      </c>
      <c r="E123" s="409"/>
      <c r="F123" s="410" t="s">
        <v>281</v>
      </c>
      <c r="G123" s="410" t="s">
        <v>281</v>
      </c>
      <c r="H123" s="409"/>
      <c r="I123" s="409"/>
      <c r="J123" s="411" t="s">
        <v>281</v>
      </c>
      <c r="K123" s="410" t="s">
        <v>281</v>
      </c>
      <c r="L123" s="410" t="s">
        <v>281</v>
      </c>
    </row>
    <row r="124" spans="1:26" x14ac:dyDescent="0.2">
      <c r="A124" s="412"/>
      <c r="B124" s="412"/>
      <c r="C124" s="412"/>
      <c r="D124" s="395" t="s">
        <v>718</v>
      </c>
      <c r="E124" s="412"/>
      <c r="F124" s="412"/>
      <c r="G124" s="412"/>
      <c r="H124" s="412"/>
      <c r="I124" s="412"/>
      <c r="J124" s="412"/>
      <c r="K124" s="412"/>
      <c r="L124" s="412"/>
    </row>
    <row r="125" spans="1:26" ht="51" x14ac:dyDescent="0.2">
      <c r="A125" s="403">
        <v>14</v>
      </c>
      <c r="B125" s="403">
        <v>14</v>
      </c>
      <c r="C125" s="403" t="s">
        <v>1247</v>
      </c>
      <c r="D125" s="403" t="s">
        <v>1227</v>
      </c>
      <c r="E125" s="404">
        <v>0.14000000000000001</v>
      </c>
      <c r="F125" s="405">
        <v>2281.150075</v>
      </c>
      <c r="G125" s="405">
        <v>1730.505625</v>
      </c>
      <c r="H125" s="406">
        <v>6201.14</v>
      </c>
      <c r="I125" s="406">
        <v>2891.43</v>
      </c>
      <c r="J125" s="406">
        <v>3207.66</v>
      </c>
      <c r="K125" s="405">
        <v>47.953850000000003</v>
      </c>
      <c r="L125" s="405">
        <v>6.7135389999999999</v>
      </c>
      <c r="T125" s="435">
        <v>13036.35</v>
      </c>
      <c r="V125" s="435">
        <v>2891.43</v>
      </c>
      <c r="W125" s="435">
        <v>3207.66</v>
      </c>
      <c r="X125" s="435">
        <v>908.02</v>
      </c>
      <c r="Y125" s="435">
        <v>6.7135389999999999</v>
      </c>
      <c r="Z125" s="435">
        <v>1.4087499999999999</v>
      </c>
    </row>
    <row r="126" spans="1:26" x14ac:dyDescent="0.2">
      <c r="A126" s="407"/>
      <c r="B126" s="407"/>
      <c r="C126" s="407"/>
      <c r="D126" s="408" t="s">
        <v>747</v>
      </c>
      <c r="E126" s="409"/>
      <c r="F126" s="410">
        <v>461.31445000000002</v>
      </c>
      <c r="G126" s="410">
        <v>144.87125</v>
      </c>
      <c r="H126" s="409"/>
      <c r="I126" s="409"/>
      <c r="J126" s="411">
        <v>908.02</v>
      </c>
      <c r="K126" s="410">
        <v>10.0625</v>
      </c>
      <c r="L126" s="410">
        <v>1.4087499999999999</v>
      </c>
    </row>
    <row r="127" spans="1:26" ht="20.399999999999999" x14ac:dyDescent="0.2">
      <c r="A127" s="412"/>
      <c r="B127" s="412"/>
      <c r="C127" s="412"/>
      <c r="D127" s="395" t="s">
        <v>714</v>
      </c>
      <c r="E127" s="412"/>
      <c r="F127" s="412"/>
      <c r="G127" s="412"/>
      <c r="H127" s="412"/>
      <c r="I127" s="412"/>
      <c r="J127" s="412"/>
      <c r="K127" s="412"/>
      <c r="L127" s="412"/>
    </row>
    <row r="128" spans="1:26" ht="20.399999999999999" x14ac:dyDescent="0.2">
      <c r="A128" s="412"/>
      <c r="B128" s="412"/>
      <c r="C128" s="412"/>
      <c r="D128" s="395" t="s">
        <v>978</v>
      </c>
      <c r="E128" s="412"/>
      <c r="F128" s="412"/>
      <c r="G128" s="412"/>
      <c r="H128" s="412"/>
      <c r="I128" s="412"/>
      <c r="J128" s="412"/>
      <c r="K128" s="412"/>
      <c r="L128" s="412"/>
    </row>
    <row r="129" spans="1:26" ht="132.6" x14ac:dyDescent="0.2">
      <c r="A129" s="412"/>
      <c r="B129" s="412"/>
      <c r="C129" s="412"/>
      <c r="D129" s="395" t="s">
        <v>979</v>
      </c>
      <c r="E129" s="412"/>
      <c r="F129" s="412"/>
      <c r="G129" s="412"/>
      <c r="H129" s="412"/>
      <c r="I129" s="412"/>
      <c r="J129" s="412"/>
      <c r="K129" s="412"/>
      <c r="L129" s="412"/>
    </row>
    <row r="130" spans="1:26" x14ac:dyDescent="0.2">
      <c r="A130" s="412"/>
      <c r="B130" s="412"/>
      <c r="C130" s="412"/>
      <c r="D130" s="413" t="s">
        <v>206</v>
      </c>
      <c r="E130" s="414" t="s">
        <v>1242</v>
      </c>
      <c r="F130" s="414"/>
      <c r="G130" s="414"/>
      <c r="H130" s="415">
        <v>4445.3599999999997</v>
      </c>
      <c r="I130" s="412"/>
      <c r="J130" s="412"/>
      <c r="K130" s="412"/>
      <c r="L130" s="412"/>
    </row>
    <row r="131" spans="1:26" x14ac:dyDescent="0.2">
      <c r="A131" s="412"/>
      <c r="B131" s="412"/>
      <c r="C131" s="412"/>
      <c r="D131" s="413" t="s">
        <v>207</v>
      </c>
      <c r="E131" s="414" t="s">
        <v>1243</v>
      </c>
      <c r="F131" s="414"/>
      <c r="G131" s="414"/>
      <c r="H131" s="415">
        <v>2389.85</v>
      </c>
      <c r="I131" s="412"/>
      <c r="J131" s="412"/>
      <c r="K131" s="412"/>
      <c r="L131" s="412"/>
    </row>
    <row r="132" spans="1:26" x14ac:dyDescent="0.2">
      <c r="A132" s="412"/>
      <c r="B132" s="412"/>
      <c r="C132" s="412"/>
      <c r="D132" s="416" t="s">
        <v>715</v>
      </c>
      <c r="E132" s="417"/>
      <c r="F132" s="417"/>
      <c r="G132" s="417"/>
      <c r="H132" s="418">
        <v>13036.35</v>
      </c>
      <c r="I132" s="412"/>
      <c r="J132" s="412"/>
      <c r="K132" s="412"/>
      <c r="L132" s="412"/>
    </row>
    <row r="133" spans="1:26" ht="40.799999999999997" x14ac:dyDescent="0.2">
      <c r="A133" s="403">
        <v>15</v>
      </c>
      <c r="B133" s="403">
        <v>15</v>
      </c>
      <c r="C133" s="403" t="s">
        <v>1248</v>
      </c>
      <c r="D133" s="403" t="s">
        <v>1560</v>
      </c>
      <c r="E133" s="404">
        <v>14.14</v>
      </c>
      <c r="F133" s="405">
        <v>372.56</v>
      </c>
      <c r="G133" s="405" t="s">
        <v>281</v>
      </c>
      <c r="H133" s="406">
        <v>42986.87</v>
      </c>
      <c r="I133" s="406" t="s">
        <v>281</v>
      </c>
      <c r="J133" s="406" t="s">
        <v>281</v>
      </c>
      <c r="K133" s="405" t="s">
        <v>281</v>
      </c>
      <c r="L133" s="405" t="s">
        <v>281</v>
      </c>
      <c r="T133" s="435">
        <v>42986.87</v>
      </c>
      <c r="V133" s="435" t="s">
        <v>281</v>
      </c>
      <c r="W133" s="435" t="s">
        <v>281</v>
      </c>
      <c r="X133" s="435" t="s">
        <v>281</v>
      </c>
      <c r="Y133" s="435" t="s">
        <v>281</v>
      </c>
      <c r="Z133" s="435" t="s">
        <v>281</v>
      </c>
    </row>
    <row r="134" spans="1:26" x14ac:dyDescent="0.2">
      <c r="A134" s="407"/>
      <c r="B134" s="407"/>
      <c r="C134" s="407"/>
      <c r="D134" s="408" t="s">
        <v>883</v>
      </c>
      <c r="E134" s="409"/>
      <c r="F134" s="410" t="s">
        <v>281</v>
      </c>
      <c r="G134" s="410" t="s">
        <v>281</v>
      </c>
      <c r="H134" s="409"/>
      <c r="I134" s="409"/>
      <c r="J134" s="411" t="s">
        <v>281</v>
      </c>
      <c r="K134" s="410" t="s">
        <v>281</v>
      </c>
      <c r="L134" s="410" t="s">
        <v>281</v>
      </c>
    </row>
    <row r="135" spans="1:26" x14ac:dyDescent="0.2">
      <c r="A135" s="412"/>
      <c r="B135" s="412"/>
      <c r="C135" s="412"/>
      <c r="D135" s="395" t="s">
        <v>718</v>
      </c>
      <c r="E135" s="412"/>
      <c r="F135" s="412"/>
      <c r="G135" s="412"/>
      <c r="H135" s="412"/>
      <c r="I135" s="412"/>
      <c r="J135" s="412"/>
      <c r="K135" s="412"/>
      <c r="L135" s="412"/>
    </row>
    <row r="136" spans="1:26" ht="61.2" x14ac:dyDescent="0.2">
      <c r="A136" s="403">
        <v>16</v>
      </c>
      <c r="B136" s="403">
        <v>17</v>
      </c>
      <c r="C136" s="403" t="s">
        <v>1249</v>
      </c>
      <c r="D136" s="403" t="s">
        <v>1226</v>
      </c>
      <c r="E136" s="404">
        <v>1.4E-2</v>
      </c>
      <c r="F136" s="405">
        <v>2931.8029499999998</v>
      </c>
      <c r="G136" s="405">
        <v>1383.9675</v>
      </c>
      <c r="H136" s="406">
        <v>818.65</v>
      </c>
      <c r="I136" s="406">
        <v>471.17</v>
      </c>
      <c r="J136" s="406">
        <v>256.52999999999997</v>
      </c>
      <c r="K136" s="405">
        <v>75.779250000000005</v>
      </c>
      <c r="L136" s="405">
        <v>1.06091</v>
      </c>
      <c r="T136" s="435">
        <v>1881.89</v>
      </c>
      <c r="V136" s="435">
        <v>471.17</v>
      </c>
      <c r="W136" s="435">
        <v>256.52999999999997</v>
      </c>
      <c r="X136" s="435">
        <v>119.85</v>
      </c>
      <c r="Y136" s="435">
        <v>1.06091</v>
      </c>
      <c r="Z136" s="435">
        <v>0.212118</v>
      </c>
    </row>
    <row r="137" spans="1:26" x14ac:dyDescent="0.2">
      <c r="A137" s="407"/>
      <c r="B137" s="407"/>
      <c r="C137" s="407"/>
      <c r="D137" s="408" t="s">
        <v>1245</v>
      </c>
      <c r="E137" s="409"/>
      <c r="F137" s="410">
        <v>751.73545000000001</v>
      </c>
      <c r="G137" s="410">
        <v>191.21625</v>
      </c>
      <c r="H137" s="409"/>
      <c r="I137" s="409"/>
      <c r="J137" s="411">
        <v>119.85</v>
      </c>
      <c r="K137" s="410">
        <v>15.151249999999999</v>
      </c>
      <c r="L137" s="410">
        <v>0.212118</v>
      </c>
    </row>
    <row r="138" spans="1:26" ht="20.399999999999999" x14ac:dyDescent="0.2">
      <c r="A138" s="412"/>
      <c r="B138" s="412"/>
      <c r="C138" s="412"/>
      <c r="D138" s="395" t="s">
        <v>714</v>
      </c>
      <c r="E138" s="412"/>
      <c r="F138" s="412"/>
      <c r="G138" s="412"/>
      <c r="H138" s="412"/>
      <c r="I138" s="412"/>
      <c r="J138" s="412"/>
      <c r="K138" s="412"/>
      <c r="L138" s="412"/>
    </row>
    <row r="139" spans="1:26" ht="20.399999999999999" x14ac:dyDescent="0.2">
      <c r="A139" s="412"/>
      <c r="B139" s="412"/>
      <c r="C139" s="412"/>
      <c r="D139" s="395" t="s">
        <v>978</v>
      </c>
      <c r="E139" s="412"/>
      <c r="F139" s="412"/>
      <c r="G139" s="412"/>
      <c r="H139" s="412"/>
      <c r="I139" s="412"/>
      <c r="J139" s="412"/>
      <c r="K139" s="412"/>
      <c r="L139" s="412"/>
    </row>
    <row r="140" spans="1:26" ht="132.6" x14ac:dyDescent="0.2">
      <c r="A140" s="412"/>
      <c r="B140" s="412"/>
      <c r="C140" s="412"/>
      <c r="D140" s="395" t="s">
        <v>979</v>
      </c>
      <c r="E140" s="412"/>
      <c r="F140" s="412"/>
      <c r="G140" s="412"/>
      <c r="H140" s="412"/>
      <c r="I140" s="412"/>
      <c r="J140" s="412"/>
      <c r="K140" s="412"/>
      <c r="L140" s="412"/>
    </row>
    <row r="141" spans="1:26" x14ac:dyDescent="0.2">
      <c r="A141" s="412"/>
      <c r="B141" s="412"/>
      <c r="C141" s="412"/>
      <c r="D141" s="413" t="s">
        <v>206</v>
      </c>
      <c r="E141" s="414" t="s">
        <v>1242</v>
      </c>
      <c r="F141" s="414"/>
      <c r="G141" s="414"/>
      <c r="H141" s="415">
        <v>691.49</v>
      </c>
      <c r="I141" s="412"/>
      <c r="J141" s="412"/>
      <c r="K141" s="412"/>
      <c r="L141" s="412"/>
    </row>
    <row r="142" spans="1:26" x14ac:dyDescent="0.2">
      <c r="A142" s="412"/>
      <c r="B142" s="412"/>
      <c r="C142" s="412"/>
      <c r="D142" s="413" t="s">
        <v>207</v>
      </c>
      <c r="E142" s="414" t="s">
        <v>1243</v>
      </c>
      <c r="F142" s="414"/>
      <c r="G142" s="414"/>
      <c r="H142" s="415">
        <v>371.75</v>
      </c>
      <c r="I142" s="412"/>
      <c r="J142" s="412"/>
      <c r="K142" s="412"/>
      <c r="L142" s="412"/>
    </row>
    <row r="143" spans="1:26" x14ac:dyDescent="0.2">
      <c r="A143" s="412"/>
      <c r="B143" s="412"/>
      <c r="C143" s="412"/>
      <c r="D143" s="416" t="s">
        <v>715</v>
      </c>
      <c r="E143" s="417"/>
      <c r="F143" s="417"/>
      <c r="G143" s="417"/>
      <c r="H143" s="418">
        <v>1881.89</v>
      </c>
      <c r="I143" s="412"/>
      <c r="J143" s="412"/>
      <c r="K143" s="412"/>
      <c r="L143" s="412"/>
    </row>
    <row r="144" spans="1:26" ht="30.6" x14ac:dyDescent="0.2">
      <c r="A144" s="403">
        <v>17</v>
      </c>
      <c r="B144" s="403">
        <v>18</v>
      </c>
      <c r="C144" s="403" t="s">
        <v>1250</v>
      </c>
      <c r="D144" s="403" t="s">
        <v>1559</v>
      </c>
      <c r="E144" s="404">
        <v>1.19</v>
      </c>
      <c r="F144" s="405">
        <v>12.37</v>
      </c>
      <c r="G144" s="405" t="s">
        <v>281</v>
      </c>
      <c r="H144" s="406">
        <v>120.12</v>
      </c>
      <c r="I144" s="406" t="s">
        <v>281</v>
      </c>
      <c r="J144" s="406" t="s">
        <v>281</v>
      </c>
      <c r="K144" s="405" t="s">
        <v>281</v>
      </c>
      <c r="L144" s="405" t="s">
        <v>281</v>
      </c>
      <c r="T144" s="435">
        <v>120.12</v>
      </c>
      <c r="V144" s="435" t="s">
        <v>281</v>
      </c>
      <c r="W144" s="435" t="s">
        <v>281</v>
      </c>
      <c r="X144" s="435" t="s">
        <v>281</v>
      </c>
      <c r="Y144" s="435" t="s">
        <v>281</v>
      </c>
      <c r="Z144" s="435" t="s">
        <v>281</v>
      </c>
    </row>
    <row r="145" spans="1:26" x14ac:dyDescent="0.2">
      <c r="A145" s="407"/>
      <c r="B145" s="407"/>
      <c r="C145" s="407"/>
      <c r="D145" s="408" t="s">
        <v>898</v>
      </c>
      <c r="E145" s="409"/>
      <c r="F145" s="410" t="s">
        <v>281</v>
      </c>
      <c r="G145" s="410" t="s">
        <v>281</v>
      </c>
      <c r="H145" s="409"/>
      <c r="I145" s="409"/>
      <c r="J145" s="411" t="s">
        <v>281</v>
      </c>
      <c r="K145" s="410" t="s">
        <v>281</v>
      </c>
      <c r="L145" s="410" t="s">
        <v>281</v>
      </c>
    </row>
    <row r="146" spans="1:26" x14ac:dyDescent="0.2">
      <c r="A146" s="412"/>
      <c r="B146" s="412"/>
      <c r="C146" s="412"/>
      <c r="D146" s="395" t="s">
        <v>718</v>
      </c>
      <c r="E146" s="412"/>
      <c r="F146" s="412"/>
      <c r="G146" s="412"/>
      <c r="H146" s="412"/>
      <c r="I146" s="412"/>
      <c r="J146" s="412"/>
      <c r="K146" s="412"/>
      <c r="L146" s="412"/>
    </row>
    <row r="147" spans="1:26" ht="40.799999999999997" x14ac:dyDescent="0.2">
      <c r="A147" s="403">
        <v>18</v>
      </c>
      <c r="B147" s="403">
        <v>20</v>
      </c>
      <c r="C147" s="403" t="s">
        <v>1251</v>
      </c>
      <c r="D147" s="403" t="s">
        <v>1225</v>
      </c>
      <c r="E147" s="404">
        <v>3.9E-2</v>
      </c>
      <c r="F147" s="405">
        <v>22757.964274999998</v>
      </c>
      <c r="G147" s="405">
        <v>14526.282499999999</v>
      </c>
      <c r="H147" s="406">
        <v>13213.38</v>
      </c>
      <c r="I147" s="406">
        <v>3782.32</v>
      </c>
      <c r="J147" s="406">
        <v>7500.79</v>
      </c>
      <c r="K147" s="405">
        <v>195.33324999999999</v>
      </c>
      <c r="L147" s="405">
        <v>7.6179969999999999</v>
      </c>
      <c r="T147" s="435">
        <v>24594.43</v>
      </c>
      <c r="V147" s="435">
        <v>3782.32</v>
      </c>
      <c r="W147" s="435">
        <v>7500.79</v>
      </c>
      <c r="X147" s="435">
        <v>2544</v>
      </c>
      <c r="Y147" s="435">
        <v>7.6179969999999999</v>
      </c>
      <c r="Z147" s="435">
        <v>4.1699289999999998</v>
      </c>
    </row>
    <row r="148" spans="1:26" x14ac:dyDescent="0.2">
      <c r="A148" s="407"/>
      <c r="B148" s="407"/>
      <c r="C148" s="407"/>
      <c r="D148" s="408" t="s">
        <v>224</v>
      </c>
      <c r="E148" s="409"/>
      <c r="F148" s="410">
        <v>2166.241775</v>
      </c>
      <c r="G148" s="410">
        <v>1457.02125</v>
      </c>
      <c r="H148" s="409"/>
      <c r="I148" s="409"/>
      <c r="J148" s="411">
        <v>2544</v>
      </c>
      <c r="K148" s="410">
        <v>106.92125</v>
      </c>
      <c r="L148" s="410">
        <v>4.1699289999999998</v>
      </c>
    </row>
    <row r="149" spans="1:26" ht="20.399999999999999" x14ac:dyDescent="0.2">
      <c r="A149" s="412"/>
      <c r="B149" s="412"/>
      <c r="C149" s="412"/>
      <c r="D149" s="395" t="s">
        <v>714</v>
      </c>
      <c r="E149" s="412"/>
      <c r="F149" s="412"/>
      <c r="G149" s="412"/>
      <c r="H149" s="412"/>
      <c r="I149" s="412"/>
      <c r="J149" s="412"/>
      <c r="K149" s="412"/>
      <c r="L149" s="412"/>
    </row>
    <row r="150" spans="1:26" ht="20.399999999999999" x14ac:dyDescent="0.2">
      <c r="A150" s="412"/>
      <c r="B150" s="412"/>
      <c r="C150" s="412"/>
      <c r="D150" s="395" t="s">
        <v>978</v>
      </c>
      <c r="E150" s="412"/>
      <c r="F150" s="412"/>
      <c r="G150" s="412"/>
      <c r="H150" s="412"/>
      <c r="I150" s="412"/>
      <c r="J150" s="412"/>
      <c r="K150" s="412"/>
      <c r="L150" s="412"/>
    </row>
    <row r="151" spans="1:26" ht="132.6" x14ac:dyDescent="0.2">
      <c r="A151" s="412"/>
      <c r="B151" s="412"/>
      <c r="C151" s="412"/>
      <c r="D151" s="395" t="s">
        <v>979</v>
      </c>
      <c r="E151" s="412"/>
      <c r="F151" s="412"/>
      <c r="G151" s="412"/>
      <c r="H151" s="412"/>
      <c r="I151" s="412"/>
      <c r="J151" s="412"/>
      <c r="K151" s="412"/>
      <c r="L151" s="412"/>
    </row>
    <row r="152" spans="1:26" x14ac:dyDescent="0.2">
      <c r="A152" s="412"/>
      <c r="B152" s="412"/>
      <c r="C152" s="412"/>
      <c r="D152" s="413" t="s">
        <v>206</v>
      </c>
      <c r="E152" s="414" t="s">
        <v>1242</v>
      </c>
      <c r="F152" s="414"/>
      <c r="G152" s="414"/>
      <c r="H152" s="415">
        <v>7401.79</v>
      </c>
      <c r="I152" s="412"/>
      <c r="J152" s="412"/>
      <c r="K152" s="412"/>
      <c r="L152" s="412"/>
    </row>
    <row r="153" spans="1:26" x14ac:dyDescent="0.2">
      <c r="A153" s="412"/>
      <c r="B153" s="412"/>
      <c r="C153" s="412"/>
      <c r="D153" s="413" t="s">
        <v>207</v>
      </c>
      <c r="E153" s="414" t="s">
        <v>1243</v>
      </c>
      <c r="F153" s="414"/>
      <c r="G153" s="414"/>
      <c r="H153" s="415">
        <v>3979.26</v>
      </c>
      <c r="I153" s="412"/>
      <c r="J153" s="412"/>
      <c r="K153" s="412"/>
      <c r="L153" s="412"/>
    </row>
    <row r="154" spans="1:26" x14ac:dyDescent="0.2">
      <c r="A154" s="412"/>
      <c r="B154" s="412"/>
      <c r="C154" s="412"/>
      <c r="D154" s="416" t="s">
        <v>715</v>
      </c>
      <c r="E154" s="417"/>
      <c r="F154" s="417"/>
      <c r="G154" s="417"/>
      <c r="H154" s="418">
        <v>24594.43</v>
      </c>
      <c r="I154" s="412"/>
      <c r="J154" s="412"/>
      <c r="K154" s="412"/>
      <c r="L154" s="412"/>
    </row>
    <row r="155" spans="1:26" ht="20.399999999999999" x14ac:dyDescent="0.2">
      <c r="A155" s="403">
        <v>19</v>
      </c>
      <c r="B155" s="403">
        <v>21</v>
      </c>
      <c r="C155" s="403" t="s">
        <v>1252</v>
      </c>
      <c r="D155" s="403" t="s">
        <v>1558</v>
      </c>
      <c r="E155" s="404">
        <v>-3.9E-2</v>
      </c>
      <c r="F155" s="405">
        <v>5500</v>
      </c>
      <c r="G155" s="405" t="s">
        <v>281</v>
      </c>
      <c r="H155" s="406">
        <v>-1750.32</v>
      </c>
      <c r="I155" s="406" t="s">
        <v>281</v>
      </c>
      <c r="J155" s="406" t="s">
        <v>281</v>
      </c>
      <c r="K155" s="405" t="s">
        <v>281</v>
      </c>
      <c r="L155" s="405" t="s">
        <v>281</v>
      </c>
      <c r="T155" s="435">
        <v>-1750.32</v>
      </c>
      <c r="V155" s="435" t="s">
        <v>281</v>
      </c>
      <c r="W155" s="435" t="s">
        <v>281</v>
      </c>
      <c r="X155" s="435" t="s">
        <v>281</v>
      </c>
      <c r="Y155" s="435" t="s">
        <v>281</v>
      </c>
      <c r="Z155" s="435" t="s">
        <v>281</v>
      </c>
    </row>
    <row r="156" spans="1:26" x14ac:dyDescent="0.2">
      <c r="A156" s="407"/>
      <c r="B156" s="407"/>
      <c r="C156" s="407"/>
      <c r="D156" s="408" t="s">
        <v>224</v>
      </c>
      <c r="E156" s="409"/>
      <c r="F156" s="410" t="s">
        <v>281</v>
      </c>
      <c r="G156" s="410" t="s">
        <v>281</v>
      </c>
      <c r="H156" s="409"/>
      <c r="I156" s="409"/>
      <c r="J156" s="411" t="s">
        <v>281</v>
      </c>
      <c r="K156" s="410" t="s">
        <v>281</v>
      </c>
      <c r="L156" s="410" t="s">
        <v>281</v>
      </c>
    </row>
    <row r="157" spans="1:26" x14ac:dyDescent="0.2">
      <c r="A157" s="412"/>
      <c r="B157" s="412"/>
      <c r="C157" s="412"/>
      <c r="D157" s="395" t="s">
        <v>718</v>
      </c>
      <c r="E157" s="412"/>
      <c r="F157" s="412"/>
      <c r="G157" s="412"/>
      <c r="H157" s="412"/>
      <c r="I157" s="412"/>
      <c r="J157" s="412"/>
      <c r="K157" s="412"/>
      <c r="L157" s="412"/>
    </row>
    <row r="158" spans="1:26" ht="40.799999999999997" x14ac:dyDescent="0.2">
      <c r="A158" s="403">
        <v>20</v>
      </c>
      <c r="B158" s="403">
        <v>22</v>
      </c>
      <c r="C158" s="403" t="s">
        <v>1253</v>
      </c>
      <c r="D158" s="403" t="s">
        <v>1557</v>
      </c>
      <c r="E158" s="404">
        <v>1</v>
      </c>
      <c r="F158" s="405">
        <v>524</v>
      </c>
      <c r="G158" s="405" t="s">
        <v>281</v>
      </c>
      <c r="H158" s="406">
        <v>4275.84</v>
      </c>
      <c r="I158" s="406" t="s">
        <v>281</v>
      </c>
      <c r="J158" s="406" t="s">
        <v>281</v>
      </c>
      <c r="K158" s="405" t="s">
        <v>281</v>
      </c>
      <c r="L158" s="405" t="s">
        <v>281</v>
      </c>
      <c r="T158" s="435">
        <v>4275.84</v>
      </c>
      <c r="V158" s="435" t="s">
        <v>281</v>
      </c>
      <c r="W158" s="435" t="s">
        <v>281</v>
      </c>
      <c r="X158" s="435" t="s">
        <v>281</v>
      </c>
      <c r="Y158" s="435" t="s">
        <v>281</v>
      </c>
      <c r="Z158" s="435" t="s">
        <v>281</v>
      </c>
    </row>
    <row r="159" spans="1:26" x14ac:dyDescent="0.2">
      <c r="A159" s="407"/>
      <c r="B159" s="407"/>
      <c r="C159" s="407"/>
      <c r="D159" s="408" t="s">
        <v>735</v>
      </c>
      <c r="E159" s="409"/>
      <c r="F159" s="410" t="s">
        <v>281</v>
      </c>
      <c r="G159" s="410" t="s">
        <v>281</v>
      </c>
      <c r="H159" s="409"/>
      <c r="I159" s="409"/>
      <c r="J159" s="411" t="s">
        <v>281</v>
      </c>
      <c r="K159" s="410" t="s">
        <v>281</v>
      </c>
      <c r="L159" s="410" t="s">
        <v>281</v>
      </c>
    </row>
    <row r="160" spans="1:26" x14ac:dyDescent="0.2">
      <c r="A160" s="412"/>
      <c r="B160" s="412"/>
      <c r="C160" s="412"/>
      <c r="D160" s="395" t="s">
        <v>718</v>
      </c>
      <c r="E160" s="412"/>
      <c r="F160" s="412"/>
      <c r="G160" s="412"/>
      <c r="H160" s="412"/>
      <c r="I160" s="412"/>
      <c r="J160" s="412"/>
      <c r="K160" s="412"/>
      <c r="L160" s="412"/>
    </row>
    <row r="161" spans="1:26" ht="40.799999999999997" x14ac:dyDescent="0.2">
      <c r="A161" s="403">
        <v>21</v>
      </c>
      <c r="B161" s="403">
        <v>23</v>
      </c>
      <c r="C161" s="403" t="s">
        <v>1254</v>
      </c>
      <c r="D161" s="403" t="s">
        <v>1224</v>
      </c>
      <c r="E161" s="404">
        <v>0.14000000000000001</v>
      </c>
      <c r="F161" s="405">
        <v>1500.8771999999999</v>
      </c>
      <c r="G161" s="405">
        <v>104.46312500000001</v>
      </c>
      <c r="H161" s="406">
        <v>6462.36</v>
      </c>
      <c r="I161" s="406">
        <v>5715.13</v>
      </c>
      <c r="J161" s="406">
        <v>193.63</v>
      </c>
      <c r="K161" s="405">
        <v>94.783574999999999</v>
      </c>
      <c r="L161" s="405">
        <v>13.269701</v>
      </c>
      <c r="T161" s="435">
        <v>16750.52</v>
      </c>
      <c r="V161" s="435">
        <v>5715.13</v>
      </c>
      <c r="W161" s="435">
        <v>193.63</v>
      </c>
      <c r="X161" s="435">
        <v>3.69</v>
      </c>
      <c r="Y161" s="435">
        <v>13.269701</v>
      </c>
      <c r="Z161" s="435">
        <v>6.038E-3</v>
      </c>
    </row>
    <row r="162" spans="1:26" x14ac:dyDescent="0.2">
      <c r="A162" s="407"/>
      <c r="B162" s="407"/>
      <c r="C162" s="407"/>
      <c r="D162" s="408" t="s">
        <v>1255</v>
      </c>
      <c r="E162" s="409"/>
      <c r="F162" s="410">
        <v>911.82407499999999</v>
      </c>
      <c r="G162" s="410">
        <v>0.58937499999999998</v>
      </c>
      <c r="H162" s="409"/>
      <c r="I162" s="409"/>
      <c r="J162" s="411">
        <v>3.69</v>
      </c>
      <c r="K162" s="410">
        <v>4.3124999999999997E-2</v>
      </c>
      <c r="L162" s="410">
        <v>6.038E-3</v>
      </c>
    </row>
    <row r="163" spans="1:26" ht="20.399999999999999" x14ac:dyDescent="0.2">
      <c r="A163" s="412"/>
      <c r="B163" s="412"/>
      <c r="C163" s="412"/>
      <c r="D163" s="395" t="s">
        <v>714</v>
      </c>
      <c r="E163" s="412"/>
      <c r="F163" s="412"/>
      <c r="G163" s="412"/>
      <c r="H163" s="412"/>
      <c r="I163" s="412"/>
      <c r="J163" s="412"/>
      <c r="K163" s="412"/>
      <c r="L163" s="412"/>
    </row>
    <row r="164" spans="1:26" ht="20.399999999999999" x14ac:dyDescent="0.2">
      <c r="A164" s="412"/>
      <c r="B164" s="412"/>
      <c r="C164" s="412"/>
      <c r="D164" s="395" t="s">
        <v>978</v>
      </c>
      <c r="E164" s="412"/>
      <c r="F164" s="412"/>
      <c r="G164" s="412"/>
      <c r="H164" s="412"/>
      <c r="I164" s="412"/>
      <c r="J164" s="412"/>
      <c r="K164" s="412"/>
      <c r="L164" s="412"/>
    </row>
    <row r="165" spans="1:26" ht="132.6" x14ac:dyDescent="0.2">
      <c r="A165" s="412"/>
      <c r="B165" s="412"/>
      <c r="C165" s="412"/>
      <c r="D165" s="395" t="s">
        <v>979</v>
      </c>
      <c r="E165" s="412"/>
      <c r="F165" s="412"/>
      <c r="G165" s="412"/>
      <c r="H165" s="412"/>
      <c r="I165" s="412"/>
      <c r="J165" s="412"/>
      <c r="K165" s="412"/>
      <c r="L165" s="412"/>
    </row>
    <row r="166" spans="1:26" x14ac:dyDescent="0.2">
      <c r="A166" s="412"/>
      <c r="B166" s="412"/>
      <c r="C166" s="412"/>
      <c r="D166" s="413" t="s">
        <v>206</v>
      </c>
      <c r="E166" s="414" t="s">
        <v>1242</v>
      </c>
      <c r="F166" s="414"/>
      <c r="G166" s="414"/>
      <c r="H166" s="415">
        <v>6691.02</v>
      </c>
      <c r="I166" s="412"/>
      <c r="J166" s="412"/>
      <c r="K166" s="412"/>
      <c r="L166" s="412"/>
    </row>
    <row r="167" spans="1:26" x14ac:dyDescent="0.2">
      <c r="A167" s="412"/>
      <c r="B167" s="412"/>
      <c r="C167" s="412"/>
      <c r="D167" s="413" t="s">
        <v>207</v>
      </c>
      <c r="E167" s="414" t="s">
        <v>1243</v>
      </c>
      <c r="F167" s="414"/>
      <c r="G167" s="414"/>
      <c r="H167" s="415">
        <v>3597.14</v>
      </c>
      <c r="I167" s="412"/>
      <c r="J167" s="412"/>
      <c r="K167" s="412"/>
      <c r="L167" s="412"/>
    </row>
    <row r="168" spans="1:26" x14ac:dyDescent="0.2">
      <c r="A168" s="412"/>
      <c r="B168" s="412"/>
      <c r="C168" s="412"/>
      <c r="D168" s="416" t="s">
        <v>715</v>
      </c>
      <c r="E168" s="417"/>
      <c r="F168" s="417"/>
      <c r="G168" s="417"/>
      <c r="H168" s="418">
        <v>16750.52</v>
      </c>
      <c r="I168" s="412"/>
      <c r="J168" s="412"/>
      <c r="K168" s="412"/>
      <c r="L168" s="412"/>
    </row>
    <row r="169" spans="1:26" ht="40.799999999999997" x14ac:dyDescent="0.2">
      <c r="A169" s="403">
        <v>22</v>
      </c>
      <c r="B169" s="403">
        <v>24</v>
      </c>
      <c r="C169" s="403" t="s">
        <v>1256</v>
      </c>
      <c r="D169" s="403" t="s">
        <v>1223</v>
      </c>
      <c r="E169" s="404">
        <v>1</v>
      </c>
      <c r="F169" s="405">
        <v>617.69749999999999</v>
      </c>
      <c r="G169" s="405">
        <v>86.261499999999998</v>
      </c>
      <c r="H169" s="406">
        <v>6347.59</v>
      </c>
      <c r="I169" s="406">
        <v>1062.6600000000001</v>
      </c>
      <c r="J169" s="406">
        <v>1142.0999999999999</v>
      </c>
      <c r="K169" s="405">
        <v>2.6795</v>
      </c>
      <c r="L169" s="405">
        <v>2.6795</v>
      </c>
      <c r="T169" s="435">
        <v>9007.32</v>
      </c>
      <c r="V169" s="435">
        <v>1062.6600000000001</v>
      </c>
      <c r="W169" s="435">
        <v>1142.0999999999999</v>
      </c>
      <c r="X169" s="435">
        <v>559.13</v>
      </c>
      <c r="Y169" s="435">
        <v>2.6795</v>
      </c>
      <c r="Z169" s="435">
        <v>0.79349999999999998</v>
      </c>
    </row>
    <row r="170" spans="1:26" x14ac:dyDescent="0.2">
      <c r="A170" s="407"/>
      <c r="B170" s="407"/>
      <c r="C170" s="407"/>
      <c r="D170" s="408" t="s">
        <v>745</v>
      </c>
      <c r="E170" s="409"/>
      <c r="F170" s="410">
        <v>23.736000000000001</v>
      </c>
      <c r="G170" s="410">
        <v>12.489000000000001</v>
      </c>
      <c r="H170" s="409"/>
      <c r="I170" s="409"/>
      <c r="J170" s="411">
        <v>559.13</v>
      </c>
      <c r="K170" s="410">
        <v>0.79349999999999998</v>
      </c>
      <c r="L170" s="410">
        <v>0.79349999999999998</v>
      </c>
    </row>
    <row r="171" spans="1:26" ht="20.399999999999999" x14ac:dyDescent="0.2">
      <c r="A171" s="412"/>
      <c r="B171" s="412"/>
      <c r="C171" s="412"/>
      <c r="D171" s="395" t="s">
        <v>714</v>
      </c>
      <c r="E171" s="412"/>
      <c r="F171" s="412"/>
      <c r="G171" s="412"/>
      <c r="H171" s="412"/>
      <c r="I171" s="412"/>
      <c r="J171" s="412"/>
      <c r="K171" s="412"/>
      <c r="L171" s="412"/>
    </row>
    <row r="172" spans="1:26" ht="20.399999999999999" x14ac:dyDescent="0.2">
      <c r="A172" s="412"/>
      <c r="B172" s="412"/>
      <c r="C172" s="412"/>
      <c r="D172" s="395" t="s">
        <v>1023</v>
      </c>
      <c r="E172" s="412"/>
      <c r="F172" s="412"/>
      <c r="G172" s="412"/>
      <c r="H172" s="412"/>
      <c r="I172" s="412"/>
      <c r="J172" s="412"/>
      <c r="K172" s="412"/>
      <c r="L172" s="412"/>
    </row>
    <row r="173" spans="1:26" ht="81.599999999999994" x14ac:dyDescent="0.2">
      <c r="A173" s="412"/>
      <c r="B173" s="412"/>
      <c r="C173" s="412"/>
      <c r="D173" s="395" t="s">
        <v>1024</v>
      </c>
      <c r="E173" s="412"/>
      <c r="F173" s="412"/>
      <c r="G173" s="412"/>
      <c r="H173" s="412"/>
      <c r="I173" s="412"/>
      <c r="J173" s="412"/>
      <c r="K173" s="412"/>
      <c r="L173" s="412"/>
    </row>
    <row r="174" spans="1:26" x14ac:dyDescent="0.2">
      <c r="A174" s="412"/>
      <c r="B174" s="412"/>
      <c r="C174" s="412"/>
      <c r="D174" s="413" t="s">
        <v>206</v>
      </c>
      <c r="E174" s="414" t="s">
        <v>1257</v>
      </c>
      <c r="F174" s="414"/>
      <c r="G174" s="414"/>
      <c r="H174" s="415">
        <v>1686.66</v>
      </c>
      <c r="I174" s="412"/>
      <c r="J174" s="412"/>
      <c r="K174" s="412"/>
      <c r="L174" s="412"/>
    </row>
    <row r="175" spans="1:26" x14ac:dyDescent="0.2">
      <c r="A175" s="412"/>
      <c r="B175" s="412"/>
      <c r="C175" s="412"/>
      <c r="D175" s="413" t="s">
        <v>207</v>
      </c>
      <c r="E175" s="414" t="s">
        <v>1258</v>
      </c>
      <c r="F175" s="414"/>
      <c r="G175" s="414"/>
      <c r="H175" s="415">
        <v>973.07</v>
      </c>
      <c r="I175" s="412"/>
      <c r="J175" s="412"/>
      <c r="K175" s="412"/>
      <c r="L175" s="412"/>
    </row>
    <row r="176" spans="1:26" x14ac:dyDescent="0.2">
      <c r="A176" s="412"/>
      <c r="B176" s="412"/>
      <c r="C176" s="412"/>
      <c r="D176" s="416" t="s">
        <v>715</v>
      </c>
      <c r="E176" s="417"/>
      <c r="F176" s="417"/>
      <c r="G176" s="417"/>
      <c r="H176" s="418">
        <v>9007.32</v>
      </c>
      <c r="I176" s="412"/>
      <c r="J176" s="412"/>
      <c r="K176" s="412"/>
      <c r="L176" s="412"/>
    </row>
    <row r="177" spans="1:26" x14ac:dyDescent="0.2">
      <c r="A177" s="403">
        <v>23</v>
      </c>
      <c r="B177" s="403">
        <v>25</v>
      </c>
      <c r="C177" s="403" t="s">
        <v>1259</v>
      </c>
      <c r="D177" s="403" t="s">
        <v>1334</v>
      </c>
      <c r="E177" s="404">
        <v>-1.0149999999999999</v>
      </c>
      <c r="F177" s="405">
        <v>463.3</v>
      </c>
      <c r="G177" s="405" t="s">
        <v>281</v>
      </c>
      <c r="H177" s="406">
        <v>-3837.24</v>
      </c>
      <c r="I177" s="406" t="s">
        <v>281</v>
      </c>
      <c r="J177" s="406" t="s">
        <v>281</v>
      </c>
      <c r="K177" s="405" t="s">
        <v>281</v>
      </c>
      <c r="L177" s="405" t="s">
        <v>281</v>
      </c>
      <c r="T177" s="435">
        <v>-3837.24</v>
      </c>
      <c r="V177" s="435" t="s">
        <v>281</v>
      </c>
      <c r="W177" s="435" t="s">
        <v>281</v>
      </c>
      <c r="X177" s="435" t="s">
        <v>281</v>
      </c>
      <c r="Y177" s="435" t="s">
        <v>281</v>
      </c>
      <c r="Z177" s="435" t="s">
        <v>281</v>
      </c>
    </row>
    <row r="178" spans="1:26" x14ac:dyDescent="0.2">
      <c r="A178" s="407"/>
      <c r="B178" s="407"/>
      <c r="C178" s="407"/>
      <c r="D178" s="408" t="s">
        <v>745</v>
      </c>
      <c r="E178" s="409"/>
      <c r="F178" s="410" t="s">
        <v>281</v>
      </c>
      <c r="G178" s="410" t="s">
        <v>281</v>
      </c>
      <c r="H178" s="409"/>
      <c r="I178" s="409"/>
      <c r="J178" s="411" t="s">
        <v>281</v>
      </c>
      <c r="K178" s="410" t="s">
        <v>281</v>
      </c>
      <c r="L178" s="410" t="s">
        <v>281</v>
      </c>
    </row>
    <row r="179" spans="1:26" x14ac:dyDescent="0.2">
      <c r="A179" s="412"/>
      <c r="B179" s="412"/>
      <c r="C179" s="412"/>
      <c r="D179" s="395" t="s">
        <v>718</v>
      </c>
      <c r="E179" s="412"/>
      <c r="F179" s="412"/>
      <c r="G179" s="412"/>
      <c r="H179" s="412"/>
      <c r="I179" s="412"/>
      <c r="J179" s="412"/>
      <c r="K179" s="412"/>
      <c r="L179" s="412"/>
    </row>
    <row r="180" spans="1:26" x14ac:dyDescent="0.2">
      <c r="A180" s="412"/>
      <c r="B180" s="412"/>
      <c r="C180" s="412"/>
      <c r="D180" s="395"/>
      <c r="E180" s="412"/>
      <c r="F180" s="412"/>
      <c r="G180" s="412"/>
      <c r="H180" s="412"/>
      <c r="I180" s="412"/>
      <c r="J180" s="412"/>
      <c r="K180" s="412"/>
      <c r="L180" s="412"/>
    </row>
    <row r="181" spans="1:26" x14ac:dyDescent="0.2">
      <c r="A181" s="403">
        <v>24</v>
      </c>
      <c r="B181" s="403">
        <v>26</v>
      </c>
      <c r="C181" s="403" t="s">
        <v>1260</v>
      </c>
      <c r="D181" s="403" t="s">
        <v>1335</v>
      </c>
      <c r="E181" s="404">
        <v>1.0149999999999999</v>
      </c>
      <c r="F181" s="405">
        <v>519.79999999999995</v>
      </c>
      <c r="G181" s="405" t="s">
        <v>281</v>
      </c>
      <c r="H181" s="406">
        <v>4305.1899999999996</v>
      </c>
      <c r="I181" s="406" t="s">
        <v>281</v>
      </c>
      <c r="J181" s="406" t="s">
        <v>281</v>
      </c>
      <c r="K181" s="405" t="s">
        <v>281</v>
      </c>
      <c r="L181" s="405" t="s">
        <v>281</v>
      </c>
      <c r="T181" s="435">
        <v>4305.1899999999996</v>
      </c>
      <c r="V181" s="435" t="s">
        <v>281</v>
      </c>
      <c r="W181" s="435" t="s">
        <v>281</v>
      </c>
      <c r="X181" s="435" t="s">
        <v>281</v>
      </c>
      <c r="Y181" s="435" t="s">
        <v>281</v>
      </c>
      <c r="Z181" s="435" t="s">
        <v>281</v>
      </c>
    </row>
    <row r="182" spans="1:26" x14ac:dyDescent="0.2">
      <c r="A182" s="407"/>
      <c r="B182" s="407"/>
      <c r="C182" s="407"/>
      <c r="D182" s="408" t="s">
        <v>745</v>
      </c>
      <c r="E182" s="409"/>
      <c r="F182" s="410" t="s">
        <v>281</v>
      </c>
      <c r="G182" s="410" t="s">
        <v>281</v>
      </c>
      <c r="H182" s="409"/>
      <c r="I182" s="409"/>
      <c r="J182" s="411" t="s">
        <v>281</v>
      </c>
      <c r="K182" s="410" t="s">
        <v>281</v>
      </c>
      <c r="L182" s="410" t="s">
        <v>281</v>
      </c>
    </row>
    <row r="183" spans="1:26" x14ac:dyDescent="0.2">
      <c r="A183" s="412"/>
      <c r="B183" s="412"/>
      <c r="C183" s="412"/>
      <c r="D183" s="395" t="s">
        <v>718</v>
      </c>
      <c r="E183" s="412"/>
      <c r="F183" s="412"/>
      <c r="G183" s="412"/>
      <c r="H183" s="412"/>
      <c r="I183" s="412"/>
      <c r="J183" s="412"/>
      <c r="K183" s="412"/>
      <c r="L183" s="412"/>
    </row>
    <row r="184" spans="1:26" ht="11.25" customHeight="1" x14ac:dyDescent="0.2">
      <c r="A184" s="1144" t="s">
        <v>1261</v>
      </c>
      <c r="B184" s="1145"/>
      <c r="C184" s="1145"/>
      <c r="D184" s="1145"/>
      <c r="E184" s="1145"/>
      <c r="F184" s="1145"/>
      <c r="G184" s="1145"/>
      <c r="H184" s="1145"/>
      <c r="I184" s="1145"/>
      <c r="J184" s="1145"/>
      <c r="K184" s="1145"/>
      <c r="L184" s="1146"/>
    </row>
    <row r="185" spans="1:26" ht="11.25" customHeight="1" x14ac:dyDescent="0.2">
      <c r="A185" s="1141" t="s">
        <v>774</v>
      </c>
      <c r="B185" s="1142"/>
      <c r="C185" s="1142"/>
      <c r="D185" s="1142"/>
      <c r="E185" s="1142"/>
      <c r="F185" s="1142"/>
      <c r="G185" s="1143"/>
      <c r="H185" s="423">
        <v>336090.8</v>
      </c>
      <c r="I185" s="419"/>
      <c r="J185" s="419"/>
      <c r="K185" s="419"/>
      <c r="L185" s="419"/>
    </row>
    <row r="186" spans="1:26" ht="11.25" customHeight="1" x14ac:dyDescent="0.2">
      <c r="A186" s="1141" t="s">
        <v>919</v>
      </c>
      <c r="B186" s="1142"/>
      <c r="C186" s="1142"/>
      <c r="D186" s="1142"/>
      <c r="E186" s="1142"/>
      <c r="F186" s="1142"/>
      <c r="G186" s="1143"/>
      <c r="H186" s="423">
        <v>122330.83</v>
      </c>
      <c r="I186" s="419"/>
      <c r="J186" s="419"/>
      <c r="K186" s="419"/>
      <c r="L186" s="419"/>
    </row>
    <row r="187" spans="1:26" ht="11.25" customHeight="1" x14ac:dyDescent="0.2">
      <c r="A187" s="1141" t="s">
        <v>776</v>
      </c>
      <c r="B187" s="1142"/>
      <c r="C187" s="1142"/>
      <c r="D187" s="1142"/>
      <c r="E187" s="1142"/>
      <c r="F187" s="1142"/>
      <c r="G187" s="1143"/>
      <c r="H187" s="423">
        <v>66009.19</v>
      </c>
      <c r="I187" s="419"/>
      <c r="J187" s="419"/>
      <c r="K187" s="419"/>
      <c r="L187" s="419"/>
    </row>
    <row r="188" spans="1:26" ht="11.25" customHeight="1" x14ac:dyDescent="0.2">
      <c r="A188" s="1141" t="s">
        <v>777</v>
      </c>
      <c r="B188" s="1142"/>
      <c r="C188" s="1142"/>
      <c r="D188" s="1142"/>
      <c r="E188" s="1142"/>
      <c r="F188" s="1142"/>
      <c r="G188" s="1143"/>
      <c r="H188" s="423">
        <v>58632.33</v>
      </c>
      <c r="I188" s="419"/>
      <c r="J188" s="419"/>
      <c r="K188" s="419"/>
      <c r="L188" s="419"/>
    </row>
    <row r="189" spans="1:26" ht="11.25" customHeight="1" x14ac:dyDescent="0.2">
      <c r="A189" s="1141" t="s">
        <v>778</v>
      </c>
      <c r="B189" s="1142"/>
      <c r="C189" s="1142"/>
      <c r="D189" s="1142"/>
      <c r="E189" s="1142"/>
      <c r="F189" s="1142"/>
      <c r="G189" s="1143"/>
      <c r="H189" s="423">
        <v>147750.78</v>
      </c>
      <c r="I189" s="419"/>
      <c r="J189" s="419"/>
      <c r="K189" s="419"/>
      <c r="L189" s="419"/>
    </row>
    <row r="190" spans="1:26" ht="11.25" customHeight="1" x14ac:dyDescent="0.2">
      <c r="A190" s="1141" t="s">
        <v>779</v>
      </c>
      <c r="B190" s="1142"/>
      <c r="C190" s="1142"/>
      <c r="D190" s="1142"/>
      <c r="E190" s="1142"/>
      <c r="F190" s="1142"/>
      <c r="G190" s="1143"/>
      <c r="H190" s="423">
        <v>604559.89</v>
      </c>
      <c r="I190" s="419"/>
      <c r="J190" s="419"/>
      <c r="K190" s="419"/>
      <c r="L190" s="419"/>
    </row>
    <row r="191" spans="1:26" ht="11.25" customHeight="1" x14ac:dyDescent="0.2">
      <c r="A191" s="1141" t="s">
        <v>206</v>
      </c>
      <c r="B191" s="1142"/>
      <c r="C191" s="1142"/>
      <c r="D191" s="1142"/>
      <c r="E191" s="1142"/>
      <c r="F191" s="1142"/>
      <c r="G191" s="1143"/>
      <c r="H191" s="423">
        <v>190719.21</v>
      </c>
      <c r="I191" s="419"/>
      <c r="J191" s="419"/>
      <c r="K191" s="419"/>
      <c r="L191" s="419"/>
    </row>
    <row r="192" spans="1:26" ht="11.25" customHeight="1" x14ac:dyDescent="0.2">
      <c r="A192" s="1141" t="s">
        <v>207</v>
      </c>
      <c r="B192" s="1142"/>
      <c r="C192" s="1142"/>
      <c r="D192" s="1142"/>
      <c r="E192" s="1142"/>
      <c r="F192" s="1142"/>
      <c r="G192" s="1143"/>
      <c r="H192" s="423">
        <v>77749.88</v>
      </c>
      <c r="I192" s="419"/>
      <c r="J192" s="419"/>
      <c r="K192" s="419"/>
      <c r="L192" s="419"/>
    </row>
    <row r="193" spans="1:12" s="426" customFormat="1" ht="11.25" customHeight="1" x14ac:dyDescent="0.2">
      <c r="A193" s="1144" t="s">
        <v>73</v>
      </c>
      <c r="B193" s="1145"/>
      <c r="C193" s="1145"/>
      <c r="D193" s="1145"/>
      <c r="E193" s="1145"/>
      <c r="F193" s="1145"/>
      <c r="G193" s="1146"/>
      <c r="H193" s="424">
        <v>604559.89</v>
      </c>
      <c r="I193" s="425"/>
      <c r="J193" s="425"/>
      <c r="K193" s="425"/>
      <c r="L193" s="425"/>
    </row>
    <row r="194" spans="1:12" s="432" customFormat="1" x14ac:dyDescent="0.2">
      <c r="A194" s="1084" t="s">
        <v>784</v>
      </c>
      <c r="B194" s="1084"/>
      <c r="C194" s="1084"/>
      <c r="D194" s="1084"/>
      <c r="E194" s="1084"/>
      <c r="F194" s="1084"/>
      <c r="G194" s="1084"/>
      <c r="H194" s="382">
        <f>ROUND(H193*0.082,2)</f>
        <v>49573.91</v>
      </c>
      <c r="I194" s="383"/>
      <c r="J194" s="383"/>
      <c r="K194" s="383"/>
      <c r="L194" s="383"/>
    </row>
    <row r="195" spans="1:12" s="386" customFormat="1" x14ac:dyDescent="0.2">
      <c r="A195" s="1083" t="s">
        <v>785</v>
      </c>
      <c r="B195" s="1083"/>
      <c r="C195" s="1083"/>
      <c r="D195" s="1083"/>
      <c r="E195" s="1083"/>
      <c r="F195" s="1083"/>
      <c r="G195" s="1083"/>
      <c r="H195" s="384">
        <f>H193+H194</f>
        <v>654133.80000000005</v>
      </c>
      <c r="I195" s="385"/>
      <c r="J195" s="385"/>
      <c r="K195" s="385"/>
      <c r="L195" s="385"/>
    </row>
    <row r="196" spans="1:12" s="432" customFormat="1" x14ac:dyDescent="0.2">
      <c r="A196" s="1084" t="s">
        <v>786</v>
      </c>
      <c r="B196" s="1084"/>
      <c r="C196" s="1084"/>
      <c r="D196" s="1084"/>
      <c r="E196" s="1084"/>
      <c r="F196" s="1084"/>
      <c r="G196" s="1084"/>
      <c r="H196" s="382">
        <f>ROUND(H195*0.024,2)</f>
        <v>15699.21</v>
      </c>
      <c r="I196" s="383"/>
      <c r="J196" s="383"/>
      <c r="K196" s="383"/>
      <c r="L196" s="383"/>
    </row>
    <row r="197" spans="1:12" s="389" customFormat="1" ht="12" x14ac:dyDescent="0.25">
      <c r="A197" s="1054" t="s">
        <v>787</v>
      </c>
      <c r="B197" s="1054"/>
      <c r="C197" s="1054"/>
      <c r="D197" s="1054"/>
      <c r="E197" s="1054"/>
      <c r="F197" s="1054"/>
      <c r="G197" s="1054"/>
      <c r="H197" s="387">
        <f>H195+H196</f>
        <v>669833.01</v>
      </c>
      <c r="I197" s="388"/>
      <c r="J197" s="388"/>
      <c r="K197" s="388"/>
      <c r="L197" s="388"/>
    </row>
    <row r="198" spans="1:12" s="389" customFormat="1" ht="12" x14ac:dyDescent="0.25">
      <c r="A198" s="1054" t="s">
        <v>1686</v>
      </c>
      <c r="B198" s="1054"/>
      <c r="C198" s="1054"/>
      <c r="D198" s="1054"/>
      <c r="E198" s="1054"/>
      <c r="F198" s="1054"/>
      <c r="G198" s="1054"/>
      <c r="H198" s="387">
        <f>ROUND(H197*1.0514,2)</f>
        <v>704262.43</v>
      </c>
      <c r="I198" s="388"/>
      <c r="J198" s="388"/>
      <c r="K198" s="388"/>
      <c r="L198" s="388"/>
    </row>
    <row r="199" spans="1:12" s="389" customFormat="1" ht="12" x14ac:dyDescent="0.25">
      <c r="A199" s="611"/>
      <c r="B199" s="611"/>
      <c r="C199" s="611"/>
      <c r="D199" s="611"/>
      <c r="E199" s="611"/>
      <c r="F199" s="611"/>
      <c r="G199" s="611"/>
      <c r="H199" s="612"/>
      <c r="I199" s="613"/>
      <c r="J199" s="613"/>
      <c r="K199" s="613"/>
      <c r="L199" s="613"/>
    </row>
    <row r="200" spans="1:12" s="389" customFormat="1" ht="12" x14ac:dyDescent="0.25">
      <c r="A200" s="611"/>
      <c r="B200" s="611"/>
      <c r="C200" s="611"/>
      <c r="D200" s="611"/>
      <c r="E200" s="611"/>
      <c r="F200" s="611"/>
      <c r="G200" s="611"/>
      <c r="H200" s="612"/>
      <c r="I200" s="613"/>
      <c r="J200" s="613"/>
      <c r="K200" s="613"/>
      <c r="L200" s="613"/>
    </row>
    <row r="201" spans="1:12" s="389" customFormat="1" ht="12" x14ac:dyDescent="0.25">
      <c r="A201" s="611"/>
      <c r="B201" s="611"/>
      <c r="C201" s="611"/>
      <c r="D201" s="611"/>
      <c r="E201" s="611"/>
      <c r="F201" s="611"/>
      <c r="G201" s="611"/>
      <c r="H201" s="612"/>
      <c r="I201" s="613"/>
      <c r="J201" s="613"/>
      <c r="K201" s="613"/>
      <c r="L201" s="613"/>
    </row>
    <row r="202" spans="1:12" s="432" customFormat="1" x14ac:dyDescent="0.2"/>
    <row r="203" spans="1:12" s="432" customFormat="1" ht="24" x14ac:dyDescent="0.25">
      <c r="C203" s="428" t="s">
        <v>729</v>
      </c>
      <c r="D203" s="429" t="s">
        <v>824</v>
      </c>
      <c r="E203" s="427" t="s">
        <v>281</v>
      </c>
      <c r="F203" s="427"/>
      <c r="G203" s="389" t="s">
        <v>823</v>
      </c>
    </row>
    <row r="204" spans="1:12" s="432" customFormat="1" ht="12" x14ac:dyDescent="0.25">
      <c r="C204" s="428"/>
      <c r="G204" s="389"/>
    </row>
    <row r="205" spans="1:12" s="432" customFormat="1" ht="24" x14ac:dyDescent="0.25">
      <c r="C205" s="428" t="s">
        <v>730</v>
      </c>
      <c r="D205" s="429" t="s">
        <v>821</v>
      </c>
      <c r="E205" s="427" t="s">
        <v>281</v>
      </c>
      <c r="F205" s="427"/>
      <c r="G205" s="389" t="s">
        <v>822</v>
      </c>
    </row>
    <row r="206" spans="1:12" s="432" customFormat="1" x14ac:dyDescent="0.2"/>
  </sheetData>
  <mergeCells count="76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C27:L27"/>
    <mergeCell ref="C15:I15"/>
    <mergeCell ref="K15:L16"/>
    <mergeCell ref="A16:B16"/>
    <mergeCell ref="C16:I16"/>
    <mergeCell ref="C17:I17"/>
    <mergeCell ref="H19:I19"/>
    <mergeCell ref="K19:L19"/>
    <mergeCell ref="K20:L20"/>
    <mergeCell ref="H18:J18"/>
    <mergeCell ref="K18:L18"/>
    <mergeCell ref="I21:J21"/>
    <mergeCell ref="K21:L21"/>
    <mergeCell ref="H23:H24"/>
    <mergeCell ref="I23:I24"/>
    <mergeCell ref="J23:K23"/>
    <mergeCell ref="G35:G36"/>
    <mergeCell ref="C28:L28"/>
    <mergeCell ref="F30:I30"/>
    <mergeCell ref="J30:K30"/>
    <mergeCell ref="K35:L35"/>
    <mergeCell ref="K36:L36"/>
    <mergeCell ref="F32:I32"/>
    <mergeCell ref="J32:K32"/>
    <mergeCell ref="H34:J34"/>
    <mergeCell ref="K34:L34"/>
    <mergeCell ref="F31:I31"/>
    <mergeCell ref="J31:K31"/>
    <mergeCell ref="H35:H37"/>
    <mergeCell ref="I35:I37"/>
    <mergeCell ref="J35:J36"/>
    <mergeCell ref="F34:G34"/>
    <mergeCell ref="A193:G193"/>
    <mergeCell ref="A40:L40"/>
    <mergeCell ref="A184:L184"/>
    <mergeCell ref="A185:G185"/>
    <mergeCell ref="A186:G186"/>
    <mergeCell ref="A187:G187"/>
    <mergeCell ref="A198:G198"/>
    <mergeCell ref="F35:F36"/>
    <mergeCell ref="A195:G195"/>
    <mergeCell ref="A196:G196"/>
    <mergeCell ref="A197:G197"/>
    <mergeCell ref="A188:G188"/>
    <mergeCell ref="A189:G189"/>
    <mergeCell ref="A190:G190"/>
    <mergeCell ref="A191:G191"/>
    <mergeCell ref="A192:G192"/>
    <mergeCell ref="A194:G194"/>
    <mergeCell ref="A34:A37"/>
    <mergeCell ref="B34:B37"/>
    <mergeCell ref="C34:C37"/>
    <mergeCell ref="D34:D37"/>
    <mergeCell ref="E34:E37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D437"/>
  <sheetViews>
    <sheetView view="pageBreakPreview" zoomScaleNormal="100" zoomScaleSheetLayoutView="100" workbookViewId="0">
      <selection activeCell="E4" sqref="E4"/>
    </sheetView>
  </sheetViews>
  <sheetFormatPr defaultColWidth="9.109375" defaultRowHeight="10.199999999999999" x14ac:dyDescent="0.2"/>
  <cols>
    <col min="1" max="1" width="6.33203125" style="435" customWidth="1"/>
    <col min="2" max="2" width="6.6640625" style="435" customWidth="1"/>
    <col min="3" max="3" width="15.6640625" style="435" customWidth="1"/>
    <col min="4" max="4" width="40.6640625" style="435" customWidth="1"/>
    <col min="5" max="12" width="12.6640625" style="435" customWidth="1"/>
    <col min="13" max="19" width="9.109375" style="435"/>
    <col min="20" max="29" width="0" style="435" hidden="1" customWidth="1"/>
    <col min="30" max="30" width="118.6640625" style="435" hidden="1" customWidth="1"/>
    <col min="31" max="36" width="0" style="435" hidden="1" customWidth="1"/>
    <col min="37" max="16384" width="9.109375" style="435"/>
  </cols>
  <sheetData>
    <row r="1" spans="1:12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2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2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2" x14ac:dyDescent="0.2">
      <c r="A4" s="398"/>
      <c r="B4" s="398"/>
      <c r="C4" s="398"/>
      <c r="D4" s="398"/>
      <c r="E4" s="398" t="s">
        <v>281</v>
      </c>
      <c r="F4" s="398"/>
      <c r="G4" s="398"/>
      <c r="H4" s="398"/>
      <c r="I4" s="398"/>
      <c r="J4" s="398"/>
      <c r="K4" s="398"/>
      <c r="L4" s="398"/>
    </row>
    <row r="5" spans="1:12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2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2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2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434" t="s">
        <v>4</v>
      </c>
      <c r="K8" s="1101"/>
      <c r="L8" s="1102"/>
    </row>
    <row r="9" spans="1:12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2" s="432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430" t="s">
        <v>4</v>
      </c>
      <c r="K10" s="1101"/>
      <c r="L10" s="1102"/>
    </row>
    <row r="11" spans="1:12" s="432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s="432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430" t="s">
        <v>4</v>
      </c>
      <c r="K12" s="1064"/>
      <c r="L12" s="1065"/>
    </row>
    <row r="13" spans="1:12" s="432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s="432" customFormat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2" x14ac:dyDescent="0.2">
      <c r="A16" s="1103" t="s">
        <v>686</v>
      </c>
      <c r="B16" s="1103"/>
      <c r="C16" s="1104" t="s">
        <v>1309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431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433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431">
        <v>11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1097"/>
      <c r="D29" s="1097"/>
      <c r="E29" s="1097"/>
      <c r="F29" s="1097"/>
      <c r="G29" s="1097"/>
      <c r="H29" s="1097"/>
      <c r="I29" s="1097"/>
      <c r="J29" s="1097"/>
      <c r="K29" s="1097"/>
      <c r="L29" s="1097"/>
    </row>
    <row r="30" spans="1:12" x14ac:dyDescent="0.2">
      <c r="A30" s="398"/>
      <c r="B30" s="398"/>
      <c r="C30" s="436"/>
      <c r="D30" s="436"/>
      <c r="E30" s="436"/>
      <c r="F30" s="436"/>
      <c r="G30" s="436"/>
      <c r="H30" s="436"/>
      <c r="I30" s="436"/>
      <c r="J30" s="436"/>
      <c r="K30" s="436"/>
      <c r="L30" s="436"/>
    </row>
    <row r="31" spans="1:12" x14ac:dyDescent="0.2">
      <c r="A31" s="398"/>
      <c r="B31" s="398"/>
      <c r="C31" s="436"/>
      <c r="D31" s="436"/>
      <c r="E31" s="436"/>
      <c r="F31" s="1090" t="s">
        <v>692</v>
      </c>
      <c r="G31" s="1090"/>
      <c r="H31" s="1090"/>
      <c r="I31" s="1090"/>
      <c r="J31" s="1091">
        <v>3095.74</v>
      </c>
      <c r="K31" s="1092"/>
      <c r="L31" s="398" t="s">
        <v>693</v>
      </c>
    </row>
    <row r="32" spans="1:12" x14ac:dyDescent="0.2">
      <c r="A32" s="398"/>
      <c r="B32" s="398"/>
      <c r="C32" s="436"/>
      <c r="D32" s="436"/>
      <c r="E32" s="436"/>
      <c r="F32" s="1090" t="s">
        <v>694</v>
      </c>
      <c r="G32" s="1090"/>
      <c r="H32" s="1090"/>
      <c r="I32" s="1090"/>
      <c r="J32" s="1091">
        <v>1177.8900000000001</v>
      </c>
      <c r="K32" s="1092"/>
      <c r="L32" s="398" t="s">
        <v>695</v>
      </c>
    </row>
    <row r="33" spans="1:26" x14ac:dyDescent="0.2">
      <c r="A33" s="398"/>
      <c r="B33" s="398"/>
      <c r="C33" s="398"/>
      <c r="D33" s="398"/>
      <c r="E33" s="398"/>
      <c r="F33" s="1090" t="s">
        <v>696</v>
      </c>
      <c r="G33" s="1090"/>
      <c r="H33" s="1090"/>
      <c r="I33" s="1090"/>
      <c r="J33" s="1091">
        <v>454.8</v>
      </c>
      <c r="K33" s="1092"/>
      <c r="L33" s="398" t="s">
        <v>693</v>
      </c>
    </row>
    <row r="35" spans="1:26" x14ac:dyDescent="0.2">
      <c r="A35" s="1093" t="s">
        <v>697</v>
      </c>
      <c r="B35" s="1093" t="s">
        <v>698</v>
      </c>
      <c r="C35" s="1093" t="s">
        <v>699</v>
      </c>
      <c r="D35" s="1093" t="s">
        <v>700</v>
      </c>
      <c r="E35" s="1093" t="s">
        <v>701</v>
      </c>
      <c r="F35" s="1088" t="s">
        <v>702</v>
      </c>
      <c r="G35" s="1089"/>
      <c r="H35" s="1088" t="s">
        <v>703</v>
      </c>
      <c r="I35" s="1096"/>
      <c r="J35" s="1089"/>
      <c r="K35" s="1088" t="s">
        <v>704</v>
      </c>
      <c r="L35" s="1089"/>
    </row>
    <row r="36" spans="1:26" x14ac:dyDescent="0.2">
      <c r="A36" s="1094"/>
      <c r="B36" s="1094"/>
      <c r="C36" s="1094"/>
      <c r="D36" s="1094"/>
      <c r="E36" s="1094"/>
      <c r="F36" s="1093" t="s">
        <v>705</v>
      </c>
      <c r="G36" s="1093" t="s">
        <v>706</v>
      </c>
      <c r="H36" s="1093" t="s">
        <v>705</v>
      </c>
      <c r="I36" s="1093" t="s">
        <v>707</v>
      </c>
      <c r="J36" s="1093" t="s">
        <v>706</v>
      </c>
      <c r="K36" s="1088" t="s">
        <v>708</v>
      </c>
      <c r="L36" s="1089"/>
    </row>
    <row r="37" spans="1:26" x14ac:dyDescent="0.2">
      <c r="A37" s="1094"/>
      <c r="B37" s="1094"/>
      <c r="C37" s="1094"/>
      <c r="D37" s="1094"/>
      <c r="E37" s="1094"/>
      <c r="F37" s="1095"/>
      <c r="G37" s="1095"/>
      <c r="H37" s="1094"/>
      <c r="I37" s="1094"/>
      <c r="J37" s="1095"/>
      <c r="K37" s="1088" t="s">
        <v>709</v>
      </c>
      <c r="L37" s="1089"/>
    </row>
    <row r="38" spans="1:26" ht="20.399999999999999" x14ac:dyDescent="0.2">
      <c r="A38" s="1095"/>
      <c r="B38" s="1095"/>
      <c r="C38" s="1095"/>
      <c r="D38" s="1095"/>
      <c r="E38" s="1095"/>
      <c r="F38" s="402" t="s">
        <v>707</v>
      </c>
      <c r="G38" s="402" t="s">
        <v>710</v>
      </c>
      <c r="H38" s="1095"/>
      <c r="I38" s="1095"/>
      <c r="J38" s="402" t="s">
        <v>710</v>
      </c>
      <c r="K38" s="402" t="s">
        <v>711</v>
      </c>
      <c r="L38" s="402" t="s">
        <v>712</v>
      </c>
    </row>
    <row r="39" spans="1:26" x14ac:dyDescent="0.2">
      <c r="A39" s="402">
        <v>1</v>
      </c>
      <c r="B39" s="402" t="s">
        <v>713</v>
      </c>
      <c r="C39" s="402">
        <v>2</v>
      </c>
      <c r="D39" s="402">
        <v>3</v>
      </c>
      <c r="E39" s="402">
        <v>4</v>
      </c>
      <c r="F39" s="402">
        <v>5</v>
      </c>
      <c r="G39" s="402">
        <v>6</v>
      </c>
      <c r="H39" s="402">
        <v>7</v>
      </c>
      <c r="I39" s="402">
        <v>8</v>
      </c>
      <c r="J39" s="402">
        <v>9</v>
      </c>
      <c r="K39" s="402">
        <v>10</v>
      </c>
      <c r="L39" s="402">
        <v>11</v>
      </c>
    </row>
    <row r="41" spans="1:26" x14ac:dyDescent="0.2">
      <c r="A41" s="1087" t="s">
        <v>1027</v>
      </c>
      <c r="B41" s="1087"/>
      <c r="C41" s="1087"/>
      <c r="D41" s="1087"/>
      <c r="E41" s="1087"/>
      <c r="F41" s="1087"/>
      <c r="G41" s="1087"/>
      <c r="H41" s="1087"/>
      <c r="I41" s="1087"/>
      <c r="J41" s="1087"/>
      <c r="K41" s="1087"/>
      <c r="L41" s="1087"/>
    </row>
    <row r="42" spans="1:26" ht="51" x14ac:dyDescent="0.2">
      <c r="A42" s="403">
        <v>1</v>
      </c>
      <c r="B42" s="403">
        <v>1</v>
      </c>
      <c r="C42" s="403" t="s">
        <v>1280</v>
      </c>
      <c r="D42" s="403" t="s">
        <v>1265</v>
      </c>
      <c r="E42" s="404">
        <v>1.6305000000000001</v>
      </c>
      <c r="F42" s="405">
        <v>3665.625</v>
      </c>
      <c r="G42" s="405">
        <v>3665.625</v>
      </c>
      <c r="H42" s="406">
        <v>79132.86</v>
      </c>
      <c r="I42" s="406" t="s">
        <v>281</v>
      </c>
      <c r="J42" s="406">
        <v>79132.86</v>
      </c>
      <c r="K42" s="405" t="s">
        <v>281</v>
      </c>
      <c r="L42" s="405" t="s">
        <v>281</v>
      </c>
      <c r="T42" s="435">
        <v>126490.74</v>
      </c>
      <c r="V42" s="435" t="s">
        <v>281</v>
      </c>
      <c r="W42" s="435">
        <v>79132.86</v>
      </c>
      <c r="X42" s="435">
        <v>36123.480000000003</v>
      </c>
      <c r="Y42" s="435" t="s">
        <v>281</v>
      </c>
      <c r="Z42" s="435">
        <v>59.768016000000003</v>
      </c>
    </row>
    <row r="43" spans="1:26" x14ac:dyDescent="0.2">
      <c r="A43" s="407"/>
      <c r="B43" s="407"/>
      <c r="C43" s="407"/>
      <c r="D43" s="408" t="s">
        <v>763</v>
      </c>
      <c r="E43" s="409"/>
      <c r="F43" s="410" t="s">
        <v>281</v>
      </c>
      <c r="G43" s="410">
        <v>494.859375</v>
      </c>
      <c r="H43" s="409"/>
      <c r="I43" s="409"/>
      <c r="J43" s="411">
        <v>36123.480000000003</v>
      </c>
      <c r="K43" s="410">
        <v>36.65625</v>
      </c>
      <c r="L43" s="410">
        <v>59.768016000000003</v>
      </c>
    </row>
    <row r="44" spans="1:26" ht="20.399999999999999" x14ac:dyDescent="0.2">
      <c r="A44" s="412"/>
      <c r="B44" s="412"/>
      <c r="C44" s="412"/>
      <c r="D44" s="395" t="s">
        <v>714</v>
      </c>
      <c r="E44" s="412"/>
      <c r="F44" s="412"/>
      <c r="G44" s="412"/>
      <c r="H44" s="412"/>
      <c r="I44" s="412"/>
      <c r="J44" s="412"/>
      <c r="K44" s="412"/>
      <c r="L44" s="412"/>
    </row>
    <row r="45" spans="1:26" ht="20.399999999999999" x14ac:dyDescent="0.2">
      <c r="A45" s="412"/>
      <c r="B45" s="412"/>
      <c r="C45" s="412"/>
      <c r="D45" s="395" t="s">
        <v>978</v>
      </c>
      <c r="E45" s="412"/>
      <c r="F45" s="412"/>
      <c r="G45" s="412"/>
      <c r="H45" s="412"/>
      <c r="I45" s="412"/>
      <c r="J45" s="412"/>
      <c r="K45" s="412"/>
      <c r="L45" s="412"/>
    </row>
    <row r="46" spans="1:26" ht="132.6" x14ac:dyDescent="0.2">
      <c r="A46" s="412"/>
      <c r="B46" s="412"/>
      <c r="C46" s="412"/>
      <c r="D46" s="395" t="s">
        <v>979</v>
      </c>
      <c r="E46" s="412"/>
      <c r="F46" s="412"/>
      <c r="G46" s="412"/>
      <c r="H46" s="412"/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206</v>
      </c>
      <c r="E47" s="414" t="s">
        <v>764</v>
      </c>
      <c r="F47" s="414"/>
      <c r="G47" s="414"/>
      <c r="H47" s="415">
        <v>33233.599999999999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3" t="s">
        <v>207</v>
      </c>
      <c r="E48" s="414" t="s">
        <v>972</v>
      </c>
      <c r="F48" s="414"/>
      <c r="G48" s="414"/>
      <c r="H48" s="415">
        <v>14124.28</v>
      </c>
      <c r="I48" s="412"/>
      <c r="J48" s="412"/>
      <c r="K48" s="412"/>
      <c r="L48" s="412"/>
    </row>
    <row r="49" spans="1:26" x14ac:dyDescent="0.2">
      <c r="A49" s="412"/>
      <c r="B49" s="412"/>
      <c r="C49" s="412"/>
      <c r="D49" s="416" t="s">
        <v>715</v>
      </c>
      <c r="E49" s="417"/>
      <c r="F49" s="417"/>
      <c r="G49" s="417"/>
      <c r="H49" s="418">
        <v>126490.74</v>
      </c>
      <c r="I49" s="412"/>
      <c r="J49" s="412"/>
      <c r="K49" s="412"/>
      <c r="L49" s="412"/>
    </row>
    <row r="50" spans="1:26" ht="51" x14ac:dyDescent="0.2">
      <c r="A50" s="403">
        <v>2</v>
      </c>
      <c r="B50" s="403">
        <v>2</v>
      </c>
      <c r="C50" s="403" t="s">
        <v>904</v>
      </c>
      <c r="D50" s="403" t="s">
        <v>1233</v>
      </c>
      <c r="E50" s="404">
        <v>0.38100000000000001</v>
      </c>
      <c r="F50" s="405">
        <v>4462.2574999999997</v>
      </c>
      <c r="G50" s="405">
        <v>4356.4156249999996</v>
      </c>
      <c r="H50" s="406">
        <v>23720.53</v>
      </c>
      <c r="I50" s="406">
        <v>1731.36</v>
      </c>
      <c r="J50" s="406">
        <v>21975.68</v>
      </c>
      <c r="K50" s="405">
        <v>13.013400000000001</v>
      </c>
      <c r="L50" s="405">
        <v>4.9581049999999998</v>
      </c>
      <c r="T50" s="435">
        <v>38371.57</v>
      </c>
      <c r="V50" s="435">
        <v>1731.36</v>
      </c>
      <c r="W50" s="435">
        <v>21975.68</v>
      </c>
      <c r="X50" s="435">
        <v>9444.11</v>
      </c>
      <c r="Y50" s="435">
        <v>4.9581049999999998</v>
      </c>
      <c r="Z50" s="435">
        <v>15.625524</v>
      </c>
    </row>
    <row r="51" spans="1:26" x14ac:dyDescent="0.2">
      <c r="A51" s="407"/>
      <c r="B51" s="407"/>
      <c r="C51" s="407"/>
      <c r="D51" s="408" t="s">
        <v>763</v>
      </c>
      <c r="E51" s="409"/>
      <c r="F51" s="410">
        <v>101.501875</v>
      </c>
      <c r="G51" s="410">
        <v>553.66750000000002</v>
      </c>
      <c r="H51" s="409"/>
      <c r="I51" s="409"/>
      <c r="J51" s="411">
        <v>9444.11</v>
      </c>
      <c r="K51" s="410">
        <v>41.011875000000003</v>
      </c>
      <c r="L51" s="410">
        <v>15.625524</v>
      </c>
    </row>
    <row r="52" spans="1:26" ht="20.399999999999999" x14ac:dyDescent="0.2">
      <c r="A52" s="412"/>
      <c r="B52" s="412"/>
      <c r="C52" s="412"/>
      <c r="D52" s="395" t="s">
        <v>714</v>
      </c>
      <c r="E52" s="412"/>
      <c r="F52" s="412"/>
      <c r="G52" s="412"/>
      <c r="H52" s="412"/>
      <c r="I52" s="412"/>
      <c r="J52" s="412"/>
      <c r="K52" s="412"/>
      <c r="L52" s="412"/>
    </row>
    <row r="53" spans="1:26" ht="20.399999999999999" x14ac:dyDescent="0.2">
      <c r="A53" s="412"/>
      <c r="B53" s="412"/>
      <c r="C53" s="412"/>
      <c r="D53" s="395" t="s">
        <v>978</v>
      </c>
      <c r="E53" s="412"/>
      <c r="F53" s="412"/>
      <c r="G53" s="412"/>
      <c r="H53" s="412"/>
      <c r="I53" s="412"/>
      <c r="J53" s="412"/>
      <c r="K53" s="412"/>
      <c r="L53" s="412"/>
    </row>
    <row r="54" spans="1:26" ht="132.6" x14ac:dyDescent="0.2">
      <c r="A54" s="412"/>
      <c r="B54" s="412"/>
      <c r="C54" s="412"/>
      <c r="D54" s="395" t="s">
        <v>979</v>
      </c>
      <c r="E54" s="412"/>
      <c r="F54" s="412"/>
      <c r="G54" s="412"/>
      <c r="H54" s="412"/>
      <c r="I54" s="412"/>
      <c r="J54" s="412"/>
      <c r="K54" s="412"/>
      <c r="L54" s="412"/>
    </row>
    <row r="55" spans="1:26" x14ac:dyDescent="0.2">
      <c r="A55" s="412"/>
      <c r="B55" s="412"/>
      <c r="C55" s="412"/>
      <c r="D55" s="413" t="s">
        <v>206</v>
      </c>
      <c r="E55" s="414" t="s">
        <v>764</v>
      </c>
      <c r="F55" s="414"/>
      <c r="G55" s="414"/>
      <c r="H55" s="415">
        <v>10281.43</v>
      </c>
      <c r="I55" s="412"/>
      <c r="J55" s="412"/>
      <c r="K55" s="412"/>
      <c r="L55" s="412"/>
    </row>
    <row r="56" spans="1:26" x14ac:dyDescent="0.2">
      <c r="A56" s="412"/>
      <c r="B56" s="412"/>
      <c r="C56" s="412"/>
      <c r="D56" s="413" t="s">
        <v>207</v>
      </c>
      <c r="E56" s="414" t="s">
        <v>972</v>
      </c>
      <c r="F56" s="414"/>
      <c r="G56" s="414"/>
      <c r="H56" s="415">
        <v>4369.6099999999997</v>
      </c>
      <c r="I56" s="412"/>
      <c r="J56" s="412"/>
      <c r="K56" s="412"/>
      <c r="L56" s="412"/>
    </row>
    <row r="57" spans="1:26" x14ac:dyDescent="0.2">
      <c r="A57" s="412"/>
      <c r="B57" s="412"/>
      <c r="C57" s="412"/>
      <c r="D57" s="416" t="s">
        <v>715</v>
      </c>
      <c r="E57" s="417"/>
      <c r="F57" s="417"/>
      <c r="G57" s="417"/>
      <c r="H57" s="418">
        <v>38371.57</v>
      </c>
      <c r="I57" s="412"/>
      <c r="J57" s="412"/>
      <c r="K57" s="412"/>
      <c r="L57" s="412"/>
    </row>
    <row r="58" spans="1:26" ht="61.2" x14ac:dyDescent="0.2">
      <c r="A58" s="403">
        <v>3</v>
      </c>
      <c r="B58" s="403">
        <v>3</v>
      </c>
      <c r="C58" s="403" t="s">
        <v>1028</v>
      </c>
      <c r="D58" s="403" t="s">
        <v>1266</v>
      </c>
      <c r="E58" s="404">
        <v>0.66500000000000004</v>
      </c>
      <c r="F58" s="405">
        <v>1906.3044</v>
      </c>
      <c r="G58" s="405" t="s">
        <v>281</v>
      </c>
      <c r="H58" s="406">
        <v>56754.59</v>
      </c>
      <c r="I58" s="406">
        <v>56754.59</v>
      </c>
      <c r="J58" s="406" t="s">
        <v>281</v>
      </c>
      <c r="K58" s="405">
        <v>244.398</v>
      </c>
      <c r="L58" s="405">
        <v>162.52466999999999</v>
      </c>
      <c r="T58" s="435">
        <v>126562.74</v>
      </c>
      <c r="V58" s="435">
        <v>56754.59</v>
      </c>
      <c r="W58" s="435" t="s">
        <v>281</v>
      </c>
      <c r="X58" s="435" t="s">
        <v>281</v>
      </c>
      <c r="Y58" s="435">
        <v>162.52466999999999</v>
      </c>
      <c r="Z58" s="435" t="s">
        <v>281</v>
      </c>
    </row>
    <row r="59" spans="1:26" x14ac:dyDescent="0.2">
      <c r="A59" s="407"/>
      <c r="B59" s="407"/>
      <c r="C59" s="407"/>
      <c r="D59" s="408" t="s">
        <v>901</v>
      </c>
      <c r="E59" s="409"/>
      <c r="F59" s="410">
        <v>1906.3044</v>
      </c>
      <c r="G59" s="410" t="s">
        <v>281</v>
      </c>
      <c r="H59" s="409"/>
      <c r="I59" s="409"/>
      <c r="J59" s="411" t="s">
        <v>281</v>
      </c>
      <c r="K59" s="410" t="s">
        <v>281</v>
      </c>
      <c r="L59" s="410" t="s">
        <v>281</v>
      </c>
    </row>
    <row r="60" spans="1:26" ht="20.399999999999999" x14ac:dyDescent="0.2">
      <c r="A60" s="412"/>
      <c r="B60" s="412"/>
      <c r="C60" s="412"/>
      <c r="D60" s="395" t="s">
        <v>714</v>
      </c>
      <c r="E60" s="412"/>
      <c r="F60" s="412"/>
      <c r="G60" s="412"/>
      <c r="H60" s="412"/>
      <c r="I60" s="412"/>
      <c r="J60" s="412"/>
      <c r="K60" s="412"/>
      <c r="L60" s="412"/>
    </row>
    <row r="61" spans="1:26" ht="30.6" x14ac:dyDescent="0.2">
      <c r="A61" s="412"/>
      <c r="B61" s="412"/>
      <c r="C61" s="412"/>
      <c r="D61" s="395" t="s">
        <v>975</v>
      </c>
      <c r="E61" s="412"/>
      <c r="F61" s="412"/>
      <c r="G61" s="412"/>
      <c r="H61" s="412"/>
      <c r="I61" s="412"/>
      <c r="J61" s="412"/>
      <c r="K61" s="412"/>
      <c r="L61" s="412"/>
    </row>
    <row r="62" spans="1:26" ht="163.19999999999999" x14ac:dyDescent="0.2">
      <c r="A62" s="412"/>
      <c r="B62" s="412"/>
      <c r="C62" s="412"/>
      <c r="D62" s="395" t="s">
        <v>976</v>
      </c>
      <c r="E62" s="412"/>
      <c r="F62" s="412"/>
      <c r="G62" s="412"/>
      <c r="H62" s="412"/>
      <c r="I62" s="412"/>
      <c r="J62" s="412"/>
      <c r="K62" s="412"/>
      <c r="L62" s="412"/>
    </row>
    <row r="63" spans="1:26" x14ac:dyDescent="0.2">
      <c r="A63" s="412"/>
      <c r="B63" s="412"/>
      <c r="C63" s="412"/>
      <c r="D63" s="413" t="s">
        <v>206</v>
      </c>
      <c r="E63" s="414" t="s">
        <v>770</v>
      </c>
      <c r="F63" s="414"/>
      <c r="G63" s="414"/>
      <c r="H63" s="415">
        <v>50511.59</v>
      </c>
      <c r="I63" s="412"/>
      <c r="J63" s="412"/>
      <c r="K63" s="412"/>
      <c r="L63" s="412"/>
    </row>
    <row r="64" spans="1:26" x14ac:dyDescent="0.2">
      <c r="A64" s="412"/>
      <c r="B64" s="412"/>
      <c r="C64" s="412"/>
      <c r="D64" s="413" t="s">
        <v>207</v>
      </c>
      <c r="E64" s="414" t="s">
        <v>977</v>
      </c>
      <c r="F64" s="414"/>
      <c r="G64" s="414"/>
      <c r="H64" s="415">
        <v>19296.560000000001</v>
      </c>
      <c r="I64" s="412"/>
      <c r="J64" s="412"/>
      <c r="K64" s="412"/>
      <c r="L64" s="412"/>
    </row>
    <row r="65" spans="1:26" x14ac:dyDescent="0.2">
      <c r="A65" s="412"/>
      <c r="B65" s="412"/>
      <c r="C65" s="412"/>
      <c r="D65" s="416" t="s">
        <v>715</v>
      </c>
      <c r="E65" s="417"/>
      <c r="F65" s="417"/>
      <c r="G65" s="417"/>
      <c r="H65" s="418">
        <v>126562.74</v>
      </c>
      <c r="I65" s="412"/>
      <c r="J65" s="412"/>
      <c r="K65" s="412"/>
      <c r="L65" s="412"/>
    </row>
    <row r="66" spans="1:26" ht="51" x14ac:dyDescent="0.2">
      <c r="A66" s="403">
        <v>4</v>
      </c>
      <c r="B66" s="403">
        <v>4</v>
      </c>
      <c r="C66" s="403" t="s">
        <v>1028</v>
      </c>
      <c r="D66" s="403" t="s">
        <v>1267</v>
      </c>
      <c r="E66" s="404">
        <v>0.49</v>
      </c>
      <c r="F66" s="405">
        <v>1906.3044</v>
      </c>
      <c r="G66" s="405" t="s">
        <v>281</v>
      </c>
      <c r="H66" s="406">
        <v>41819.17</v>
      </c>
      <c r="I66" s="406">
        <v>41819.17</v>
      </c>
      <c r="J66" s="406" t="s">
        <v>281</v>
      </c>
      <c r="K66" s="405">
        <v>244.398</v>
      </c>
      <c r="L66" s="405">
        <v>119.75502</v>
      </c>
      <c r="T66" s="435">
        <v>93256.75</v>
      </c>
      <c r="V66" s="435">
        <v>41819.17</v>
      </c>
      <c r="W66" s="435" t="s">
        <v>281</v>
      </c>
      <c r="X66" s="435" t="s">
        <v>281</v>
      </c>
      <c r="Y66" s="435">
        <v>119.75502</v>
      </c>
      <c r="Z66" s="435" t="s">
        <v>281</v>
      </c>
    </row>
    <row r="67" spans="1:26" x14ac:dyDescent="0.2">
      <c r="A67" s="407"/>
      <c r="B67" s="407"/>
      <c r="C67" s="407"/>
      <c r="D67" s="408" t="s">
        <v>901</v>
      </c>
      <c r="E67" s="409"/>
      <c r="F67" s="410">
        <v>1906.3044</v>
      </c>
      <c r="G67" s="410" t="s">
        <v>281</v>
      </c>
      <c r="H67" s="409"/>
      <c r="I67" s="409"/>
      <c r="J67" s="411" t="s">
        <v>281</v>
      </c>
      <c r="K67" s="410" t="s">
        <v>281</v>
      </c>
      <c r="L67" s="410" t="s">
        <v>281</v>
      </c>
    </row>
    <row r="68" spans="1:26" ht="20.399999999999999" x14ac:dyDescent="0.2">
      <c r="A68" s="412"/>
      <c r="B68" s="412"/>
      <c r="C68" s="412"/>
      <c r="D68" s="395" t="s">
        <v>714</v>
      </c>
      <c r="E68" s="412"/>
      <c r="F68" s="412"/>
      <c r="G68" s="412"/>
      <c r="H68" s="412"/>
      <c r="I68" s="412"/>
      <c r="J68" s="412"/>
      <c r="K68" s="412"/>
      <c r="L68" s="412"/>
    </row>
    <row r="69" spans="1:26" ht="30.6" x14ac:dyDescent="0.2">
      <c r="A69" s="412"/>
      <c r="B69" s="412"/>
      <c r="C69" s="412"/>
      <c r="D69" s="395" t="s">
        <v>975</v>
      </c>
      <c r="E69" s="412"/>
      <c r="F69" s="412"/>
      <c r="G69" s="412"/>
      <c r="H69" s="412"/>
      <c r="I69" s="412"/>
      <c r="J69" s="412"/>
      <c r="K69" s="412"/>
      <c r="L69" s="412"/>
    </row>
    <row r="70" spans="1:26" ht="163.19999999999999" x14ac:dyDescent="0.2">
      <c r="A70" s="412"/>
      <c r="B70" s="412"/>
      <c r="C70" s="412"/>
      <c r="D70" s="395" t="s">
        <v>976</v>
      </c>
      <c r="E70" s="412"/>
      <c r="F70" s="412"/>
      <c r="G70" s="412"/>
      <c r="H70" s="412"/>
      <c r="I70" s="412"/>
      <c r="J70" s="412"/>
      <c r="K70" s="412"/>
      <c r="L70" s="412"/>
    </row>
    <row r="71" spans="1:26" x14ac:dyDescent="0.2">
      <c r="A71" s="412"/>
      <c r="B71" s="412"/>
      <c r="C71" s="412"/>
      <c r="D71" s="413" t="s">
        <v>206</v>
      </c>
      <c r="E71" s="414" t="s">
        <v>770</v>
      </c>
      <c r="F71" s="414"/>
      <c r="G71" s="414"/>
      <c r="H71" s="415">
        <v>37219.06</v>
      </c>
      <c r="I71" s="412"/>
      <c r="J71" s="412"/>
      <c r="K71" s="412"/>
      <c r="L71" s="412"/>
    </row>
    <row r="72" spans="1:26" x14ac:dyDescent="0.2">
      <c r="A72" s="412"/>
      <c r="B72" s="412"/>
      <c r="C72" s="412"/>
      <c r="D72" s="413" t="s">
        <v>207</v>
      </c>
      <c r="E72" s="414" t="s">
        <v>977</v>
      </c>
      <c r="F72" s="414"/>
      <c r="G72" s="414"/>
      <c r="H72" s="415">
        <v>14218.52</v>
      </c>
      <c r="I72" s="412"/>
      <c r="J72" s="412"/>
      <c r="K72" s="412"/>
      <c r="L72" s="412"/>
    </row>
    <row r="73" spans="1:26" x14ac:dyDescent="0.2">
      <c r="A73" s="412"/>
      <c r="B73" s="412"/>
      <c r="C73" s="412"/>
      <c r="D73" s="416" t="s">
        <v>715</v>
      </c>
      <c r="E73" s="417"/>
      <c r="F73" s="417"/>
      <c r="G73" s="417"/>
      <c r="H73" s="418">
        <v>93256.75</v>
      </c>
      <c r="I73" s="412"/>
      <c r="J73" s="412"/>
      <c r="K73" s="412"/>
      <c r="L73" s="412"/>
    </row>
    <row r="74" spans="1:26" ht="51" x14ac:dyDescent="0.2">
      <c r="A74" s="403">
        <v>5</v>
      </c>
      <c r="B74" s="403">
        <v>5</v>
      </c>
      <c r="C74" s="403" t="s">
        <v>762</v>
      </c>
      <c r="D74" s="403" t="s">
        <v>1036</v>
      </c>
      <c r="E74" s="404">
        <v>1.2975000000000001</v>
      </c>
      <c r="F74" s="405">
        <v>689.03687500000001</v>
      </c>
      <c r="G74" s="405">
        <v>689.03687500000001</v>
      </c>
      <c r="H74" s="406">
        <v>11836.9</v>
      </c>
      <c r="I74" s="406" t="s">
        <v>281</v>
      </c>
      <c r="J74" s="406">
        <v>11836.9</v>
      </c>
      <c r="K74" s="405" t="s">
        <v>281</v>
      </c>
      <c r="L74" s="405" t="s">
        <v>281</v>
      </c>
      <c r="T74" s="435">
        <v>22072.59</v>
      </c>
      <c r="V74" s="435" t="s">
        <v>281</v>
      </c>
      <c r="W74" s="435">
        <v>11836.9</v>
      </c>
      <c r="X74" s="435">
        <v>7807.54</v>
      </c>
      <c r="Y74" s="435" t="s">
        <v>281</v>
      </c>
      <c r="Z74" s="435">
        <v>15.033158999999999</v>
      </c>
    </row>
    <row r="75" spans="1:26" x14ac:dyDescent="0.2">
      <c r="A75" s="407"/>
      <c r="B75" s="407"/>
      <c r="C75" s="407"/>
      <c r="D75" s="408" t="s">
        <v>763</v>
      </c>
      <c r="E75" s="409"/>
      <c r="F75" s="410" t="s">
        <v>281</v>
      </c>
      <c r="G75" s="410">
        <v>134.40625</v>
      </c>
      <c r="H75" s="409"/>
      <c r="I75" s="409"/>
      <c r="J75" s="411">
        <v>7807.54</v>
      </c>
      <c r="K75" s="410">
        <v>11.58625</v>
      </c>
      <c r="L75" s="410">
        <v>15.033158999999999</v>
      </c>
    </row>
    <row r="76" spans="1:26" ht="20.399999999999999" x14ac:dyDescent="0.2">
      <c r="A76" s="412"/>
      <c r="B76" s="412"/>
      <c r="C76" s="412"/>
      <c r="D76" s="395" t="s">
        <v>714</v>
      </c>
      <c r="E76" s="412"/>
      <c r="F76" s="412"/>
      <c r="G76" s="412"/>
      <c r="H76" s="412"/>
      <c r="I76" s="412"/>
      <c r="J76" s="412"/>
      <c r="K76" s="412"/>
      <c r="L76" s="412"/>
    </row>
    <row r="77" spans="1:26" ht="20.399999999999999" x14ac:dyDescent="0.2">
      <c r="A77" s="412"/>
      <c r="B77" s="412"/>
      <c r="C77" s="412"/>
      <c r="D77" s="395" t="s">
        <v>978</v>
      </c>
      <c r="E77" s="412"/>
      <c r="F77" s="412"/>
      <c r="G77" s="412"/>
      <c r="H77" s="412"/>
      <c r="I77" s="412"/>
      <c r="J77" s="412"/>
      <c r="K77" s="412"/>
      <c r="L77" s="412"/>
    </row>
    <row r="78" spans="1:26" ht="132.6" x14ac:dyDescent="0.2">
      <c r="A78" s="412"/>
      <c r="B78" s="412"/>
      <c r="C78" s="412"/>
      <c r="D78" s="395" t="s">
        <v>979</v>
      </c>
      <c r="E78" s="412"/>
      <c r="F78" s="412"/>
      <c r="G78" s="412"/>
      <c r="H78" s="412"/>
      <c r="I78" s="412"/>
      <c r="J78" s="412"/>
      <c r="K78" s="412"/>
      <c r="L78" s="412"/>
    </row>
    <row r="79" spans="1:26" x14ac:dyDescent="0.2">
      <c r="A79" s="412"/>
      <c r="B79" s="412"/>
      <c r="C79" s="412"/>
      <c r="D79" s="413" t="s">
        <v>206</v>
      </c>
      <c r="E79" s="414" t="s">
        <v>764</v>
      </c>
      <c r="F79" s="414"/>
      <c r="G79" s="414"/>
      <c r="H79" s="415">
        <v>7182.94</v>
      </c>
      <c r="I79" s="412"/>
      <c r="J79" s="412"/>
      <c r="K79" s="412"/>
      <c r="L79" s="412"/>
    </row>
    <row r="80" spans="1:26" x14ac:dyDescent="0.2">
      <c r="A80" s="412"/>
      <c r="B80" s="412"/>
      <c r="C80" s="412"/>
      <c r="D80" s="413" t="s">
        <v>207</v>
      </c>
      <c r="E80" s="414" t="s">
        <v>972</v>
      </c>
      <c r="F80" s="414"/>
      <c r="G80" s="414"/>
      <c r="H80" s="415">
        <v>3052.75</v>
      </c>
      <c r="I80" s="412"/>
      <c r="J80" s="412"/>
      <c r="K80" s="412"/>
      <c r="L80" s="412"/>
    </row>
    <row r="81" spans="1:26" x14ac:dyDescent="0.2">
      <c r="A81" s="412"/>
      <c r="B81" s="412"/>
      <c r="C81" s="412"/>
      <c r="D81" s="416" t="s">
        <v>715</v>
      </c>
      <c r="E81" s="417"/>
      <c r="F81" s="417"/>
      <c r="G81" s="417"/>
      <c r="H81" s="418">
        <v>22072.59</v>
      </c>
      <c r="I81" s="412"/>
      <c r="J81" s="412"/>
      <c r="K81" s="412"/>
      <c r="L81" s="412"/>
    </row>
    <row r="82" spans="1:26" ht="40.799999999999997" x14ac:dyDescent="0.2">
      <c r="A82" s="403">
        <v>6</v>
      </c>
      <c r="B82" s="403">
        <v>6</v>
      </c>
      <c r="C82" s="403" t="s">
        <v>914</v>
      </c>
      <c r="D82" s="403" t="s">
        <v>1037</v>
      </c>
      <c r="E82" s="404">
        <v>0.70499999999999996</v>
      </c>
      <c r="F82" s="405">
        <v>964.10249999999996</v>
      </c>
      <c r="G82" s="405" t="s">
        <v>281</v>
      </c>
      <c r="H82" s="406">
        <v>30429.82</v>
      </c>
      <c r="I82" s="406">
        <v>30429.82</v>
      </c>
      <c r="J82" s="406" t="s">
        <v>281</v>
      </c>
      <c r="K82" s="405">
        <v>128.547</v>
      </c>
      <c r="L82" s="405">
        <v>90.625635000000003</v>
      </c>
      <c r="T82" s="435">
        <v>67858.5</v>
      </c>
      <c r="V82" s="435">
        <v>30429.82</v>
      </c>
      <c r="W82" s="435" t="s">
        <v>281</v>
      </c>
      <c r="X82" s="435" t="s">
        <v>281</v>
      </c>
      <c r="Y82" s="435">
        <v>90.625635000000003</v>
      </c>
      <c r="Z82" s="435" t="s">
        <v>281</v>
      </c>
    </row>
    <row r="83" spans="1:26" x14ac:dyDescent="0.2">
      <c r="A83" s="407"/>
      <c r="B83" s="407"/>
      <c r="C83" s="407"/>
      <c r="D83" s="408" t="s">
        <v>901</v>
      </c>
      <c r="E83" s="409"/>
      <c r="F83" s="410">
        <v>964.10249999999996</v>
      </c>
      <c r="G83" s="410" t="s">
        <v>281</v>
      </c>
      <c r="H83" s="409"/>
      <c r="I83" s="409"/>
      <c r="J83" s="411" t="s">
        <v>281</v>
      </c>
      <c r="K83" s="410" t="s">
        <v>281</v>
      </c>
      <c r="L83" s="410" t="s">
        <v>281</v>
      </c>
    </row>
    <row r="84" spans="1:26" ht="20.399999999999999" x14ac:dyDescent="0.2">
      <c r="A84" s="412"/>
      <c r="B84" s="412"/>
      <c r="C84" s="412"/>
      <c r="D84" s="395" t="s">
        <v>714</v>
      </c>
      <c r="E84" s="412"/>
      <c r="F84" s="412"/>
      <c r="G84" s="412"/>
      <c r="H84" s="412"/>
      <c r="I84" s="412"/>
      <c r="J84" s="412"/>
      <c r="K84" s="412"/>
      <c r="L84" s="412"/>
    </row>
    <row r="85" spans="1:26" ht="20.399999999999999" x14ac:dyDescent="0.2">
      <c r="A85" s="412"/>
      <c r="B85" s="412"/>
      <c r="C85" s="412"/>
      <c r="D85" s="395" t="s">
        <v>978</v>
      </c>
      <c r="E85" s="412"/>
      <c r="F85" s="412"/>
      <c r="G85" s="412"/>
      <c r="H85" s="412"/>
      <c r="I85" s="412"/>
      <c r="J85" s="412"/>
      <c r="K85" s="412"/>
      <c r="L85" s="412"/>
    </row>
    <row r="86" spans="1:26" ht="132.6" x14ac:dyDescent="0.2">
      <c r="A86" s="412"/>
      <c r="B86" s="412"/>
      <c r="C86" s="412"/>
      <c r="D86" s="395" t="s">
        <v>979</v>
      </c>
      <c r="E86" s="412"/>
      <c r="F86" s="412"/>
      <c r="G86" s="412"/>
      <c r="H86" s="412"/>
      <c r="I86" s="412"/>
      <c r="J86" s="412"/>
      <c r="K86" s="412"/>
      <c r="L86" s="412"/>
    </row>
    <row r="87" spans="1:26" x14ac:dyDescent="0.2">
      <c r="A87" s="412"/>
      <c r="B87" s="412"/>
      <c r="C87" s="412"/>
      <c r="D87" s="413" t="s">
        <v>206</v>
      </c>
      <c r="E87" s="414" t="s">
        <v>770</v>
      </c>
      <c r="F87" s="414"/>
      <c r="G87" s="414"/>
      <c r="H87" s="415">
        <v>27082.54</v>
      </c>
      <c r="I87" s="412"/>
      <c r="J87" s="412"/>
      <c r="K87" s="412"/>
      <c r="L87" s="412"/>
    </row>
    <row r="88" spans="1:26" x14ac:dyDescent="0.2">
      <c r="A88" s="412"/>
      <c r="B88" s="412"/>
      <c r="C88" s="412"/>
      <c r="D88" s="413" t="s">
        <v>207</v>
      </c>
      <c r="E88" s="414" t="s">
        <v>977</v>
      </c>
      <c r="F88" s="414"/>
      <c r="G88" s="414"/>
      <c r="H88" s="415">
        <v>10346.14</v>
      </c>
      <c r="I88" s="412"/>
      <c r="J88" s="412"/>
      <c r="K88" s="412"/>
      <c r="L88" s="412"/>
    </row>
    <row r="89" spans="1:26" x14ac:dyDescent="0.2">
      <c r="A89" s="412"/>
      <c r="B89" s="412"/>
      <c r="C89" s="412"/>
      <c r="D89" s="416" t="s">
        <v>715</v>
      </c>
      <c r="E89" s="417"/>
      <c r="F89" s="417"/>
      <c r="G89" s="417"/>
      <c r="H89" s="418">
        <v>67858.5</v>
      </c>
      <c r="I89" s="412"/>
      <c r="J89" s="412"/>
      <c r="K89" s="412"/>
      <c r="L89" s="412"/>
    </row>
    <row r="90" spans="1:26" ht="40.799999999999997" x14ac:dyDescent="0.2">
      <c r="A90" s="403">
        <v>7</v>
      </c>
      <c r="B90" s="403">
        <v>7</v>
      </c>
      <c r="C90" s="403" t="s">
        <v>1117</v>
      </c>
      <c r="D90" s="403" t="s">
        <v>1230</v>
      </c>
      <c r="E90" s="404">
        <v>3.3325</v>
      </c>
      <c r="F90" s="405">
        <v>877.80937500000005</v>
      </c>
      <c r="G90" s="405" t="s">
        <v>281</v>
      </c>
      <c r="H90" s="406">
        <v>130965.68</v>
      </c>
      <c r="I90" s="406">
        <v>130965.68</v>
      </c>
      <c r="J90" s="406" t="s">
        <v>281</v>
      </c>
      <c r="K90" s="405">
        <v>117.04125000000001</v>
      </c>
      <c r="L90" s="405">
        <v>390.03996599999999</v>
      </c>
      <c r="T90" s="435">
        <v>292053.46999999997</v>
      </c>
      <c r="V90" s="435">
        <v>130965.68</v>
      </c>
      <c r="W90" s="435" t="s">
        <v>281</v>
      </c>
      <c r="X90" s="435" t="s">
        <v>281</v>
      </c>
      <c r="Y90" s="435">
        <v>390.03996599999999</v>
      </c>
      <c r="Z90" s="435" t="s">
        <v>281</v>
      </c>
    </row>
    <row r="91" spans="1:26" x14ac:dyDescent="0.2">
      <c r="A91" s="407"/>
      <c r="B91" s="407"/>
      <c r="C91" s="407"/>
      <c r="D91" s="408" t="s">
        <v>901</v>
      </c>
      <c r="E91" s="409"/>
      <c r="F91" s="410">
        <v>877.80937500000005</v>
      </c>
      <c r="G91" s="410" t="s">
        <v>281</v>
      </c>
      <c r="H91" s="409"/>
      <c r="I91" s="409"/>
      <c r="J91" s="411" t="s">
        <v>281</v>
      </c>
      <c r="K91" s="410" t="s">
        <v>281</v>
      </c>
      <c r="L91" s="410" t="s">
        <v>281</v>
      </c>
    </row>
    <row r="92" spans="1:26" ht="20.399999999999999" x14ac:dyDescent="0.2">
      <c r="A92" s="412"/>
      <c r="B92" s="412"/>
      <c r="C92" s="412"/>
      <c r="D92" s="395" t="s">
        <v>714</v>
      </c>
      <c r="E92" s="412"/>
      <c r="F92" s="412"/>
      <c r="G92" s="412"/>
      <c r="H92" s="412"/>
      <c r="I92" s="412"/>
      <c r="J92" s="412"/>
      <c r="K92" s="412"/>
      <c r="L92" s="412"/>
    </row>
    <row r="93" spans="1:26" ht="20.399999999999999" x14ac:dyDescent="0.2">
      <c r="A93" s="412"/>
      <c r="B93" s="412"/>
      <c r="C93" s="412"/>
      <c r="D93" s="395" t="s">
        <v>978</v>
      </c>
      <c r="E93" s="412"/>
      <c r="F93" s="412"/>
      <c r="G93" s="412"/>
      <c r="H93" s="412"/>
      <c r="I93" s="412"/>
      <c r="J93" s="412"/>
      <c r="K93" s="412"/>
      <c r="L93" s="412"/>
    </row>
    <row r="94" spans="1:26" ht="132.6" x14ac:dyDescent="0.2">
      <c r="A94" s="412"/>
      <c r="B94" s="412"/>
      <c r="C94" s="412"/>
      <c r="D94" s="395" t="s">
        <v>979</v>
      </c>
      <c r="E94" s="412"/>
      <c r="F94" s="412"/>
      <c r="G94" s="412"/>
      <c r="H94" s="412"/>
      <c r="I94" s="412"/>
      <c r="J94" s="412"/>
      <c r="K94" s="412"/>
      <c r="L94" s="412"/>
    </row>
    <row r="95" spans="1:26" x14ac:dyDescent="0.2">
      <c r="A95" s="412"/>
      <c r="B95" s="412"/>
      <c r="C95" s="412"/>
      <c r="D95" s="413" t="s">
        <v>206</v>
      </c>
      <c r="E95" s="414" t="s">
        <v>770</v>
      </c>
      <c r="F95" s="414"/>
      <c r="G95" s="414"/>
      <c r="H95" s="415">
        <v>116559.46</v>
      </c>
      <c r="I95" s="412"/>
      <c r="J95" s="412"/>
      <c r="K95" s="412"/>
      <c r="L95" s="412"/>
    </row>
    <row r="96" spans="1:26" x14ac:dyDescent="0.2">
      <c r="A96" s="412"/>
      <c r="B96" s="412"/>
      <c r="C96" s="412"/>
      <c r="D96" s="413" t="s">
        <v>207</v>
      </c>
      <c r="E96" s="414" t="s">
        <v>977</v>
      </c>
      <c r="F96" s="414"/>
      <c r="G96" s="414"/>
      <c r="H96" s="415">
        <v>44528.33</v>
      </c>
      <c r="I96" s="412"/>
      <c r="J96" s="412"/>
      <c r="K96" s="412"/>
      <c r="L96" s="412"/>
    </row>
    <row r="97" spans="1:26" x14ac:dyDescent="0.2">
      <c r="A97" s="412"/>
      <c r="B97" s="412"/>
      <c r="C97" s="412"/>
      <c r="D97" s="416" t="s">
        <v>715</v>
      </c>
      <c r="E97" s="417"/>
      <c r="F97" s="417"/>
      <c r="G97" s="417"/>
      <c r="H97" s="418">
        <v>292053.46999999997</v>
      </c>
      <c r="I97" s="412"/>
      <c r="J97" s="412"/>
      <c r="K97" s="412"/>
      <c r="L97" s="412"/>
    </row>
    <row r="98" spans="1:26" ht="30.6" x14ac:dyDescent="0.2">
      <c r="A98" s="403">
        <v>8</v>
      </c>
      <c r="B98" s="403">
        <v>8</v>
      </c>
      <c r="C98" s="403" t="s">
        <v>766</v>
      </c>
      <c r="D98" s="403" t="s">
        <v>1536</v>
      </c>
      <c r="E98" s="404">
        <v>366.57499999999999</v>
      </c>
      <c r="F98" s="405">
        <v>101.17976</v>
      </c>
      <c r="G98" s="405" t="s">
        <v>281</v>
      </c>
      <c r="H98" s="406">
        <v>302655.32</v>
      </c>
      <c r="I98" s="406" t="s">
        <v>281</v>
      </c>
      <c r="J98" s="406" t="s">
        <v>281</v>
      </c>
      <c r="K98" s="405" t="s">
        <v>281</v>
      </c>
      <c r="L98" s="405" t="s">
        <v>281</v>
      </c>
      <c r="T98" s="435">
        <v>302655.32</v>
      </c>
      <c r="V98" s="435" t="s">
        <v>281</v>
      </c>
      <c r="W98" s="435" t="s">
        <v>281</v>
      </c>
      <c r="X98" s="435" t="s">
        <v>281</v>
      </c>
      <c r="Y98" s="435" t="s">
        <v>281</v>
      </c>
      <c r="Z98" s="435" t="s">
        <v>281</v>
      </c>
    </row>
    <row r="99" spans="1:26" x14ac:dyDescent="0.2">
      <c r="A99" s="407"/>
      <c r="B99" s="407"/>
      <c r="C99" s="407"/>
      <c r="D99" s="408" t="s">
        <v>745</v>
      </c>
      <c r="E99" s="409"/>
      <c r="F99" s="410" t="s">
        <v>281</v>
      </c>
      <c r="G99" s="410" t="s">
        <v>281</v>
      </c>
      <c r="H99" s="409"/>
      <c r="I99" s="409"/>
      <c r="J99" s="411" t="s">
        <v>281</v>
      </c>
      <c r="K99" s="410" t="s">
        <v>281</v>
      </c>
      <c r="L99" s="410" t="s">
        <v>281</v>
      </c>
    </row>
    <row r="100" spans="1:26" x14ac:dyDescent="0.2">
      <c r="A100" s="412"/>
      <c r="B100" s="412"/>
      <c r="C100" s="412"/>
      <c r="D100" s="395" t="s">
        <v>718</v>
      </c>
      <c r="E100" s="412"/>
      <c r="F100" s="412"/>
      <c r="G100" s="412"/>
      <c r="H100" s="412"/>
      <c r="I100" s="412"/>
      <c r="J100" s="412"/>
      <c r="K100" s="412"/>
      <c r="L100" s="412"/>
    </row>
    <row r="101" spans="1:26" ht="40.799999999999997" x14ac:dyDescent="0.2">
      <c r="A101" s="403">
        <v>9</v>
      </c>
      <c r="B101" s="403">
        <v>9</v>
      </c>
      <c r="C101" s="403" t="s">
        <v>1241</v>
      </c>
      <c r="D101" s="403" t="s">
        <v>1229</v>
      </c>
      <c r="E101" s="404">
        <v>1.9</v>
      </c>
      <c r="F101" s="405">
        <v>151.603925</v>
      </c>
      <c r="G101" s="405">
        <v>41.4</v>
      </c>
      <c r="H101" s="406">
        <v>10415.75</v>
      </c>
      <c r="I101" s="406">
        <v>9374.2800000000007</v>
      </c>
      <c r="J101" s="406">
        <v>1041.47</v>
      </c>
      <c r="K101" s="405">
        <v>13.4895</v>
      </c>
      <c r="L101" s="405">
        <v>25.630050000000001</v>
      </c>
      <c r="T101" s="435">
        <v>27988.41</v>
      </c>
      <c r="V101" s="435">
        <v>9374.2800000000007</v>
      </c>
      <c r="W101" s="435">
        <v>1041.47</v>
      </c>
      <c r="X101" s="435">
        <v>393.74</v>
      </c>
      <c r="Y101" s="435">
        <v>25.630050000000001</v>
      </c>
      <c r="Z101" s="435">
        <v>0.874</v>
      </c>
    </row>
    <row r="102" spans="1:26" x14ac:dyDescent="0.2">
      <c r="A102" s="407"/>
      <c r="B102" s="407"/>
      <c r="C102" s="407"/>
      <c r="D102" s="408" t="s">
        <v>1239</v>
      </c>
      <c r="E102" s="409"/>
      <c r="F102" s="410">
        <v>110.203925</v>
      </c>
      <c r="G102" s="410">
        <v>4.6287500000000001</v>
      </c>
      <c r="H102" s="409"/>
      <c r="I102" s="409"/>
      <c r="J102" s="411">
        <v>393.74</v>
      </c>
      <c r="K102" s="410">
        <v>0.46</v>
      </c>
      <c r="L102" s="410">
        <v>0.874</v>
      </c>
    </row>
    <row r="103" spans="1:26" ht="20.399999999999999" x14ac:dyDescent="0.2">
      <c r="A103" s="412"/>
      <c r="B103" s="412"/>
      <c r="C103" s="412"/>
      <c r="D103" s="395" t="s">
        <v>714</v>
      </c>
      <c r="E103" s="412"/>
      <c r="F103" s="412"/>
      <c r="G103" s="412"/>
      <c r="H103" s="412"/>
      <c r="I103" s="412"/>
      <c r="J103" s="412"/>
      <c r="K103" s="412"/>
      <c r="L103" s="412"/>
    </row>
    <row r="104" spans="1:26" ht="20.399999999999999" x14ac:dyDescent="0.2">
      <c r="A104" s="412"/>
      <c r="B104" s="412"/>
      <c r="C104" s="412"/>
      <c r="D104" s="395" t="s">
        <v>978</v>
      </c>
      <c r="E104" s="412"/>
      <c r="F104" s="412"/>
      <c r="G104" s="412"/>
      <c r="H104" s="412"/>
      <c r="I104" s="412"/>
      <c r="J104" s="412"/>
      <c r="K104" s="412"/>
      <c r="L104" s="412"/>
    </row>
    <row r="105" spans="1:26" ht="132.6" x14ac:dyDescent="0.2">
      <c r="A105" s="412"/>
      <c r="B105" s="412"/>
      <c r="C105" s="412"/>
      <c r="D105" s="395" t="s">
        <v>979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x14ac:dyDescent="0.2">
      <c r="A106" s="412"/>
      <c r="B106" s="412"/>
      <c r="C106" s="412"/>
      <c r="D106" s="413" t="s">
        <v>206</v>
      </c>
      <c r="E106" s="414" t="s">
        <v>1242</v>
      </c>
      <c r="F106" s="414"/>
      <c r="G106" s="414"/>
      <c r="H106" s="415">
        <v>11428.58</v>
      </c>
      <c r="I106" s="412"/>
      <c r="J106" s="412"/>
      <c r="K106" s="412"/>
      <c r="L106" s="412"/>
    </row>
    <row r="107" spans="1:26" x14ac:dyDescent="0.2">
      <c r="A107" s="412"/>
      <c r="B107" s="412"/>
      <c r="C107" s="412"/>
      <c r="D107" s="413" t="s">
        <v>207</v>
      </c>
      <c r="E107" s="414" t="s">
        <v>1243</v>
      </c>
      <c r="F107" s="414"/>
      <c r="G107" s="414"/>
      <c r="H107" s="415">
        <v>6144.08</v>
      </c>
      <c r="I107" s="412"/>
      <c r="J107" s="412"/>
      <c r="K107" s="412"/>
      <c r="L107" s="412"/>
    </row>
    <row r="108" spans="1:26" x14ac:dyDescent="0.2">
      <c r="A108" s="412"/>
      <c r="B108" s="412"/>
      <c r="C108" s="412"/>
      <c r="D108" s="416" t="s">
        <v>715</v>
      </c>
      <c r="E108" s="417"/>
      <c r="F108" s="417"/>
      <c r="G108" s="417"/>
      <c r="H108" s="418">
        <v>27988.41</v>
      </c>
      <c r="I108" s="412"/>
      <c r="J108" s="412"/>
      <c r="K108" s="412"/>
      <c r="L108" s="412"/>
    </row>
    <row r="109" spans="1:26" ht="30.6" x14ac:dyDescent="0.2">
      <c r="A109" s="403">
        <v>10</v>
      </c>
      <c r="B109" s="403">
        <v>10</v>
      </c>
      <c r="C109" s="403" t="s">
        <v>766</v>
      </c>
      <c r="D109" s="403" t="s">
        <v>1536</v>
      </c>
      <c r="E109" s="404">
        <v>20.9</v>
      </c>
      <c r="F109" s="405">
        <v>101.17976</v>
      </c>
      <c r="G109" s="405" t="s">
        <v>281</v>
      </c>
      <c r="H109" s="406">
        <v>17255.669999999998</v>
      </c>
      <c r="I109" s="406" t="s">
        <v>281</v>
      </c>
      <c r="J109" s="406" t="s">
        <v>281</v>
      </c>
      <c r="K109" s="405" t="s">
        <v>281</v>
      </c>
      <c r="L109" s="405" t="s">
        <v>281</v>
      </c>
      <c r="T109" s="435">
        <v>17255.669999999998</v>
      </c>
      <c r="V109" s="435" t="s">
        <v>281</v>
      </c>
      <c r="W109" s="435" t="s">
        <v>281</v>
      </c>
      <c r="X109" s="435" t="s">
        <v>281</v>
      </c>
      <c r="Y109" s="435" t="s">
        <v>281</v>
      </c>
      <c r="Z109" s="435" t="s">
        <v>281</v>
      </c>
    </row>
    <row r="110" spans="1:26" x14ac:dyDescent="0.2">
      <c r="A110" s="407"/>
      <c r="B110" s="407"/>
      <c r="C110" s="407"/>
      <c r="D110" s="408" t="s">
        <v>745</v>
      </c>
      <c r="E110" s="409"/>
      <c r="F110" s="410" t="s">
        <v>281</v>
      </c>
      <c r="G110" s="410" t="s">
        <v>281</v>
      </c>
      <c r="H110" s="409"/>
      <c r="I110" s="409"/>
      <c r="J110" s="411" t="s">
        <v>281</v>
      </c>
      <c r="K110" s="410" t="s">
        <v>281</v>
      </c>
      <c r="L110" s="410" t="s">
        <v>281</v>
      </c>
    </row>
    <row r="111" spans="1:26" x14ac:dyDescent="0.2">
      <c r="A111" s="412"/>
      <c r="B111" s="412"/>
      <c r="C111" s="412"/>
      <c r="D111" s="395" t="s">
        <v>718</v>
      </c>
      <c r="E111" s="412"/>
      <c r="F111" s="412"/>
      <c r="G111" s="412"/>
      <c r="H111" s="412"/>
      <c r="I111" s="412"/>
      <c r="J111" s="412"/>
      <c r="K111" s="412"/>
      <c r="L111" s="412"/>
    </row>
    <row r="112" spans="1:26" ht="40.799999999999997" x14ac:dyDescent="0.2">
      <c r="A112" s="403">
        <v>11</v>
      </c>
      <c r="B112" s="403">
        <v>11</v>
      </c>
      <c r="C112" s="403" t="s">
        <v>1281</v>
      </c>
      <c r="D112" s="403" t="s">
        <v>1268</v>
      </c>
      <c r="E112" s="404">
        <v>0.75</v>
      </c>
      <c r="F112" s="405">
        <v>393.70684999999997</v>
      </c>
      <c r="G112" s="405">
        <v>88.736874999999998</v>
      </c>
      <c r="H112" s="406">
        <v>9004.59</v>
      </c>
      <c r="I112" s="406">
        <v>7651.64</v>
      </c>
      <c r="J112" s="406">
        <v>881.16</v>
      </c>
      <c r="K112" s="405">
        <v>26.714500000000001</v>
      </c>
      <c r="L112" s="405">
        <v>20.035875000000001</v>
      </c>
      <c r="T112" s="435">
        <v>19013.79</v>
      </c>
      <c r="V112" s="435">
        <v>7651.64</v>
      </c>
      <c r="W112" s="435">
        <v>881.16</v>
      </c>
      <c r="X112" s="435">
        <v>430.07</v>
      </c>
      <c r="Y112" s="435">
        <v>20.035875000000001</v>
      </c>
      <c r="Z112" s="435">
        <v>0.77625</v>
      </c>
    </row>
    <row r="113" spans="1:26" x14ac:dyDescent="0.2">
      <c r="A113" s="407"/>
      <c r="B113" s="407"/>
      <c r="C113" s="407"/>
      <c r="D113" s="408" t="s">
        <v>831</v>
      </c>
      <c r="E113" s="409"/>
      <c r="F113" s="410">
        <v>227.879975</v>
      </c>
      <c r="G113" s="410">
        <v>12.808125</v>
      </c>
      <c r="H113" s="409"/>
      <c r="I113" s="409"/>
      <c r="J113" s="411">
        <v>430.07</v>
      </c>
      <c r="K113" s="410">
        <v>1.0349999999999999</v>
      </c>
      <c r="L113" s="410">
        <v>0.77625</v>
      </c>
    </row>
    <row r="114" spans="1:26" ht="20.399999999999999" x14ac:dyDescent="0.2">
      <c r="A114" s="412"/>
      <c r="B114" s="412"/>
      <c r="C114" s="412"/>
      <c r="D114" s="395" t="s">
        <v>714</v>
      </c>
      <c r="E114" s="412"/>
      <c r="F114" s="412"/>
      <c r="G114" s="412"/>
      <c r="H114" s="412"/>
      <c r="I114" s="412"/>
      <c r="J114" s="412"/>
      <c r="K114" s="412"/>
      <c r="L114" s="412"/>
    </row>
    <row r="115" spans="1:26" ht="20.399999999999999" x14ac:dyDescent="0.2">
      <c r="A115" s="412"/>
      <c r="B115" s="412"/>
      <c r="C115" s="412"/>
      <c r="D115" s="395" t="s">
        <v>978</v>
      </c>
      <c r="E115" s="412"/>
      <c r="F115" s="412"/>
      <c r="G115" s="412"/>
      <c r="H115" s="412"/>
      <c r="I115" s="412"/>
      <c r="J115" s="412"/>
      <c r="K115" s="412"/>
      <c r="L115" s="412"/>
    </row>
    <row r="116" spans="1:26" ht="132.6" x14ac:dyDescent="0.2">
      <c r="A116" s="412"/>
      <c r="B116" s="412"/>
      <c r="C116" s="412"/>
      <c r="D116" s="395" t="s">
        <v>979</v>
      </c>
      <c r="E116" s="412"/>
      <c r="F116" s="412"/>
      <c r="G116" s="412"/>
      <c r="H116" s="412"/>
      <c r="I116" s="412"/>
      <c r="J116" s="412"/>
      <c r="K116" s="412"/>
      <c r="L116" s="412"/>
    </row>
    <row r="117" spans="1:26" x14ac:dyDescent="0.2">
      <c r="A117" s="412"/>
      <c r="B117" s="412"/>
      <c r="C117" s="412"/>
      <c r="D117" s="413" t="s">
        <v>206</v>
      </c>
      <c r="E117" s="414" t="s">
        <v>770</v>
      </c>
      <c r="F117" s="414"/>
      <c r="G117" s="414"/>
      <c r="H117" s="415">
        <v>7192.72</v>
      </c>
      <c r="I117" s="412"/>
      <c r="J117" s="412"/>
      <c r="K117" s="412"/>
      <c r="L117" s="412"/>
    </row>
    <row r="118" spans="1:26" x14ac:dyDescent="0.2">
      <c r="A118" s="412"/>
      <c r="B118" s="412"/>
      <c r="C118" s="412"/>
      <c r="D118" s="413" t="s">
        <v>207</v>
      </c>
      <c r="E118" s="414" t="s">
        <v>1240</v>
      </c>
      <c r="F118" s="414"/>
      <c r="G118" s="414"/>
      <c r="H118" s="415">
        <v>2816.48</v>
      </c>
      <c r="I118" s="412"/>
      <c r="J118" s="412"/>
      <c r="K118" s="412"/>
      <c r="L118" s="412"/>
    </row>
    <row r="119" spans="1:26" x14ac:dyDescent="0.2">
      <c r="A119" s="412"/>
      <c r="B119" s="412"/>
      <c r="C119" s="412"/>
      <c r="D119" s="416" t="s">
        <v>715</v>
      </c>
      <c r="E119" s="417"/>
      <c r="F119" s="417"/>
      <c r="G119" s="417"/>
      <c r="H119" s="418">
        <v>19013.79</v>
      </c>
      <c r="I119" s="412"/>
      <c r="J119" s="412"/>
      <c r="K119" s="412"/>
      <c r="L119" s="412"/>
    </row>
    <row r="120" spans="1:26" x14ac:dyDescent="0.2">
      <c r="A120" s="403">
        <v>12</v>
      </c>
      <c r="B120" s="403">
        <v>12</v>
      </c>
      <c r="C120" s="403" t="s">
        <v>1282</v>
      </c>
      <c r="D120" s="403" t="s">
        <v>1578</v>
      </c>
      <c r="E120" s="404">
        <v>16.5</v>
      </c>
      <c r="F120" s="405">
        <v>35.53</v>
      </c>
      <c r="G120" s="405" t="s">
        <v>281</v>
      </c>
      <c r="H120" s="406">
        <v>4783.68</v>
      </c>
      <c r="I120" s="406" t="s">
        <v>281</v>
      </c>
      <c r="J120" s="406" t="s">
        <v>281</v>
      </c>
      <c r="K120" s="405" t="s">
        <v>281</v>
      </c>
      <c r="L120" s="405" t="s">
        <v>281</v>
      </c>
      <c r="T120" s="435">
        <v>4783.68</v>
      </c>
      <c r="V120" s="435" t="s">
        <v>281</v>
      </c>
      <c r="W120" s="435" t="s">
        <v>281</v>
      </c>
      <c r="X120" s="435" t="s">
        <v>281</v>
      </c>
      <c r="Y120" s="435" t="s">
        <v>281</v>
      </c>
      <c r="Z120" s="435" t="s">
        <v>281</v>
      </c>
    </row>
    <row r="121" spans="1:26" x14ac:dyDescent="0.2">
      <c r="A121" s="407"/>
      <c r="B121" s="407"/>
      <c r="C121" s="407"/>
      <c r="D121" s="408" t="s">
        <v>898</v>
      </c>
      <c r="E121" s="409"/>
      <c r="F121" s="410" t="s">
        <v>281</v>
      </c>
      <c r="G121" s="410" t="s">
        <v>281</v>
      </c>
      <c r="H121" s="409"/>
      <c r="I121" s="409"/>
      <c r="J121" s="411" t="s">
        <v>281</v>
      </c>
      <c r="K121" s="410" t="s">
        <v>281</v>
      </c>
      <c r="L121" s="410" t="s">
        <v>281</v>
      </c>
    </row>
    <row r="122" spans="1:26" x14ac:dyDescent="0.2">
      <c r="A122" s="412"/>
      <c r="B122" s="412"/>
      <c r="C122" s="412"/>
      <c r="D122" s="395" t="s">
        <v>718</v>
      </c>
      <c r="E122" s="412"/>
      <c r="F122" s="412"/>
      <c r="G122" s="412"/>
      <c r="H122" s="412"/>
      <c r="I122" s="412"/>
      <c r="J122" s="412"/>
      <c r="K122" s="412"/>
      <c r="L122" s="412"/>
    </row>
    <row r="123" spans="1:26" ht="30.6" x14ac:dyDescent="0.2">
      <c r="A123" s="403">
        <v>13</v>
      </c>
      <c r="B123" s="403">
        <v>13</v>
      </c>
      <c r="C123" s="403" t="s">
        <v>744</v>
      </c>
      <c r="D123" s="403" t="s">
        <v>1577</v>
      </c>
      <c r="E123" s="404">
        <v>381</v>
      </c>
      <c r="F123" s="405">
        <v>162.37745100000001</v>
      </c>
      <c r="G123" s="405" t="s">
        <v>281</v>
      </c>
      <c r="H123" s="406">
        <v>504825</v>
      </c>
      <c r="I123" s="406" t="s">
        <v>281</v>
      </c>
      <c r="J123" s="406" t="s">
        <v>281</v>
      </c>
      <c r="K123" s="405" t="s">
        <v>281</v>
      </c>
      <c r="L123" s="405" t="s">
        <v>281</v>
      </c>
      <c r="T123" s="435">
        <v>504825</v>
      </c>
      <c r="V123" s="435" t="s">
        <v>281</v>
      </c>
      <c r="W123" s="435" t="s">
        <v>281</v>
      </c>
      <c r="X123" s="435" t="s">
        <v>281</v>
      </c>
      <c r="Y123" s="435" t="s">
        <v>281</v>
      </c>
      <c r="Z123" s="435" t="s">
        <v>281</v>
      </c>
    </row>
    <row r="124" spans="1:26" x14ac:dyDescent="0.2">
      <c r="A124" s="407"/>
      <c r="B124" s="407"/>
      <c r="C124" s="407"/>
      <c r="D124" s="408" t="s">
        <v>745</v>
      </c>
      <c r="E124" s="409"/>
      <c r="F124" s="410" t="s">
        <v>281</v>
      </c>
      <c r="G124" s="410" t="s">
        <v>281</v>
      </c>
      <c r="H124" s="409"/>
      <c r="I124" s="409"/>
      <c r="J124" s="411" t="s">
        <v>281</v>
      </c>
      <c r="K124" s="410" t="s">
        <v>281</v>
      </c>
      <c r="L124" s="410" t="s">
        <v>281</v>
      </c>
    </row>
    <row r="125" spans="1:26" x14ac:dyDescent="0.2">
      <c r="A125" s="412"/>
      <c r="B125" s="412"/>
      <c r="C125" s="412"/>
      <c r="D125" s="395" t="s">
        <v>718</v>
      </c>
      <c r="E125" s="412"/>
      <c r="F125" s="412"/>
      <c r="G125" s="412"/>
      <c r="H125" s="412"/>
      <c r="I125" s="412"/>
      <c r="J125" s="412"/>
      <c r="K125" s="412"/>
      <c r="L125" s="412"/>
    </row>
    <row r="126" spans="1:26" x14ac:dyDescent="0.2">
      <c r="A126" s="412"/>
      <c r="B126" s="412"/>
      <c r="C126" s="412"/>
      <c r="D126" s="412"/>
      <c r="E126" s="412"/>
      <c r="F126" s="412"/>
      <c r="G126" s="412"/>
      <c r="H126" s="412"/>
      <c r="I126" s="412"/>
      <c r="J126" s="412"/>
      <c r="K126" s="412"/>
      <c r="L126" s="412"/>
    </row>
    <row r="127" spans="1:26" x14ac:dyDescent="0.2">
      <c r="A127" s="1087" t="s">
        <v>1283</v>
      </c>
      <c r="B127" s="1087"/>
      <c r="C127" s="1087"/>
      <c r="D127" s="1087"/>
      <c r="E127" s="1087"/>
      <c r="F127" s="1087"/>
      <c r="G127" s="1087"/>
      <c r="H127" s="1087"/>
      <c r="I127" s="1087"/>
      <c r="J127" s="1087"/>
      <c r="K127" s="1087"/>
      <c r="L127" s="1087"/>
    </row>
    <row r="128" spans="1:26" ht="40.799999999999997" x14ac:dyDescent="0.2">
      <c r="A128" s="403">
        <v>14</v>
      </c>
      <c r="B128" s="403">
        <v>14</v>
      </c>
      <c r="C128" s="403" t="s">
        <v>1244</v>
      </c>
      <c r="D128" s="403" t="s">
        <v>1228</v>
      </c>
      <c r="E128" s="404">
        <v>0.10100000000000001</v>
      </c>
      <c r="F128" s="405">
        <v>7509.6112000000003</v>
      </c>
      <c r="G128" s="405">
        <v>4718.3062499999996</v>
      </c>
      <c r="H128" s="406">
        <v>18833.310000000001</v>
      </c>
      <c r="I128" s="406">
        <v>12501.99</v>
      </c>
      <c r="J128" s="406">
        <v>6309.51</v>
      </c>
      <c r="K128" s="405">
        <v>297.61540000000002</v>
      </c>
      <c r="L128" s="405">
        <v>30.059155000000001</v>
      </c>
      <c r="T128" s="435">
        <v>46138.75</v>
      </c>
      <c r="V128" s="435">
        <v>12501.99</v>
      </c>
      <c r="W128" s="435">
        <v>6309.51</v>
      </c>
      <c r="X128" s="435">
        <v>2676.13</v>
      </c>
      <c r="Y128" s="435">
        <v>30.059155000000001</v>
      </c>
      <c r="Z128" s="435">
        <v>4.4659680000000002</v>
      </c>
    </row>
    <row r="129" spans="1:26" x14ac:dyDescent="0.2">
      <c r="A129" s="407"/>
      <c r="B129" s="407"/>
      <c r="C129" s="407"/>
      <c r="D129" s="408" t="s">
        <v>1245</v>
      </c>
      <c r="E129" s="409"/>
      <c r="F129" s="410">
        <v>2764.8449500000002</v>
      </c>
      <c r="G129" s="410">
        <v>591.833125</v>
      </c>
      <c r="H129" s="409"/>
      <c r="I129" s="409"/>
      <c r="J129" s="411">
        <v>2676.13</v>
      </c>
      <c r="K129" s="410">
        <v>44.217500000000001</v>
      </c>
      <c r="L129" s="410">
        <v>4.4659680000000002</v>
      </c>
    </row>
    <row r="130" spans="1:26" ht="20.399999999999999" x14ac:dyDescent="0.2">
      <c r="A130" s="412"/>
      <c r="B130" s="412"/>
      <c r="C130" s="412"/>
      <c r="D130" s="395" t="s">
        <v>714</v>
      </c>
      <c r="E130" s="412"/>
      <c r="F130" s="412"/>
      <c r="G130" s="412"/>
      <c r="H130" s="412"/>
      <c r="I130" s="412"/>
      <c r="J130" s="412"/>
      <c r="K130" s="412"/>
      <c r="L130" s="412"/>
    </row>
    <row r="131" spans="1:26" ht="20.399999999999999" x14ac:dyDescent="0.2">
      <c r="A131" s="412"/>
      <c r="B131" s="412"/>
      <c r="C131" s="412"/>
      <c r="D131" s="395" t="s">
        <v>978</v>
      </c>
      <c r="E131" s="412"/>
      <c r="F131" s="412"/>
      <c r="G131" s="412"/>
      <c r="H131" s="412"/>
      <c r="I131" s="412"/>
      <c r="J131" s="412"/>
      <c r="K131" s="412"/>
      <c r="L131" s="412"/>
    </row>
    <row r="132" spans="1:26" ht="132.6" x14ac:dyDescent="0.2">
      <c r="A132" s="412"/>
      <c r="B132" s="412"/>
      <c r="C132" s="412"/>
      <c r="D132" s="395" t="s">
        <v>979</v>
      </c>
      <c r="E132" s="412"/>
      <c r="F132" s="412"/>
      <c r="G132" s="412"/>
      <c r="H132" s="412"/>
      <c r="I132" s="412"/>
      <c r="J132" s="412"/>
      <c r="K132" s="412"/>
      <c r="L132" s="412"/>
    </row>
    <row r="133" spans="1:26" x14ac:dyDescent="0.2">
      <c r="A133" s="412"/>
      <c r="B133" s="412"/>
      <c r="C133" s="412"/>
      <c r="D133" s="413" t="s">
        <v>206</v>
      </c>
      <c r="E133" s="414" t="s">
        <v>1242</v>
      </c>
      <c r="F133" s="414"/>
      <c r="G133" s="414"/>
      <c r="H133" s="415">
        <v>17758.400000000001</v>
      </c>
      <c r="I133" s="412"/>
      <c r="J133" s="412"/>
      <c r="K133" s="412"/>
      <c r="L133" s="412"/>
    </row>
    <row r="134" spans="1:26" x14ac:dyDescent="0.2">
      <c r="A134" s="412"/>
      <c r="B134" s="412"/>
      <c r="C134" s="412"/>
      <c r="D134" s="413" t="s">
        <v>207</v>
      </c>
      <c r="E134" s="414" t="s">
        <v>1243</v>
      </c>
      <c r="F134" s="414"/>
      <c r="G134" s="414"/>
      <c r="H134" s="415">
        <v>9547.0400000000009</v>
      </c>
      <c r="I134" s="412"/>
      <c r="J134" s="412"/>
      <c r="K134" s="412"/>
      <c r="L134" s="412"/>
    </row>
    <row r="135" spans="1:26" x14ac:dyDescent="0.2">
      <c r="A135" s="412"/>
      <c r="B135" s="412"/>
      <c r="C135" s="412"/>
      <c r="D135" s="416" t="s">
        <v>715</v>
      </c>
      <c r="E135" s="417"/>
      <c r="F135" s="417"/>
      <c r="G135" s="417"/>
      <c r="H135" s="418">
        <v>46138.75</v>
      </c>
      <c r="I135" s="412"/>
      <c r="J135" s="412"/>
      <c r="K135" s="412"/>
      <c r="L135" s="412"/>
    </row>
    <row r="136" spans="1:26" ht="40.799999999999997" x14ac:dyDescent="0.2">
      <c r="A136" s="403">
        <v>15</v>
      </c>
      <c r="B136" s="403">
        <v>15</v>
      </c>
      <c r="C136" s="403" t="s">
        <v>1246</v>
      </c>
      <c r="D136" s="403" t="s">
        <v>1561</v>
      </c>
      <c r="E136" s="404">
        <v>101.80800000000001</v>
      </c>
      <c r="F136" s="405">
        <v>124.92</v>
      </c>
      <c r="G136" s="405" t="s">
        <v>281</v>
      </c>
      <c r="H136" s="406">
        <v>103777.98</v>
      </c>
      <c r="I136" s="406" t="s">
        <v>281</v>
      </c>
      <c r="J136" s="406" t="s">
        <v>281</v>
      </c>
      <c r="K136" s="405" t="s">
        <v>281</v>
      </c>
      <c r="L136" s="405" t="s">
        <v>281</v>
      </c>
      <c r="T136" s="435">
        <v>103777.98</v>
      </c>
      <c r="V136" s="435" t="s">
        <v>281</v>
      </c>
      <c r="W136" s="435" t="s">
        <v>281</v>
      </c>
      <c r="X136" s="435" t="s">
        <v>281</v>
      </c>
      <c r="Y136" s="435" t="s">
        <v>281</v>
      </c>
      <c r="Z136" s="435" t="s">
        <v>281</v>
      </c>
    </row>
    <row r="137" spans="1:26" x14ac:dyDescent="0.2">
      <c r="A137" s="407"/>
      <c r="B137" s="407"/>
      <c r="C137" s="407"/>
      <c r="D137" s="408" t="s">
        <v>883</v>
      </c>
      <c r="E137" s="409"/>
      <c r="F137" s="410" t="s">
        <v>281</v>
      </c>
      <c r="G137" s="410" t="s">
        <v>281</v>
      </c>
      <c r="H137" s="409"/>
      <c r="I137" s="409"/>
      <c r="J137" s="411" t="s">
        <v>281</v>
      </c>
      <c r="K137" s="410" t="s">
        <v>281</v>
      </c>
      <c r="L137" s="410" t="s">
        <v>281</v>
      </c>
    </row>
    <row r="138" spans="1:26" x14ac:dyDescent="0.2">
      <c r="A138" s="412"/>
      <c r="B138" s="412"/>
      <c r="C138" s="412"/>
      <c r="D138" s="395" t="s">
        <v>718</v>
      </c>
      <c r="E138" s="412"/>
      <c r="F138" s="412"/>
      <c r="G138" s="412"/>
      <c r="H138" s="412"/>
      <c r="I138" s="412"/>
      <c r="J138" s="412"/>
      <c r="K138" s="412"/>
      <c r="L138" s="412"/>
    </row>
    <row r="139" spans="1:26" ht="51" x14ac:dyDescent="0.2">
      <c r="A139" s="403">
        <v>16</v>
      </c>
      <c r="B139" s="403">
        <v>16</v>
      </c>
      <c r="C139" s="403" t="s">
        <v>1247</v>
      </c>
      <c r="D139" s="403" t="s">
        <v>1227</v>
      </c>
      <c r="E139" s="404">
        <v>0.28999999999999998</v>
      </c>
      <c r="F139" s="405">
        <v>2281.150075</v>
      </c>
      <c r="G139" s="405">
        <v>1730.505625</v>
      </c>
      <c r="H139" s="406">
        <v>12845.22</v>
      </c>
      <c r="I139" s="406">
        <v>5989.38</v>
      </c>
      <c r="J139" s="406">
        <v>6644.45</v>
      </c>
      <c r="K139" s="405">
        <v>47.953850000000003</v>
      </c>
      <c r="L139" s="405">
        <v>13.906617000000001</v>
      </c>
      <c r="T139" s="435">
        <v>27003.87</v>
      </c>
      <c r="V139" s="435">
        <v>5989.38</v>
      </c>
      <c r="W139" s="435">
        <v>6644.45</v>
      </c>
      <c r="X139" s="435">
        <v>1880.91</v>
      </c>
      <c r="Y139" s="435">
        <v>13.906617000000001</v>
      </c>
      <c r="Z139" s="435">
        <v>2.9181249999999999</v>
      </c>
    </row>
    <row r="140" spans="1:26" x14ac:dyDescent="0.2">
      <c r="A140" s="407"/>
      <c r="B140" s="407"/>
      <c r="C140" s="407"/>
      <c r="D140" s="408" t="s">
        <v>747</v>
      </c>
      <c r="E140" s="409"/>
      <c r="F140" s="410">
        <v>461.31445000000002</v>
      </c>
      <c r="G140" s="410">
        <v>144.87125</v>
      </c>
      <c r="H140" s="409"/>
      <c r="I140" s="409"/>
      <c r="J140" s="411">
        <v>1880.91</v>
      </c>
      <c r="K140" s="410">
        <v>10.0625</v>
      </c>
      <c r="L140" s="410">
        <v>2.9181249999999999</v>
      </c>
    </row>
    <row r="141" spans="1:26" ht="20.399999999999999" x14ac:dyDescent="0.2">
      <c r="A141" s="412"/>
      <c r="B141" s="412"/>
      <c r="C141" s="412"/>
      <c r="D141" s="395" t="s">
        <v>714</v>
      </c>
      <c r="E141" s="412"/>
      <c r="F141" s="412"/>
      <c r="G141" s="412"/>
      <c r="H141" s="412"/>
      <c r="I141" s="412"/>
      <c r="J141" s="412"/>
      <c r="K141" s="412"/>
      <c r="L141" s="412"/>
    </row>
    <row r="142" spans="1:26" ht="20.399999999999999" x14ac:dyDescent="0.2">
      <c r="A142" s="412"/>
      <c r="B142" s="412"/>
      <c r="C142" s="412"/>
      <c r="D142" s="395" t="s">
        <v>978</v>
      </c>
      <c r="E142" s="412"/>
      <c r="F142" s="412"/>
      <c r="G142" s="412"/>
      <c r="H142" s="412"/>
      <c r="I142" s="412"/>
      <c r="J142" s="412"/>
      <c r="K142" s="412"/>
      <c r="L142" s="412"/>
    </row>
    <row r="143" spans="1:26" ht="132.6" x14ac:dyDescent="0.2">
      <c r="A143" s="412"/>
      <c r="B143" s="412"/>
      <c r="C143" s="412"/>
      <c r="D143" s="395" t="s">
        <v>979</v>
      </c>
      <c r="E143" s="412"/>
      <c r="F143" s="412"/>
      <c r="G143" s="412"/>
      <c r="H143" s="412"/>
      <c r="I143" s="412"/>
      <c r="J143" s="412"/>
      <c r="K143" s="412"/>
      <c r="L143" s="412"/>
    </row>
    <row r="144" spans="1:26" x14ac:dyDescent="0.2">
      <c r="A144" s="412"/>
      <c r="B144" s="412"/>
      <c r="C144" s="412"/>
      <c r="D144" s="413" t="s">
        <v>206</v>
      </c>
      <c r="E144" s="414" t="s">
        <v>1242</v>
      </c>
      <c r="F144" s="414"/>
      <c r="G144" s="414"/>
      <c r="H144" s="415">
        <v>9208.24</v>
      </c>
      <c r="I144" s="412"/>
      <c r="J144" s="412"/>
      <c r="K144" s="412"/>
      <c r="L144" s="412"/>
    </row>
    <row r="145" spans="1:26" x14ac:dyDescent="0.2">
      <c r="A145" s="412"/>
      <c r="B145" s="412"/>
      <c r="C145" s="412"/>
      <c r="D145" s="413" t="s">
        <v>207</v>
      </c>
      <c r="E145" s="414" t="s">
        <v>1243</v>
      </c>
      <c r="F145" s="414"/>
      <c r="G145" s="414"/>
      <c r="H145" s="415">
        <v>4950.41</v>
      </c>
      <c r="I145" s="412"/>
      <c r="J145" s="412"/>
      <c r="K145" s="412"/>
      <c r="L145" s="412"/>
    </row>
    <row r="146" spans="1:26" x14ac:dyDescent="0.2">
      <c r="A146" s="412"/>
      <c r="B146" s="412"/>
      <c r="C146" s="412"/>
      <c r="D146" s="416" t="s">
        <v>715</v>
      </c>
      <c r="E146" s="417"/>
      <c r="F146" s="417"/>
      <c r="G146" s="417"/>
      <c r="H146" s="418">
        <v>27003.87</v>
      </c>
      <c r="I146" s="412"/>
      <c r="J146" s="412"/>
      <c r="K146" s="412"/>
      <c r="L146" s="412"/>
    </row>
    <row r="147" spans="1:26" ht="40.799999999999997" x14ac:dyDescent="0.2">
      <c r="A147" s="403">
        <v>17</v>
      </c>
      <c r="B147" s="403">
        <v>17</v>
      </c>
      <c r="C147" s="403" t="s">
        <v>1248</v>
      </c>
      <c r="D147" s="403" t="s">
        <v>1560</v>
      </c>
      <c r="E147" s="404">
        <v>29.29</v>
      </c>
      <c r="F147" s="405">
        <v>372.56</v>
      </c>
      <c r="G147" s="405" t="s">
        <v>281</v>
      </c>
      <c r="H147" s="406">
        <v>89044.24</v>
      </c>
      <c r="I147" s="406" t="s">
        <v>281</v>
      </c>
      <c r="J147" s="406" t="s">
        <v>281</v>
      </c>
      <c r="K147" s="405" t="s">
        <v>281</v>
      </c>
      <c r="L147" s="405" t="s">
        <v>281</v>
      </c>
      <c r="T147" s="435">
        <v>89044.24</v>
      </c>
      <c r="V147" s="435" t="s">
        <v>281</v>
      </c>
      <c r="W147" s="435" t="s">
        <v>281</v>
      </c>
      <c r="X147" s="435" t="s">
        <v>281</v>
      </c>
      <c r="Y147" s="435" t="s">
        <v>281</v>
      </c>
      <c r="Z147" s="435" t="s">
        <v>281</v>
      </c>
    </row>
    <row r="148" spans="1:26" x14ac:dyDescent="0.2">
      <c r="A148" s="407"/>
      <c r="B148" s="407"/>
      <c r="C148" s="407"/>
      <c r="D148" s="408" t="s">
        <v>883</v>
      </c>
      <c r="E148" s="409"/>
      <c r="F148" s="410" t="s">
        <v>281</v>
      </c>
      <c r="G148" s="410" t="s">
        <v>281</v>
      </c>
      <c r="H148" s="409"/>
      <c r="I148" s="409"/>
      <c r="J148" s="411" t="s">
        <v>281</v>
      </c>
      <c r="K148" s="410" t="s">
        <v>281</v>
      </c>
      <c r="L148" s="410" t="s">
        <v>281</v>
      </c>
    </row>
    <row r="149" spans="1:26" x14ac:dyDescent="0.2">
      <c r="A149" s="412"/>
      <c r="B149" s="412"/>
      <c r="C149" s="412"/>
      <c r="D149" s="395" t="s">
        <v>718</v>
      </c>
      <c r="E149" s="412"/>
      <c r="F149" s="412"/>
      <c r="G149" s="412"/>
      <c r="H149" s="412"/>
      <c r="I149" s="412"/>
      <c r="J149" s="412"/>
      <c r="K149" s="412"/>
      <c r="L149" s="412"/>
    </row>
    <row r="150" spans="1:26" ht="61.2" x14ac:dyDescent="0.2">
      <c r="A150" s="403">
        <v>18</v>
      </c>
      <c r="B150" s="403">
        <v>18</v>
      </c>
      <c r="C150" s="403" t="s">
        <v>1284</v>
      </c>
      <c r="D150" s="403" t="s">
        <v>1269</v>
      </c>
      <c r="E150" s="404">
        <v>2.9000000000000001E-2</v>
      </c>
      <c r="F150" s="405">
        <v>27959.474249999999</v>
      </c>
      <c r="G150" s="405">
        <v>12797.918750000001</v>
      </c>
      <c r="H150" s="406">
        <v>13213.55</v>
      </c>
      <c r="I150" s="406">
        <v>5762.05</v>
      </c>
      <c r="J150" s="406">
        <v>4913.8900000000003</v>
      </c>
      <c r="K150" s="405">
        <v>472.13249999999999</v>
      </c>
      <c r="L150" s="405">
        <v>13.691843</v>
      </c>
      <c r="T150" s="435">
        <v>24940.91</v>
      </c>
      <c r="V150" s="435">
        <v>5762.05</v>
      </c>
      <c r="W150" s="435">
        <v>4913.8900000000003</v>
      </c>
      <c r="X150" s="435">
        <v>756.77</v>
      </c>
      <c r="Y150" s="435">
        <v>13.691843</v>
      </c>
      <c r="Z150" s="435">
        <v>1.179756</v>
      </c>
    </row>
    <row r="151" spans="1:26" x14ac:dyDescent="0.2">
      <c r="A151" s="407"/>
      <c r="B151" s="407"/>
      <c r="C151" s="407"/>
      <c r="D151" s="408" t="s">
        <v>1245</v>
      </c>
      <c r="E151" s="409"/>
      <c r="F151" s="410">
        <v>4438.0455000000002</v>
      </c>
      <c r="G151" s="410">
        <v>582.87750000000005</v>
      </c>
      <c r="H151" s="409"/>
      <c r="I151" s="409"/>
      <c r="J151" s="411">
        <v>756.77</v>
      </c>
      <c r="K151" s="410">
        <v>40.681249999999999</v>
      </c>
      <c r="L151" s="410">
        <v>1.179756</v>
      </c>
    </row>
    <row r="152" spans="1:26" ht="20.399999999999999" x14ac:dyDescent="0.2">
      <c r="A152" s="412"/>
      <c r="B152" s="412"/>
      <c r="C152" s="412"/>
      <c r="D152" s="395" t="s">
        <v>714</v>
      </c>
      <c r="E152" s="412"/>
      <c r="F152" s="412"/>
      <c r="G152" s="412"/>
      <c r="H152" s="412"/>
      <c r="I152" s="412"/>
      <c r="J152" s="412"/>
      <c r="K152" s="412"/>
      <c r="L152" s="412"/>
    </row>
    <row r="153" spans="1:26" ht="20.399999999999999" x14ac:dyDescent="0.2">
      <c r="A153" s="412"/>
      <c r="B153" s="412"/>
      <c r="C153" s="412"/>
      <c r="D153" s="395" t="s">
        <v>978</v>
      </c>
      <c r="E153" s="412"/>
      <c r="F153" s="412"/>
      <c r="G153" s="412"/>
      <c r="H153" s="412"/>
      <c r="I153" s="412"/>
      <c r="J153" s="412"/>
      <c r="K153" s="412"/>
      <c r="L153" s="412"/>
    </row>
    <row r="154" spans="1:26" ht="132.6" x14ac:dyDescent="0.2">
      <c r="A154" s="412"/>
      <c r="B154" s="412"/>
      <c r="C154" s="412"/>
      <c r="D154" s="395" t="s">
        <v>979</v>
      </c>
      <c r="E154" s="412"/>
      <c r="F154" s="412"/>
      <c r="G154" s="412"/>
      <c r="H154" s="412"/>
      <c r="I154" s="412"/>
      <c r="J154" s="412"/>
      <c r="K154" s="412"/>
      <c r="L154" s="412"/>
    </row>
    <row r="155" spans="1:26" x14ac:dyDescent="0.2">
      <c r="A155" s="412"/>
      <c r="B155" s="412"/>
      <c r="C155" s="412"/>
      <c r="D155" s="413" t="s">
        <v>206</v>
      </c>
      <c r="E155" s="414" t="s">
        <v>1242</v>
      </c>
      <c r="F155" s="414"/>
      <c r="G155" s="414"/>
      <c r="H155" s="415">
        <v>7627.02</v>
      </c>
      <c r="I155" s="412"/>
      <c r="J155" s="412"/>
      <c r="K155" s="412"/>
      <c r="L155" s="412"/>
    </row>
    <row r="156" spans="1:26" x14ac:dyDescent="0.2">
      <c r="A156" s="412"/>
      <c r="B156" s="412"/>
      <c r="C156" s="412"/>
      <c r="D156" s="413" t="s">
        <v>207</v>
      </c>
      <c r="E156" s="414" t="s">
        <v>1243</v>
      </c>
      <c r="F156" s="414"/>
      <c r="G156" s="414"/>
      <c r="H156" s="415">
        <v>4100.34</v>
      </c>
      <c r="I156" s="412"/>
      <c r="J156" s="412"/>
      <c r="K156" s="412"/>
      <c r="L156" s="412"/>
    </row>
    <row r="157" spans="1:26" x14ac:dyDescent="0.2">
      <c r="A157" s="412"/>
      <c r="B157" s="412"/>
      <c r="C157" s="412"/>
      <c r="D157" s="416" t="s">
        <v>715</v>
      </c>
      <c r="E157" s="417"/>
      <c r="F157" s="417"/>
      <c r="G157" s="417"/>
      <c r="H157" s="418">
        <v>24940.91</v>
      </c>
      <c r="I157" s="412"/>
      <c r="J157" s="412"/>
      <c r="K157" s="412"/>
      <c r="L157" s="412"/>
    </row>
    <row r="158" spans="1:26" ht="61.2" x14ac:dyDescent="0.2">
      <c r="A158" s="403">
        <v>19</v>
      </c>
      <c r="B158" s="403">
        <v>19</v>
      </c>
      <c r="C158" s="403" t="s">
        <v>1249</v>
      </c>
      <c r="D158" s="403" t="s">
        <v>1226</v>
      </c>
      <c r="E158" s="404">
        <v>2.9000000000000001E-2</v>
      </c>
      <c r="F158" s="405">
        <v>2931.8029499999998</v>
      </c>
      <c r="G158" s="405">
        <v>1383.9675</v>
      </c>
      <c r="H158" s="406">
        <v>1695.78</v>
      </c>
      <c r="I158" s="406">
        <v>976</v>
      </c>
      <c r="J158" s="406">
        <v>531.39</v>
      </c>
      <c r="K158" s="405">
        <v>75.779250000000005</v>
      </c>
      <c r="L158" s="405">
        <v>2.1975980000000002</v>
      </c>
      <c r="T158" s="435">
        <v>3898.22</v>
      </c>
      <c r="V158" s="435">
        <v>976</v>
      </c>
      <c r="W158" s="435">
        <v>531.39</v>
      </c>
      <c r="X158" s="435">
        <v>248.26</v>
      </c>
      <c r="Y158" s="435">
        <v>2.1975980000000002</v>
      </c>
      <c r="Z158" s="435">
        <v>0.439386</v>
      </c>
    </row>
    <row r="159" spans="1:26" x14ac:dyDescent="0.2">
      <c r="A159" s="407"/>
      <c r="B159" s="407"/>
      <c r="C159" s="407"/>
      <c r="D159" s="408" t="s">
        <v>1245</v>
      </c>
      <c r="E159" s="409"/>
      <c r="F159" s="410">
        <v>751.73545000000001</v>
      </c>
      <c r="G159" s="410">
        <v>191.21625</v>
      </c>
      <c r="H159" s="409"/>
      <c r="I159" s="409"/>
      <c r="J159" s="411">
        <v>248.26</v>
      </c>
      <c r="K159" s="410">
        <v>15.151249999999999</v>
      </c>
      <c r="L159" s="410">
        <v>0.439386</v>
      </c>
    </row>
    <row r="160" spans="1:26" ht="20.399999999999999" x14ac:dyDescent="0.2">
      <c r="A160" s="412"/>
      <c r="B160" s="412"/>
      <c r="C160" s="412"/>
      <c r="D160" s="395" t="s">
        <v>714</v>
      </c>
      <c r="E160" s="412"/>
      <c r="F160" s="412"/>
      <c r="G160" s="412"/>
      <c r="H160" s="412"/>
      <c r="I160" s="412"/>
      <c r="J160" s="412"/>
      <c r="K160" s="412"/>
      <c r="L160" s="412"/>
    </row>
    <row r="161" spans="1:26" ht="20.399999999999999" x14ac:dyDescent="0.2">
      <c r="A161" s="412"/>
      <c r="B161" s="412"/>
      <c r="C161" s="412"/>
      <c r="D161" s="395" t="s">
        <v>978</v>
      </c>
      <c r="E161" s="412"/>
      <c r="F161" s="412"/>
      <c r="G161" s="412"/>
      <c r="H161" s="412"/>
      <c r="I161" s="412"/>
      <c r="J161" s="412"/>
      <c r="K161" s="412"/>
      <c r="L161" s="412"/>
    </row>
    <row r="162" spans="1:26" ht="132.6" x14ac:dyDescent="0.2">
      <c r="A162" s="412"/>
      <c r="B162" s="412"/>
      <c r="C162" s="412"/>
      <c r="D162" s="395" t="s">
        <v>979</v>
      </c>
      <c r="E162" s="412"/>
      <c r="F162" s="412"/>
      <c r="G162" s="412"/>
      <c r="H162" s="412"/>
      <c r="I162" s="412"/>
      <c r="J162" s="412"/>
      <c r="K162" s="412"/>
      <c r="L162" s="412"/>
    </row>
    <row r="163" spans="1:26" x14ac:dyDescent="0.2">
      <c r="A163" s="412"/>
      <c r="B163" s="412"/>
      <c r="C163" s="412"/>
      <c r="D163" s="413" t="s">
        <v>206</v>
      </c>
      <c r="E163" s="414" t="s">
        <v>1242</v>
      </c>
      <c r="F163" s="414"/>
      <c r="G163" s="414"/>
      <c r="H163" s="415">
        <v>1432.38</v>
      </c>
      <c r="I163" s="412"/>
      <c r="J163" s="412"/>
      <c r="K163" s="412"/>
      <c r="L163" s="412"/>
    </row>
    <row r="164" spans="1:26" x14ac:dyDescent="0.2">
      <c r="A164" s="412"/>
      <c r="B164" s="412"/>
      <c r="C164" s="412"/>
      <c r="D164" s="413" t="s">
        <v>207</v>
      </c>
      <c r="E164" s="414" t="s">
        <v>1243</v>
      </c>
      <c r="F164" s="414"/>
      <c r="G164" s="414"/>
      <c r="H164" s="415">
        <v>770.06</v>
      </c>
      <c r="I164" s="412"/>
      <c r="J164" s="412"/>
      <c r="K164" s="412"/>
      <c r="L164" s="412"/>
    </row>
    <row r="165" spans="1:26" x14ac:dyDescent="0.2">
      <c r="A165" s="412"/>
      <c r="B165" s="412"/>
      <c r="C165" s="412"/>
      <c r="D165" s="416" t="s">
        <v>715</v>
      </c>
      <c r="E165" s="417"/>
      <c r="F165" s="417"/>
      <c r="G165" s="417"/>
      <c r="H165" s="418">
        <v>3898.22</v>
      </c>
      <c r="I165" s="412"/>
      <c r="J165" s="412"/>
      <c r="K165" s="412"/>
      <c r="L165" s="412"/>
    </row>
    <row r="166" spans="1:26" x14ac:dyDescent="0.2">
      <c r="A166" s="403">
        <v>20</v>
      </c>
      <c r="B166" s="403">
        <v>20</v>
      </c>
      <c r="C166" s="403" t="s">
        <v>1285</v>
      </c>
      <c r="D166" s="403" t="s">
        <v>1573</v>
      </c>
      <c r="E166" s="404">
        <v>0.29493000000000003</v>
      </c>
      <c r="F166" s="405">
        <v>43982.400000000001</v>
      </c>
      <c r="G166" s="405" t="s">
        <v>281</v>
      </c>
      <c r="H166" s="406">
        <v>105849.31</v>
      </c>
      <c r="I166" s="406" t="s">
        <v>281</v>
      </c>
      <c r="J166" s="406" t="s">
        <v>281</v>
      </c>
      <c r="K166" s="405" t="s">
        <v>281</v>
      </c>
      <c r="L166" s="405" t="s">
        <v>281</v>
      </c>
      <c r="T166" s="435">
        <v>105849.31</v>
      </c>
      <c r="V166" s="435" t="s">
        <v>281</v>
      </c>
      <c r="W166" s="435" t="s">
        <v>281</v>
      </c>
      <c r="X166" s="435" t="s">
        <v>281</v>
      </c>
      <c r="Y166" s="435" t="s">
        <v>281</v>
      </c>
      <c r="Z166" s="435" t="s">
        <v>281</v>
      </c>
    </row>
    <row r="167" spans="1:26" x14ac:dyDescent="0.2">
      <c r="A167" s="407"/>
      <c r="B167" s="407"/>
      <c r="C167" s="407"/>
      <c r="D167" s="408" t="s">
        <v>224</v>
      </c>
      <c r="E167" s="409"/>
      <c r="F167" s="410" t="s">
        <v>281</v>
      </c>
      <c r="G167" s="410" t="s">
        <v>281</v>
      </c>
      <c r="H167" s="409"/>
      <c r="I167" s="409"/>
      <c r="J167" s="411" t="s">
        <v>281</v>
      </c>
      <c r="K167" s="410" t="s">
        <v>281</v>
      </c>
      <c r="L167" s="410" t="s">
        <v>281</v>
      </c>
    </row>
    <row r="168" spans="1:26" x14ac:dyDescent="0.2">
      <c r="A168" s="412"/>
      <c r="B168" s="412"/>
      <c r="C168" s="412"/>
      <c r="D168" s="395" t="s">
        <v>718</v>
      </c>
      <c r="E168" s="412"/>
      <c r="F168" s="412"/>
      <c r="G168" s="412"/>
      <c r="H168" s="412"/>
      <c r="I168" s="412"/>
      <c r="J168" s="412"/>
      <c r="K168" s="412"/>
      <c r="L168" s="412"/>
    </row>
    <row r="169" spans="1:26" ht="20.399999999999999" x14ac:dyDescent="0.2">
      <c r="A169" s="403">
        <v>21</v>
      </c>
      <c r="B169" s="403">
        <v>21</v>
      </c>
      <c r="C169" s="403" t="s">
        <v>1250</v>
      </c>
      <c r="D169" s="403" t="s">
        <v>1572</v>
      </c>
      <c r="E169" s="404">
        <v>2.4649999999999999</v>
      </c>
      <c r="F169" s="405">
        <v>12.37</v>
      </c>
      <c r="G169" s="405" t="s">
        <v>281</v>
      </c>
      <c r="H169" s="406">
        <v>248.82</v>
      </c>
      <c r="I169" s="406" t="s">
        <v>281</v>
      </c>
      <c r="J169" s="406" t="s">
        <v>281</v>
      </c>
      <c r="K169" s="405" t="s">
        <v>281</v>
      </c>
      <c r="L169" s="405" t="s">
        <v>281</v>
      </c>
      <c r="T169" s="435">
        <v>248.82</v>
      </c>
      <c r="V169" s="435" t="s">
        <v>281</v>
      </c>
      <c r="W169" s="435" t="s">
        <v>281</v>
      </c>
      <c r="X169" s="435" t="s">
        <v>281</v>
      </c>
      <c r="Y169" s="435" t="s">
        <v>281</v>
      </c>
      <c r="Z169" s="435" t="s">
        <v>281</v>
      </c>
    </row>
    <row r="170" spans="1:26" x14ac:dyDescent="0.2">
      <c r="A170" s="407"/>
      <c r="B170" s="407"/>
      <c r="C170" s="407"/>
      <c r="D170" s="408" t="s">
        <v>898</v>
      </c>
      <c r="E170" s="409"/>
      <c r="F170" s="410" t="s">
        <v>281</v>
      </c>
      <c r="G170" s="410" t="s">
        <v>281</v>
      </c>
      <c r="H170" s="409"/>
      <c r="I170" s="409"/>
      <c r="J170" s="411" t="s">
        <v>281</v>
      </c>
      <c r="K170" s="410" t="s">
        <v>281</v>
      </c>
      <c r="L170" s="410" t="s">
        <v>281</v>
      </c>
    </row>
    <row r="171" spans="1:26" x14ac:dyDescent="0.2">
      <c r="A171" s="412"/>
      <c r="B171" s="412"/>
      <c r="C171" s="412"/>
      <c r="D171" s="395" t="s">
        <v>718</v>
      </c>
      <c r="E171" s="412"/>
      <c r="F171" s="412"/>
      <c r="G171" s="412"/>
      <c r="H171" s="412"/>
      <c r="I171" s="412"/>
      <c r="J171" s="412"/>
      <c r="K171" s="412"/>
      <c r="L171" s="412"/>
    </row>
    <row r="172" spans="1:26" ht="40.799999999999997" x14ac:dyDescent="0.2">
      <c r="A172" s="403">
        <v>22</v>
      </c>
      <c r="B172" s="403">
        <v>22</v>
      </c>
      <c r="C172" s="403" t="s">
        <v>1254</v>
      </c>
      <c r="D172" s="403" t="s">
        <v>1224</v>
      </c>
      <c r="E172" s="404">
        <v>0.28999999999999998</v>
      </c>
      <c r="F172" s="405">
        <v>1500.8771999999999</v>
      </c>
      <c r="G172" s="405">
        <v>104.46312500000001</v>
      </c>
      <c r="H172" s="406">
        <v>13386.31</v>
      </c>
      <c r="I172" s="406">
        <v>11838.48</v>
      </c>
      <c r="J172" s="406">
        <v>401.1</v>
      </c>
      <c r="K172" s="405">
        <v>94.783574999999999</v>
      </c>
      <c r="L172" s="405">
        <v>27.487237</v>
      </c>
      <c r="T172" s="435">
        <v>34697.5</v>
      </c>
      <c r="V172" s="435">
        <v>11838.48</v>
      </c>
      <c r="W172" s="435">
        <v>401.1</v>
      </c>
      <c r="X172" s="435">
        <v>7.65</v>
      </c>
      <c r="Y172" s="435">
        <v>27.487237</v>
      </c>
      <c r="Z172" s="435">
        <v>1.2506E-2</v>
      </c>
    </row>
    <row r="173" spans="1:26" x14ac:dyDescent="0.2">
      <c r="A173" s="407"/>
      <c r="B173" s="407"/>
      <c r="C173" s="407"/>
      <c r="D173" s="408" t="s">
        <v>1255</v>
      </c>
      <c r="E173" s="409"/>
      <c r="F173" s="410">
        <v>911.82407499999999</v>
      </c>
      <c r="G173" s="410">
        <v>0.58937499999999998</v>
      </c>
      <c r="H173" s="409"/>
      <c r="I173" s="409"/>
      <c r="J173" s="411">
        <v>7.65</v>
      </c>
      <c r="K173" s="410">
        <v>4.3124999999999997E-2</v>
      </c>
      <c r="L173" s="410">
        <v>1.2506E-2</v>
      </c>
    </row>
    <row r="174" spans="1:26" ht="20.399999999999999" x14ac:dyDescent="0.2">
      <c r="A174" s="412"/>
      <c r="B174" s="412"/>
      <c r="C174" s="412"/>
      <c r="D174" s="395" t="s">
        <v>714</v>
      </c>
      <c r="E174" s="412"/>
      <c r="F174" s="412"/>
      <c r="G174" s="412"/>
      <c r="H174" s="412"/>
      <c r="I174" s="412"/>
      <c r="J174" s="412"/>
      <c r="K174" s="412"/>
      <c r="L174" s="412"/>
    </row>
    <row r="175" spans="1:26" ht="20.399999999999999" x14ac:dyDescent="0.2">
      <c r="A175" s="412"/>
      <c r="B175" s="412"/>
      <c r="C175" s="412"/>
      <c r="D175" s="395" t="s">
        <v>978</v>
      </c>
      <c r="E175" s="412"/>
      <c r="F175" s="412"/>
      <c r="G175" s="412"/>
      <c r="H175" s="412"/>
      <c r="I175" s="412"/>
      <c r="J175" s="412"/>
      <c r="K175" s="412"/>
      <c r="L175" s="412"/>
    </row>
    <row r="176" spans="1:26" ht="132.6" x14ac:dyDescent="0.2">
      <c r="A176" s="412"/>
      <c r="B176" s="412"/>
      <c r="C176" s="412"/>
      <c r="D176" s="395" t="s">
        <v>979</v>
      </c>
      <c r="E176" s="412"/>
      <c r="F176" s="412"/>
      <c r="G176" s="412"/>
      <c r="H176" s="412"/>
      <c r="I176" s="412"/>
      <c r="J176" s="412"/>
      <c r="K176" s="412"/>
      <c r="L176" s="412"/>
    </row>
    <row r="177" spans="1:26" x14ac:dyDescent="0.2">
      <c r="A177" s="412"/>
      <c r="B177" s="412"/>
      <c r="C177" s="412"/>
      <c r="D177" s="413" t="s">
        <v>206</v>
      </c>
      <c r="E177" s="414" t="s">
        <v>1242</v>
      </c>
      <c r="F177" s="414"/>
      <c r="G177" s="414"/>
      <c r="H177" s="415">
        <v>13859.97</v>
      </c>
      <c r="I177" s="412"/>
      <c r="J177" s="412"/>
      <c r="K177" s="412"/>
      <c r="L177" s="412"/>
    </row>
    <row r="178" spans="1:26" x14ac:dyDescent="0.2">
      <c r="A178" s="412"/>
      <c r="B178" s="412"/>
      <c r="C178" s="412"/>
      <c r="D178" s="413" t="s">
        <v>207</v>
      </c>
      <c r="E178" s="414" t="s">
        <v>1243</v>
      </c>
      <c r="F178" s="414"/>
      <c r="G178" s="414"/>
      <c r="H178" s="415">
        <v>7451.22</v>
      </c>
      <c r="I178" s="412"/>
      <c r="J178" s="412"/>
      <c r="K178" s="412"/>
      <c r="L178" s="412"/>
    </row>
    <row r="179" spans="1:26" x14ac:dyDescent="0.2">
      <c r="A179" s="412"/>
      <c r="B179" s="412"/>
      <c r="C179" s="412"/>
      <c r="D179" s="416" t="s">
        <v>715</v>
      </c>
      <c r="E179" s="417"/>
      <c r="F179" s="417"/>
      <c r="G179" s="417"/>
      <c r="H179" s="418">
        <v>34697.5</v>
      </c>
      <c r="I179" s="412"/>
      <c r="J179" s="412"/>
      <c r="K179" s="412"/>
      <c r="L179" s="412"/>
    </row>
    <row r="180" spans="1:26" x14ac:dyDescent="0.2">
      <c r="A180" s="403">
        <v>23</v>
      </c>
      <c r="B180" s="403">
        <v>23</v>
      </c>
      <c r="C180" s="403" t="s">
        <v>1286</v>
      </c>
      <c r="D180" s="403" t="s">
        <v>1566</v>
      </c>
      <c r="E180" s="404">
        <v>5</v>
      </c>
      <c r="F180" s="405">
        <v>2.79</v>
      </c>
      <c r="G180" s="405" t="s">
        <v>281</v>
      </c>
      <c r="H180" s="406">
        <v>113.85</v>
      </c>
      <c r="I180" s="406" t="s">
        <v>281</v>
      </c>
      <c r="J180" s="406" t="s">
        <v>281</v>
      </c>
      <c r="K180" s="405" t="s">
        <v>281</v>
      </c>
      <c r="L180" s="405" t="s">
        <v>281</v>
      </c>
      <c r="T180" s="435">
        <v>113.85</v>
      </c>
      <c r="V180" s="435" t="s">
        <v>281</v>
      </c>
      <c r="W180" s="435" t="s">
        <v>281</v>
      </c>
      <c r="X180" s="435" t="s">
        <v>281</v>
      </c>
      <c r="Y180" s="435" t="s">
        <v>281</v>
      </c>
      <c r="Z180" s="435" t="s">
        <v>281</v>
      </c>
    </row>
    <row r="181" spans="1:26" x14ac:dyDescent="0.2">
      <c r="A181" s="407"/>
      <c r="B181" s="407"/>
      <c r="C181" s="407"/>
      <c r="D181" s="408" t="s">
        <v>735</v>
      </c>
      <c r="E181" s="409"/>
      <c r="F181" s="410" t="s">
        <v>281</v>
      </c>
      <c r="G181" s="410" t="s">
        <v>281</v>
      </c>
      <c r="H181" s="409"/>
      <c r="I181" s="409"/>
      <c r="J181" s="411" t="s">
        <v>281</v>
      </c>
      <c r="K181" s="410" t="s">
        <v>281</v>
      </c>
      <c r="L181" s="410" t="s">
        <v>281</v>
      </c>
    </row>
    <row r="182" spans="1:26" x14ac:dyDescent="0.2">
      <c r="A182" s="412"/>
      <c r="B182" s="412"/>
      <c r="C182" s="412"/>
      <c r="D182" s="395" t="s">
        <v>718</v>
      </c>
      <c r="E182" s="412"/>
      <c r="F182" s="412"/>
      <c r="G182" s="412"/>
      <c r="H182" s="412"/>
      <c r="I182" s="412"/>
      <c r="J182" s="412"/>
      <c r="K182" s="412"/>
      <c r="L182" s="412"/>
    </row>
    <row r="183" spans="1:26" ht="20.399999999999999" x14ac:dyDescent="0.2">
      <c r="A183" s="403">
        <v>24</v>
      </c>
      <c r="B183" s="403">
        <v>24</v>
      </c>
      <c r="C183" s="403" t="s">
        <v>1287</v>
      </c>
      <c r="D183" s="403" t="s">
        <v>1576</v>
      </c>
      <c r="E183" s="404">
        <v>0.2</v>
      </c>
      <c r="F183" s="405">
        <v>374.57799999999997</v>
      </c>
      <c r="G183" s="405">
        <v>324.91812499999997</v>
      </c>
      <c r="H183" s="406">
        <v>1305.03</v>
      </c>
      <c r="I183" s="406">
        <v>444.65</v>
      </c>
      <c r="J183" s="406">
        <v>860.38</v>
      </c>
      <c r="K183" s="405">
        <v>5.4751500000000002</v>
      </c>
      <c r="L183" s="405">
        <v>1.0950299999999999</v>
      </c>
      <c r="T183" s="435">
        <v>2811.21</v>
      </c>
      <c r="V183" s="435">
        <v>444.65</v>
      </c>
      <c r="W183" s="435">
        <v>860.38</v>
      </c>
      <c r="X183" s="435">
        <v>392.58</v>
      </c>
      <c r="Y183" s="435">
        <v>1.0950299999999999</v>
      </c>
      <c r="Z183" s="435">
        <v>0.64975000000000005</v>
      </c>
    </row>
    <row r="184" spans="1:26" x14ac:dyDescent="0.2">
      <c r="A184" s="407"/>
      <c r="B184" s="407"/>
      <c r="C184" s="407"/>
      <c r="D184" s="408" t="s">
        <v>1144</v>
      </c>
      <c r="E184" s="409"/>
      <c r="F184" s="410">
        <v>49.659875</v>
      </c>
      <c r="G184" s="410">
        <v>43.84375</v>
      </c>
      <c r="H184" s="409"/>
      <c r="I184" s="409"/>
      <c r="J184" s="411">
        <v>392.58</v>
      </c>
      <c r="K184" s="410">
        <v>3.2487499999999998</v>
      </c>
      <c r="L184" s="410">
        <v>0.64975000000000005</v>
      </c>
    </row>
    <row r="185" spans="1:26" ht="20.399999999999999" x14ac:dyDescent="0.2">
      <c r="A185" s="412"/>
      <c r="B185" s="412"/>
      <c r="C185" s="412"/>
      <c r="D185" s="395" t="s">
        <v>714</v>
      </c>
      <c r="E185" s="412"/>
      <c r="F185" s="412"/>
      <c r="G185" s="412"/>
      <c r="H185" s="412"/>
      <c r="I185" s="412"/>
      <c r="J185" s="412"/>
      <c r="K185" s="412"/>
      <c r="L185" s="412"/>
    </row>
    <row r="186" spans="1:26" x14ac:dyDescent="0.2">
      <c r="A186" s="412"/>
      <c r="B186" s="412"/>
      <c r="C186" s="412"/>
      <c r="D186" s="413" t="s">
        <v>206</v>
      </c>
      <c r="E186" s="414" t="s">
        <v>1242</v>
      </c>
      <c r="F186" s="414"/>
      <c r="G186" s="414"/>
      <c r="H186" s="415">
        <v>979.56</v>
      </c>
      <c r="I186" s="412"/>
      <c r="J186" s="412"/>
      <c r="K186" s="412"/>
      <c r="L186" s="412"/>
    </row>
    <row r="187" spans="1:26" x14ac:dyDescent="0.2">
      <c r="A187" s="412"/>
      <c r="B187" s="412"/>
      <c r="C187" s="412"/>
      <c r="D187" s="413" t="s">
        <v>207</v>
      </c>
      <c r="E187" s="414" t="s">
        <v>1243</v>
      </c>
      <c r="F187" s="414"/>
      <c r="G187" s="414"/>
      <c r="H187" s="415">
        <v>526.62</v>
      </c>
      <c r="I187" s="412"/>
      <c r="J187" s="412"/>
      <c r="K187" s="412"/>
      <c r="L187" s="412"/>
    </row>
    <row r="188" spans="1:26" x14ac:dyDescent="0.2">
      <c r="A188" s="412"/>
      <c r="B188" s="412"/>
      <c r="C188" s="412"/>
      <c r="D188" s="416" t="s">
        <v>715</v>
      </c>
      <c r="E188" s="417"/>
      <c r="F188" s="417"/>
      <c r="G188" s="417"/>
      <c r="H188" s="418">
        <v>2811.21</v>
      </c>
      <c r="I188" s="412"/>
      <c r="J188" s="412"/>
      <c r="K188" s="412"/>
      <c r="L188" s="412"/>
    </row>
    <row r="189" spans="1:26" ht="40.799999999999997" x14ac:dyDescent="0.2">
      <c r="A189" s="403">
        <v>25</v>
      </c>
      <c r="B189" s="403">
        <v>25</v>
      </c>
      <c r="C189" s="403" t="s">
        <v>1288</v>
      </c>
      <c r="D189" s="403" t="s">
        <v>1565</v>
      </c>
      <c r="E189" s="404">
        <v>2</v>
      </c>
      <c r="F189" s="405">
        <v>107.99</v>
      </c>
      <c r="G189" s="405" t="s">
        <v>281</v>
      </c>
      <c r="H189" s="406">
        <v>1762.4</v>
      </c>
      <c r="I189" s="406" t="s">
        <v>281</v>
      </c>
      <c r="J189" s="406" t="s">
        <v>281</v>
      </c>
      <c r="K189" s="405" t="s">
        <v>281</v>
      </c>
      <c r="L189" s="405" t="s">
        <v>281</v>
      </c>
      <c r="T189" s="435">
        <v>1762.4</v>
      </c>
      <c r="V189" s="435" t="s">
        <v>281</v>
      </c>
      <c r="W189" s="435" t="s">
        <v>281</v>
      </c>
      <c r="X189" s="435" t="s">
        <v>281</v>
      </c>
      <c r="Y189" s="435" t="s">
        <v>281</v>
      </c>
      <c r="Z189" s="435" t="s">
        <v>281</v>
      </c>
    </row>
    <row r="190" spans="1:26" x14ac:dyDescent="0.2">
      <c r="A190" s="407"/>
      <c r="B190" s="407"/>
      <c r="C190" s="407"/>
      <c r="D190" s="408" t="s">
        <v>735</v>
      </c>
      <c r="E190" s="409"/>
      <c r="F190" s="410" t="s">
        <v>281</v>
      </c>
      <c r="G190" s="410" t="s">
        <v>281</v>
      </c>
      <c r="H190" s="409"/>
      <c r="I190" s="409"/>
      <c r="J190" s="411" t="s">
        <v>281</v>
      </c>
      <c r="K190" s="410" t="s">
        <v>281</v>
      </c>
      <c r="L190" s="410" t="s">
        <v>281</v>
      </c>
    </row>
    <row r="191" spans="1:26" x14ac:dyDescent="0.2">
      <c r="A191" s="412"/>
      <c r="B191" s="412"/>
      <c r="C191" s="412"/>
      <c r="D191" s="395" t="s">
        <v>718</v>
      </c>
      <c r="E191" s="412"/>
      <c r="F191" s="412"/>
      <c r="G191" s="412"/>
      <c r="H191" s="412"/>
      <c r="I191" s="412"/>
      <c r="J191" s="412"/>
      <c r="K191" s="412"/>
      <c r="L191" s="412"/>
    </row>
    <row r="192" spans="1:26" ht="30.6" x14ac:dyDescent="0.2">
      <c r="A192" s="403">
        <v>26</v>
      </c>
      <c r="B192" s="403">
        <v>26</v>
      </c>
      <c r="C192" s="403" t="s">
        <v>1289</v>
      </c>
      <c r="D192" s="403" t="s">
        <v>1564</v>
      </c>
      <c r="E192" s="404">
        <v>2</v>
      </c>
      <c r="F192" s="405">
        <v>99.91</v>
      </c>
      <c r="G192" s="405" t="s">
        <v>281</v>
      </c>
      <c r="H192" s="406">
        <v>1630.54</v>
      </c>
      <c r="I192" s="406" t="s">
        <v>281</v>
      </c>
      <c r="J192" s="406" t="s">
        <v>281</v>
      </c>
      <c r="K192" s="405" t="s">
        <v>281</v>
      </c>
      <c r="L192" s="405" t="s">
        <v>281</v>
      </c>
      <c r="T192" s="435">
        <v>1630.54</v>
      </c>
      <c r="V192" s="435" t="s">
        <v>281</v>
      </c>
      <c r="W192" s="435" t="s">
        <v>281</v>
      </c>
      <c r="X192" s="435" t="s">
        <v>281</v>
      </c>
      <c r="Y192" s="435" t="s">
        <v>281</v>
      </c>
      <c r="Z192" s="435" t="s">
        <v>281</v>
      </c>
    </row>
    <row r="193" spans="1:26" x14ac:dyDescent="0.2">
      <c r="A193" s="407"/>
      <c r="B193" s="407"/>
      <c r="C193" s="407"/>
      <c r="D193" s="408" t="s">
        <v>1179</v>
      </c>
      <c r="E193" s="409"/>
      <c r="F193" s="410" t="s">
        <v>281</v>
      </c>
      <c r="G193" s="410" t="s">
        <v>281</v>
      </c>
      <c r="H193" s="409"/>
      <c r="I193" s="409"/>
      <c r="J193" s="411" t="s">
        <v>281</v>
      </c>
      <c r="K193" s="410" t="s">
        <v>281</v>
      </c>
      <c r="L193" s="410" t="s">
        <v>281</v>
      </c>
    </row>
    <row r="194" spans="1:26" x14ac:dyDescent="0.2">
      <c r="A194" s="412"/>
      <c r="B194" s="412"/>
      <c r="C194" s="412"/>
      <c r="D194" s="395" t="s">
        <v>718</v>
      </c>
      <c r="E194" s="412"/>
      <c r="F194" s="412"/>
      <c r="G194" s="412"/>
      <c r="H194" s="412"/>
      <c r="I194" s="412"/>
      <c r="J194" s="412"/>
      <c r="K194" s="412"/>
      <c r="L194" s="412"/>
    </row>
    <row r="195" spans="1:26" ht="30.6" x14ac:dyDescent="0.2">
      <c r="A195" s="403">
        <v>27</v>
      </c>
      <c r="B195" s="403">
        <v>27</v>
      </c>
      <c r="C195" s="403" t="s">
        <v>1290</v>
      </c>
      <c r="D195" s="403" t="s">
        <v>1563</v>
      </c>
      <c r="E195" s="404">
        <v>-2</v>
      </c>
      <c r="F195" s="405">
        <v>45</v>
      </c>
      <c r="G195" s="405" t="s">
        <v>281</v>
      </c>
      <c r="H195" s="406">
        <v>-734.4</v>
      </c>
      <c r="I195" s="406" t="s">
        <v>281</v>
      </c>
      <c r="J195" s="406" t="s">
        <v>281</v>
      </c>
      <c r="K195" s="405" t="s">
        <v>281</v>
      </c>
      <c r="L195" s="405" t="s">
        <v>281</v>
      </c>
      <c r="T195" s="435">
        <v>-734.4</v>
      </c>
      <c r="V195" s="435" t="s">
        <v>281</v>
      </c>
      <c r="W195" s="435" t="s">
        <v>281</v>
      </c>
      <c r="X195" s="435" t="s">
        <v>281</v>
      </c>
      <c r="Y195" s="435" t="s">
        <v>281</v>
      </c>
      <c r="Z195" s="435" t="s">
        <v>281</v>
      </c>
    </row>
    <row r="196" spans="1:26" x14ac:dyDescent="0.2">
      <c r="A196" s="407"/>
      <c r="B196" s="407"/>
      <c r="C196" s="407"/>
      <c r="D196" s="408" t="s">
        <v>735</v>
      </c>
      <c r="E196" s="409"/>
      <c r="F196" s="410" t="s">
        <v>281</v>
      </c>
      <c r="G196" s="410" t="s">
        <v>281</v>
      </c>
      <c r="H196" s="409"/>
      <c r="I196" s="409"/>
      <c r="J196" s="411" t="s">
        <v>281</v>
      </c>
      <c r="K196" s="410" t="s">
        <v>281</v>
      </c>
      <c r="L196" s="410" t="s">
        <v>281</v>
      </c>
    </row>
    <row r="197" spans="1:26" x14ac:dyDescent="0.2">
      <c r="A197" s="412"/>
      <c r="B197" s="412"/>
      <c r="C197" s="412"/>
      <c r="D197" s="395" t="s">
        <v>718</v>
      </c>
      <c r="E197" s="412"/>
      <c r="F197" s="412"/>
      <c r="G197" s="412"/>
      <c r="H197" s="412"/>
      <c r="I197" s="412"/>
      <c r="J197" s="412"/>
      <c r="K197" s="412"/>
      <c r="L197" s="412"/>
    </row>
    <row r="198" spans="1:26" ht="30.6" x14ac:dyDescent="0.2">
      <c r="A198" s="403">
        <v>28</v>
      </c>
      <c r="B198" s="403">
        <v>28</v>
      </c>
      <c r="C198" s="403" t="s">
        <v>1291</v>
      </c>
      <c r="D198" s="403" t="s">
        <v>1272</v>
      </c>
      <c r="E198" s="404">
        <v>0.2</v>
      </c>
      <c r="F198" s="405">
        <v>74.760000000000005</v>
      </c>
      <c r="G198" s="405">
        <v>0.28000000000000003</v>
      </c>
      <c r="H198" s="406">
        <v>664.2</v>
      </c>
      <c r="I198" s="406">
        <v>662.69</v>
      </c>
      <c r="J198" s="406">
        <v>0.74</v>
      </c>
      <c r="K198" s="405">
        <v>8.16</v>
      </c>
      <c r="L198" s="405">
        <v>1.6319999999999999</v>
      </c>
      <c r="T198" s="435">
        <v>2054.19</v>
      </c>
      <c r="V198" s="435">
        <v>662.69</v>
      </c>
      <c r="W198" s="435">
        <v>0.74</v>
      </c>
      <c r="X198" s="435" t="s">
        <v>281</v>
      </c>
      <c r="Y198" s="435">
        <v>1.6319999999999999</v>
      </c>
      <c r="Z198" s="435" t="s">
        <v>281</v>
      </c>
    </row>
    <row r="199" spans="1:26" x14ac:dyDescent="0.2">
      <c r="A199" s="407"/>
      <c r="B199" s="407"/>
      <c r="C199" s="407"/>
      <c r="D199" s="408" t="s">
        <v>1144</v>
      </c>
      <c r="E199" s="409"/>
      <c r="F199" s="410">
        <v>74.010000000000005</v>
      </c>
      <c r="G199" s="410" t="s">
        <v>281</v>
      </c>
      <c r="H199" s="409"/>
      <c r="I199" s="409"/>
      <c r="J199" s="411" t="s">
        <v>281</v>
      </c>
      <c r="K199" s="410" t="s">
        <v>281</v>
      </c>
      <c r="L199" s="410" t="s">
        <v>281</v>
      </c>
    </row>
    <row r="200" spans="1:26" ht="20.399999999999999" x14ac:dyDescent="0.2">
      <c r="A200" s="412"/>
      <c r="B200" s="412"/>
      <c r="C200" s="412"/>
      <c r="D200" s="395" t="s">
        <v>714</v>
      </c>
      <c r="E200" s="412"/>
      <c r="F200" s="412"/>
      <c r="G200" s="412"/>
      <c r="H200" s="412"/>
      <c r="I200" s="412"/>
      <c r="J200" s="412"/>
      <c r="K200" s="412"/>
      <c r="L200" s="412"/>
    </row>
    <row r="201" spans="1:26" x14ac:dyDescent="0.2">
      <c r="A201" s="412"/>
      <c r="B201" s="412"/>
      <c r="C201" s="412"/>
      <c r="D201" s="413" t="s">
        <v>206</v>
      </c>
      <c r="E201" s="414" t="s">
        <v>1209</v>
      </c>
      <c r="F201" s="414"/>
      <c r="G201" s="414"/>
      <c r="H201" s="415">
        <v>967.53</v>
      </c>
      <c r="I201" s="412"/>
      <c r="J201" s="412"/>
      <c r="K201" s="412"/>
      <c r="L201" s="412"/>
    </row>
    <row r="202" spans="1:26" x14ac:dyDescent="0.2">
      <c r="A202" s="412"/>
      <c r="B202" s="412"/>
      <c r="C202" s="412"/>
      <c r="D202" s="413" t="s">
        <v>207</v>
      </c>
      <c r="E202" s="414" t="s">
        <v>1210</v>
      </c>
      <c r="F202" s="414"/>
      <c r="G202" s="414"/>
      <c r="H202" s="415">
        <v>422.46</v>
      </c>
      <c r="I202" s="412"/>
      <c r="J202" s="412"/>
      <c r="K202" s="412"/>
      <c r="L202" s="412"/>
    </row>
    <row r="203" spans="1:26" x14ac:dyDescent="0.2">
      <c r="A203" s="412"/>
      <c r="B203" s="412"/>
      <c r="C203" s="412"/>
      <c r="D203" s="416" t="s">
        <v>715</v>
      </c>
      <c r="E203" s="417"/>
      <c r="F203" s="417"/>
      <c r="G203" s="417"/>
      <c r="H203" s="418">
        <v>2054.19</v>
      </c>
      <c r="I203" s="412"/>
      <c r="J203" s="412"/>
      <c r="K203" s="412"/>
      <c r="L203" s="412"/>
    </row>
    <row r="204" spans="1:26" ht="30.6" x14ac:dyDescent="0.2">
      <c r="A204" s="403">
        <v>29</v>
      </c>
      <c r="B204" s="403">
        <v>29</v>
      </c>
      <c r="C204" s="403" t="s">
        <v>1292</v>
      </c>
      <c r="D204" s="403" t="s">
        <v>1562</v>
      </c>
      <c r="E204" s="404">
        <v>2</v>
      </c>
      <c r="F204" s="405">
        <v>94.45</v>
      </c>
      <c r="G204" s="405" t="s">
        <v>281</v>
      </c>
      <c r="H204" s="406">
        <v>1541.42</v>
      </c>
      <c r="I204" s="406" t="s">
        <v>281</v>
      </c>
      <c r="J204" s="406" t="s">
        <v>281</v>
      </c>
      <c r="K204" s="405" t="s">
        <v>281</v>
      </c>
      <c r="L204" s="405" t="s">
        <v>281</v>
      </c>
      <c r="T204" s="435">
        <v>1541.42</v>
      </c>
      <c r="V204" s="435" t="s">
        <v>281</v>
      </c>
      <c r="W204" s="435" t="s">
        <v>281</v>
      </c>
      <c r="X204" s="435" t="s">
        <v>281</v>
      </c>
      <c r="Y204" s="435" t="s">
        <v>281</v>
      </c>
      <c r="Z204" s="435" t="s">
        <v>281</v>
      </c>
    </row>
    <row r="205" spans="1:26" x14ac:dyDescent="0.2">
      <c r="A205" s="407"/>
      <c r="B205" s="407"/>
      <c r="C205" s="407"/>
      <c r="D205" s="408" t="s">
        <v>735</v>
      </c>
      <c r="E205" s="409"/>
      <c r="F205" s="410" t="s">
        <v>281</v>
      </c>
      <c r="G205" s="410" t="s">
        <v>281</v>
      </c>
      <c r="H205" s="409"/>
      <c r="I205" s="409"/>
      <c r="J205" s="411" t="s">
        <v>281</v>
      </c>
      <c r="K205" s="410" t="s">
        <v>281</v>
      </c>
      <c r="L205" s="410" t="s">
        <v>281</v>
      </c>
    </row>
    <row r="206" spans="1:26" x14ac:dyDescent="0.2">
      <c r="A206" s="412"/>
      <c r="B206" s="412"/>
      <c r="C206" s="412"/>
      <c r="D206" s="395" t="s">
        <v>718</v>
      </c>
      <c r="E206" s="412"/>
      <c r="F206" s="412"/>
      <c r="G206" s="412"/>
      <c r="H206" s="412"/>
      <c r="I206" s="412"/>
      <c r="J206" s="412"/>
      <c r="K206" s="412"/>
      <c r="L206" s="412"/>
    </row>
    <row r="207" spans="1:26" ht="40.799999999999997" x14ac:dyDescent="0.2">
      <c r="A207" s="403">
        <v>30</v>
      </c>
      <c r="B207" s="403">
        <v>30</v>
      </c>
      <c r="C207" s="403" t="s">
        <v>1256</v>
      </c>
      <c r="D207" s="403" t="s">
        <v>1223</v>
      </c>
      <c r="E207" s="404">
        <v>2.14</v>
      </c>
      <c r="F207" s="405">
        <v>617.69749999999999</v>
      </c>
      <c r="G207" s="405">
        <v>86.261499999999998</v>
      </c>
      <c r="H207" s="406">
        <v>13583.84</v>
      </c>
      <c r="I207" s="406">
        <v>2274.09</v>
      </c>
      <c r="J207" s="406">
        <v>2444.09</v>
      </c>
      <c r="K207" s="405">
        <v>2.6795</v>
      </c>
      <c r="L207" s="405">
        <v>5.7341300000000004</v>
      </c>
      <c r="T207" s="435">
        <v>19275.68</v>
      </c>
      <c r="V207" s="435">
        <v>2274.09</v>
      </c>
      <c r="W207" s="435">
        <v>2444.09</v>
      </c>
      <c r="X207" s="435">
        <v>1196.54</v>
      </c>
      <c r="Y207" s="435">
        <v>5.7341300000000004</v>
      </c>
      <c r="Z207" s="435">
        <v>1.6980900000000001</v>
      </c>
    </row>
    <row r="208" spans="1:26" x14ac:dyDescent="0.2">
      <c r="A208" s="407"/>
      <c r="B208" s="407"/>
      <c r="C208" s="407"/>
      <c r="D208" s="408" t="s">
        <v>745</v>
      </c>
      <c r="E208" s="409"/>
      <c r="F208" s="410">
        <v>23.736000000000001</v>
      </c>
      <c r="G208" s="410">
        <v>12.489000000000001</v>
      </c>
      <c r="H208" s="409"/>
      <c r="I208" s="409"/>
      <c r="J208" s="411">
        <v>1196.54</v>
      </c>
      <c r="K208" s="410">
        <v>0.79349999999999998</v>
      </c>
      <c r="L208" s="410">
        <v>1.6980900000000001</v>
      </c>
    </row>
    <row r="209" spans="1:26" ht="20.399999999999999" x14ac:dyDescent="0.2">
      <c r="A209" s="412"/>
      <c r="B209" s="412"/>
      <c r="C209" s="412"/>
      <c r="D209" s="395" t="s">
        <v>714</v>
      </c>
      <c r="E209" s="412"/>
      <c r="F209" s="412"/>
      <c r="G209" s="412"/>
      <c r="H209" s="412"/>
      <c r="I209" s="412"/>
      <c r="J209" s="412"/>
      <c r="K209" s="412"/>
      <c r="L209" s="412"/>
    </row>
    <row r="210" spans="1:26" ht="20.399999999999999" x14ac:dyDescent="0.2">
      <c r="A210" s="412"/>
      <c r="B210" s="412"/>
      <c r="C210" s="412"/>
      <c r="D210" s="395" t="s">
        <v>1023</v>
      </c>
      <c r="E210" s="412"/>
      <c r="F210" s="412"/>
      <c r="G210" s="412"/>
      <c r="H210" s="412"/>
      <c r="I210" s="412"/>
      <c r="J210" s="412"/>
      <c r="K210" s="412"/>
      <c r="L210" s="412"/>
    </row>
    <row r="211" spans="1:26" ht="81.599999999999994" x14ac:dyDescent="0.2">
      <c r="A211" s="412"/>
      <c r="B211" s="412"/>
      <c r="C211" s="412"/>
      <c r="D211" s="395" t="s">
        <v>1024</v>
      </c>
      <c r="E211" s="412"/>
      <c r="F211" s="412"/>
      <c r="G211" s="412"/>
      <c r="H211" s="412"/>
      <c r="I211" s="412"/>
      <c r="J211" s="412"/>
      <c r="K211" s="412"/>
      <c r="L211" s="412"/>
    </row>
    <row r="212" spans="1:26" x14ac:dyDescent="0.2">
      <c r="A212" s="412"/>
      <c r="B212" s="412"/>
      <c r="C212" s="412"/>
      <c r="D212" s="413" t="s">
        <v>206</v>
      </c>
      <c r="E212" s="414" t="s">
        <v>1257</v>
      </c>
      <c r="F212" s="414"/>
      <c r="G212" s="414"/>
      <c r="H212" s="415">
        <v>3609.46</v>
      </c>
      <c r="I212" s="412"/>
      <c r="J212" s="412"/>
      <c r="K212" s="412"/>
      <c r="L212" s="412"/>
    </row>
    <row r="213" spans="1:26" x14ac:dyDescent="0.2">
      <c r="A213" s="412"/>
      <c r="B213" s="412"/>
      <c r="C213" s="412"/>
      <c r="D213" s="413" t="s">
        <v>207</v>
      </c>
      <c r="E213" s="414" t="s">
        <v>1258</v>
      </c>
      <c r="F213" s="414"/>
      <c r="G213" s="414"/>
      <c r="H213" s="415">
        <v>2082.38</v>
      </c>
      <c r="I213" s="412"/>
      <c r="J213" s="412"/>
      <c r="K213" s="412"/>
      <c r="L213" s="412"/>
    </row>
    <row r="214" spans="1:26" x14ac:dyDescent="0.2">
      <c r="A214" s="412"/>
      <c r="B214" s="412"/>
      <c r="C214" s="412"/>
      <c r="D214" s="416" t="s">
        <v>715</v>
      </c>
      <c r="E214" s="417"/>
      <c r="F214" s="417"/>
      <c r="G214" s="417"/>
      <c r="H214" s="418">
        <v>19275.68</v>
      </c>
      <c r="I214" s="412"/>
      <c r="J214" s="412"/>
      <c r="K214" s="412"/>
      <c r="L214" s="412"/>
    </row>
    <row r="215" spans="1:26" x14ac:dyDescent="0.2">
      <c r="A215" s="403">
        <v>31</v>
      </c>
      <c r="B215" s="403">
        <v>31</v>
      </c>
      <c r="C215" s="403" t="s">
        <v>1259</v>
      </c>
      <c r="D215" s="403" t="s">
        <v>1334</v>
      </c>
      <c r="E215" s="404">
        <v>-2.1720999999999999</v>
      </c>
      <c r="F215" s="405">
        <v>463.3</v>
      </c>
      <c r="G215" s="405" t="s">
        <v>281</v>
      </c>
      <c r="H215" s="406">
        <v>-8211.69</v>
      </c>
      <c r="I215" s="406" t="s">
        <v>281</v>
      </c>
      <c r="J215" s="406" t="s">
        <v>281</v>
      </c>
      <c r="K215" s="405" t="s">
        <v>281</v>
      </c>
      <c r="L215" s="405" t="s">
        <v>281</v>
      </c>
      <c r="T215" s="435">
        <v>-8211.69</v>
      </c>
      <c r="V215" s="435" t="s">
        <v>281</v>
      </c>
      <c r="W215" s="435" t="s">
        <v>281</v>
      </c>
      <c r="X215" s="435" t="s">
        <v>281</v>
      </c>
      <c r="Y215" s="435" t="s">
        <v>281</v>
      </c>
      <c r="Z215" s="435" t="s">
        <v>281</v>
      </c>
    </row>
    <row r="216" spans="1:26" x14ac:dyDescent="0.2">
      <c r="A216" s="407"/>
      <c r="B216" s="407"/>
      <c r="C216" s="407"/>
      <c r="D216" s="408" t="s">
        <v>745</v>
      </c>
      <c r="E216" s="409"/>
      <c r="F216" s="410" t="s">
        <v>281</v>
      </c>
      <c r="G216" s="410" t="s">
        <v>281</v>
      </c>
      <c r="H216" s="409"/>
      <c r="I216" s="409"/>
      <c r="J216" s="411" t="s">
        <v>281</v>
      </c>
      <c r="K216" s="410" t="s">
        <v>281</v>
      </c>
      <c r="L216" s="410" t="s">
        <v>281</v>
      </c>
    </row>
    <row r="217" spans="1:26" x14ac:dyDescent="0.2">
      <c r="A217" s="412"/>
      <c r="B217" s="412"/>
      <c r="C217" s="412"/>
      <c r="D217" s="395" t="s">
        <v>718</v>
      </c>
      <c r="E217" s="412"/>
      <c r="F217" s="412"/>
      <c r="G217" s="412"/>
      <c r="H217" s="412"/>
      <c r="I217" s="412"/>
      <c r="J217" s="412"/>
      <c r="K217" s="412"/>
      <c r="L217" s="412"/>
    </row>
    <row r="218" spans="1:26" x14ac:dyDescent="0.2">
      <c r="A218" s="403">
        <v>32</v>
      </c>
      <c r="B218" s="403">
        <v>32</v>
      </c>
      <c r="C218" s="403" t="s">
        <v>1260</v>
      </c>
      <c r="D218" s="403" t="s">
        <v>1335</v>
      </c>
      <c r="E218" s="404">
        <v>2.14</v>
      </c>
      <c r="F218" s="405">
        <v>519.79999999999995</v>
      </c>
      <c r="G218" s="405" t="s">
        <v>281</v>
      </c>
      <c r="H218" s="406">
        <v>9076.9599999999991</v>
      </c>
      <c r="I218" s="406" t="s">
        <v>281</v>
      </c>
      <c r="J218" s="406" t="s">
        <v>281</v>
      </c>
      <c r="K218" s="405" t="s">
        <v>281</v>
      </c>
      <c r="L218" s="405" t="s">
        <v>281</v>
      </c>
      <c r="T218" s="435">
        <v>9076.9599999999991</v>
      </c>
      <c r="V218" s="435" t="s">
        <v>281</v>
      </c>
      <c r="W218" s="435" t="s">
        <v>281</v>
      </c>
      <c r="X218" s="435" t="s">
        <v>281</v>
      </c>
      <c r="Y218" s="435" t="s">
        <v>281</v>
      </c>
      <c r="Z218" s="435" t="s">
        <v>281</v>
      </c>
    </row>
    <row r="219" spans="1:26" x14ac:dyDescent="0.2">
      <c r="A219" s="407"/>
      <c r="B219" s="407"/>
      <c r="C219" s="407"/>
      <c r="D219" s="408" t="s">
        <v>745</v>
      </c>
      <c r="E219" s="409"/>
      <c r="F219" s="410" t="s">
        <v>281</v>
      </c>
      <c r="G219" s="410" t="s">
        <v>281</v>
      </c>
      <c r="H219" s="409"/>
      <c r="I219" s="409"/>
      <c r="J219" s="411" t="s">
        <v>281</v>
      </c>
      <c r="K219" s="410" t="s">
        <v>281</v>
      </c>
      <c r="L219" s="410" t="s">
        <v>281</v>
      </c>
    </row>
    <row r="220" spans="1:26" x14ac:dyDescent="0.2">
      <c r="A220" s="412"/>
      <c r="B220" s="412"/>
      <c r="C220" s="412"/>
      <c r="D220" s="395" t="s">
        <v>718</v>
      </c>
      <c r="E220" s="412"/>
      <c r="F220" s="412"/>
      <c r="G220" s="412"/>
      <c r="H220" s="412"/>
      <c r="I220" s="412"/>
      <c r="J220" s="412"/>
      <c r="K220" s="412"/>
      <c r="L220" s="412"/>
    </row>
    <row r="221" spans="1:26" x14ac:dyDescent="0.2">
      <c r="A221" s="412"/>
      <c r="B221" s="412"/>
      <c r="C221" s="412"/>
      <c r="D221" s="412"/>
      <c r="E221" s="412"/>
      <c r="F221" s="412"/>
      <c r="G221" s="412"/>
      <c r="H221" s="412"/>
      <c r="I221" s="412"/>
      <c r="J221" s="412"/>
      <c r="K221" s="412"/>
      <c r="L221" s="412"/>
    </row>
    <row r="222" spans="1:26" x14ac:dyDescent="0.2">
      <c r="A222" s="1087" t="s">
        <v>1293</v>
      </c>
      <c r="B222" s="1087"/>
      <c r="C222" s="1087"/>
      <c r="D222" s="1087"/>
      <c r="E222" s="1087"/>
      <c r="F222" s="1087"/>
      <c r="G222" s="1087"/>
      <c r="H222" s="1087"/>
      <c r="I222" s="1087"/>
      <c r="J222" s="1087"/>
      <c r="K222" s="1087"/>
      <c r="L222" s="1087"/>
    </row>
    <row r="223" spans="1:26" ht="40.799999999999997" x14ac:dyDescent="0.2">
      <c r="A223" s="403">
        <v>33</v>
      </c>
      <c r="B223" s="403">
        <v>33</v>
      </c>
      <c r="C223" s="403" t="s">
        <v>1294</v>
      </c>
      <c r="D223" s="403" t="s">
        <v>1273</v>
      </c>
      <c r="E223" s="404">
        <v>3.2000000000000001E-2</v>
      </c>
      <c r="F223" s="405">
        <v>15553.5519</v>
      </c>
      <c r="G223" s="405">
        <v>11061.965</v>
      </c>
      <c r="H223" s="406">
        <v>10864.61</v>
      </c>
      <c r="I223" s="406">
        <v>6120.61</v>
      </c>
      <c r="J223" s="406">
        <v>4686.7299999999996</v>
      </c>
      <c r="K223" s="405">
        <v>465.38774999999998</v>
      </c>
      <c r="L223" s="405">
        <v>14.892408</v>
      </c>
      <c r="T223" s="435">
        <v>25357.68</v>
      </c>
      <c r="V223" s="435">
        <v>6120.61</v>
      </c>
      <c r="W223" s="435">
        <v>4686.7299999999996</v>
      </c>
      <c r="X223" s="435">
        <v>1935.57</v>
      </c>
      <c r="Y223" s="435">
        <v>14.892408</v>
      </c>
      <c r="Z223" s="435">
        <v>3.2287400000000002</v>
      </c>
    </row>
    <row r="224" spans="1:26" x14ac:dyDescent="0.2">
      <c r="A224" s="407"/>
      <c r="B224" s="407"/>
      <c r="C224" s="407"/>
      <c r="D224" s="408" t="s">
        <v>1245</v>
      </c>
      <c r="E224" s="409"/>
      <c r="F224" s="410">
        <v>4272.2569000000003</v>
      </c>
      <c r="G224" s="410">
        <v>1351.0487499999999</v>
      </c>
      <c r="H224" s="409"/>
      <c r="I224" s="409"/>
      <c r="J224" s="411">
        <v>1935.57</v>
      </c>
      <c r="K224" s="410">
        <v>100.89812499999999</v>
      </c>
      <c r="L224" s="410">
        <v>3.2287400000000002</v>
      </c>
    </row>
    <row r="225" spans="1:26" ht="20.399999999999999" x14ac:dyDescent="0.2">
      <c r="A225" s="412"/>
      <c r="B225" s="412"/>
      <c r="C225" s="412"/>
      <c r="D225" s="395" t="s">
        <v>714</v>
      </c>
      <c r="E225" s="412"/>
      <c r="F225" s="412"/>
      <c r="G225" s="412"/>
      <c r="H225" s="412"/>
      <c r="I225" s="412"/>
      <c r="J225" s="412"/>
      <c r="K225" s="412"/>
      <c r="L225" s="412"/>
    </row>
    <row r="226" spans="1:26" ht="20.399999999999999" x14ac:dyDescent="0.2">
      <c r="A226" s="412"/>
      <c r="B226" s="412"/>
      <c r="C226" s="412"/>
      <c r="D226" s="395" t="s">
        <v>978</v>
      </c>
      <c r="E226" s="412"/>
      <c r="F226" s="412"/>
      <c r="G226" s="412"/>
      <c r="H226" s="412"/>
      <c r="I226" s="412"/>
      <c r="J226" s="412"/>
      <c r="K226" s="412"/>
      <c r="L226" s="412"/>
    </row>
    <row r="227" spans="1:26" ht="132.6" x14ac:dyDescent="0.2">
      <c r="A227" s="412"/>
      <c r="B227" s="412"/>
      <c r="C227" s="412"/>
      <c r="D227" s="395" t="s">
        <v>979</v>
      </c>
      <c r="E227" s="412"/>
      <c r="F227" s="412"/>
      <c r="G227" s="412"/>
      <c r="H227" s="412"/>
      <c r="I227" s="412"/>
      <c r="J227" s="412"/>
      <c r="K227" s="412"/>
      <c r="L227" s="412"/>
    </row>
    <row r="228" spans="1:26" x14ac:dyDescent="0.2">
      <c r="A228" s="412"/>
      <c r="B228" s="412"/>
      <c r="C228" s="412"/>
      <c r="D228" s="413" t="s">
        <v>206</v>
      </c>
      <c r="E228" s="414" t="s">
        <v>1242</v>
      </c>
      <c r="F228" s="414"/>
      <c r="G228" s="414"/>
      <c r="H228" s="415">
        <v>9425.73</v>
      </c>
      <c r="I228" s="412"/>
      <c r="J228" s="412"/>
      <c r="K228" s="412"/>
      <c r="L228" s="412"/>
    </row>
    <row r="229" spans="1:26" x14ac:dyDescent="0.2">
      <c r="A229" s="412"/>
      <c r="B229" s="412"/>
      <c r="C229" s="412"/>
      <c r="D229" s="413" t="s">
        <v>207</v>
      </c>
      <c r="E229" s="414" t="s">
        <v>1243</v>
      </c>
      <c r="F229" s="414"/>
      <c r="G229" s="414"/>
      <c r="H229" s="415">
        <v>5067.34</v>
      </c>
      <c r="I229" s="412"/>
      <c r="J229" s="412"/>
      <c r="K229" s="412"/>
      <c r="L229" s="412"/>
    </row>
    <row r="230" spans="1:26" x14ac:dyDescent="0.2">
      <c r="A230" s="412"/>
      <c r="B230" s="412"/>
      <c r="C230" s="412"/>
      <c r="D230" s="416" t="s">
        <v>715</v>
      </c>
      <c r="E230" s="417"/>
      <c r="F230" s="417"/>
      <c r="G230" s="417"/>
      <c r="H230" s="418">
        <v>25357.68</v>
      </c>
      <c r="I230" s="412"/>
      <c r="J230" s="412"/>
      <c r="K230" s="412"/>
      <c r="L230" s="412"/>
    </row>
    <row r="231" spans="1:26" ht="40.799999999999997" x14ac:dyDescent="0.2">
      <c r="A231" s="403">
        <v>34</v>
      </c>
      <c r="B231" s="403">
        <v>34</v>
      </c>
      <c r="C231" s="403" t="s">
        <v>1295</v>
      </c>
      <c r="D231" s="403" t="s">
        <v>1575</v>
      </c>
      <c r="E231" s="404">
        <v>32.32</v>
      </c>
      <c r="F231" s="405">
        <v>1019.54</v>
      </c>
      <c r="G231" s="405" t="s">
        <v>281</v>
      </c>
      <c r="H231" s="406">
        <v>268884.62</v>
      </c>
      <c r="I231" s="406" t="s">
        <v>281</v>
      </c>
      <c r="J231" s="406" t="s">
        <v>281</v>
      </c>
      <c r="K231" s="405" t="s">
        <v>281</v>
      </c>
      <c r="L231" s="405" t="s">
        <v>281</v>
      </c>
      <c r="T231" s="435">
        <v>268884.62</v>
      </c>
      <c r="V231" s="435" t="s">
        <v>281</v>
      </c>
      <c r="W231" s="435" t="s">
        <v>281</v>
      </c>
      <c r="X231" s="435" t="s">
        <v>281</v>
      </c>
      <c r="Y231" s="435" t="s">
        <v>281</v>
      </c>
      <c r="Z231" s="435" t="s">
        <v>281</v>
      </c>
    </row>
    <row r="232" spans="1:26" x14ac:dyDescent="0.2">
      <c r="A232" s="407"/>
      <c r="B232" s="407"/>
      <c r="C232" s="407"/>
      <c r="D232" s="408" t="s">
        <v>883</v>
      </c>
      <c r="E232" s="409"/>
      <c r="F232" s="410" t="s">
        <v>281</v>
      </c>
      <c r="G232" s="410" t="s">
        <v>281</v>
      </c>
      <c r="H232" s="409"/>
      <c r="I232" s="409"/>
      <c r="J232" s="411" t="s">
        <v>281</v>
      </c>
      <c r="K232" s="410" t="s">
        <v>281</v>
      </c>
      <c r="L232" s="410" t="s">
        <v>281</v>
      </c>
    </row>
    <row r="233" spans="1:26" x14ac:dyDescent="0.2">
      <c r="A233" s="412"/>
      <c r="B233" s="412"/>
      <c r="C233" s="412"/>
      <c r="D233" s="395" t="s">
        <v>718</v>
      </c>
      <c r="E233" s="412"/>
      <c r="F233" s="412"/>
      <c r="G233" s="412"/>
      <c r="H233" s="412"/>
      <c r="I233" s="412"/>
      <c r="J233" s="412"/>
      <c r="K233" s="412"/>
      <c r="L233" s="412"/>
    </row>
    <row r="234" spans="1:26" ht="51" x14ac:dyDescent="0.2">
      <c r="A234" s="403">
        <v>35</v>
      </c>
      <c r="B234" s="403">
        <v>35</v>
      </c>
      <c r="C234" s="403" t="s">
        <v>1296</v>
      </c>
      <c r="D234" s="403" t="s">
        <v>1274</v>
      </c>
      <c r="E234" s="404">
        <v>0.16</v>
      </c>
      <c r="F234" s="405">
        <v>4170.7533000000003</v>
      </c>
      <c r="G234" s="405">
        <v>3229.0275000000001</v>
      </c>
      <c r="H234" s="406">
        <v>12718.52</v>
      </c>
      <c r="I234" s="406">
        <v>5684.76</v>
      </c>
      <c r="J234" s="406">
        <v>6840.37</v>
      </c>
      <c r="K234" s="405">
        <v>83.449749999999995</v>
      </c>
      <c r="L234" s="405">
        <v>13.35196</v>
      </c>
      <c r="T234" s="435">
        <v>26673.45</v>
      </c>
      <c r="V234" s="435">
        <v>5684.76</v>
      </c>
      <c r="W234" s="435">
        <v>6840.37</v>
      </c>
      <c r="X234" s="435">
        <v>2072.29</v>
      </c>
      <c r="Y234" s="435">
        <v>13.35196</v>
      </c>
      <c r="Z234" s="435">
        <v>3.2153999999999998</v>
      </c>
    </row>
    <row r="235" spans="1:26" x14ac:dyDescent="0.2">
      <c r="A235" s="407"/>
      <c r="B235" s="407"/>
      <c r="C235" s="407"/>
      <c r="D235" s="408" t="s">
        <v>747</v>
      </c>
      <c r="E235" s="409"/>
      <c r="F235" s="410">
        <v>793.60580000000004</v>
      </c>
      <c r="G235" s="410">
        <v>289.296875</v>
      </c>
      <c r="H235" s="409"/>
      <c r="I235" s="409"/>
      <c r="J235" s="411">
        <v>2072.29</v>
      </c>
      <c r="K235" s="410">
        <v>20.096250000000001</v>
      </c>
      <c r="L235" s="410">
        <v>3.2153999999999998</v>
      </c>
    </row>
    <row r="236" spans="1:26" ht="20.399999999999999" x14ac:dyDescent="0.2">
      <c r="A236" s="412"/>
      <c r="B236" s="412"/>
      <c r="C236" s="412"/>
      <c r="D236" s="395" t="s">
        <v>714</v>
      </c>
      <c r="E236" s="412"/>
      <c r="F236" s="412"/>
      <c r="G236" s="412"/>
      <c r="H236" s="412"/>
      <c r="I236" s="412"/>
      <c r="J236" s="412"/>
      <c r="K236" s="412"/>
      <c r="L236" s="412"/>
    </row>
    <row r="237" spans="1:26" ht="20.399999999999999" x14ac:dyDescent="0.2">
      <c r="A237" s="412"/>
      <c r="B237" s="412"/>
      <c r="C237" s="412"/>
      <c r="D237" s="395" t="s">
        <v>978</v>
      </c>
      <c r="E237" s="412"/>
      <c r="F237" s="412"/>
      <c r="G237" s="412"/>
      <c r="H237" s="412"/>
      <c r="I237" s="412"/>
      <c r="J237" s="412"/>
      <c r="K237" s="412"/>
      <c r="L237" s="412"/>
    </row>
    <row r="238" spans="1:26" ht="132.6" x14ac:dyDescent="0.2">
      <c r="A238" s="412"/>
      <c r="B238" s="412"/>
      <c r="C238" s="412"/>
      <c r="D238" s="395" t="s">
        <v>979</v>
      </c>
      <c r="E238" s="412"/>
      <c r="F238" s="412"/>
      <c r="G238" s="412"/>
      <c r="H238" s="412"/>
      <c r="I238" s="412"/>
      <c r="J238" s="412"/>
      <c r="K238" s="412"/>
      <c r="L238" s="412"/>
    </row>
    <row r="239" spans="1:26" x14ac:dyDescent="0.2">
      <c r="A239" s="412"/>
      <c r="B239" s="412"/>
      <c r="C239" s="412"/>
      <c r="D239" s="413" t="s">
        <v>206</v>
      </c>
      <c r="E239" s="414" t="s">
        <v>1242</v>
      </c>
      <c r="F239" s="414"/>
      <c r="G239" s="414"/>
      <c r="H239" s="415">
        <v>9075.75</v>
      </c>
      <c r="I239" s="412"/>
      <c r="J239" s="412"/>
      <c r="K239" s="412"/>
      <c r="L239" s="412"/>
    </row>
    <row r="240" spans="1:26" x14ac:dyDescent="0.2">
      <c r="A240" s="412"/>
      <c r="B240" s="412"/>
      <c r="C240" s="412"/>
      <c r="D240" s="413" t="s">
        <v>207</v>
      </c>
      <c r="E240" s="414" t="s">
        <v>1243</v>
      </c>
      <c r="F240" s="414"/>
      <c r="G240" s="414"/>
      <c r="H240" s="415">
        <v>4879.18</v>
      </c>
      <c r="I240" s="412"/>
      <c r="J240" s="412"/>
      <c r="K240" s="412"/>
      <c r="L240" s="412"/>
    </row>
    <row r="241" spans="1:26" x14ac:dyDescent="0.2">
      <c r="A241" s="412"/>
      <c r="B241" s="412"/>
      <c r="C241" s="412"/>
      <c r="D241" s="416" t="s">
        <v>715</v>
      </c>
      <c r="E241" s="417"/>
      <c r="F241" s="417"/>
      <c r="G241" s="417"/>
      <c r="H241" s="418">
        <v>26673.45</v>
      </c>
      <c r="I241" s="412"/>
      <c r="J241" s="412"/>
      <c r="K241" s="412"/>
      <c r="L241" s="412"/>
    </row>
    <row r="242" spans="1:26" ht="30.6" x14ac:dyDescent="0.2">
      <c r="A242" s="403">
        <v>36</v>
      </c>
      <c r="B242" s="403">
        <v>36</v>
      </c>
      <c r="C242" s="403" t="s">
        <v>1297</v>
      </c>
      <c r="D242" s="403" t="s">
        <v>1574</v>
      </c>
      <c r="E242" s="404">
        <v>16.16</v>
      </c>
      <c r="F242" s="405">
        <v>772.4</v>
      </c>
      <c r="G242" s="405" t="s">
        <v>281</v>
      </c>
      <c r="H242" s="406">
        <v>101852.92</v>
      </c>
      <c r="I242" s="406" t="s">
        <v>281</v>
      </c>
      <c r="J242" s="406" t="s">
        <v>281</v>
      </c>
      <c r="K242" s="405" t="s">
        <v>281</v>
      </c>
      <c r="L242" s="405" t="s">
        <v>281</v>
      </c>
      <c r="T242" s="435">
        <v>101852.92</v>
      </c>
      <c r="V242" s="435" t="s">
        <v>281</v>
      </c>
      <c r="W242" s="435" t="s">
        <v>281</v>
      </c>
      <c r="X242" s="435" t="s">
        <v>281</v>
      </c>
      <c r="Y242" s="435" t="s">
        <v>281</v>
      </c>
      <c r="Z242" s="435" t="s">
        <v>281</v>
      </c>
    </row>
    <row r="243" spans="1:26" x14ac:dyDescent="0.2">
      <c r="A243" s="407"/>
      <c r="B243" s="407"/>
      <c r="C243" s="407"/>
      <c r="D243" s="408" t="s">
        <v>883</v>
      </c>
      <c r="E243" s="409"/>
      <c r="F243" s="410" t="s">
        <v>281</v>
      </c>
      <c r="G243" s="410" t="s">
        <v>281</v>
      </c>
      <c r="H243" s="409"/>
      <c r="I243" s="409"/>
      <c r="J243" s="411" t="s">
        <v>281</v>
      </c>
      <c r="K243" s="410" t="s">
        <v>281</v>
      </c>
      <c r="L243" s="410" t="s">
        <v>281</v>
      </c>
    </row>
    <row r="244" spans="1:26" x14ac:dyDescent="0.2">
      <c r="A244" s="412"/>
      <c r="B244" s="412"/>
      <c r="C244" s="412"/>
      <c r="D244" s="395" t="s">
        <v>718</v>
      </c>
      <c r="E244" s="412"/>
      <c r="F244" s="412"/>
      <c r="G244" s="412"/>
      <c r="H244" s="412"/>
      <c r="I244" s="412"/>
      <c r="J244" s="412"/>
      <c r="K244" s="412"/>
      <c r="L244" s="412"/>
    </row>
    <row r="245" spans="1:26" ht="61.2" x14ac:dyDescent="0.2">
      <c r="A245" s="403">
        <v>37</v>
      </c>
      <c r="B245" s="403">
        <v>37</v>
      </c>
      <c r="C245" s="403" t="s">
        <v>1298</v>
      </c>
      <c r="D245" s="403" t="s">
        <v>1275</v>
      </c>
      <c r="E245" s="404">
        <v>1.6E-2</v>
      </c>
      <c r="F245" s="405">
        <v>63663.824650000002</v>
      </c>
      <c r="G245" s="405">
        <v>41664.011250000003</v>
      </c>
      <c r="H245" s="406">
        <v>14457.64</v>
      </c>
      <c r="I245" s="406">
        <v>3374.25</v>
      </c>
      <c r="J245" s="406">
        <v>8826.1</v>
      </c>
      <c r="K245" s="405">
        <v>513.13</v>
      </c>
      <c r="L245" s="405">
        <v>8.2100799999999996</v>
      </c>
      <c r="T245" s="435">
        <v>25180.71</v>
      </c>
      <c r="V245" s="435">
        <v>3374.25</v>
      </c>
      <c r="W245" s="435">
        <v>8826.1</v>
      </c>
      <c r="X245" s="435">
        <v>2586.3200000000002</v>
      </c>
      <c r="Y245" s="435">
        <v>8.2100799999999996</v>
      </c>
      <c r="Z245" s="435">
        <v>4.0813499999999996</v>
      </c>
    </row>
    <row r="246" spans="1:26" x14ac:dyDescent="0.2">
      <c r="A246" s="407"/>
      <c r="B246" s="407"/>
      <c r="C246" s="407"/>
      <c r="D246" s="408" t="s">
        <v>1245</v>
      </c>
      <c r="E246" s="409"/>
      <c r="F246" s="410">
        <v>4710.5334000000003</v>
      </c>
      <c r="G246" s="410">
        <v>3610.5687499999999</v>
      </c>
      <c r="H246" s="409"/>
      <c r="I246" s="409"/>
      <c r="J246" s="411">
        <v>2586.3200000000002</v>
      </c>
      <c r="K246" s="410">
        <v>255.08437499999999</v>
      </c>
      <c r="L246" s="410">
        <v>4.0813499999999996</v>
      </c>
    </row>
    <row r="247" spans="1:26" ht="20.399999999999999" x14ac:dyDescent="0.2">
      <c r="A247" s="412"/>
      <c r="B247" s="412"/>
      <c r="C247" s="412"/>
      <c r="D247" s="395" t="s">
        <v>714</v>
      </c>
      <c r="E247" s="412"/>
      <c r="F247" s="412"/>
      <c r="G247" s="412"/>
      <c r="H247" s="412"/>
      <c r="I247" s="412"/>
      <c r="J247" s="412"/>
      <c r="K247" s="412"/>
      <c r="L247" s="412"/>
    </row>
    <row r="248" spans="1:26" ht="20.399999999999999" x14ac:dyDescent="0.2">
      <c r="A248" s="412"/>
      <c r="B248" s="412"/>
      <c r="C248" s="412"/>
      <c r="D248" s="395" t="s">
        <v>978</v>
      </c>
      <c r="E248" s="412"/>
      <c r="F248" s="412"/>
      <c r="G248" s="412"/>
      <c r="H248" s="412"/>
      <c r="I248" s="412"/>
      <c r="J248" s="412"/>
      <c r="K248" s="412"/>
      <c r="L248" s="412"/>
    </row>
    <row r="249" spans="1:26" ht="132.6" x14ac:dyDescent="0.2">
      <c r="A249" s="412"/>
      <c r="B249" s="412"/>
      <c r="C249" s="412"/>
      <c r="D249" s="395" t="s">
        <v>979</v>
      </c>
      <c r="E249" s="412"/>
      <c r="F249" s="412"/>
      <c r="G249" s="412"/>
      <c r="H249" s="412"/>
      <c r="I249" s="412"/>
      <c r="J249" s="412"/>
      <c r="K249" s="412"/>
      <c r="L249" s="412"/>
    </row>
    <row r="250" spans="1:26" x14ac:dyDescent="0.2">
      <c r="A250" s="412"/>
      <c r="B250" s="412"/>
      <c r="C250" s="412"/>
      <c r="D250" s="413" t="s">
        <v>206</v>
      </c>
      <c r="E250" s="414" t="s">
        <v>1242</v>
      </c>
      <c r="F250" s="414"/>
      <c r="G250" s="414"/>
      <c r="H250" s="415">
        <v>6973.87</v>
      </c>
      <c r="I250" s="412"/>
      <c r="J250" s="412"/>
      <c r="K250" s="412"/>
      <c r="L250" s="412"/>
    </row>
    <row r="251" spans="1:26" x14ac:dyDescent="0.2">
      <c r="A251" s="412"/>
      <c r="B251" s="412"/>
      <c r="C251" s="412"/>
      <c r="D251" s="413" t="s">
        <v>207</v>
      </c>
      <c r="E251" s="414" t="s">
        <v>1243</v>
      </c>
      <c r="F251" s="414"/>
      <c r="G251" s="414"/>
      <c r="H251" s="415">
        <v>3749.2</v>
      </c>
      <c r="I251" s="412"/>
      <c r="J251" s="412"/>
      <c r="K251" s="412"/>
      <c r="L251" s="412"/>
    </row>
    <row r="252" spans="1:26" x14ac:dyDescent="0.2">
      <c r="A252" s="412"/>
      <c r="B252" s="412"/>
      <c r="C252" s="412"/>
      <c r="D252" s="416" t="s">
        <v>715</v>
      </c>
      <c r="E252" s="417"/>
      <c r="F252" s="417"/>
      <c r="G252" s="417"/>
      <c r="H252" s="418">
        <v>25180.71</v>
      </c>
      <c r="I252" s="412"/>
      <c r="J252" s="412"/>
      <c r="K252" s="412"/>
      <c r="L252" s="412"/>
    </row>
    <row r="253" spans="1:26" ht="61.2" x14ac:dyDescent="0.2">
      <c r="A253" s="403">
        <v>38</v>
      </c>
      <c r="B253" s="403">
        <v>38</v>
      </c>
      <c r="C253" s="403" t="s">
        <v>1299</v>
      </c>
      <c r="D253" s="403" t="s">
        <v>1276</v>
      </c>
      <c r="E253" s="404">
        <v>1.6E-2</v>
      </c>
      <c r="F253" s="405">
        <v>4645.283375</v>
      </c>
      <c r="G253" s="405">
        <v>2132.6462499999998</v>
      </c>
      <c r="H253" s="406">
        <v>1486.06</v>
      </c>
      <c r="I253" s="406">
        <v>863.64</v>
      </c>
      <c r="J253" s="406">
        <v>451.78</v>
      </c>
      <c r="K253" s="405">
        <v>121.53775</v>
      </c>
      <c r="L253" s="405">
        <v>1.944604</v>
      </c>
      <c r="T253" s="435">
        <v>3383.47</v>
      </c>
      <c r="V253" s="435">
        <v>863.64</v>
      </c>
      <c r="W253" s="435">
        <v>451.78</v>
      </c>
      <c r="X253" s="435">
        <v>191.06</v>
      </c>
      <c r="Y253" s="435">
        <v>1.944604</v>
      </c>
      <c r="Z253" s="435">
        <v>0.33442</v>
      </c>
    </row>
    <row r="254" spans="1:26" x14ac:dyDescent="0.2">
      <c r="A254" s="407"/>
      <c r="B254" s="407"/>
      <c r="C254" s="407"/>
      <c r="D254" s="408" t="s">
        <v>1245</v>
      </c>
      <c r="E254" s="409"/>
      <c r="F254" s="410">
        <v>1205.657125</v>
      </c>
      <c r="G254" s="410">
        <v>266.72812499999998</v>
      </c>
      <c r="H254" s="409"/>
      <c r="I254" s="409"/>
      <c r="J254" s="411">
        <v>191.06</v>
      </c>
      <c r="K254" s="410">
        <v>20.901250000000001</v>
      </c>
      <c r="L254" s="410">
        <v>0.33442</v>
      </c>
    </row>
    <row r="255" spans="1:26" ht="20.399999999999999" x14ac:dyDescent="0.2">
      <c r="A255" s="412"/>
      <c r="B255" s="412"/>
      <c r="C255" s="412"/>
      <c r="D255" s="395" t="s">
        <v>714</v>
      </c>
      <c r="E255" s="412"/>
      <c r="F255" s="412"/>
      <c r="G255" s="412"/>
      <c r="H255" s="412"/>
      <c r="I255" s="412"/>
      <c r="J255" s="412"/>
      <c r="K255" s="412"/>
      <c r="L255" s="412"/>
    </row>
    <row r="256" spans="1:26" ht="20.399999999999999" x14ac:dyDescent="0.2">
      <c r="A256" s="412"/>
      <c r="B256" s="412"/>
      <c r="C256" s="412"/>
      <c r="D256" s="395" t="s">
        <v>978</v>
      </c>
      <c r="E256" s="412"/>
      <c r="F256" s="412"/>
      <c r="G256" s="412"/>
      <c r="H256" s="412"/>
      <c r="I256" s="412"/>
      <c r="J256" s="412"/>
      <c r="K256" s="412"/>
      <c r="L256" s="412"/>
    </row>
    <row r="257" spans="1:26" ht="132.6" x14ac:dyDescent="0.2">
      <c r="A257" s="412"/>
      <c r="B257" s="412"/>
      <c r="C257" s="412"/>
      <c r="D257" s="395" t="s">
        <v>979</v>
      </c>
      <c r="E257" s="412"/>
      <c r="F257" s="412"/>
      <c r="G257" s="412"/>
      <c r="H257" s="412"/>
      <c r="I257" s="412"/>
      <c r="J257" s="412"/>
      <c r="K257" s="412"/>
      <c r="L257" s="412"/>
    </row>
    <row r="258" spans="1:26" x14ac:dyDescent="0.2">
      <c r="A258" s="412"/>
      <c r="B258" s="412"/>
      <c r="C258" s="412"/>
      <c r="D258" s="413" t="s">
        <v>206</v>
      </c>
      <c r="E258" s="414" t="s">
        <v>1242</v>
      </c>
      <c r="F258" s="414"/>
      <c r="G258" s="414"/>
      <c r="H258" s="415">
        <v>1234</v>
      </c>
      <c r="I258" s="412"/>
      <c r="J258" s="412"/>
      <c r="K258" s="412"/>
      <c r="L258" s="412"/>
    </row>
    <row r="259" spans="1:26" x14ac:dyDescent="0.2">
      <c r="A259" s="412"/>
      <c r="B259" s="412"/>
      <c r="C259" s="412"/>
      <c r="D259" s="413" t="s">
        <v>207</v>
      </c>
      <c r="E259" s="414" t="s">
        <v>1243</v>
      </c>
      <c r="F259" s="414"/>
      <c r="G259" s="414"/>
      <c r="H259" s="415">
        <v>663.41</v>
      </c>
      <c r="I259" s="412"/>
      <c r="J259" s="412"/>
      <c r="K259" s="412"/>
      <c r="L259" s="412"/>
    </row>
    <row r="260" spans="1:26" x14ac:dyDescent="0.2">
      <c r="A260" s="412"/>
      <c r="B260" s="412"/>
      <c r="C260" s="412"/>
      <c r="D260" s="416" t="s">
        <v>715</v>
      </c>
      <c r="E260" s="417"/>
      <c r="F260" s="417"/>
      <c r="G260" s="417"/>
      <c r="H260" s="418">
        <v>3383.47</v>
      </c>
      <c r="I260" s="412"/>
      <c r="J260" s="412"/>
      <c r="K260" s="412"/>
      <c r="L260" s="412"/>
    </row>
    <row r="261" spans="1:26" x14ac:dyDescent="0.2">
      <c r="A261" s="403">
        <v>39</v>
      </c>
      <c r="B261" s="403">
        <v>39</v>
      </c>
      <c r="C261" s="403" t="s">
        <v>1285</v>
      </c>
      <c r="D261" s="403" t="s">
        <v>1573</v>
      </c>
      <c r="E261" s="404">
        <v>0.26960000000000001</v>
      </c>
      <c r="F261" s="405">
        <v>43982.400000000001</v>
      </c>
      <c r="G261" s="405" t="s">
        <v>281</v>
      </c>
      <c r="H261" s="406">
        <v>96758.46</v>
      </c>
      <c r="I261" s="406" t="s">
        <v>281</v>
      </c>
      <c r="J261" s="406" t="s">
        <v>281</v>
      </c>
      <c r="K261" s="405" t="s">
        <v>281</v>
      </c>
      <c r="L261" s="405" t="s">
        <v>281</v>
      </c>
      <c r="T261" s="435">
        <v>96758.46</v>
      </c>
      <c r="V261" s="435" t="s">
        <v>281</v>
      </c>
      <c r="W261" s="435" t="s">
        <v>281</v>
      </c>
      <c r="X261" s="435" t="s">
        <v>281</v>
      </c>
      <c r="Y261" s="435" t="s">
        <v>281</v>
      </c>
      <c r="Z261" s="435" t="s">
        <v>281</v>
      </c>
    </row>
    <row r="262" spans="1:26" x14ac:dyDescent="0.2">
      <c r="A262" s="407"/>
      <c r="B262" s="407"/>
      <c r="C262" s="407"/>
      <c r="D262" s="408" t="s">
        <v>224</v>
      </c>
      <c r="E262" s="409"/>
      <c r="F262" s="410" t="s">
        <v>281</v>
      </c>
      <c r="G262" s="410" t="s">
        <v>281</v>
      </c>
      <c r="H262" s="409"/>
      <c r="I262" s="409"/>
      <c r="J262" s="411" t="s">
        <v>281</v>
      </c>
      <c r="K262" s="410" t="s">
        <v>281</v>
      </c>
      <c r="L262" s="410" t="s">
        <v>281</v>
      </c>
    </row>
    <row r="263" spans="1:26" x14ac:dyDescent="0.2">
      <c r="A263" s="412"/>
      <c r="B263" s="412"/>
      <c r="C263" s="412"/>
      <c r="D263" s="395" t="s">
        <v>718</v>
      </c>
      <c r="E263" s="412"/>
      <c r="F263" s="412"/>
      <c r="G263" s="412"/>
      <c r="H263" s="412"/>
      <c r="I263" s="412"/>
      <c r="J263" s="412"/>
      <c r="K263" s="412"/>
      <c r="L263" s="412"/>
    </row>
    <row r="264" spans="1:26" ht="20.399999999999999" x14ac:dyDescent="0.2">
      <c r="A264" s="403">
        <v>40</v>
      </c>
      <c r="B264" s="403">
        <v>40</v>
      </c>
      <c r="C264" s="403" t="s">
        <v>1250</v>
      </c>
      <c r="D264" s="403" t="s">
        <v>1572</v>
      </c>
      <c r="E264" s="404">
        <v>3.04</v>
      </c>
      <c r="F264" s="405">
        <v>12.37</v>
      </c>
      <c r="G264" s="405" t="s">
        <v>281</v>
      </c>
      <c r="H264" s="406">
        <v>306.86</v>
      </c>
      <c r="I264" s="406" t="s">
        <v>281</v>
      </c>
      <c r="J264" s="406" t="s">
        <v>281</v>
      </c>
      <c r="K264" s="405" t="s">
        <v>281</v>
      </c>
      <c r="L264" s="405" t="s">
        <v>281</v>
      </c>
      <c r="T264" s="435">
        <v>306.86</v>
      </c>
      <c r="V264" s="435" t="s">
        <v>281</v>
      </c>
      <c r="W264" s="435" t="s">
        <v>281</v>
      </c>
      <c r="X264" s="435" t="s">
        <v>281</v>
      </c>
      <c r="Y264" s="435" t="s">
        <v>281</v>
      </c>
      <c r="Z264" s="435" t="s">
        <v>281</v>
      </c>
    </row>
    <row r="265" spans="1:26" x14ac:dyDescent="0.2">
      <c r="A265" s="407"/>
      <c r="B265" s="407"/>
      <c r="C265" s="407"/>
      <c r="D265" s="408" t="s">
        <v>898</v>
      </c>
      <c r="E265" s="409"/>
      <c r="F265" s="410" t="s">
        <v>281</v>
      </c>
      <c r="G265" s="410" t="s">
        <v>281</v>
      </c>
      <c r="H265" s="409"/>
      <c r="I265" s="409"/>
      <c r="J265" s="411" t="s">
        <v>281</v>
      </c>
      <c r="K265" s="410" t="s">
        <v>281</v>
      </c>
      <c r="L265" s="410" t="s">
        <v>281</v>
      </c>
    </row>
    <row r="266" spans="1:26" x14ac:dyDescent="0.2">
      <c r="A266" s="412"/>
      <c r="B266" s="412"/>
      <c r="C266" s="412"/>
      <c r="D266" s="395" t="s">
        <v>718</v>
      </c>
      <c r="E266" s="412"/>
      <c r="F266" s="412"/>
      <c r="G266" s="412"/>
      <c r="H266" s="412"/>
      <c r="I266" s="412"/>
      <c r="J266" s="412"/>
      <c r="K266" s="412"/>
      <c r="L266" s="412"/>
    </row>
    <row r="267" spans="1:26" ht="40.799999999999997" x14ac:dyDescent="0.2">
      <c r="A267" s="403">
        <v>41</v>
      </c>
      <c r="B267" s="403">
        <v>41</v>
      </c>
      <c r="C267" s="403" t="s">
        <v>1300</v>
      </c>
      <c r="D267" s="403" t="s">
        <v>1277</v>
      </c>
      <c r="E267" s="404">
        <v>0.16</v>
      </c>
      <c r="F267" s="405">
        <v>2585.1453750000001</v>
      </c>
      <c r="G267" s="405">
        <v>140.35749999999999</v>
      </c>
      <c r="H267" s="406">
        <v>10107.620000000001</v>
      </c>
      <c r="I267" s="406">
        <v>8093.54</v>
      </c>
      <c r="J267" s="406">
        <v>297.33</v>
      </c>
      <c r="K267" s="405">
        <v>117.45122499999999</v>
      </c>
      <c r="L267" s="405">
        <v>18.792196000000001</v>
      </c>
      <c r="T267" s="435">
        <v>24690.5</v>
      </c>
      <c r="V267" s="435">
        <v>8093.54</v>
      </c>
      <c r="W267" s="435">
        <v>297.33</v>
      </c>
      <c r="X267" s="435">
        <v>12.56</v>
      </c>
      <c r="Y267" s="435">
        <v>18.792196000000001</v>
      </c>
      <c r="Z267" s="435">
        <v>2.07E-2</v>
      </c>
    </row>
    <row r="268" spans="1:26" x14ac:dyDescent="0.2">
      <c r="A268" s="407"/>
      <c r="B268" s="407"/>
      <c r="C268" s="407"/>
      <c r="D268" s="408" t="s">
        <v>1255</v>
      </c>
      <c r="E268" s="409"/>
      <c r="F268" s="410">
        <v>1129.8778749999999</v>
      </c>
      <c r="G268" s="410">
        <v>1.7537499999999999</v>
      </c>
      <c r="H268" s="409"/>
      <c r="I268" s="409"/>
      <c r="J268" s="411">
        <v>12.56</v>
      </c>
      <c r="K268" s="410">
        <v>0.12937499999999999</v>
      </c>
      <c r="L268" s="410">
        <v>2.07E-2</v>
      </c>
    </row>
    <row r="269" spans="1:26" ht="20.399999999999999" x14ac:dyDescent="0.2">
      <c r="A269" s="412"/>
      <c r="B269" s="412"/>
      <c r="C269" s="412"/>
      <c r="D269" s="395" t="s">
        <v>714</v>
      </c>
      <c r="E269" s="412"/>
      <c r="F269" s="412"/>
      <c r="G269" s="412"/>
      <c r="H269" s="412"/>
      <c r="I269" s="412"/>
      <c r="J269" s="412"/>
      <c r="K269" s="412"/>
      <c r="L269" s="412"/>
    </row>
    <row r="270" spans="1:26" ht="20.399999999999999" x14ac:dyDescent="0.2">
      <c r="A270" s="412"/>
      <c r="B270" s="412"/>
      <c r="C270" s="412"/>
      <c r="D270" s="395" t="s">
        <v>978</v>
      </c>
      <c r="E270" s="412"/>
      <c r="F270" s="412"/>
      <c r="G270" s="412"/>
      <c r="H270" s="412"/>
      <c r="I270" s="412"/>
      <c r="J270" s="412"/>
      <c r="K270" s="412"/>
      <c r="L270" s="412"/>
    </row>
    <row r="271" spans="1:26" ht="132.6" x14ac:dyDescent="0.2">
      <c r="A271" s="412"/>
      <c r="B271" s="412"/>
      <c r="C271" s="412"/>
      <c r="D271" s="395" t="s">
        <v>979</v>
      </c>
      <c r="E271" s="412"/>
      <c r="F271" s="412"/>
      <c r="G271" s="412"/>
      <c r="H271" s="412"/>
      <c r="I271" s="412"/>
      <c r="J271" s="412"/>
      <c r="K271" s="412"/>
      <c r="L271" s="412"/>
    </row>
    <row r="272" spans="1:26" x14ac:dyDescent="0.2">
      <c r="A272" s="412"/>
      <c r="B272" s="412"/>
      <c r="C272" s="412"/>
      <c r="D272" s="413" t="s">
        <v>206</v>
      </c>
      <c r="E272" s="414" t="s">
        <v>1242</v>
      </c>
      <c r="F272" s="414"/>
      <c r="G272" s="414"/>
      <c r="H272" s="415">
        <v>9484.14</v>
      </c>
      <c r="I272" s="412"/>
      <c r="J272" s="412"/>
      <c r="K272" s="412"/>
      <c r="L272" s="412"/>
    </row>
    <row r="273" spans="1:26" x14ac:dyDescent="0.2">
      <c r="A273" s="412"/>
      <c r="B273" s="412"/>
      <c r="C273" s="412"/>
      <c r="D273" s="413" t="s">
        <v>207</v>
      </c>
      <c r="E273" s="414" t="s">
        <v>1243</v>
      </c>
      <c r="F273" s="414"/>
      <c r="G273" s="414"/>
      <c r="H273" s="415">
        <v>5098.74</v>
      </c>
      <c r="I273" s="412"/>
      <c r="J273" s="412"/>
      <c r="K273" s="412"/>
      <c r="L273" s="412"/>
    </row>
    <row r="274" spans="1:26" x14ac:dyDescent="0.2">
      <c r="A274" s="412"/>
      <c r="B274" s="412"/>
      <c r="C274" s="412"/>
      <c r="D274" s="416" t="s">
        <v>715</v>
      </c>
      <c r="E274" s="417"/>
      <c r="F274" s="417"/>
      <c r="G274" s="417"/>
      <c r="H274" s="418">
        <v>24690.5</v>
      </c>
      <c r="I274" s="412"/>
      <c r="J274" s="412"/>
      <c r="K274" s="412"/>
      <c r="L274" s="412"/>
    </row>
    <row r="275" spans="1:26" x14ac:dyDescent="0.2">
      <c r="A275" s="403">
        <v>42</v>
      </c>
      <c r="B275" s="403">
        <v>42</v>
      </c>
      <c r="C275" s="403" t="s">
        <v>1301</v>
      </c>
      <c r="D275" s="403" t="s">
        <v>1571</v>
      </c>
      <c r="E275" s="404">
        <v>3</v>
      </c>
      <c r="F275" s="405">
        <v>10.68</v>
      </c>
      <c r="G275" s="405" t="s">
        <v>281</v>
      </c>
      <c r="H275" s="406">
        <v>261.45</v>
      </c>
      <c r="I275" s="406" t="s">
        <v>281</v>
      </c>
      <c r="J275" s="406" t="s">
        <v>281</v>
      </c>
      <c r="K275" s="405" t="s">
        <v>281</v>
      </c>
      <c r="L275" s="405" t="s">
        <v>281</v>
      </c>
      <c r="T275" s="435">
        <v>261.45</v>
      </c>
      <c r="V275" s="435" t="s">
        <v>281</v>
      </c>
      <c r="W275" s="435" t="s">
        <v>281</v>
      </c>
      <c r="X275" s="435" t="s">
        <v>281</v>
      </c>
      <c r="Y275" s="435" t="s">
        <v>281</v>
      </c>
      <c r="Z275" s="435" t="s">
        <v>281</v>
      </c>
    </row>
    <row r="276" spans="1:26" x14ac:dyDescent="0.2">
      <c r="A276" s="407"/>
      <c r="B276" s="407"/>
      <c r="C276" s="407"/>
      <c r="D276" s="408" t="s">
        <v>735</v>
      </c>
      <c r="E276" s="409"/>
      <c r="F276" s="410" t="s">
        <v>281</v>
      </c>
      <c r="G276" s="410" t="s">
        <v>281</v>
      </c>
      <c r="H276" s="409"/>
      <c r="I276" s="409"/>
      <c r="J276" s="411" t="s">
        <v>281</v>
      </c>
      <c r="K276" s="410" t="s">
        <v>281</v>
      </c>
      <c r="L276" s="410" t="s">
        <v>281</v>
      </c>
    </row>
    <row r="277" spans="1:26" x14ac:dyDescent="0.2">
      <c r="A277" s="412"/>
      <c r="B277" s="412"/>
      <c r="C277" s="412"/>
      <c r="D277" s="395" t="s">
        <v>718</v>
      </c>
      <c r="E277" s="412"/>
      <c r="F277" s="412"/>
      <c r="G277" s="412"/>
      <c r="H277" s="412"/>
      <c r="I277" s="412"/>
      <c r="J277" s="412"/>
      <c r="K277" s="412"/>
      <c r="L277" s="412"/>
    </row>
    <row r="278" spans="1:26" ht="40.799999999999997" x14ac:dyDescent="0.2">
      <c r="A278" s="403">
        <v>43</v>
      </c>
      <c r="B278" s="403">
        <v>43</v>
      </c>
      <c r="C278" s="403" t="s">
        <v>1287</v>
      </c>
      <c r="D278" s="403" t="s">
        <v>1271</v>
      </c>
      <c r="E278" s="404">
        <v>0.2</v>
      </c>
      <c r="F278" s="405">
        <v>374.57799999999997</v>
      </c>
      <c r="G278" s="405">
        <v>324.91812499999997</v>
      </c>
      <c r="H278" s="406">
        <v>1305.03</v>
      </c>
      <c r="I278" s="406">
        <v>444.65</v>
      </c>
      <c r="J278" s="406">
        <v>860.38</v>
      </c>
      <c r="K278" s="405">
        <v>5.4751500000000002</v>
      </c>
      <c r="L278" s="405">
        <v>1.0950299999999999</v>
      </c>
      <c r="T278" s="435">
        <v>2811.21</v>
      </c>
      <c r="V278" s="435">
        <v>444.65</v>
      </c>
      <c r="W278" s="435">
        <v>860.38</v>
      </c>
      <c r="X278" s="435">
        <v>392.58</v>
      </c>
      <c r="Y278" s="435">
        <v>1.0950299999999999</v>
      </c>
      <c r="Z278" s="435">
        <v>0.64975000000000005</v>
      </c>
    </row>
    <row r="279" spans="1:26" x14ac:dyDescent="0.2">
      <c r="A279" s="407"/>
      <c r="B279" s="407"/>
      <c r="C279" s="407"/>
      <c r="D279" s="408" t="s">
        <v>1144</v>
      </c>
      <c r="E279" s="409"/>
      <c r="F279" s="410">
        <v>49.659875</v>
      </c>
      <c r="G279" s="410">
        <v>43.84375</v>
      </c>
      <c r="H279" s="409"/>
      <c r="I279" s="409"/>
      <c r="J279" s="411">
        <v>392.58</v>
      </c>
      <c r="K279" s="410">
        <v>3.2487499999999998</v>
      </c>
      <c r="L279" s="410">
        <v>0.64975000000000005</v>
      </c>
    </row>
    <row r="280" spans="1:26" ht="20.399999999999999" x14ac:dyDescent="0.2">
      <c r="A280" s="412"/>
      <c r="B280" s="412"/>
      <c r="C280" s="412"/>
      <c r="D280" s="395" t="s">
        <v>714</v>
      </c>
      <c r="E280" s="412"/>
      <c r="F280" s="412"/>
      <c r="G280" s="412"/>
      <c r="H280" s="412"/>
      <c r="I280" s="412"/>
      <c r="J280" s="412"/>
      <c r="K280" s="412"/>
      <c r="L280" s="412"/>
    </row>
    <row r="281" spans="1:26" ht="20.399999999999999" x14ac:dyDescent="0.2">
      <c r="A281" s="412"/>
      <c r="B281" s="412"/>
      <c r="C281" s="412"/>
      <c r="D281" s="395" t="s">
        <v>978</v>
      </c>
      <c r="E281" s="412"/>
      <c r="F281" s="412"/>
      <c r="G281" s="412"/>
      <c r="H281" s="412"/>
      <c r="I281" s="412"/>
      <c r="J281" s="412"/>
      <c r="K281" s="412"/>
      <c r="L281" s="412"/>
    </row>
    <row r="282" spans="1:26" ht="132.6" x14ac:dyDescent="0.2">
      <c r="A282" s="412"/>
      <c r="B282" s="412"/>
      <c r="C282" s="412"/>
      <c r="D282" s="395" t="s">
        <v>979</v>
      </c>
      <c r="E282" s="412"/>
      <c r="F282" s="412"/>
      <c r="G282" s="412"/>
      <c r="H282" s="412"/>
      <c r="I282" s="412"/>
      <c r="J282" s="412"/>
      <c r="K282" s="412"/>
      <c r="L282" s="412"/>
    </row>
    <row r="283" spans="1:26" x14ac:dyDescent="0.2">
      <c r="A283" s="412"/>
      <c r="B283" s="412"/>
      <c r="C283" s="412"/>
      <c r="D283" s="413" t="s">
        <v>206</v>
      </c>
      <c r="E283" s="414" t="s">
        <v>1242</v>
      </c>
      <c r="F283" s="414"/>
      <c r="G283" s="414"/>
      <c r="H283" s="415">
        <v>979.56</v>
      </c>
      <c r="I283" s="412"/>
      <c r="J283" s="412"/>
      <c r="K283" s="412"/>
      <c r="L283" s="412"/>
    </row>
    <row r="284" spans="1:26" x14ac:dyDescent="0.2">
      <c r="A284" s="412"/>
      <c r="B284" s="412"/>
      <c r="C284" s="412"/>
      <c r="D284" s="413" t="s">
        <v>207</v>
      </c>
      <c r="E284" s="414" t="s">
        <v>1243</v>
      </c>
      <c r="F284" s="414"/>
      <c r="G284" s="414"/>
      <c r="H284" s="415">
        <v>526.62</v>
      </c>
      <c r="I284" s="412"/>
      <c r="J284" s="412"/>
      <c r="K284" s="412"/>
      <c r="L284" s="412"/>
    </row>
    <row r="285" spans="1:26" x14ac:dyDescent="0.2">
      <c r="A285" s="412"/>
      <c r="B285" s="412"/>
      <c r="C285" s="412"/>
      <c r="D285" s="416" t="s">
        <v>715</v>
      </c>
      <c r="E285" s="417"/>
      <c r="F285" s="417"/>
      <c r="G285" s="417"/>
      <c r="H285" s="418">
        <v>2811.21</v>
      </c>
      <c r="I285" s="412"/>
      <c r="J285" s="412"/>
      <c r="K285" s="412"/>
      <c r="L285" s="412"/>
    </row>
    <row r="286" spans="1:26" ht="30.6" x14ac:dyDescent="0.2">
      <c r="A286" s="403">
        <v>44</v>
      </c>
      <c r="B286" s="403">
        <v>44</v>
      </c>
      <c r="C286" s="403" t="s">
        <v>1302</v>
      </c>
      <c r="D286" s="403" t="s">
        <v>1570</v>
      </c>
      <c r="E286" s="404">
        <v>2</v>
      </c>
      <c r="F286" s="405">
        <v>215.8</v>
      </c>
      <c r="G286" s="405" t="s">
        <v>281</v>
      </c>
      <c r="H286" s="406">
        <v>3521.86</v>
      </c>
      <c r="I286" s="406" t="s">
        <v>281</v>
      </c>
      <c r="J286" s="406" t="s">
        <v>281</v>
      </c>
      <c r="K286" s="405" t="s">
        <v>281</v>
      </c>
      <c r="L286" s="405" t="s">
        <v>281</v>
      </c>
      <c r="T286" s="435">
        <v>3521.86</v>
      </c>
      <c r="V286" s="435" t="s">
        <v>281</v>
      </c>
      <c r="W286" s="435" t="s">
        <v>281</v>
      </c>
      <c r="X286" s="435" t="s">
        <v>281</v>
      </c>
      <c r="Y286" s="435" t="s">
        <v>281</v>
      </c>
      <c r="Z286" s="435" t="s">
        <v>281</v>
      </c>
    </row>
    <row r="287" spans="1:26" x14ac:dyDescent="0.2">
      <c r="A287" s="407"/>
      <c r="B287" s="407"/>
      <c r="C287" s="407"/>
      <c r="D287" s="408" t="s">
        <v>735</v>
      </c>
      <c r="E287" s="409"/>
      <c r="F287" s="410" t="s">
        <v>281</v>
      </c>
      <c r="G287" s="410" t="s">
        <v>281</v>
      </c>
      <c r="H287" s="409"/>
      <c r="I287" s="409"/>
      <c r="J287" s="411" t="s">
        <v>281</v>
      </c>
      <c r="K287" s="410" t="s">
        <v>281</v>
      </c>
      <c r="L287" s="410" t="s">
        <v>281</v>
      </c>
    </row>
    <row r="288" spans="1:26" x14ac:dyDescent="0.2">
      <c r="A288" s="412"/>
      <c r="B288" s="412"/>
      <c r="C288" s="412"/>
      <c r="D288" s="395" t="s">
        <v>718</v>
      </c>
      <c r="E288" s="412"/>
      <c r="F288" s="412"/>
      <c r="G288" s="412"/>
      <c r="H288" s="412"/>
      <c r="I288" s="412"/>
      <c r="J288" s="412"/>
      <c r="K288" s="412"/>
      <c r="L288" s="412"/>
    </row>
    <row r="289" spans="1:26" ht="30.6" x14ac:dyDescent="0.2">
      <c r="A289" s="403">
        <v>45</v>
      </c>
      <c r="B289" s="403">
        <v>45</v>
      </c>
      <c r="C289" s="403" t="s">
        <v>1303</v>
      </c>
      <c r="D289" s="403" t="s">
        <v>1569</v>
      </c>
      <c r="E289" s="404">
        <v>2</v>
      </c>
      <c r="F289" s="405">
        <v>619.22</v>
      </c>
      <c r="G289" s="405" t="s">
        <v>281</v>
      </c>
      <c r="H289" s="406">
        <v>10105.68</v>
      </c>
      <c r="I289" s="406" t="s">
        <v>281</v>
      </c>
      <c r="J289" s="406" t="s">
        <v>281</v>
      </c>
      <c r="K289" s="405" t="s">
        <v>281</v>
      </c>
      <c r="L289" s="405" t="s">
        <v>281</v>
      </c>
      <c r="T289" s="435">
        <v>10105.68</v>
      </c>
      <c r="V289" s="435" t="s">
        <v>281</v>
      </c>
      <c r="W289" s="435" t="s">
        <v>281</v>
      </c>
      <c r="X289" s="435" t="s">
        <v>281</v>
      </c>
      <c r="Y289" s="435" t="s">
        <v>281</v>
      </c>
      <c r="Z289" s="435" t="s">
        <v>281</v>
      </c>
    </row>
    <row r="290" spans="1:26" x14ac:dyDescent="0.2">
      <c r="A290" s="407"/>
      <c r="B290" s="407"/>
      <c r="C290" s="407"/>
      <c r="D290" s="408" t="s">
        <v>1179</v>
      </c>
      <c r="E290" s="409"/>
      <c r="F290" s="410" t="s">
        <v>281</v>
      </c>
      <c r="G290" s="410" t="s">
        <v>281</v>
      </c>
      <c r="H290" s="409"/>
      <c r="I290" s="409"/>
      <c r="J290" s="411" t="s">
        <v>281</v>
      </c>
      <c r="K290" s="410" t="s">
        <v>281</v>
      </c>
      <c r="L290" s="410" t="s">
        <v>281</v>
      </c>
    </row>
    <row r="291" spans="1:26" x14ac:dyDescent="0.2">
      <c r="A291" s="412"/>
      <c r="B291" s="412"/>
      <c r="C291" s="412"/>
      <c r="D291" s="395" t="s">
        <v>718</v>
      </c>
      <c r="E291" s="412"/>
      <c r="F291" s="412"/>
      <c r="G291" s="412"/>
      <c r="H291" s="412"/>
      <c r="I291" s="412"/>
      <c r="J291" s="412"/>
      <c r="K291" s="412"/>
      <c r="L291" s="412"/>
    </row>
    <row r="292" spans="1:26" ht="30.6" x14ac:dyDescent="0.2">
      <c r="A292" s="403">
        <v>46</v>
      </c>
      <c r="B292" s="403">
        <v>46</v>
      </c>
      <c r="C292" s="403" t="s">
        <v>1304</v>
      </c>
      <c r="D292" s="403" t="s">
        <v>1568</v>
      </c>
      <c r="E292" s="404">
        <v>-2</v>
      </c>
      <c r="F292" s="405">
        <v>152</v>
      </c>
      <c r="G292" s="405" t="s">
        <v>281</v>
      </c>
      <c r="H292" s="406">
        <v>-2480.64</v>
      </c>
      <c r="I292" s="406" t="s">
        <v>281</v>
      </c>
      <c r="J292" s="406" t="s">
        <v>281</v>
      </c>
      <c r="K292" s="405" t="s">
        <v>281</v>
      </c>
      <c r="L292" s="405" t="s">
        <v>281</v>
      </c>
      <c r="T292" s="435">
        <v>-2480.64</v>
      </c>
      <c r="V292" s="435" t="s">
        <v>281</v>
      </c>
      <c r="W292" s="435" t="s">
        <v>281</v>
      </c>
      <c r="X292" s="435" t="s">
        <v>281</v>
      </c>
      <c r="Y292" s="435" t="s">
        <v>281</v>
      </c>
      <c r="Z292" s="435" t="s">
        <v>281</v>
      </c>
    </row>
    <row r="293" spans="1:26" x14ac:dyDescent="0.2">
      <c r="A293" s="407"/>
      <c r="B293" s="407"/>
      <c r="C293" s="407"/>
      <c r="D293" s="408" t="s">
        <v>735</v>
      </c>
      <c r="E293" s="409"/>
      <c r="F293" s="410" t="s">
        <v>281</v>
      </c>
      <c r="G293" s="410" t="s">
        <v>281</v>
      </c>
      <c r="H293" s="409"/>
      <c r="I293" s="409"/>
      <c r="J293" s="411" t="s">
        <v>281</v>
      </c>
      <c r="K293" s="410" t="s">
        <v>281</v>
      </c>
      <c r="L293" s="410" t="s">
        <v>281</v>
      </c>
    </row>
    <row r="294" spans="1:26" x14ac:dyDescent="0.2">
      <c r="A294" s="412"/>
      <c r="B294" s="412"/>
      <c r="C294" s="412"/>
      <c r="D294" s="395" t="s">
        <v>718</v>
      </c>
      <c r="E294" s="412"/>
      <c r="F294" s="412"/>
      <c r="G294" s="412"/>
      <c r="H294" s="412"/>
      <c r="I294" s="412"/>
      <c r="J294" s="412"/>
      <c r="K294" s="412"/>
      <c r="L294" s="412"/>
    </row>
    <row r="295" spans="1:26" ht="30.6" x14ac:dyDescent="0.2">
      <c r="A295" s="403">
        <v>47</v>
      </c>
      <c r="B295" s="403">
        <v>47</v>
      </c>
      <c r="C295" s="403" t="s">
        <v>1305</v>
      </c>
      <c r="D295" s="403" t="s">
        <v>1278</v>
      </c>
      <c r="E295" s="404">
        <v>0.2</v>
      </c>
      <c r="F295" s="405">
        <v>86.09</v>
      </c>
      <c r="G295" s="405">
        <v>0.37</v>
      </c>
      <c r="H295" s="406">
        <v>758.49</v>
      </c>
      <c r="I295" s="406">
        <v>755.27</v>
      </c>
      <c r="J295" s="406">
        <v>0.98</v>
      </c>
      <c r="K295" s="405">
        <v>9.3000000000000007</v>
      </c>
      <c r="L295" s="405">
        <v>1.86</v>
      </c>
      <c r="T295" s="435">
        <v>2342.66</v>
      </c>
      <c r="V295" s="435">
        <v>755.27</v>
      </c>
      <c r="W295" s="435">
        <v>0.98</v>
      </c>
      <c r="X295" s="435" t="s">
        <v>281</v>
      </c>
      <c r="Y295" s="435">
        <v>1.86</v>
      </c>
      <c r="Z295" s="435" t="s">
        <v>281</v>
      </c>
    </row>
    <row r="296" spans="1:26" x14ac:dyDescent="0.2">
      <c r="A296" s="407"/>
      <c r="B296" s="407"/>
      <c r="C296" s="407"/>
      <c r="D296" s="408" t="s">
        <v>1144</v>
      </c>
      <c r="E296" s="409"/>
      <c r="F296" s="410">
        <v>84.35</v>
      </c>
      <c r="G296" s="410" t="s">
        <v>281</v>
      </c>
      <c r="H296" s="409"/>
      <c r="I296" s="409"/>
      <c r="J296" s="411" t="s">
        <v>281</v>
      </c>
      <c r="K296" s="410" t="s">
        <v>281</v>
      </c>
      <c r="L296" s="410" t="s">
        <v>281</v>
      </c>
    </row>
    <row r="297" spans="1:26" ht="20.399999999999999" x14ac:dyDescent="0.2">
      <c r="A297" s="412"/>
      <c r="B297" s="412"/>
      <c r="C297" s="412"/>
      <c r="D297" s="395" t="s">
        <v>714</v>
      </c>
      <c r="E297" s="412"/>
      <c r="F297" s="412"/>
      <c r="G297" s="412"/>
      <c r="H297" s="412"/>
      <c r="I297" s="412"/>
      <c r="J297" s="412"/>
      <c r="K297" s="412"/>
      <c r="L297" s="412"/>
    </row>
    <row r="298" spans="1:26" x14ac:dyDescent="0.2">
      <c r="A298" s="412"/>
      <c r="B298" s="412"/>
      <c r="C298" s="412"/>
      <c r="D298" s="413" t="s">
        <v>206</v>
      </c>
      <c r="E298" s="414" t="s">
        <v>1209</v>
      </c>
      <c r="F298" s="414"/>
      <c r="G298" s="414"/>
      <c r="H298" s="415">
        <v>1102.69</v>
      </c>
      <c r="I298" s="412"/>
      <c r="J298" s="412"/>
      <c r="K298" s="412"/>
      <c r="L298" s="412"/>
    </row>
    <row r="299" spans="1:26" x14ac:dyDescent="0.2">
      <c r="A299" s="412"/>
      <c r="B299" s="412"/>
      <c r="C299" s="412"/>
      <c r="D299" s="413" t="s">
        <v>207</v>
      </c>
      <c r="E299" s="414" t="s">
        <v>1210</v>
      </c>
      <c r="F299" s="414"/>
      <c r="G299" s="414"/>
      <c r="H299" s="415">
        <v>481.48</v>
      </c>
      <c r="I299" s="412"/>
      <c r="J299" s="412"/>
      <c r="K299" s="412"/>
      <c r="L299" s="412"/>
    </row>
    <row r="300" spans="1:26" x14ac:dyDescent="0.2">
      <c r="A300" s="412"/>
      <c r="B300" s="412"/>
      <c r="C300" s="412"/>
      <c r="D300" s="416" t="s">
        <v>715</v>
      </c>
      <c r="E300" s="417"/>
      <c r="F300" s="417"/>
      <c r="G300" s="417"/>
      <c r="H300" s="418">
        <v>2342.66</v>
      </c>
      <c r="I300" s="412"/>
      <c r="J300" s="412"/>
      <c r="K300" s="412"/>
      <c r="L300" s="412"/>
    </row>
    <row r="301" spans="1:26" ht="30.6" x14ac:dyDescent="0.2">
      <c r="A301" s="403">
        <v>48</v>
      </c>
      <c r="B301" s="403">
        <v>48</v>
      </c>
      <c r="C301" s="403" t="s">
        <v>1306</v>
      </c>
      <c r="D301" s="403" t="s">
        <v>1567</v>
      </c>
      <c r="E301" s="404">
        <v>2</v>
      </c>
      <c r="F301" s="405">
        <v>352.46</v>
      </c>
      <c r="G301" s="405" t="s">
        <v>281</v>
      </c>
      <c r="H301" s="406">
        <v>5752.14</v>
      </c>
      <c r="I301" s="406" t="s">
        <v>281</v>
      </c>
      <c r="J301" s="406" t="s">
        <v>281</v>
      </c>
      <c r="K301" s="405" t="s">
        <v>281</v>
      </c>
      <c r="L301" s="405" t="s">
        <v>281</v>
      </c>
      <c r="T301" s="435">
        <v>5752.14</v>
      </c>
      <c r="V301" s="435" t="s">
        <v>281</v>
      </c>
      <c r="W301" s="435" t="s">
        <v>281</v>
      </c>
      <c r="X301" s="435" t="s">
        <v>281</v>
      </c>
      <c r="Y301" s="435" t="s">
        <v>281</v>
      </c>
      <c r="Z301" s="435" t="s">
        <v>281</v>
      </c>
    </row>
    <row r="302" spans="1:26" x14ac:dyDescent="0.2">
      <c r="A302" s="407"/>
      <c r="B302" s="407"/>
      <c r="C302" s="407"/>
      <c r="D302" s="408" t="s">
        <v>735</v>
      </c>
      <c r="E302" s="409"/>
      <c r="F302" s="410" t="s">
        <v>281</v>
      </c>
      <c r="G302" s="410" t="s">
        <v>281</v>
      </c>
      <c r="H302" s="409"/>
      <c r="I302" s="409"/>
      <c r="J302" s="411" t="s">
        <v>281</v>
      </c>
      <c r="K302" s="410" t="s">
        <v>281</v>
      </c>
      <c r="L302" s="410" t="s">
        <v>281</v>
      </c>
    </row>
    <row r="303" spans="1:26" x14ac:dyDescent="0.2">
      <c r="A303" s="412"/>
      <c r="B303" s="412"/>
      <c r="C303" s="412"/>
      <c r="D303" s="395" t="s">
        <v>718</v>
      </c>
      <c r="E303" s="412"/>
      <c r="F303" s="412"/>
      <c r="G303" s="412"/>
      <c r="H303" s="412"/>
      <c r="I303" s="412"/>
      <c r="J303" s="412"/>
      <c r="K303" s="412"/>
      <c r="L303" s="412"/>
    </row>
    <row r="304" spans="1:26" ht="40.799999999999997" x14ac:dyDescent="0.2">
      <c r="A304" s="403">
        <v>49</v>
      </c>
      <c r="B304" s="403">
        <v>49</v>
      </c>
      <c r="C304" s="403" t="s">
        <v>1256</v>
      </c>
      <c r="D304" s="403" t="s">
        <v>1223</v>
      </c>
      <c r="E304" s="404">
        <v>2.2999999999999998</v>
      </c>
      <c r="F304" s="405">
        <v>617.69749999999999</v>
      </c>
      <c r="G304" s="405">
        <v>86.261499999999998</v>
      </c>
      <c r="H304" s="406">
        <v>14599.46</v>
      </c>
      <c r="I304" s="406">
        <v>2444.12</v>
      </c>
      <c r="J304" s="406">
        <v>2626.83</v>
      </c>
      <c r="K304" s="405">
        <v>2.6795</v>
      </c>
      <c r="L304" s="405">
        <v>6.1628499999999997</v>
      </c>
      <c r="T304" s="435">
        <v>20716.849999999999</v>
      </c>
      <c r="V304" s="435">
        <v>2444.12</v>
      </c>
      <c r="W304" s="435">
        <v>2626.83</v>
      </c>
      <c r="X304" s="435">
        <v>1286</v>
      </c>
      <c r="Y304" s="435">
        <v>6.1628499999999997</v>
      </c>
      <c r="Z304" s="435">
        <v>1.8250500000000001</v>
      </c>
    </row>
    <row r="305" spans="1:26" x14ac:dyDescent="0.2">
      <c r="A305" s="407"/>
      <c r="B305" s="407"/>
      <c r="C305" s="407"/>
      <c r="D305" s="408" t="s">
        <v>745</v>
      </c>
      <c r="E305" s="409"/>
      <c r="F305" s="410">
        <v>23.736000000000001</v>
      </c>
      <c r="G305" s="410">
        <v>12.489000000000001</v>
      </c>
      <c r="H305" s="409"/>
      <c r="I305" s="409"/>
      <c r="J305" s="411">
        <v>1286</v>
      </c>
      <c r="K305" s="410">
        <v>0.79349999999999998</v>
      </c>
      <c r="L305" s="410">
        <v>1.8250500000000001</v>
      </c>
    </row>
    <row r="306" spans="1:26" ht="20.399999999999999" x14ac:dyDescent="0.2">
      <c r="A306" s="412"/>
      <c r="B306" s="412"/>
      <c r="C306" s="412"/>
      <c r="D306" s="395" t="s">
        <v>714</v>
      </c>
      <c r="E306" s="412"/>
      <c r="F306" s="412"/>
      <c r="G306" s="412"/>
      <c r="H306" s="412"/>
      <c r="I306" s="412"/>
      <c r="J306" s="412"/>
      <c r="K306" s="412"/>
      <c r="L306" s="412"/>
    </row>
    <row r="307" spans="1:26" ht="20.399999999999999" x14ac:dyDescent="0.2">
      <c r="A307" s="412"/>
      <c r="B307" s="412"/>
      <c r="C307" s="412"/>
      <c r="D307" s="395" t="s">
        <v>1023</v>
      </c>
      <c r="E307" s="412"/>
      <c r="F307" s="412"/>
      <c r="G307" s="412"/>
      <c r="H307" s="412"/>
      <c r="I307" s="412"/>
      <c r="J307" s="412"/>
      <c r="K307" s="412"/>
      <c r="L307" s="412"/>
    </row>
    <row r="308" spans="1:26" ht="81.599999999999994" x14ac:dyDescent="0.2">
      <c r="A308" s="412"/>
      <c r="B308" s="412"/>
      <c r="C308" s="412"/>
      <c r="D308" s="395" t="s">
        <v>1024</v>
      </c>
      <c r="E308" s="412"/>
      <c r="F308" s="412"/>
      <c r="G308" s="412"/>
      <c r="H308" s="412"/>
      <c r="I308" s="412"/>
      <c r="J308" s="412"/>
      <c r="K308" s="412"/>
      <c r="L308" s="412"/>
    </row>
    <row r="309" spans="1:26" x14ac:dyDescent="0.2">
      <c r="A309" s="412"/>
      <c r="B309" s="412"/>
      <c r="C309" s="412"/>
      <c r="D309" s="413" t="s">
        <v>206</v>
      </c>
      <c r="E309" s="414" t="s">
        <v>1257</v>
      </c>
      <c r="F309" s="414"/>
      <c r="G309" s="414"/>
      <c r="H309" s="415">
        <v>3879.32</v>
      </c>
      <c r="I309" s="412"/>
      <c r="J309" s="412"/>
      <c r="K309" s="412"/>
      <c r="L309" s="412"/>
    </row>
    <row r="310" spans="1:26" x14ac:dyDescent="0.2">
      <c r="A310" s="412"/>
      <c r="B310" s="412"/>
      <c r="C310" s="412"/>
      <c r="D310" s="413" t="s">
        <v>207</v>
      </c>
      <c r="E310" s="414" t="s">
        <v>1258</v>
      </c>
      <c r="F310" s="414"/>
      <c r="G310" s="414"/>
      <c r="H310" s="415">
        <v>2238.0700000000002</v>
      </c>
      <c r="I310" s="412"/>
      <c r="J310" s="412"/>
      <c r="K310" s="412"/>
      <c r="L310" s="412"/>
    </row>
    <row r="311" spans="1:26" x14ac:dyDescent="0.2">
      <c r="A311" s="412"/>
      <c r="B311" s="412"/>
      <c r="C311" s="412"/>
      <c r="D311" s="416" t="s">
        <v>715</v>
      </c>
      <c r="E311" s="417"/>
      <c r="F311" s="417"/>
      <c r="G311" s="417"/>
      <c r="H311" s="418">
        <v>20716.849999999999</v>
      </c>
      <c r="I311" s="412"/>
      <c r="J311" s="412"/>
      <c r="K311" s="412"/>
      <c r="L311" s="412"/>
    </row>
    <row r="312" spans="1:26" x14ac:dyDescent="0.2">
      <c r="A312" s="403">
        <v>50</v>
      </c>
      <c r="B312" s="403">
        <v>50</v>
      </c>
      <c r="C312" s="403" t="s">
        <v>1259</v>
      </c>
      <c r="D312" s="403" t="s">
        <v>1334</v>
      </c>
      <c r="E312" s="404">
        <v>-2.3344999999999998</v>
      </c>
      <c r="F312" s="405">
        <v>463.3</v>
      </c>
      <c r="G312" s="405" t="s">
        <v>281</v>
      </c>
      <c r="H312" s="406">
        <v>-8825.65</v>
      </c>
      <c r="I312" s="406" t="s">
        <v>281</v>
      </c>
      <c r="J312" s="406" t="s">
        <v>281</v>
      </c>
      <c r="K312" s="405" t="s">
        <v>281</v>
      </c>
      <c r="L312" s="405" t="s">
        <v>281</v>
      </c>
      <c r="T312" s="435">
        <v>-8825.65</v>
      </c>
      <c r="V312" s="435" t="s">
        <v>281</v>
      </c>
      <c r="W312" s="435" t="s">
        <v>281</v>
      </c>
      <c r="X312" s="435" t="s">
        <v>281</v>
      </c>
      <c r="Y312" s="435" t="s">
        <v>281</v>
      </c>
      <c r="Z312" s="435" t="s">
        <v>281</v>
      </c>
    </row>
    <row r="313" spans="1:26" x14ac:dyDescent="0.2">
      <c r="A313" s="407"/>
      <c r="B313" s="407"/>
      <c r="C313" s="407"/>
      <c r="D313" s="408" t="s">
        <v>745</v>
      </c>
      <c r="E313" s="409"/>
      <c r="F313" s="410" t="s">
        <v>281</v>
      </c>
      <c r="G313" s="410" t="s">
        <v>281</v>
      </c>
      <c r="H313" s="409"/>
      <c r="I313" s="409"/>
      <c r="J313" s="411" t="s">
        <v>281</v>
      </c>
      <c r="K313" s="410" t="s">
        <v>281</v>
      </c>
      <c r="L313" s="410" t="s">
        <v>281</v>
      </c>
    </row>
    <row r="314" spans="1:26" x14ac:dyDescent="0.2">
      <c r="A314" s="412"/>
      <c r="B314" s="412"/>
      <c r="C314" s="412"/>
      <c r="D314" s="395" t="s">
        <v>718</v>
      </c>
      <c r="E314" s="412"/>
      <c r="F314" s="412"/>
      <c r="G314" s="412"/>
      <c r="H314" s="412"/>
      <c r="I314" s="412"/>
      <c r="J314" s="412"/>
      <c r="K314" s="412"/>
      <c r="L314" s="412"/>
    </row>
    <row r="315" spans="1:26" x14ac:dyDescent="0.2">
      <c r="A315" s="403">
        <v>51</v>
      </c>
      <c r="B315" s="403">
        <v>51</v>
      </c>
      <c r="C315" s="403" t="s">
        <v>1260</v>
      </c>
      <c r="D315" s="403" t="s">
        <v>1335</v>
      </c>
      <c r="E315" s="404">
        <v>2.3344999999999998</v>
      </c>
      <c r="F315" s="405">
        <v>519.79999999999995</v>
      </c>
      <c r="G315" s="405" t="s">
        <v>281</v>
      </c>
      <c r="H315" s="406">
        <v>9901.9500000000007</v>
      </c>
      <c r="I315" s="406" t="s">
        <v>281</v>
      </c>
      <c r="J315" s="406" t="s">
        <v>281</v>
      </c>
      <c r="K315" s="405" t="s">
        <v>281</v>
      </c>
      <c r="L315" s="405" t="s">
        <v>281</v>
      </c>
      <c r="T315" s="435">
        <v>9901.9500000000007</v>
      </c>
      <c r="V315" s="435" t="s">
        <v>281</v>
      </c>
      <c r="W315" s="435" t="s">
        <v>281</v>
      </c>
      <c r="X315" s="435" t="s">
        <v>281</v>
      </c>
      <c r="Y315" s="435" t="s">
        <v>281</v>
      </c>
      <c r="Z315" s="435" t="s">
        <v>281</v>
      </c>
    </row>
    <row r="316" spans="1:26" x14ac:dyDescent="0.2">
      <c r="A316" s="407"/>
      <c r="B316" s="407"/>
      <c r="C316" s="407"/>
      <c r="D316" s="408" t="s">
        <v>745</v>
      </c>
      <c r="E316" s="409"/>
      <c r="F316" s="410" t="s">
        <v>281</v>
      </c>
      <c r="G316" s="410" t="s">
        <v>281</v>
      </c>
      <c r="H316" s="409"/>
      <c r="I316" s="409"/>
      <c r="J316" s="411" t="s">
        <v>281</v>
      </c>
      <c r="K316" s="410" t="s">
        <v>281</v>
      </c>
      <c r="L316" s="410" t="s">
        <v>281</v>
      </c>
    </row>
    <row r="317" spans="1:26" x14ac:dyDescent="0.2">
      <c r="A317" s="412"/>
      <c r="B317" s="412"/>
      <c r="C317" s="412"/>
      <c r="D317" s="395" t="s">
        <v>718</v>
      </c>
      <c r="E317" s="412"/>
      <c r="F317" s="412"/>
      <c r="G317" s="412"/>
      <c r="H317" s="412"/>
      <c r="I317" s="412"/>
      <c r="J317" s="412"/>
      <c r="K317" s="412"/>
      <c r="L317" s="412"/>
    </row>
    <row r="318" spans="1:26" x14ac:dyDescent="0.2">
      <c r="A318" s="412"/>
      <c r="B318" s="412"/>
      <c r="C318" s="412"/>
      <c r="D318" s="412"/>
      <c r="E318" s="412"/>
      <c r="F318" s="412"/>
      <c r="G318" s="412"/>
      <c r="H318" s="412"/>
      <c r="I318" s="412"/>
      <c r="J318" s="412"/>
      <c r="K318" s="412"/>
      <c r="L318" s="412"/>
    </row>
    <row r="319" spans="1:26" x14ac:dyDescent="0.2">
      <c r="A319" s="1087" t="s">
        <v>1307</v>
      </c>
      <c r="B319" s="1087"/>
      <c r="C319" s="1087"/>
      <c r="D319" s="1087"/>
      <c r="E319" s="1087"/>
      <c r="F319" s="1087"/>
      <c r="G319" s="1087"/>
      <c r="H319" s="1087"/>
      <c r="I319" s="1087"/>
      <c r="J319" s="1087"/>
      <c r="K319" s="1087"/>
      <c r="L319" s="1087"/>
    </row>
    <row r="320" spans="1:26" ht="40.799999999999997" x14ac:dyDescent="0.2">
      <c r="A320" s="403">
        <v>52</v>
      </c>
      <c r="B320" s="403">
        <v>131</v>
      </c>
      <c r="C320" s="403" t="s">
        <v>1244</v>
      </c>
      <c r="D320" s="403" t="s">
        <v>1228</v>
      </c>
      <c r="E320" s="404">
        <v>0.05</v>
      </c>
      <c r="F320" s="405">
        <v>7509.6112000000003</v>
      </c>
      <c r="G320" s="405">
        <v>4718.3062499999996</v>
      </c>
      <c r="H320" s="406">
        <v>9323.43</v>
      </c>
      <c r="I320" s="406">
        <v>6189.11</v>
      </c>
      <c r="J320" s="406">
        <v>3123.52</v>
      </c>
      <c r="K320" s="405">
        <v>297.61540000000002</v>
      </c>
      <c r="L320" s="405">
        <v>14.88077</v>
      </c>
      <c r="T320" s="435">
        <v>22840.99</v>
      </c>
      <c r="V320" s="435">
        <v>6189.11</v>
      </c>
      <c r="W320" s="435">
        <v>3123.52</v>
      </c>
      <c r="X320" s="435">
        <v>1324.82</v>
      </c>
      <c r="Y320" s="435">
        <v>14.88077</v>
      </c>
      <c r="Z320" s="435">
        <v>2.2108750000000001</v>
      </c>
    </row>
    <row r="321" spans="1:26" x14ac:dyDescent="0.2">
      <c r="A321" s="407"/>
      <c r="B321" s="407"/>
      <c r="C321" s="407"/>
      <c r="D321" s="408" t="s">
        <v>1245</v>
      </c>
      <c r="E321" s="409"/>
      <c r="F321" s="410">
        <v>2764.8449500000002</v>
      </c>
      <c r="G321" s="410">
        <v>591.833125</v>
      </c>
      <c r="H321" s="409"/>
      <c r="I321" s="409"/>
      <c r="J321" s="411">
        <v>1324.82</v>
      </c>
      <c r="K321" s="410">
        <v>44.217500000000001</v>
      </c>
      <c r="L321" s="410">
        <v>2.2108750000000001</v>
      </c>
    </row>
    <row r="322" spans="1:26" ht="20.399999999999999" x14ac:dyDescent="0.2">
      <c r="A322" s="412"/>
      <c r="B322" s="412"/>
      <c r="C322" s="412"/>
      <c r="D322" s="395" t="s">
        <v>714</v>
      </c>
      <c r="E322" s="412"/>
      <c r="F322" s="412"/>
      <c r="G322" s="412"/>
      <c r="H322" s="412"/>
      <c r="I322" s="412"/>
      <c r="J322" s="412"/>
      <c r="K322" s="412"/>
      <c r="L322" s="412"/>
    </row>
    <row r="323" spans="1:26" ht="20.399999999999999" x14ac:dyDescent="0.2">
      <c r="A323" s="412"/>
      <c r="B323" s="412"/>
      <c r="C323" s="412"/>
      <c r="D323" s="395" t="s">
        <v>978</v>
      </c>
      <c r="E323" s="412"/>
      <c r="F323" s="412"/>
      <c r="G323" s="412"/>
      <c r="H323" s="412"/>
      <c r="I323" s="412"/>
      <c r="J323" s="412"/>
      <c r="K323" s="412"/>
      <c r="L323" s="412"/>
    </row>
    <row r="324" spans="1:26" ht="132.6" x14ac:dyDescent="0.2">
      <c r="A324" s="412"/>
      <c r="B324" s="412"/>
      <c r="C324" s="412"/>
      <c r="D324" s="395" t="s">
        <v>979</v>
      </c>
      <c r="E324" s="412"/>
      <c r="F324" s="412"/>
      <c r="G324" s="412"/>
      <c r="H324" s="412"/>
      <c r="I324" s="412"/>
      <c r="J324" s="412"/>
      <c r="K324" s="412"/>
      <c r="L324" s="412"/>
    </row>
    <row r="325" spans="1:26" x14ac:dyDescent="0.2">
      <c r="A325" s="412"/>
      <c r="B325" s="412"/>
      <c r="C325" s="412"/>
      <c r="D325" s="413" t="s">
        <v>206</v>
      </c>
      <c r="E325" s="414" t="s">
        <v>1242</v>
      </c>
      <c r="F325" s="414"/>
      <c r="G325" s="414"/>
      <c r="H325" s="415">
        <v>8791.2999999999993</v>
      </c>
      <c r="I325" s="412"/>
      <c r="J325" s="412"/>
      <c r="K325" s="412"/>
      <c r="L325" s="412"/>
    </row>
    <row r="326" spans="1:26" x14ac:dyDescent="0.2">
      <c r="A326" s="412"/>
      <c r="B326" s="412"/>
      <c r="C326" s="412"/>
      <c r="D326" s="413" t="s">
        <v>207</v>
      </c>
      <c r="E326" s="414" t="s">
        <v>1243</v>
      </c>
      <c r="F326" s="414"/>
      <c r="G326" s="414"/>
      <c r="H326" s="415">
        <v>4726.26</v>
      </c>
      <c r="I326" s="412"/>
      <c r="J326" s="412"/>
      <c r="K326" s="412"/>
      <c r="L326" s="412"/>
    </row>
    <row r="327" spans="1:26" x14ac:dyDescent="0.2">
      <c r="A327" s="412"/>
      <c r="B327" s="412"/>
      <c r="C327" s="412"/>
      <c r="D327" s="416" t="s">
        <v>715</v>
      </c>
      <c r="E327" s="417"/>
      <c r="F327" s="417"/>
      <c r="G327" s="417"/>
      <c r="H327" s="418">
        <v>22840.99</v>
      </c>
      <c r="I327" s="412"/>
      <c r="J327" s="412"/>
      <c r="K327" s="412"/>
      <c r="L327" s="412"/>
    </row>
    <row r="328" spans="1:26" ht="40.799999999999997" x14ac:dyDescent="0.2">
      <c r="A328" s="403">
        <v>53</v>
      </c>
      <c r="B328" s="403">
        <v>132</v>
      </c>
      <c r="C328" s="403" t="s">
        <v>1246</v>
      </c>
      <c r="D328" s="403" t="s">
        <v>1561</v>
      </c>
      <c r="E328" s="404">
        <v>50.4</v>
      </c>
      <c r="F328" s="405">
        <v>124.92</v>
      </c>
      <c r="G328" s="405" t="s">
        <v>281</v>
      </c>
      <c r="H328" s="406">
        <v>51375.24</v>
      </c>
      <c r="I328" s="406" t="s">
        <v>281</v>
      </c>
      <c r="J328" s="406" t="s">
        <v>281</v>
      </c>
      <c r="K328" s="405" t="s">
        <v>281</v>
      </c>
      <c r="L328" s="405" t="s">
        <v>281</v>
      </c>
      <c r="T328" s="435">
        <v>51375.24</v>
      </c>
      <c r="V328" s="435" t="s">
        <v>281</v>
      </c>
      <c r="W328" s="435" t="s">
        <v>281</v>
      </c>
      <c r="X328" s="435" t="s">
        <v>281</v>
      </c>
      <c r="Y328" s="435" t="s">
        <v>281</v>
      </c>
      <c r="Z328" s="435" t="s">
        <v>281</v>
      </c>
    </row>
    <row r="329" spans="1:26" x14ac:dyDescent="0.2">
      <c r="A329" s="407"/>
      <c r="B329" s="407"/>
      <c r="C329" s="407"/>
      <c r="D329" s="408" t="s">
        <v>883</v>
      </c>
      <c r="E329" s="409"/>
      <c r="F329" s="410" t="s">
        <v>281</v>
      </c>
      <c r="G329" s="410" t="s">
        <v>281</v>
      </c>
      <c r="H329" s="409"/>
      <c r="I329" s="409"/>
      <c r="J329" s="411" t="s">
        <v>281</v>
      </c>
      <c r="K329" s="410" t="s">
        <v>281</v>
      </c>
      <c r="L329" s="410" t="s">
        <v>281</v>
      </c>
    </row>
    <row r="330" spans="1:26" x14ac:dyDescent="0.2">
      <c r="A330" s="412"/>
      <c r="B330" s="412"/>
      <c r="C330" s="412"/>
      <c r="D330" s="395" t="s">
        <v>718</v>
      </c>
      <c r="E330" s="412"/>
      <c r="F330" s="412"/>
      <c r="G330" s="412"/>
      <c r="H330" s="412"/>
      <c r="I330" s="412"/>
      <c r="J330" s="412"/>
      <c r="K330" s="412"/>
      <c r="L330" s="412"/>
    </row>
    <row r="331" spans="1:26" ht="51" x14ac:dyDescent="0.2">
      <c r="A331" s="403">
        <v>54</v>
      </c>
      <c r="B331" s="403">
        <v>133</v>
      </c>
      <c r="C331" s="403" t="s">
        <v>1247</v>
      </c>
      <c r="D331" s="403" t="s">
        <v>1227</v>
      </c>
      <c r="E331" s="404">
        <v>0.27200000000000002</v>
      </c>
      <c r="F331" s="405">
        <v>2281.150075</v>
      </c>
      <c r="G331" s="405">
        <v>1730.505625</v>
      </c>
      <c r="H331" s="406">
        <v>12047.93</v>
      </c>
      <c r="I331" s="406">
        <v>5617.63</v>
      </c>
      <c r="J331" s="406">
        <v>6232.03</v>
      </c>
      <c r="K331" s="405">
        <v>47.953850000000003</v>
      </c>
      <c r="L331" s="405">
        <v>13.043447</v>
      </c>
      <c r="T331" s="435">
        <v>25327.77</v>
      </c>
      <c r="V331" s="435">
        <v>5617.63</v>
      </c>
      <c r="W331" s="435">
        <v>6232.03</v>
      </c>
      <c r="X331" s="435">
        <v>1764.16</v>
      </c>
      <c r="Y331" s="435">
        <v>13.043447</v>
      </c>
      <c r="Z331" s="435">
        <v>2.7370000000000001</v>
      </c>
    </row>
    <row r="332" spans="1:26" x14ac:dyDescent="0.2">
      <c r="A332" s="407"/>
      <c r="B332" s="407"/>
      <c r="C332" s="407"/>
      <c r="D332" s="408" t="s">
        <v>747</v>
      </c>
      <c r="E332" s="409"/>
      <c r="F332" s="410">
        <v>461.31445000000002</v>
      </c>
      <c r="G332" s="410">
        <v>144.87125</v>
      </c>
      <c r="H332" s="409"/>
      <c r="I332" s="409"/>
      <c r="J332" s="411">
        <v>1764.16</v>
      </c>
      <c r="K332" s="410">
        <v>10.0625</v>
      </c>
      <c r="L332" s="410">
        <v>2.7370000000000001</v>
      </c>
    </row>
    <row r="333" spans="1:26" ht="20.399999999999999" x14ac:dyDescent="0.2">
      <c r="A333" s="412"/>
      <c r="B333" s="412"/>
      <c r="C333" s="412"/>
      <c r="D333" s="395" t="s">
        <v>714</v>
      </c>
      <c r="E333" s="412"/>
      <c r="F333" s="412"/>
      <c r="G333" s="412"/>
      <c r="H333" s="412"/>
      <c r="I333" s="412"/>
      <c r="J333" s="412"/>
      <c r="K333" s="412"/>
      <c r="L333" s="412"/>
    </row>
    <row r="334" spans="1:26" ht="20.399999999999999" x14ac:dyDescent="0.2">
      <c r="A334" s="412"/>
      <c r="B334" s="412"/>
      <c r="C334" s="412"/>
      <c r="D334" s="395" t="s">
        <v>978</v>
      </c>
      <c r="E334" s="412"/>
      <c r="F334" s="412"/>
      <c r="G334" s="412"/>
      <c r="H334" s="412"/>
      <c r="I334" s="412"/>
      <c r="J334" s="412"/>
      <c r="K334" s="412"/>
      <c r="L334" s="412"/>
    </row>
    <row r="335" spans="1:26" ht="132.6" x14ac:dyDescent="0.2">
      <c r="A335" s="412"/>
      <c r="B335" s="412"/>
      <c r="C335" s="412"/>
      <c r="D335" s="395" t="s">
        <v>979</v>
      </c>
      <c r="E335" s="412"/>
      <c r="F335" s="412"/>
      <c r="G335" s="412"/>
      <c r="H335" s="412"/>
      <c r="I335" s="412"/>
      <c r="J335" s="412"/>
      <c r="K335" s="412"/>
      <c r="L335" s="412"/>
    </row>
    <row r="336" spans="1:26" x14ac:dyDescent="0.2">
      <c r="A336" s="412"/>
      <c r="B336" s="412"/>
      <c r="C336" s="412"/>
      <c r="D336" s="413" t="s">
        <v>206</v>
      </c>
      <c r="E336" s="414" t="s">
        <v>1242</v>
      </c>
      <c r="F336" s="414"/>
      <c r="G336" s="414"/>
      <c r="H336" s="415">
        <v>8636.69</v>
      </c>
      <c r="I336" s="412"/>
      <c r="J336" s="412"/>
      <c r="K336" s="412"/>
      <c r="L336" s="412"/>
    </row>
    <row r="337" spans="1:26" x14ac:dyDescent="0.2">
      <c r="A337" s="412"/>
      <c r="B337" s="412"/>
      <c r="C337" s="412"/>
      <c r="D337" s="413" t="s">
        <v>207</v>
      </c>
      <c r="E337" s="414" t="s">
        <v>1243</v>
      </c>
      <c r="F337" s="414"/>
      <c r="G337" s="414"/>
      <c r="H337" s="415">
        <v>4643.1499999999996</v>
      </c>
      <c r="I337" s="412"/>
      <c r="J337" s="412"/>
      <c r="K337" s="412"/>
      <c r="L337" s="412"/>
    </row>
    <row r="338" spans="1:26" x14ac:dyDescent="0.2">
      <c r="A338" s="412"/>
      <c r="B338" s="412"/>
      <c r="C338" s="412"/>
      <c r="D338" s="416" t="s">
        <v>715</v>
      </c>
      <c r="E338" s="417"/>
      <c r="F338" s="417"/>
      <c r="G338" s="417"/>
      <c r="H338" s="418">
        <v>25327.77</v>
      </c>
      <c r="I338" s="412"/>
      <c r="J338" s="412"/>
      <c r="K338" s="412"/>
      <c r="L338" s="412"/>
    </row>
    <row r="339" spans="1:26" ht="40.799999999999997" x14ac:dyDescent="0.2">
      <c r="A339" s="403">
        <v>55</v>
      </c>
      <c r="B339" s="403">
        <v>134</v>
      </c>
      <c r="C339" s="403" t="s">
        <v>1248</v>
      </c>
      <c r="D339" s="403" t="s">
        <v>1560</v>
      </c>
      <c r="E339" s="404">
        <v>27.472000000000001</v>
      </c>
      <c r="F339" s="405">
        <v>372.56</v>
      </c>
      <c r="G339" s="405" t="s">
        <v>281</v>
      </c>
      <c r="H339" s="406">
        <v>83517.350000000006</v>
      </c>
      <c r="I339" s="406" t="s">
        <v>281</v>
      </c>
      <c r="J339" s="406" t="s">
        <v>281</v>
      </c>
      <c r="K339" s="405" t="s">
        <v>281</v>
      </c>
      <c r="L339" s="405" t="s">
        <v>281</v>
      </c>
      <c r="T339" s="435">
        <v>83517.350000000006</v>
      </c>
      <c r="V339" s="435" t="s">
        <v>281</v>
      </c>
      <c r="W339" s="435" t="s">
        <v>281</v>
      </c>
      <c r="X339" s="435" t="s">
        <v>281</v>
      </c>
      <c r="Y339" s="435" t="s">
        <v>281</v>
      </c>
      <c r="Z339" s="435" t="s">
        <v>281</v>
      </c>
    </row>
    <row r="340" spans="1:26" x14ac:dyDescent="0.2">
      <c r="A340" s="407"/>
      <c r="B340" s="407"/>
      <c r="C340" s="407"/>
      <c r="D340" s="408" t="s">
        <v>883</v>
      </c>
      <c r="E340" s="409"/>
      <c r="F340" s="410" t="s">
        <v>281</v>
      </c>
      <c r="G340" s="410" t="s">
        <v>281</v>
      </c>
      <c r="H340" s="409"/>
      <c r="I340" s="409"/>
      <c r="J340" s="411" t="s">
        <v>281</v>
      </c>
      <c r="K340" s="410" t="s">
        <v>281</v>
      </c>
      <c r="L340" s="410" t="s">
        <v>281</v>
      </c>
    </row>
    <row r="341" spans="1:26" x14ac:dyDescent="0.2">
      <c r="A341" s="412"/>
      <c r="B341" s="412"/>
      <c r="C341" s="412"/>
      <c r="D341" s="395" t="s">
        <v>718</v>
      </c>
      <c r="E341" s="412"/>
      <c r="F341" s="412"/>
      <c r="G341" s="412"/>
      <c r="H341" s="412"/>
      <c r="I341" s="412"/>
      <c r="J341" s="412"/>
      <c r="K341" s="412"/>
      <c r="L341" s="412"/>
    </row>
    <row r="342" spans="1:26" ht="61.2" x14ac:dyDescent="0.2">
      <c r="A342" s="403">
        <v>56</v>
      </c>
      <c r="B342" s="403">
        <v>135</v>
      </c>
      <c r="C342" s="403" t="s">
        <v>1284</v>
      </c>
      <c r="D342" s="403" t="s">
        <v>1269</v>
      </c>
      <c r="E342" s="404">
        <v>2.7199999999999998E-2</v>
      </c>
      <c r="F342" s="405">
        <v>27959.474249999999</v>
      </c>
      <c r="G342" s="405">
        <v>12797.918750000001</v>
      </c>
      <c r="H342" s="406">
        <v>12393.39</v>
      </c>
      <c r="I342" s="406">
        <v>5404.4</v>
      </c>
      <c r="J342" s="406">
        <v>4608.8900000000003</v>
      </c>
      <c r="K342" s="405">
        <v>472.13249999999999</v>
      </c>
      <c r="L342" s="405">
        <v>12.842003999999999</v>
      </c>
      <c r="T342" s="435">
        <v>23392.83</v>
      </c>
      <c r="V342" s="435">
        <v>5404.4</v>
      </c>
      <c r="W342" s="435">
        <v>4608.8900000000003</v>
      </c>
      <c r="X342" s="435">
        <v>709.8</v>
      </c>
      <c r="Y342" s="435">
        <v>12.842003999999999</v>
      </c>
      <c r="Z342" s="435">
        <v>1.10653</v>
      </c>
    </row>
    <row r="343" spans="1:26" x14ac:dyDescent="0.2">
      <c r="A343" s="407"/>
      <c r="B343" s="407"/>
      <c r="C343" s="407"/>
      <c r="D343" s="408" t="s">
        <v>1245</v>
      </c>
      <c r="E343" s="409"/>
      <c r="F343" s="410">
        <v>4438.0455000000002</v>
      </c>
      <c r="G343" s="410">
        <v>582.87750000000005</v>
      </c>
      <c r="H343" s="409"/>
      <c r="I343" s="409"/>
      <c r="J343" s="411">
        <v>709.8</v>
      </c>
      <c r="K343" s="410">
        <v>40.681249999999999</v>
      </c>
      <c r="L343" s="410">
        <v>1.10653</v>
      </c>
    </row>
    <row r="344" spans="1:26" ht="20.399999999999999" x14ac:dyDescent="0.2">
      <c r="A344" s="412"/>
      <c r="B344" s="412"/>
      <c r="C344" s="412"/>
      <c r="D344" s="395" t="s">
        <v>714</v>
      </c>
      <c r="E344" s="412"/>
      <c r="F344" s="412"/>
      <c r="G344" s="412"/>
      <c r="H344" s="412"/>
      <c r="I344" s="412"/>
      <c r="J344" s="412"/>
      <c r="K344" s="412"/>
      <c r="L344" s="412"/>
    </row>
    <row r="345" spans="1:26" ht="20.399999999999999" x14ac:dyDescent="0.2">
      <c r="A345" s="412"/>
      <c r="B345" s="412"/>
      <c r="C345" s="412"/>
      <c r="D345" s="395" t="s">
        <v>978</v>
      </c>
      <c r="E345" s="412"/>
      <c r="F345" s="412"/>
      <c r="G345" s="412"/>
      <c r="H345" s="412"/>
      <c r="I345" s="412"/>
      <c r="J345" s="412"/>
      <c r="K345" s="412"/>
      <c r="L345" s="412"/>
    </row>
    <row r="346" spans="1:26" ht="132.6" x14ac:dyDescent="0.2">
      <c r="A346" s="412"/>
      <c r="B346" s="412"/>
      <c r="C346" s="412"/>
      <c r="D346" s="395" t="s">
        <v>979</v>
      </c>
      <c r="E346" s="412"/>
      <c r="F346" s="412"/>
      <c r="G346" s="412"/>
      <c r="H346" s="412"/>
      <c r="I346" s="412"/>
      <c r="J346" s="412"/>
      <c r="K346" s="412"/>
      <c r="L346" s="412"/>
    </row>
    <row r="347" spans="1:26" x14ac:dyDescent="0.2">
      <c r="A347" s="412"/>
      <c r="B347" s="412"/>
      <c r="C347" s="412"/>
      <c r="D347" s="413" t="s">
        <v>206</v>
      </c>
      <c r="E347" s="414" t="s">
        <v>1242</v>
      </c>
      <c r="F347" s="414"/>
      <c r="G347" s="414"/>
      <c r="H347" s="415">
        <v>7153.61</v>
      </c>
      <c r="I347" s="412"/>
      <c r="J347" s="412"/>
      <c r="K347" s="412"/>
      <c r="L347" s="412"/>
    </row>
    <row r="348" spans="1:26" x14ac:dyDescent="0.2">
      <c r="A348" s="412"/>
      <c r="B348" s="412"/>
      <c r="C348" s="412"/>
      <c r="D348" s="413" t="s">
        <v>207</v>
      </c>
      <c r="E348" s="414" t="s">
        <v>1243</v>
      </c>
      <c r="F348" s="414"/>
      <c r="G348" s="414"/>
      <c r="H348" s="415">
        <v>3845.83</v>
      </c>
      <c r="I348" s="412"/>
      <c r="J348" s="412"/>
      <c r="K348" s="412"/>
      <c r="L348" s="412"/>
    </row>
    <row r="349" spans="1:26" x14ac:dyDescent="0.2">
      <c r="A349" s="412"/>
      <c r="B349" s="412"/>
      <c r="C349" s="412"/>
      <c r="D349" s="416" t="s">
        <v>715</v>
      </c>
      <c r="E349" s="417"/>
      <c r="F349" s="417"/>
      <c r="G349" s="417"/>
      <c r="H349" s="418">
        <v>23392.83</v>
      </c>
      <c r="I349" s="412"/>
      <c r="J349" s="412"/>
      <c r="K349" s="412"/>
      <c r="L349" s="412"/>
    </row>
    <row r="350" spans="1:26" ht="61.2" x14ac:dyDescent="0.2">
      <c r="A350" s="403">
        <v>57</v>
      </c>
      <c r="B350" s="403">
        <v>136</v>
      </c>
      <c r="C350" s="403" t="s">
        <v>1249</v>
      </c>
      <c r="D350" s="403" t="s">
        <v>1226</v>
      </c>
      <c r="E350" s="404">
        <v>2.7199999999999998E-2</v>
      </c>
      <c r="F350" s="405">
        <v>2931.8029499999998</v>
      </c>
      <c r="G350" s="405">
        <v>1383.9675</v>
      </c>
      <c r="H350" s="406">
        <v>1590.53</v>
      </c>
      <c r="I350" s="406">
        <v>915.42</v>
      </c>
      <c r="J350" s="406">
        <v>498.41</v>
      </c>
      <c r="K350" s="405">
        <v>75.779250000000005</v>
      </c>
      <c r="L350" s="405">
        <v>2.0611959999999998</v>
      </c>
      <c r="T350" s="435">
        <v>3656.27</v>
      </c>
      <c r="V350" s="435">
        <v>915.42</v>
      </c>
      <c r="W350" s="435">
        <v>498.41</v>
      </c>
      <c r="X350" s="435">
        <v>232.85</v>
      </c>
      <c r="Y350" s="435">
        <v>2.0611959999999998</v>
      </c>
      <c r="Z350" s="435">
        <v>0.41211399999999998</v>
      </c>
    </row>
    <row r="351" spans="1:26" x14ac:dyDescent="0.2">
      <c r="A351" s="407"/>
      <c r="B351" s="407"/>
      <c r="C351" s="407"/>
      <c r="D351" s="408" t="s">
        <v>1245</v>
      </c>
      <c r="E351" s="409"/>
      <c r="F351" s="410">
        <v>751.73545000000001</v>
      </c>
      <c r="G351" s="410">
        <v>191.21625</v>
      </c>
      <c r="H351" s="409"/>
      <c r="I351" s="409"/>
      <c r="J351" s="411">
        <v>232.85</v>
      </c>
      <c r="K351" s="410">
        <v>15.151249999999999</v>
      </c>
      <c r="L351" s="410">
        <v>0.41211399999999998</v>
      </c>
    </row>
    <row r="352" spans="1:26" ht="20.399999999999999" x14ac:dyDescent="0.2">
      <c r="A352" s="412"/>
      <c r="B352" s="412"/>
      <c r="C352" s="412"/>
      <c r="D352" s="395" t="s">
        <v>714</v>
      </c>
      <c r="E352" s="412"/>
      <c r="F352" s="412"/>
      <c r="G352" s="412"/>
      <c r="H352" s="412"/>
      <c r="I352" s="412"/>
      <c r="J352" s="412"/>
      <c r="K352" s="412"/>
      <c r="L352" s="412"/>
    </row>
    <row r="353" spans="1:26" ht="20.399999999999999" x14ac:dyDescent="0.2">
      <c r="A353" s="412"/>
      <c r="B353" s="412"/>
      <c r="C353" s="412"/>
      <c r="D353" s="395" t="s">
        <v>978</v>
      </c>
      <c r="E353" s="412"/>
      <c r="F353" s="412"/>
      <c r="G353" s="412"/>
      <c r="H353" s="412"/>
      <c r="I353" s="412"/>
      <c r="J353" s="412"/>
      <c r="K353" s="412"/>
      <c r="L353" s="412"/>
    </row>
    <row r="354" spans="1:26" ht="132.6" x14ac:dyDescent="0.2">
      <c r="A354" s="412"/>
      <c r="B354" s="412"/>
      <c r="C354" s="412"/>
      <c r="D354" s="395" t="s">
        <v>979</v>
      </c>
      <c r="E354" s="412"/>
      <c r="F354" s="412"/>
      <c r="G354" s="412"/>
      <c r="H354" s="412"/>
      <c r="I354" s="412"/>
      <c r="J354" s="412"/>
      <c r="K354" s="412"/>
      <c r="L354" s="412"/>
    </row>
    <row r="355" spans="1:26" x14ac:dyDescent="0.2">
      <c r="A355" s="412"/>
      <c r="B355" s="412"/>
      <c r="C355" s="412"/>
      <c r="D355" s="413" t="s">
        <v>206</v>
      </c>
      <c r="E355" s="414" t="s">
        <v>1242</v>
      </c>
      <c r="F355" s="414"/>
      <c r="G355" s="414"/>
      <c r="H355" s="415">
        <v>1343.48</v>
      </c>
      <c r="I355" s="412"/>
      <c r="J355" s="412"/>
      <c r="K355" s="412"/>
      <c r="L355" s="412"/>
    </row>
    <row r="356" spans="1:26" x14ac:dyDescent="0.2">
      <c r="A356" s="412"/>
      <c r="B356" s="412"/>
      <c r="C356" s="412"/>
      <c r="D356" s="413" t="s">
        <v>207</v>
      </c>
      <c r="E356" s="414" t="s">
        <v>1243</v>
      </c>
      <c r="F356" s="414"/>
      <c r="G356" s="414"/>
      <c r="H356" s="415">
        <v>722.26</v>
      </c>
      <c r="I356" s="412"/>
      <c r="J356" s="412"/>
      <c r="K356" s="412"/>
      <c r="L356" s="412"/>
    </row>
    <row r="357" spans="1:26" x14ac:dyDescent="0.2">
      <c r="A357" s="412"/>
      <c r="B357" s="412"/>
      <c r="C357" s="412"/>
      <c r="D357" s="416" t="s">
        <v>715</v>
      </c>
      <c r="E357" s="417"/>
      <c r="F357" s="417"/>
      <c r="G357" s="417"/>
      <c r="H357" s="418">
        <v>3656.27</v>
      </c>
      <c r="I357" s="412"/>
      <c r="J357" s="412"/>
      <c r="K357" s="412"/>
      <c r="L357" s="412"/>
    </row>
    <row r="358" spans="1:26" ht="30.6" x14ac:dyDescent="0.2">
      <c r="A358" s="403">
        <v>58</v>
      </c>
      <c r="B358" s="403">
        <v>137</v>
      </c>
      <c r="C358" s="403" t="s">
        <v>1285</v>
      </c>
      <c r="D358" s="403" t="s">
        <v>1270</v>
      </c>
      <c r="E358" s="404">
        <v>0.27700000000000002</v>
      </c>
      <c r="F358" s="405">
        <v>43982.400000000001</v>
      </c>
      <c r="G358" s="405" t="s">
        <v>281</v>
      </c>
      <c r="H358" s="406">
        <v>99414.3</v>
      </c>
      <c r="I358" s="406" t="s">
        <v>281</v>
      </c>
      <c r="J358" s="406" t="s">
        <v>281</v>
      </c>
      <c r="K358" s="405" t="s">
        <v>281</v>
      </c>
      <c r="L358" s="405" t="s">
        <v>281</v>
      </c>
      <c r="T358" s="435">
        <v>99414.3</v>
      </c>
      <c r="V358" s="435" t="s">
        <v>281</v>
      </c>
      <c r="W358" s="435" t="s">
        <v>281</v>
      </c>
      <c r="X358" s="435" t="s">
        <v>281</v>
      </c>
      <c r="Y358" s="435" t="s">
        <v>281</v>
      </c>
      <c r="Z358" s="435" t="s">
        <v>281</v>
      </c>
    </row>
    <row r="359" spans="1:26" x14ac:dyDescent="0.2">
      <c r="A359" s="407"/>
      <c r="B359" s="407"/>
      <c r="C359" s="407"/>
      <c r="D359" s="408" t="s">
        <v>224</v>
      </c>
      <c r="E359" s="409"/>
      <c r="F359" s="410" t="s">
        <v>281</v>
      </c>
      <c r="G359" s="410" t="s">
        <v>281</v>
      </c>
      <c r="H359" s="409"/>
      <c r="I359" s="409"/>
      <c r="J359" s="411" t="s">
        <v>281</v>
      </c>
      <c r="K359" s="410" t="s">
        <v>281</v>
      </c>
      <c r="L359" s="410" t="s">
        <v>281</v>
      </c>
    </row>
    <row r="360" spans="1:26" x14ac:dyDescent="0.2">
      <c r="A360" s="412"/>
      <c r="B360" s="412"/>
      <c r="C360" s="412"/>
      <c r="D360" s="395" t="s">
        <v>718</v>
      </c>
      <c r="E360" s="412"/>
      <c r="F360" s="412"/>
      <c r="G360" s="412"/>
      <c r="H360" s="412"/>
      <c r="I360" s="412"/>
      <c r="J360" s="412"/>
      <c r="K360" s="412"/>
      <c r="L360" s="412"/>
    </row>
    <row r="361" spans="1:26" ht="30.6" x14ac:dyDescent="0.2">
      <c r="A361" s="403">
        <v>59</v>
      </c>
      <c r="B361" s="403">
        <v>138</v>
      </c>
      <c r="C361" s="403" t="s">
        <v>1250</v>
      </c>
      <c r="D361" s="403" t="s">
        <v>1559</v>
      </c>
      <c r="E361" s="404">
        <v>2.3119999999999998</v>
      </c>
      <c r="F361" s="405">
        <v>12.37</v>
      </c>
      <c r="G361" s="405" t="s">
        <v>281</v>
      </c>
      <c r="H361" s="406">
        <v>233.37</v>
      </c>
      <c r="I361" s="406" t="s">
        <v>281</v>
      </c>
      <c r="J361" s="406" t="s">
        <v>281</v>
      </c>
      <c r="K361" s="405" t="s">
        <v>281</v>
      </c>
      <c r="L361" s="405" t="s">
        <v>281</v>
      </c>
      <c r="T361" s="435">
        <v>233.37</v>
      </c>
      <c r="V361" s="435" t="s">
        <v>281</v>
      </c>
      <c r="W361" s="435" t="s">
        <v>281</v>
      </c>
      <c r="X361" s="435" t="s">
        <v>281</v>
      </c>
      <c r="Y361" s="435" t="s">
        <v>281</v>
      </c>
      <c r="Z361" s="435" t="s">
        <v>281</v>
      </c>
    </row>
    <row r="362" spans="1:26" x14ac:dyDescent="0.2">
      <c r="A362" s="407"/>
      <c r="B362" s="407"/>
      <c r="C362" s="407"/>
      <c r="D362" s="408" t="s">
        <v>898</v>
      </c>
      <c r="E362" s="409"/>
      <c r="F362" s="410" t="s">
        <v>281</v>
      </c>
      <c r="G362" s="410" t="s">
        <v>281</v>
      </c>
      <c r="H362" s="409"/>
      <c r="I362" s="409"/>
      <c r="J362" s="411" t="s">
        <v>281</v>
      </c>
      <c r="K362" s="410" t="s">
        <v>281</v>
      </c>
      <c r="L362" s="410" t="s">
        <v>281</v>
      </c>
    </row>
    <row r="363" spans="1:26" x14ac:dyDescent="0.2">
      <c r="A363" s="412"/>
      <c r="B363" s="412"/>
      <c r="C363" s="412"/>
      <c r="D363" s="395" t="s">
        <v>718</v>
      </c>
      <c r="E363" s="412"/>
      <c r="F363" s="412"/>
      <c r="G363" s="412"/>
      <c r="H363" s="412"/>
      <c r="I363" s="412"/>
      <c r="J363" s="412"/>
      <c r="K363" s="412"/>
      <c r="L363" s="412"/>
    </row>
    <row r="364" spans="1:26" ht="40.799999999999997" x14ac:dyDescent="0.2">
      <c r="A364" s="403">
        <v>60</v>
      </c>
      <c r="B364" s="403">
        <v>139</v>
      </c>
      <c r="C364" s="403" t="s">
        <v>1254</v>
      </c>
      <c r="D364" s="403" t="s">
        <v>1224</v>
      </c>
      <c r="E364" s="404">
        <v>0.27200000000000002</v>
      </c>
      <c r="F364" s="405">
        <v>1500.8771999999999</v>
      </c>
      <c r="G364" s="405">
        <v>104.46312500000001</v>
      </c>
      <c r="H364" s="406">
        <v>12555.44</v>
      </c>
      <c r="I364" s="406">
        <v>11103.68</v>
      </c>
      <c r="J364" s="406">
        <v>376.2</v>
      </c>
      <c r="K364" s="405">
        <v>94.783574999999999</v>
      </c>
      <c r="L364" s="405">
        <v>25.781131999999999</v>
      </c>
      <c r="T364" s="435">
        <v>32543.88</v>
      </c>
      <c r="V364" s="435">
        <v>11103.68</v>
      </c>
      <c r="W364" s="435">
        <v>376.2</v>
      </c>
      <c r="X364" s="435">
        <v>7.18</v>
      </c>
      <c r="Y364" s="435">
        <v>25.781131999999999</v>
      </c>
      <c r="Z364" s="435">
        <v>1.1730000000000001E-2</v>
      </c>
    </row>
    <row r="365" spans="1:26" x14ac:dyDescent="0.2">
      <c r="A365" s="407"/>
      <c r="B365" s="407"/>
      <c r="C365" s="407"/>
      <c r="D365" s="408" t="s">
        <v>1255</v>
      </c>
      <c r="E365" s="409"/>
      <c r="F365" s="410">
        <v>911.82407499999999</v>
      </c>
      <c r="G365" s="410">
        <v>0.58937499999999998</v>
      </c>
      <c r="H365" s="409"/>
      <c r="I365" s="409"/>
      <c r="J365" s="411">
        <v>7.18</v>
      </c>
      <c r="K365" s="410">
        <v>4.3124999999999997E-2</v>
      </c>
      <c r="L365" s="410">
        <v>1.1730000000000001E-2</v>
      </c>
    </row>
    <row r="366" spans="1:26" ht="20.399999999999999" x14ac:dyDescent="0.2">
      <c r="A366" s="412"/>
      <c r="B366" s="412"/>
      <c r="C366" s="412"/>
      <c r="D366" s="395" t="s">
        <v>714</v>
      </c>
      <c r="E366" s="412"/>
      <c r="F366" s="412"/>
      <c r="G366" s="412"/>
      <c r="H366" s="412"/>
      <c r="I366" s="412"/>
      <c r="J366" s="412"/>
      <c r="K366" s="412"/>
      <c r="L366" s="412"/>
    </row>
    <row r="367" spans="1:26" ht="20.399999999999999" x14ac:dyDescent="0.2">
      <c r="A367" s="412"/>
      <c r="B367" s="412"/>
      <c r="C367" s="412"/>
      <c r="D367" s="395" t="s">
        <v>978</v>
      </c>
      <c r="E367" s="412"/>
      <c r="F367" s="412"/>
      <c r="G367" s="412"/>
      <c r="H367" s="412"/>
      <c r="I367" s="412"/>
      <c r="J367" s="412"/>
      <c r="K367" s="412"/>
      <c r="L367" s="412"/>
    </row>
    <row r="368" spans="1:26" ht="132.6" x14ac:dyDescent="0.2">
      <c r="A368" s="412"/>
      <c r="B368" s="412"/>
      <c r="C368" s="412"/>
      <c r="D368" s="395" t="s">
        <v>979</v>
      </c>
      <c r="E368" s="412"/>
      <c r="F368" s="412"/>
      <c r="G368" s="412"/>
      <c r="H368" s="412"/>
      <c r="I368" s="412"/>
      <c r="J368" s="412"/>
      <c r="K368" s="412"/>
      <c r="L368" s="412"/>
    </row>
    <row r="369" spans="1:26" x14ac:dyDescent="0.2">
      <c r="A369" s="412"/>
      <c r="B369" s="412"/>
      <c r="C369" s="412"/>
      <c r="D369" s="413" t="s">
        <v>206</v>
      </c>
      <c r="E369" s="414" t="s">
        <v>1242</v>
      </c>
      <c r="F369" s="414"/>
      <c r="G369" s="414"/>
      <c r="H369" s="415">
        <v>12999.71</v>
      </c>
      <c r="I369" s="412"/>
      <c r="J369" s="412"/>
      <c r="K369" s="412"/>
      <c r="L369" s="412"/>
    </row>
    <row r="370" spans="1:26" x14ac:dyDescent="0.2">
      <c r="A370" s="412"/>
      <c r="B370" s="412"/>
      <c r="C370" s="412"/>
      <c r="D370" s="413" t="s">
        <v>207</v>
      </c>
      <c r="E370" s="414" t="s">
        <v>1243</v>
      </c>
      <c r="F370" s="414"/>
      <c r="G370" s="414"/>
      <c r="H370" s="415">
        <v>6988.73</v>
      </c>
      <c r="I370" s="412"/>
      <c r="J370" s="412"/>
      <c r="K370" s="412"/>
      <c r="L370" s="412"/>
    </row>
    <row r="371" spans="1:26" x14ac:dyDescent="0.2">
      <c r="A371" s="412"/>
      <c r="B371" s="412"/>
      <c r="C371" s="412"/>
      <c r="D371" s="416" t="s">
        <v>715</v>
      </c>
      <c r="E371" s="417"/>
      <c r="F371" s="417"/>
      <c r="G371" s="417"/>
      <c r="H371" s="418">
        <v>32543.88</v>
      </c>
      <c r="I371" s="412"/>
      <c r="J371" s="412"/>
      <c r="K371" s="412"/>
      <c r="L371" s="412"/>
    </row>
    <row r="372" spans="1:26" x14ac:dyDescent="0.2">
      <c r="A372" s="403">
        <v>61</v>
      </c>
      <c r="B372" s="403">
        <v>140</v>
      </c>
      <c r="C372" s="403" t="s">
        <v>1286</v>
      </c>
      <c r="D372" s="403" t="s">
        <v>1566</v>
      </c>
      <c r="E372" s="404">
        <v>5</v>
      </c>
      <c r="F372" s="405">
        <v>2.79</v>
      </c>
      <c r="G372" s="405" t="s">
        <v>281</v>
      </c>
      <c r="H372" s="406">
        <v>113.85</v>
      </c>
      <c r="I372" s="406" t="s">
        <v>281</v>
      </c>
      <c r="J372" s="406" t="s">
        <v>281</v>
      </c>
      <c r="K372" s="405" t="s">
        <v>281</v>
      </c>
      <c r="L372" s="405" t="s">
        <v>281</v>
      </c>
      <c r="T372" s="435">
        <v>113.85</v>
      </c>
      <c r="V372" s="435" t="s">
        <v>281</v>
      </c>
      <c r="W372" s="435" t="s">
        <v>281</v>
      </c>
      <c r="X372" s="435" t="s">
        <v>281</v>
      </c>
      <c r="Y372" s="435" t="s">
        <v>281</v>
      </c>
      <c r="Z372" s="435" t="s">
        <v>281</v>
      </c>
    </row>
    <row r="373" spans="1:26" x14ac:dyDescent="0.2">
      <c r="A373" s="407"/>
      <c r="B373" s="407"/>
      <c r="C373" s="407"/>
      <c r="D373" s="408" t="s">
        <v>735</v>
      </c>
      <c r="E373" s="409"/>
      <c r="F373" s="410" t="s">
        <v>281</v>
      </c>
      <c r="G373" s="410" t="s">
        <v>281</v>
      </c>
      <c r="H373" s="409"/>
      <c r="I373" s="409"/>
      <c r="J373" s="411" t="s">
        <v>281</v>
      </c>
      <c r="K373" s="410" t="s">
        <v>281</v>
      </c>
      <c r="L373" s="410" t="s">
        <v>281</v>
      </c>
    </row>
    <row r="374" spans="1:26" x14ac:dyDescent="0.2">
      <c r="A374" s="412"/>
      <c r="B374" s="412"/>
      <c r="C374" s="412"/>
      <c r="D374" s="395" t="s">
        <v>718</v>
      </c>
      <c r="E374" s="412"/>
      <c r="F374" s="412"/>
      <c r="G374" s="412"/>
      <c r="H374" s="412"/>
      <c r="I374" s="412"/>
      <c r="J374" s="412"/>
      <c r="K374" s="412"/>
      <c r="L374" s="412"/>
    </row>
    <row r="375" spans="1:26" ht="40.799999999999997" x14ac:dyDescent="0.2">
      <c r="A375" s="403">
        <v>62</v>
      </c>
      <c r="B375" s="403">
        <v>141</v>
      </c>
      <c r="C375" s="403" t="s">
        <v>1287</v>
      </c>
      <c r="D375" s="403" t="s">
        <v>1271</v>
      </c>
      <c r="E375" s="404">
        <v>0.2</v>
      </c>
      <c r="F375" s="405">
        <v>374.57799999999997</v>
      </c>
      <c r="G375" s="405">
        <v>324.91812499999997</v>
      </c>
      <c r="H375" s="406">
        <v>1305.03</v>
      </c>
      <c r="I375" s="406">
        <v>444.65</v>
      </c>
      <c r="J375" s="406">
        <v>860.38</v>
      </c>
      <c r="K375" s="405">
        <v>5.4751500000000002</v>
      </c>
      <c r="L375" s="405">
        <v>1.0950299999999999</v>
      </c>
      <c r="T375" s="435">
        <v>2811.21</v>
      </c>
      <c r="V375" s="435">
        <v>444.65</v>
      </c>
      <c r="W375" s="435">
        <v>860.38</v>
      </c>
      <c r="X375" s="435">
        <v>392.58</v>
      </c>
      <c r="Y375" s="435">
        <v>1.0950299999999999</v>
      </c>
      <c r="Z375" s="435">
        <v>0.64975000000000005</v>
      </c>
    </row>
    <row r="376" spans="1:26" x14ac:dyDescent="0.2">
      <c r="A376" s="407"/>
      <c r="B376" s="407"/>
      <c r="C376" s="407"/>
      <c r="D376" s="408" t="s">
        <v>1144</v>
      </c>
      <c r="E376" s="409"/>
      <c r="F376" s="410">
        <v>49.659875</v>
      </c>
      <c r="G376" s="410">
        <v>43.84375</v>
      </c>
      <c r="H376" s="409"/>
      <c r="I376" s="409"/>
      <c r="J376" s="411">
        <v>392.58</v>
      </c>
      <c r="K376" s="410">
        <v>3.2487499999999998</v>
      </c>
      <c r="L376" s="410">
        <v>0.64975000000000005</v>
      </c>
    </row>
    <row r="377" spans="1:26" ht="20.399999999999999" x14ac:dyDescent="0.2">
      <c r="A377" s="412"/>
      <c r="B377" s="412"/>
      <c r="C377" s="412"/>
      <c r="D377" s="395" t="s">
        <v>714</v>
      </c>
      <c r="E377" s="412"/>
      <c r="F377" s="412"/>
      <c r="G377" s="412"/>
      <c r="H377" s="412"/>
      <c r="I377" s="412"/>
      <c r="J377" s="412"/>
      <c r="K377" s="412"/>
      <c r="L377" s="412"/>
    </row>
    <row r="378" spans="1:26" ht="20.399999999999999" x14ac:dyDescent="0.2">
      <c r="A378" s="412"/>
      <c r="B378" s="412"/>
      <c r="C378" s="412"/>
      <c r="D378" s="395" t="s">
        <v>978</v>
      </c>
      <c r="E378" s="412"/>
      <c r="F378" s="412"/>
      <c r="G378" s="412"/>
      <c r="H378" s="412"/>
      <c r="I378" s="412"/>
      <c r="J378" s="412"/>
      <c r="K378" s="412"/>
      <c r="L378" s="412"/>
    </row>
    <row r="379" spans="1:26" ht="132.6" x14ac:dyDescent="0.2">
      <c r="A379" s="412"/>
      <c r="B379" s="412"/>
      <c r="C379" s="412"/>
      <c r="D379" s="395" t="s">
        <v>979</v>
      </c>
      <c r="E379" s="412"/>
      <c r="F379" s="412"/>
      <c r="G379" s="412"/>
      <c r="H379" s="412"/>
      <c r="I379" s="412"/>
      <c r="J379" s="412"/>
      <c r="K379" s="412"/>
      <c r="L379" s="412"/>
    </row>
    <row r="380" spans="1:26" x14ac:dyDescent="0.2">
      <c r="A380" s="412"/>
      <c r="B380" s="412"/>
      <c r="C380" s="412"/>
      <c r="D380" s="413" t="s">
        <v>206</v>
      </c>
      <c r="E380" s="414" t="s">
        <v>1242</v>
      </c>
      <c r="F380" s="414"/>
      <c r="G380" s="414"/>
      <c r="H380" s="415">
        <v>979.56</v>
      </c>
      <c r="I380" s="412"/>
      <c r="J380" s="412"/>
      <c r="K380" s="412"/>
      <c r="L380" s="412"/>
    </row>
    <row r="381" spans="1:26" x14ac:dyDescent="0.2">
      <c r="A381" s="412"/>
      <c r="B381" s="412"/>
      <c r="C381" s="412"/>
      <c r="D381" s="413" t="s">
        <v>207</v>
      </c>
      <c r="E381" s="414" t="s">
        <v>1243</v>
      </c>
      <c r="F381" s="414"/>
      <c r="G381" s="414"/>
      <c r="H381" s="415">
        <v>526.62</v>
      </c>
      <c r="I381" s="412"/>
      <c r="J381" s="412"/>
      <c r="K381" s="412"/>
      <c r="L381" s="412"/>
    </row>
    <row r="382" spans="1:26" x14ac:dyDescent="0.2">
      <c r="A382" s="412"/>
      <c r="B382" s="412"/>
      <c r="C382" s="412"/>
      <c r="D382" s="416" t="s">
        <v>715</v>
      </c>
      <c r="E382" s="417"/>
      <c r="F382" s="417"/>
      <c r="G382" s="417"/>
      <c r="H382" s="418">
        <v>2811.21</v>
      </c>
      <c r="I382" s="412"/>
      <c r="J382" s="412"/>
      <c r="K382" s="412"/>
      <c r="L382" s="412"/>
    </row>
    <row r="383" spans="1:26" ht="40.799999999999997" x14ac:dyDescent="0.2">
      <c r="A383" s="403">
        <v>63</v>
      </c>
      <c r="B383" s="403">
        <v>142</v>
      </c>
      <c r="C383" s="403" t="s">
        <v>1288</v>
      </c>
      <c r="D383" s="403" t="s">
        <v>1565</v>
      </c>
      <c r="E383" s="404">
        <v>2</v>
      </c>
      <c r="F383" s="405">
        <v>107.99</v>
      </c>
      <c r="G383" s="405" t="s">
        <v>281</v>
      </c>
      <c r="H383" s="406">
        <v>1762.4</v>
      </c>
      <c r="I383" s="406" t="s">
        <v>281</v>
      </c>
      <c r="J383" s="406" t="s">
        <v>281</v>
      </c>
      <c r="K383" s="405" t="s">
        <v>281</v>
      </c>
      <c r="L383" s="405" t="s">
        <v>281</v>
      </c>
      <c r="T383" s="435">
        <v>1762.4</v>
      </c>
      <c r="V383" s="435" t="s">
        <v>281</v>
      </c>
      <c r="W383" s="435" t="s">
        <v>281</v>
      </c>
      <c r="X383" s="435" t="s">
        <v>281</v>
      </c>
      <c r="Y383" s="435" t="s">
        <v>281</v>
      </c>
      <c r="Z383" s="435" t="s">
        <v>281</v>
      </c>
    </row>
    <row r="384" spans="1:26" x14ac:dyDescent="0.2">
      <c r="A384" s="407"/>
      <c r="B384" s="407"/>
      <c r="C384" s="407"/>
      <c r="D384" s="408" t="s">
        <v>735</v>
      </c>
      <c r="E384" s="409"/>
      <c r="F384" s="410" t="s">
        <v>281</v>
      </c>
      <c r="G384" s="410" t="s">
        <v>281</v>
      </c>
      <c r="H384" s="409"/>
      <c r="I384" s="409"/>
      <c r="J384" s="411" t="s">
        <v>281</v>
      </c>
      <c r="K384" s="410" t="s">
        <v>281</v>
      </c>
      <c r="L384" s="410" t="s">
        <v>281</v>
      </c>
    </row>
    <row r="385" spans="1:26" x14ac:dyDescent="0.2">
      <c r="A385" s="412"/>
      <c r="B385" s="412"/>
      <c r="C385" s="412"/>
      <c r="D385" s="395" t="s">
        <v>718</v>
      </c>
      <c r="E385" s="412"/>
      <c r="F385" s="412"/>
      <c r="G385" s="412"/>
      <c r="H385" s="412"/>
      <c r="I385" s="412"/>
      <c r="J385" s="412"/>
      <c r="K385" s="412"/>
      <c r="L385" s="412"/>
    </row>
    <row r="386" spans="1:26" ht="30.6" x14ac:dyDescent="0.2">
      <c r="A386" s="403">
        <v>64</v>
      </c>
      <c r="B386" s="403">
        <v>143</v>
      </c>
      <c r="C386" s="403" t="s">
        <v>1289</v>
      </c>
      <c r="D386" s="403" t="s">
        <v>1564</v>
      </c>
      <c r="E386" s="404">
        <v>2</v>
      </c>
      <c r="F386" s="405">
        <v>99.91</v>
      </c>
      <c r="G386" s="405" t="s">
        <v>281</v>
      </c>
      <c r="H386" s="406">
        <v>1630.54</v>
      </c>
      <c r="I386" s="406" t="s">
        <v>281</v>
      </c>
      <c r="J386" s="406" t="s">
        <v>281</v>
      </c>
      <c r="K386" s="405" t="s">
        <v>281</v>
      </c>
      <c r="L386" s="405" t="s">
        <v>281</v>
      </c>
      <c r="T386" s="435">
        <v>1630.54</v>
      </c>
      <c r="V386" s="435" t="s">
        <v>281</v>
      </c>
      <c r="W386" s="435" t="s">
        <v>281</v>
      </c>
      <c r="X386" s="435" t="s">
        <v>281</v>
      </c>
      <c r="Y386" s="435" t="s">
        <v>281</v>
      </c>
      <c r="Z386" s="435" t="s">
        <v>281</v>
      </c>
    </row>
    <row r="387" spans="1:26" x14ac:dyDescent="0.2">
      <c r="A387" s="407"/>
      <c r="B387" s="407"/>
      <c r="C387" s="407"/>
      <c r="D387" s="408" t="s">
        <v>1179</v>
      </c>
      <c r="E387" s="409"/>
      <c r="F387" s="410" t="s">
        <v>281</v>
      </c>
      <c r="G387" s="410" t="s">
        <v>281</v>
      </c>
      <c r="H387" s="409"/>
      <c r="I387" s="409"/>
      <c r="J387" s="411" t="s">
        <v>281</v>
      </c>
      <c r="K387" s="410" t="s">
        <v>281</v>
      </c>
      <c r="L387" s="410" t="s">
        <v>281</v>
      </c>
    </row>
    <row r="388" spans="1:26" x14ac:dyDescent="0.2">
      <c r="A388" s="412"/>
      <c r="B388" s="412"/>
      <c r="C388" s="412"/>
      <c r="D388" s="395" t="s">
        <v>718</v>
      </c>
      <c r="E388" s="412"/>
      <c r="F388" s="412"/>
      <c r="G388" s="412"/>
      <c r="H388" s="412"/>
      <c r="I388" s="412"/>
      <c r="J388" s="412"/>
      <c r="K388" s="412"/>
      <c r="L388" s="412"/>
    </row>
    <row r="389" spans="1:26" ht="30.6" x14ac:dyDescent="0.2">
      <c r="A389" s="403">
        <v>65</v>
      </c>
      <c r="B389" s="403">
        <v>144</v>
      </c>
      <c r="C389" s="403" t="s">
        <v>1290</v>
      </c>
      <c r="D389" s="403" t="s">
        <v>1563</v>
      </c>
      <c r="E389" s="404">
        <v>-2</v>
      </c>
      <c r="F389" s="405">
        <v>45</v>
      </c>
      <c r="G389" s="405" t="s">
        <v>281</v>
      </c>
      <c r="H389" s="406">
        <v>-734.4</v>
      </c>
      <c r="I389" s="406" t="s">
        <v>281</v>
      </c>
      <c r="J389" s="406" t="s">
        <v>281</v>
      </c>
      <c r="K389" s="405" t="s">
        <v>281</v>
      </c>
      <c r="L389" s="405" t="s">
        <v>281</v>
      </c>
      <c r="T389" s="435">
        <v>-734.4</v>
      </c>
      <c r="V389" s="435" t="s">
        <v>281</v>
      </c>
      <c r="W389" s="435" t="s">
        <v>281</v>
      </c>
      <c r="X389" s="435" t="s">
        <v>281</v>
      </c>
      <c r="Y389" s="435" t="s">
        <v>281</v>
      </c>
      <c r="Z389" s="435" t="s">
        <v>281</v>
      </c>
    </row>
    <row r="390" spans="1:26" x14ac:dyDescent="0.2">
      <c r="A390" s="407"/>
      <c r="B390" s="407"/>
      <c r="C390" s="407"/>
      <c r="D390" s="408" t="s">
        <v>735</v>
      </c>
      <c r="E390" s="409"/>
      <c r="F390" s="410" t="s">
        <v>281</v>
      </c>
      <c r="G390" s="410" t="s">
        <v>281</v>
      </c>
      <c r="H390" s="409"/>
      <c r="I390" s="409"/>
      <c r="J390" s="411" t="s">
        <v>281</v>
      </c>
      <c r="K390" s="410" t="s">
        <v>281</v>
      </c>
      <c r="L390" s="410" t="s">
        <v>281</v>
      </c>
    </row>
    <row r="391" spans="1:26" x14ac:dyDescent="0.2">
      <c r="A391" s="412"/>
      <c r="B391" s="412"/>
      <c r="C391" s="412"/>
      <c r="D391" s="395" t="s">
        <v>718</v>
      </c>
      <c r="E391" s="412"/>
      <c r="F391" s="412"/>
      <c r="G391" s="412"/>
      <c r="H391" s="412"/>
      <c r="I391" s="412"/>
      <c r="J391" s="412"/>
      <c r="K391" s="412"/>
      <c r="L391" s="412"/>
    </row>
    <row r="392" spans="1:26" ht="30.6" x14ac:dyDescent="0.2">
      <c r="A392" s="403">
        <v>66</v>
      </c>
      <c r="B392" s="403">
        <v>145</v>
      </c>
      <c r="C392" s="403" t="s">
        <v>1291</v>
      </c>
      <c r="D392" s="403" t="s">
        <v>1279</v>
      </c>
      <c r="E392" s="404">
        <v>0.2</v>
      </c>
      <c r="F392" s="405">
        <v>74.760000000000005</v>
      </c>
      <c r="G392" s="405">
        <v>0.28000000000000003</v>
      </c>
      <c r="H392" s="406">
        <v>664.2</v>
      </c>
      <c r="I392" s="406">
        <v>662.69</v>
      </c>
      <c r="J392" s="406">
        <v>0.74</v>
      </c>
      <c r="K392" s="405">
        <v>8.16</v>
      </c>
      <c r="L392" s="405">
        <v>1.6319999999999999</v>
      </c>
      <c r="T392" s="435">
        <v>2054.19</v>
      </c>
      <c r="V392" s="435">
        <v>662.69</v>
      </c>
      <c r="W392" s="435">
        <v>0.74</v>
      </c>
      <c r="X392" s="435" t="s">
        <v>281</v>
      </c>
      <c r="Y392" s="435">
        <v>1.6319999999999999</v>
      </c>
      <c r="Z392" s="435" t="s">
        <v>281</v>
      </c>
    </row>
    <row r="393" spans="1:26" x14ac:dyDescent="0.2">
      <c r="A393" s="407"/>
      <c r="B393" s="407"/>
      <c r="C393" s="407"/>
      <c r="D393" s="408" t="s">
        <v>1144</v>
      </c>
      <c r="E393" s="409"/>
      <c r="F393" s="410">
        <v>74.010000000000005</v>
      </c>
      <c r="G393" s="410" t="s">
        <v>281</v>
      </c>
      <c r="H393" s="409"/>
      <c r="I393" s="409"/>
      <c r="J393" s="411" t="s">
        <v>281</v>
      </c>
      <c r="K393" s="410" t="s">
        <v>281</v>
      </c>
      <c r="L393" s="410" t="s">
        <v>281</v>
      </c>
    </row>
    <row r="394" spans="1:26" ht="20.399999999999999" x14ac:dyDescent="0.2">
      <c r="A394" s="412"/>
      <c r="B394" s="412"/>
      <c r="C394" s="412"/>
      <c r="D394" s="395" t="s">
        <v>714</v>
      </c>
      <c r="E394" s="412"/>
      <c r="F394" s="412"/>
      <c r="G394" s="412"/>
      <c r="H394" s="412"/>
      <c r="I394" s="412"/>
      <c r="J394" s="412"/>
      <c r="K394" s="412"/>
      <c r="L394" s="412"/>
    </row>
    <row r="395" spans="1:26" x14ac:dyDescent="0.2">
      <c r="A395" s="412"/>
      <c r="B395" s="412"/>
      <c r="C395" s="412"/>
      <c r="D395" s="413" t="s">
        <v>206</v>
      </c>
      <c r="E395" s="414" t="s">
        <v>1209</v>
      </c>
      <c r="F395" s="414"/>
      <c r="G395" s="414"/>
      <c r="H395" s="415">
        <v>967.53</v>
      </c>
      <c r="I395" s="412"/>
      <c r="J395" s="412"/>
      <c r="K395" s="412"/>
      <c r="L395" s="412"/>
    </row>
    <row r="396" spans="1:26" x14ac:dyDescent="0.2">
      <c r="A396" s="412"/>
      <c r="B396" s="412"/>
      <c r="C396" s="412"/>
      <c r="D396" s="413" t="s">
        <v>207</v>
      </c>
      <c r="E396" s="414" t="s">
        <v>1210</v>
      </c>
      <c r="F396" s="414"/>
      <c r="G396" s="414"/>
      <c r="H396" s="415">
        <v>422.46</v>
      </c>
      <c r="I396" s="412"/>
      <c r="J396" s="412"/>
      <c r="K396" s="412"/>
      <c r="L396" s="412"/>
    </row>
    <row r="397" spans="1:26" x14ac:dyDescent="0.2">
      <c r="A397" s="412"/>
      <c r="B397" s="412"/>
      <c r="C397" s="412"/>
      <c r="D397" s="416" t="s">
        <v>715</v>
      </c>
      <c r="E397" s="417"/>
      <c r="F397" s="417"/>
      <c r="G397" s="417"/>
      <c r="H397" s="418">
        <v>2054.19</v>
      </c>
      <c r="I397" s="412"/>
      <c r="J397" s="412"/>
      <c r="K397" s="412"/>
      <c r="L397" s="412"/>
    </row>
    <row r="398" spans="1:26" ht="30.6" x14ac:dyDescent="0.2">
      <c r="A398" s="403">
        <v>67</v>
      </c>
      <c r="B398" s="403">
        <v>146</v>
      </c>
      <c r="C398" s="403" t="s">
        <v>1292</v>
      </c>
      <c r="D398" s="403" t="s">
        <v>1562</v>
      </c>
      <c r="E398" s="404">
        <v>2</v>
      </c>
      <c r="F398" s="405">
        <v>94.45</v>
      </c>
      <c r="G398" s="405" t="s">
        <v>281</v>
      </c>
      <c r="H398" s="406">
        <v>1541.42</v>
      </c>
      <c r="I398" s="406" t="s">
        <v>281</v>
      </c>
      <c r="J398" s="406" t="s">
        <v>281</v>
      </c>
      <c r="K398" s="405" t="s">
        <v>281</v>
      </c>
      <c r="L398" s="405" t="s">
        <v>281</v>
      </c>
      <c r="T398" s="435">
        <v>1541.42</v>
      </c>
      <c r="V398" s="435" t="s">
        <v>281</v>
      </c>
      <c r="W398" s="435" t="s">
        <v>281</v>
      </c>
      <c r="X398" s="435" t="s">
        <v>281</v>
      </c>
      <c r="Y398" s="435" t="s">
        <v>281</v>
      </c>
      <c r="Z398" s="435" t="s">
        <v>281</v>
      </c>
    </row>
    <row r="399" spans="1:26" x14ac:dyDescent="0.2">
      <c r="A399" s="407"/>
      <c r="B399" s="407"/>
      <c r="C399" s="407"/>
      <c r="D399" s="408" t="s">
        <v>735</v>
      </c>
      <c r="E399" s="409"/>
      <c r="F399" s="410" t="s">
        <v>281</v>
      </c>
      <c r="G399" s="410" t="s">
        <v>281</v>
      </c>
      <c r="H399" s="409"/>
      <c r="I399" s="409"/>
      <c r="J399" s="411" t="s">
        <v>281</v>
      </c>
      <c r="K399" s="410" t="s">
        <v>281</v>
      </c>
      <c r="L399" s="410" t="s">
        <v>281</v>
      </c>
    </row>
    <row r="400" spans="1:26" x14ac:dyDescent="0.2">
      <c r="A400" s="412"/>
      <c r="B400" s="412"/>
      <c r="C400" s="412"/>
      <c r="D400" s="395" t="s">
        <v>718</v>
      </c>
      <c r="E400" s="412"/>
      <c r="F400" s="412"/>
      <c r="G400" s="412"/>
      <c r="H400" s="412"/>
      <c r="I400" s="412"/>
      <c r="J400" s="412"/>
      <c r="K400" s="412"/>
      <c r="L400" s="412"/>
    </row>
    <row r="401" spans="1:26" ht="40.799999999999997" x14ac:dyDescent="0.2">
      <c r="A401" s="403">
        <v>68</v>
      </c>
      <c r="B401" s="403">
        <v>147</v>
      </c>
      <c r="C401" s="403" t="s">
        <v>1256</v>
      </c>
      <c r="D401" s="403" t="s">
        <v>1223</v>
      </c>
      <c r="E401" s="404">
        <v>2</v>
      </c>
      <c r="F401" s="405">
        <v>617.69749999999999</v>
      </c>
      <c r="G401" s="405">
        <v>86.261499999999998</v>
      </c>
      <c r="H401" s="406">
        <v>12695.18</v>
      </c>
      <c r="I401" s="406">
        <v>2125.3200000000002</v>
      </c>
      <c r="J401" s="406">
        <v>2284.1999999999998</v>
      </c>
      <c r="K401" s="405">
        <v>2.6795</v>
      </c>
      <c r="L401" s="405">
        <v>5.359</v>
      </c>
      <c r="T401" s="435">
        <v>18014.650000000001</v>
      </c>
      <c r="V401" s="435">
        <v>2125.3200000000002</v>
      </c>
      <c r="W401" s="435">
        <v>2284.1999999999998</v>
      </c>
      <c r="X401" s="435">
        <v>1118.26</v>
      </c>
      <c r="Y401" s="435">
        <v>5.359</v>
      </c>
      <c r="Z401" s="435">
        <v>1.587</v>
      </c>
    </row>
    <row r="402" spans="1:26" x14ac:dyDescent="0.2">
      <c r="A402" s="407"/>
      <c r="B402" s="407"/>
      <c r="C402" s="407"/>
      <c r="D402" s="408" t="s">
        <v>745</v>
      </c>
      <c r="E402" s="409"/>
      <c r="F402" s="410">
        <v>23.736000000000001</v>
      </c>
      <c r="G402" s="410">
        <v>12.489000000000001</v>
      </c>
      <c r="H402" s="409"/>
      <c r="I402" s="409"/>
      <c r="J402" s="411">
        <v>1118.26</v>
      </c>
      <c r="K402" s="410">
        <v>0.79349999999999998</v>
      </c>
      <c r="L402" s="410">
        <v>1.587</v>
      </c>
    </row>
    <row r="403" spans="1:26" ht="20.399999999999999" x14ac:dyDescent="0.2">
      <c r="A403" s="412"/>
      <c r="B403" s="412"/>
      <c r="C403" s="412"/>
      <c r="D403" s="395" t="s">
        <v>714</v>
      </c>
      <c r="E403" s="412"/>
      <c r="F403" s="412"/>
      <c r="G403" s="412"/>
      <c r="H403" s="412"/>
      <c r="I403" s="412"/>
      <c r="J403" s="412"/>
      <c r="K403" s="412"/>
      <c r="L403" s="412"/>
    </row>
    <row r="404" spans="1:26" ht="20.399999999999999" x14ac:dyDescent="0.2">
      <c r="A404" s="412"/>
      <c r="B404" s="412"/>
      <c r="C404" s="412"/>
      <c r="D404" s="395" t="s">
        <v>1023</v>
      </c>
      <c r="E404" s="412"/>
      <c r="F404" s="412"/>
      <c r="G404" s="412"/>
      <c r="H404" s="412"/>
      <c r="I404" s="412"/>
      <c r="J404" s="412"/>
      <c r="K404" s="412"/>
      <c r="L404" s="412"/>
    </row>
    <row r="405" spans="1:26" ht="81.599999999999994" x14ac:dyDescent="0.2">
      <c r="A405" s="412"/>
      <c r="B405" s="412"/>
      <c r="C405" s="412"/>
      <c r="D405" s="395" t="s">
        <v>1024</v>
      </c>
      <c r="E405" s="412"/>
      <c r="F405" s="412"/>
      <c r="G405" s="412"/>
      <c r="H405" s="412"/>
      <c r="I405" s="412"/>
      <c r="J405" s="412"/>
      <c r="K405" s="412"/>
      <c r="L405" s="412"/>
    </row>
    <row r="406" spans="1:26" x14ac:dyDescent="0.2">
      <c r="A406" s="412"/>
      <c r="B406" s="412"/>
      <c r="C406" s="412"/>
      <c r="D406" s="413" t="s">
        <v>206</v>
      </c>
      <c r="E406" s="414" t="s">
        <v>1257</v>
      </c>
      <c r="F406" s="414"/>
      <c r="G406" s="414"/>
      <c r="H406" s="415">
        <v>3373.32</v>
      </c>
      <c r="I406" s="412"/>
      <c r="J406" s="412"/>
      <c r="K406" s="412"/>
      <c r="L406" s="412"/>
    </row>
    <row r="407" spans="1:26" x14ac:dyDescent="0.2">
      <c r="A407" s="412"/>
      <c r="B407" s="412"/>
      <c r="C407" s="412"/>
      <c r="D407" s="413" t="s">
        <v>207</v>
      </c>
      <c r="E407" s="414" t="s">
        <v>1258</v>
      </c>
      <c r="F407" s="414"/>
      <c r="G407" s="414"/>
      <c r="H407" s="415">
        <v>1946.15</v>
      </c>
      <c r="I407" s="412"/>
      <c r="J407" s="412"/>
      <c r="K407" s="412"/>
      <c r="L407" s="412"/>
    </row>
    <row r="408" spans="1:26" x14ac:dyDescent="0.2">
      <c r="A408" s="412"/>
      <c r="B408" s="412"/>
      <c r="C408" s="412"/>
      <c r="D408" s="416" t="s">
        <v>715</v>
      </c>
      <c r="E408" s="417"/>
      <c r="F408" s="417"/>
      <c r="G408" s="417"/>
      <c r="H408" s="418">
        <v>18014.650000000001</v>
      </c>
      <c r="I408" s="412"/>
      <c r="J408" s="412"/>
      <c r="K408" s="412"/>
      <c r="L408" s="412"/>
    </row>
    <row r="409" spans="1:26" x14ac:dyDescent="0.2">
      <c r="A409" s="403">
        <v>69</v>
      </c>
      <c r="B409" s="403">
        <v>148</v>
      </c>
      <c r="C409" s="403" t="s">
        <v>1259</v>
      </c>
      <c r="D409" s="403" t="s">
        <v>1334</v>
      </c>
      <c r="E409" s="404">
        <v>-2.0299999999999998</v>
      </c>
      <c r="F409" s="405">
        <v>463.3</v>
      </c>
      <c r="G409" s="405" t="s">
        <v>281</v>
      </c>
      <c r="H409" s="406">
        <v>-7674.48</v>
      </c>
      <c r="I409" s="406" t="s">
        <v>281</v>
      </c>
      <c r="J409" s="406" t="s">
        <v>281</v>
      </c>
      <c r="K409" s="405" t="s">
        <v>281</v>
      </c>
      <c r="L409" s="405" t="s">
        <v>281</v>
      </c>
      <c r="T409" s="435">
        <v>-7674.48</v>
      </c>
      <c r="V409" s="435" t="s">
        <v>281</v>
      </c>
      <c r="W409" s="435" t="s">
        <v>281</v>
      </c>
      <c r="X409" s="435" t="s">
        <v>281</v>
      </c>
      <c r="Y409" s="435" t="s">
        <v>281</v>
      </c>
      <c r="Z409" s="435" t="s">
        <v>281</v>
      </c>
    </row>
    <row r="410" spans="1:26" x14ac:dyDescent="0.2">
      <c r="A410" s="407"/>
      <c r="B410" s="407"/>
      <c r="C410" s="407"/>
      <c r="D410" s="408" t="s">
        <v>745</v>
      </c>
      <c r="E410" s="409"/>
      <c r="F410" s="410" t="s">
        <v>281</v>
      </c>
      <c r="G410" s="410" t="s">
        <v>281</v>
      </c>
      <c r="H410" s="409"/>
      <c r="I410" s="409"/>
      <c r="J410" s="411" t="s">
        <v>281</v>
      </c>
      <c r="K410" s="410" t="s">
        <v>281</v>
      </c>
      <c r="L410" s="410" t="s">
        <v>281</v>
      </c>
    </row>
    <row r="411" spans="1:26" x14ac:dyDescent="0.2">
      <c r="A411" s="412"/>
      <c r="B411" s="412"/>
      <c r="C411" s="412"/>
      <c r="D411" s="395" t="s">
        <v>718</v>
      </c>
      <c r="E411" s="412"/>
      <c r="F411" s="412"/>
      <c r="G411" s="412"/>
      <c r="H411" s="412"/>
      <c r="I411" s="412"/>
      <c r="J411" s="412"/>
      <c r="K411" s="412"/>
      <c r="L411" s="412"/>
    </row>
    <row r="412" spans="1:26" ht="20.399999999999999" x14ac:dyDescent="0.2">
      <c r="A412" s="403">
        <v>70</v>
      </c>
      <c r="B412" s="403">
        <v>149</v>
      </c>
      <c r="C412" s="403" t="s">
        <v>1260</v>
      </c>
      <c r="D412" s="403" t="s">
        <v>1222</v>
      </c>
      <c r="E412" s="404">
        <v>2.0299999999999998</v>
      </c>
      <c r="F412" s="405">
        <v>519.79999999999995</v>
      </c>
      <c r="G412" s="405" t="s">
        <v>281</v>
      </c>
      <c r="H412" s="406">
        <v>8610.39</v>
      </c>
      <c r="I412" s="406" t="s">
        <v>281</v>
      </c>
      <c r="J412" s="406" t="s">
        <v>281</v>
      </c>
      <c r="K412" s="405" t="s">
        <v>281</v>
      </c>
      <c r="L412" s="405" t="s">
        <v>281</v>
      </c>
      <c r="T412" s="435">
        <v>8610.39</v>
      </c>
      <c r="V412" s="435" t="s">
        <v>281</v>
      </c>
      <c r="W412" s="435" t="s">
        <v>281</v>
      </c>
      <c r="X412" s="435" t="s">
        <v>281</v>
      </c>
      <c r="Y412" s="435" t="s">
        <v>281</v>
      </c>
      <c r="Z412" s="435" t="s">
        <v>281</v>
      </c>
    </row>
    <row r="413" spans="1:26" x14ac:dyDescent="0.2">
      <c r="A413" s="407"/>
      <c r="B413" s="407"/>
      <c r="C413" s="407"/>
      <c r="D413" s="408" t="s">
        <v>745</v>
      </c>
      <c r="E413" s="409"/>
      <c r="F413" s="410" t="s">
        <v>281</v>
      </c>
      <c r="G413" s="410" t="s">
        <v>281</v>
      </c>
      <c r="H413" s="409"/>
      <c r="I413" s="409"/>
      <c r="J413" s="411" t="s">
        <v>281</v>
      </c>
      <c r="K413" s="410" t="s">
        <v>281</v>
      </c>
      <c r="L413" s="410" t="s">
        <v>281</v>
      </c>
    </row>
    <row r="414" spans="1:26" x14ac:dyDescent="0.2">
      <c r="A414" s="412"/>
      <c r="B414" s="412"/>
      <c r="C414" s="412"/>
      <c r="D414" s="395" t="s">
        <v>718</v>
      </c>
      <c r="E414" s="412"/>
      <c r="F414" s="412"/>
      <c r="G414" s="412"/>
      <c r="H414" s="412"/>
      <c r="I414" s="412"/>
      <c r="J414" s="412"/>
      <c r="K414" s="412"/>
      <c r="L414" s="412"/>
    </row>
    <row r="415" spans="1:26" x14ac:dyDescent="0.2">
      <c r="A415" s="1086" t="s">
        <v>1308</v>
      </c>
      <c r="B415" s="1086"/>
      <c r="C415" s="1086"/>
      <c r="D415" s="1086"/>
      <c r="E415" s="1086"/>
      <c r="F415" s="1086"/>
      <c r="G415" s="1086"/>
      <c r="H415" s="1086"/>
      <c r="I415" s="1086"/>
      <c r="J415" s="1086"/>
      <c r="K415" s="1086"/>
      <c r="L415" s="1086"/>
    </row>
    <row r="416" spans="1:26" ht="11.25" customHeight="1" x14ac:dyDescent="0.2">
      <c r="A416" s="1141" t="s">
        <v>774</v>
      </c>
      <c r="B416" s="1142"/>
      <c r="C416" s="1142"/>
      <c r="D416" s="1142"/>
      <c r="E416" s="1142"/>
      <c r="F416" s="1142"/>
      <c r="G416" s="1143"/>
      <c r="H416" s="423">
        <f>H421-H422-H423</f>
        <v>2457928.42</v>
      </c>
      <c r="I416" s="419"/>
      <c r="J416" s="419"/>
      <c r="K416" s="419"/>
      <c r="L416" s="419"/>
    </row>
    <row r="417" spans="1:12" x14ac:dyDescent="0.2">
      <c r="A417" s="1085" t="s">
        <v>919</v>
      </c>
      <c r="B417" s="1085"/>
      <c r="C417" s="1085"/>
      <c r="D417" s="1085"/>
      <c r="E417" s="1085"/>
      <c r="F417" s="1085"/>
      <c r="G417" s="1085"/>
      <c r="H417" s="423">
        <v>1898960.32</v>
      </c>
      <c r="I417" s="419"/>
      <c r="J417" s="419"/>
      <c r="K417" s="419"/>
      <c r="L417" s="419"/>
    </row>
    <row r="418" spans="1:12" x14ac:dyDescent="0.2">
      <c r="A418" s="1085" t="s">
        <v>776</v>
      </c>
      <c r="B418" s="1085"/>
      <c r="C418" s="1085"/>
      <c r="D418" s="1085"/>
      <c r="E418" s="1085"/>
      <c r="F418" s="1085"/>
      <c r="G418" s="1085"/>
      <c r="H418" s="423">
        <v>179548.49</v>
      </c>
      <c r="I418" s="419"/>
      <c r="J418" s="419"/>
      <c r="K418" s="419"/>
      <c r="L418" s="419"/>
    </row>
    <row r="419" spans="1:12" x14ac:dyDescent="0.2">
      <c r="A419" s="1085" t="s">
        <v>777</v>
      </c>
      <c r="B419" s="1085"/>
      <c r="C419" s="1085"/>
      <c r="D419" s="1085"/>
      <c r="E419" s="1085"/>
      <c r="F419" s="1085"/>
      <c r="G419" s="1085"/>
      <c r="H419" s="423">
        <v>75383.81</v>
      </c>
      <c r="I419" s="419"/>
      <c r="J419" s="419"/>
      <c r="K419" s="419"/>
      <c r="L419" s="419"/>
    </row>
    <row r="420" spans="1:12" x14ac:dyDescent="0.2">
      <c r="A420" s="1085" t="s">
        <v>778</v>
      </c>
      <c r="B420" s="1085"/>
      <c r="C420" s="1085"/>
      <c r="D420" s="1085"/>
      <c r="E420" s="1085"/>
      <c r="F420" s="1085"/>
      <c r="G420" s="1085"/>
      <c r="H420" s="423">
        <v>379419.61</v>
      </c>
      <c r="I420" s="419"/>
      <c r="J420" s="419"/>
      <c r="K420" s="419"/>
      <c r="L420" s="419"/>
    </row>
    <row r="421" spans="1:12" x14ac:dyDescent="0.2">
      <c r="A421" s="1085" t="s">
        <v>779</v>
      </c>
      <c r="B421" s="1085"/>
      <c r="C421" s="1085"/>
      <c r="D421" s="1085"/>
      <c r="E421" s="1085"/>
      <c r="F421" s="1085"/>
      <c r="G421" s="1085"/>
      <c r="H421" s="423">
        <v>3095735.94</v>
      </c>
      <c r="I421" s="419"/>
      <c r="J421" s="419"/>
      <c r="K421" s="419"/>
      <c r="L421" s="419"/>
    </row>
    <row r="422" spans="1:12" x14ac:dyDescent="0.2">
      <c r="A422" s="1085" t="s">
        <v>206</v>
      </c>
      <c r="B422" s="1085"/>
      <c r="C422" s="1085"/>
      <c r="D422" s="1085"/>
      <c r="E422" s="1085"/>
      <c r="F422" s="1085"/>
      <c r="G422" s="1085"/>
      <c r="H422" s="423">
        <v>442534.74</v>
      </c>
      <c r="I422" s="419"/>
      <c r="J422" s="419"/>
      <c r="K422" s="419"/>
      <c r="L422" s="419"/>
    </row>
    <row r="423" spans="1:12" x14ac:dyDescent="0.2">
      <c r="A423" s="1085" t="s">
        <v>207</v>
      </c>
      <c r="B423" s="1085"/>
      <c r="C423" s="1085"/>
      <c r="D423" s="1085"/>
      <c r="E423" s="1085"/>
      <c r="F423" s="1085"/>
      <c r="G423" s="1085"/>
      <c r="H423" s="423">
        <v>195272.78</v>
      </c>
      <c r="I423" s="419"/>
      <c r="J423" s="419"/>
      <c r="K423" s="419"/>
      <c r="L423" s="419"/>
    </row>
    <row r="424" spans="1:12" s="426" customFormat="1" x14ac:dyDescent="0.2">
      <c r="A424" s="1086" t="s">
        <v>73</v>
      </c>
      <c r="B424" s="1086"/>
      <c r="C424" s="1086"/>
      <c r="D424" s="1086"/>
      <c r="E424" s="1086"/>
      <c r="F424" s="1086"/>
      <c r="G424" s="1086"/>
      <c r="H424" s="424">
        <v>3095735.94</v>
      </c>
      <c r="I424" s="425"/>
      <c r="J424" s="425"/>
      <c r="K424" s="425"/>
      <c r="L424" s="425"/>
    </row>
    <row r="425" spans="1:12" s="432" customFormat="1" x14ac:dyDescent="0.2">
      <c r="A425" s="1084" t="s">
        <v>784</v>
      </c>
      <c r="B425" s="1084"/>
      <c r="C425" s="1084"/>
      <c r="D425" s="1084"/>
      <c r="E425" s="1084"/>
      <c r="F425" s="1084"/>
      <c r="G425" s="1084"/>
      <c r="H425" s="382">
        <f>ROUND(H424*0.082,2)</f>
        <v>253850.35</v>
      </c>
      <c r="I425" s="383"/>
      <c r="J425" s="383"/>
      <c r="K425" s="383"/>
      <c r="L425" s="383"/>
    </row>
    <row r="426" spans="1:12" s="386" customFormat="1" x14ac:dyDescent="0.2">
      <c r="A426" s="1083" t="s">
        <v>785</v>
      </c>
      <c r="B426" s="1083"/>
      <c r="C426" s="1083"/>
      <c r="D426" s="1083"/>
      <c r="E426" s="1083"/>
      <c r="F426" s="1083"/>
      <c r="G426" s="1083"/>
      <c r="H426" s="384">
        <f>H424+H425</f>
        <v>3349586.29</v>
      </c>
      <c r="I426" s="385"/>
      <c r="J426" s="385"/>
      <c r="K426" s="385"/>
      <c r="L426" s="385"/>
    </row>
    <row r="427" spans="1:12" s="432" customFormat="1" x14ac:dyDescent="0.2">
      <c r="A427" s="1084" t="s">
        <v>786</v>
      </c>
      <c r="B427" s="1084"/>
      <c r="C427" s="1084"/>
      <c r="D427" s="1084"/>
      <c r="E427" s="1084"/>
      <c r="F427" s="1084"/>
      <c r="G427" s="1084"/>
      <c r="H427" s="382">
        <f>ROUND(H426*0.024,2)</f>
        <v>80390.070000000007</v>
      </c>
      <c r="I427" s="383"/>
      <c r="J427" s="383"/>
      <c r="K427" s="383"/>
      <c r="L427" s="383"/>
    </row>
    <row r="428" spans="1:12" s="389" customFormat="1" ht="12" x14ac:dyDescent="0.25">
      <c r="A428" s="1054" t="s">
        <v>787</v>
      </c>
      <c r="B428" s="1054"/>
      <c r="C428" s="1054"/>
      <c r="D428" s="1054"/>
      <c r="E428" s="1054"/>
      <c r="F428" s="1054"/>
      <c r="G428" s="1054"/>
      <c r="H428" s="387">
        <f>H426+H427</f>
        <v>3429976.36</v>
      </c>
      <c r="I428" s="388"/>
      <c r="J428" s="388"/>
      <c r="K428" s="388"/>
      <c r="L428" s="388"/>
    </row>
    <row r="429" spans="1:12" s="389" customFormat="1" ht="12" x14ac:dyDescent="0.25">
      <c r="A429" s="1054" t="s">
        <v>1686</v>
      </c>
      <c r="B429" s="1054"/>
      <c r="C429" s="1054"/>
      <c r="D429" s="1054"/>
      <c r="E429" s="1054"/>
      <c r="F429" s="1054"/>
      <c r="G429" s="1054"/>
      <c r="H429" s="387">
        <f>ROUND(H428*1.0514,2)</f>
        <v>3606277.14</v>
      </c>
      <c r="I429" s="388"/>
      <c r="J429" s="388"/>
      <c r="K429" s="388"/>
      <c r="L429" s="388"/>
    </row>
    <row r="430" spans="1:12" s="389" customFormat="1" ht="12" x14ac:dyDescent="0.25">
      <c r="A430" s="611"/>
      <c r="B430" s="611"/>
      <c r="C430" s="611"/>
      <c r="D430" s="611"/>
      <c r="E430" s="611"/>
      <c r="F430" s="611"/>
      <c r="G430" s="611"/>
      <c r="H430" s="612"/>
      <c r="I430" s="613"/>
      <c r="J430" s="613"/>
      <c r="K430" s="613"/>
      <c r="L430" s="613"/>
    </row>
    <row r="431" spans="1:12" s="389" customFormat="1" ht="12" x14ac:dyDescent="0.25">
      <c r="A431" s="611"/>
      <c r="B431" s="611"/>
      <c r="C431" s="611"/>
      <c r="D431" s="611"/>
      <c r="E431" s="611"/>
      <c r="F431" s="611"/>
      <c r="G431" s="611"/>
      <c r="H431" s="612"/>
      <c r="I431" s="613"/>
      <c r="J431" s="613"/>
      <c r="K431" s="613"/>
      <c r="L431" s="613"/>
    </row>
    <row r="432" spans="1:12" s="389" customFormat="1" ht="12" x14ac:dyDescent="0.25">
      <c r="A432" s="611"/>
      <c r="B432" s="611"/>
      <c r="C432" s="611"/>
      <c r="D432" s="611"/>
      <c r="E432" s="611"/>
      <c r="F432" s="611"/>
      <c r="G432" s="611"/>
      <c r="H432" s="612"/>
      <c r="I432" s="613"/>
      <c r="J432" s="613"/>
      <c r="K432" s="613"/>
      <c r="L432" s="613"/>
    </row>
    <row r="433" spans="3:7" s="432" customFormat="1" x14ac:dyDescent="0.2"/>
    <row r="434" spans="3:7" s="432" customFormat="1" ht="24" x14ac:dyDescent="0.25">
      <c r="C434" s="428" t="s">
        <v>729</v>
      </c>
      <c r="D434" s="429" t="s">
        <v>824</v>
      </c>
      <c r="E434" s="427" t="s">
        <v>281</v>
      </c>
      <c r="F434" s="427"/>
      <c r="G434" s="389" t="s">
        <v>823</v>
      </c>
    </row>
    <row r="435" spans="3:7" s="432" customFormat="1" ht="12" x14ac:dyDescent="0.25">
      <c r="C435" s="428"/>
      <c r="G435" s="389"/>
    </row>
    <row r="436" spans="3:7" s="432" customFormat="1" ht="24" x14ac:dyDescent="0.25">
      <c r="C436" s="428" t="s">
        <v>730</v>
      </c>
      <c r="D436" s="429" t="s">
        <v>821</v>
      </c>
      <c r="E436" s="427" t="s">
        <v>281</v>
      </c>
      <c r="F436" s="427"/>
      <c r="G436" s="389" t="s">
        <v>822</v>
      </c>
    </row>
    <row r="437" spans="3:7" s="432" customFormat="1" x14ac:dyDescent="0.2"/>
  </sheetData>
  <mergeCells count="80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H18:J18"/>
    <mergeCell ref="K18:L18"/>
    <mergeCell ref="C11:I11"/>
    <mergeCell ref="K11:L12"/>
    <mergeCell ref="A12:B12"/>
    <mergeCell ref="C12:I12"/>
    <mergeCell ref="C13:I13"/>
    <mergeCell ref="K13:L14"/>
    <mergeCell ref="A14:B14"/>
    <mergeCell ref="C14:I14"/>
    <mergeCell ref="C15:I15"/>
    <mergeCell ref="K15:L16"/>
    <mergeCell ref="A16:B16"/>
    <mergeCell ref="C16:I16"/>
    <mergeCell ref="C17:I17"/>
    <mergeCell ref="F32:I32"/>
    <mergeCell ref="J32:K32"/>
    <mergeCell ref="H19:I19"/>
    <mergeCell ref="K19:L19"/>
    <mergeCell ref="K20:L20"/>
    <mergeCell ref="I21:J21"/>
    <mergeCell ref="K21:L21"/>
    <mergeCell ref="H23:H24"/>
    <mergeCell ref="I23:I24"/>
    <mergeCell ref="J23:K23"/>
    <mergeCell ref="C27:L27"/>
    <mergeCell ref="C28:L28"/>
    <mergeCell ref="C29:L29"/>
    <mergeCell ref="F31:I31"/>
    <mergeCell ref="J31:K31"/>
    <mergeCell ref="F33:I33"/>
    <mergeCell ref="J33:K33"/>
    <mergeCell ref="A35:A38"/>
    <mergeCell ref="B35:B38"/>
    <mergeCell ref="C35:C38"/>
    <mergeCell ref="D35:D38"/>
    <mergeCell ref="E35:E38"/>
    <mergeCell ref="F35:G35"/>
    <mergeCell ref="H35:J35"/>
    <mergeCell ref="K35:L35"/>
    <mergeCell ref="F36:F37"/>
    <mergeCell ref="G36:G37"/>
    <mergeCell ref="H36:H38"/>
    <mergeCell ref="I36:I38"/>
    <mergeCell ref="A420:G420"/>
    <mergeCell ref="J36:J37"/>
    <mergeCell ref="A41:L41"/>
    <mergeCell ref="A127:L127"/>
    <mergeCell ref="A222:L222"/>
    <mergeCell ref="A416:G416"/>
    <mergeCell ref="K36:L36"/>
    <mergeCell ref="K37:L37"/>
    <mergeCell ref="A319:L319"/>
    <mergeCell ref="A415:L415"/>
    <mergeCell ref="A417:G417"/>
    <mergeCell ref="A418:G418"/>
    <mergeCell ref="A419:G419"/>
    <mergeCell ref="A429:G429"/>
    <mergeCell ref="A426:G426"/>
    <mergeCell ref="A427:G427"/>
    <mergeCell ref="A428:G428"/>
    <mergeCell ref="A421:G421"/>
    <mergeCell ref="A422:G422"/>
    <mergeCell ref="A423:G423"/>
    <mergeCell ref="A424:G424"/>
    <mergeCell ref="A425:G425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  <pageSetUpPr fitToPage="1"/>
  </sheetPr>
  <dimension ref="A1:AD234"/>
  <sheetViews>
    <sheetView view="pageBreakPreview" topLeftCell="A19" zoomScale="85" zoomScaleNormal="100" zoomScaleSheetLayoutView="85" workbookViewId="0">
      <pane ySplit="20" topLeftCell="A88" activePane="bottomLeft" state="frozen"/>
      <selection activeCell="A19" sqref="A19"/>
      <selection pane="bottomLeft" activeCell="M108" sqref="M108"/>
    </sheetView>
  </sheetViews>
  <sheetFormatPr defaultColWidth="9.109375" defaultRowHeight="10.199999999999999" outlineLevelRow="1" x14ac:dyDescent="0.2"/>
  <cols>
    <col min="1" max="1" width="6.33203125" style="435" customWidth="1"/>
    <col min="2" max="2" width="6.6640625" style="435" customWidth="1"/>
    <col min="3" max="3" width="15.6640625" style="435" customWidth="1"/>
    <col min="4" max="4" width="40.6640625" style="435" customWidth="1"/>
    <col min="5" max="12" width="12.6640625" style="435" customWidth="1"/>
    <col min="13" max="15" width="22.5546875" style="822" customWidth="1"/>
    <col min="16" max="19" width="9.109375" style="435"/>
    <col min="20" max="29" width="0" style="435" hidden="1" customWidth="1"/>
    <col min="30" max="30" width="118.6640625" style="435" hidden="1" customWidth="1"/>
    <col min="31" max="36" width="0" style="435" hidden="1" customWidth="1"/>
    <col min="37" max="16384" width="9.109375" style="435"/>
  </cols>
  <sheetData>
    <row r="1" spans="1:15" ht="15.75" customHeight="1" x14ac:dyDescent="0.2">
      <c r="A1" s="1108"/>
      <c r="B1" s="1108"/>
      <c r="C1" s="1108"/>
      <c r="D1" s="1108"/>
      <c r="E1" s="396"/>
      <c r="F1" s="396"/>
      <c r="I1" s="1109" t="s">
        <v>680</v>
      </c>
      <c r="J1" s="1109"/>
      <c r="K1" s="1109"/>
      <c r="L1" s="1109"/>
    </row>
    <row r="2" spans="1:15" ht="15" customHeight="1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5" ht="15" customHeight="1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5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5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5" ht="15" customHeight="1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5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5" ht="15" customHeight="1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434" t="s">
        <v>4</v>
      </c>
      <c r="K8" s="1101"/>
      <c r="L8" s="1102"/>
    </row>
    <row r="9" spans="1:15" ht="15" customHeight="1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5" s="432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430" t="s">
        <v>4</v>
      </c>
      <c r="K10" s="1101"/>
      <c r="L10" s="1102"/>
      <c r="M10" s="631"/>
      <c r="N10" s="631"/>
      <c r="O10" s="631"/>
    </row>
    <row r="11" spans="1:15" s="432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1"/>
      <c r="N11" s="631"/>
      <c r="O11" s="631"/>
    </row>
    <row r="12" spans="1:15" s="432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430" t="s">
        <v>4</v>
      </c>
      <c r="K12" s="1064"/>
      <c r="L12" s="1065"/>
      <c r="M12" s="631"/>
      <c r="N12" s="631"/>
      <c r="O12" s="631"/>
    </row>
    <row r="13" spans="1:15" s="432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1"/>
      <c r="N13" s="631"/>
      <c r="O13" s="631"/>
    </row>
    <row r="14" spans="1:15" s="432" customFormat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1"/>
      <c r="N14" s="631"/>
      <c r="O14" s="631"/>
    </row>
    <row r="15" spans="1:15" ht="15" customHeight="1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5" ht="15" customHeight="1" x14ac:dyDescent="0.2">
      <c r="A16" s="1103" t="s">
        <v>686</v>
      </c>
      <c r="B16" s="1103"/>
      <c r="C16" s="1104" t="s">
        <v>1344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5" hidden="1" customHeight="1" outlineLevel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hidden="1" outlineLevel="1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431" t="s">
        <v>10</v>
      </c>
      <c r="K20" s="1073">
        <v>45110</v>
      </c>
      <c r="L20" s="1074"/>
    </row>
    <row r="21" spans="1:12" ht="15" hidden="1" customHeight="1" outlineLevel="1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hidden="1" outlineLevel="1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5" hidden="1" customHeight="1" outlineLevel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hidden="1" outlineLevel="1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433" t="s">
        <v>16</v>
      </c>
      <c r="L24" s="359"/>
    </row>
    <row r="25" spans="1:12" hidden="1" outlineLevel="1" x14ac:dyDescent="0.2">
      <c r="A25" s="398"/>
      <c r="B25" s="398"/>
      <c r="C25" s="398"/>
      <c r="D25" s="398"/>
      <c r="E25" s="398"/>
      <c r="F25" s="398"/>
      <c r="G25" s="398"/>
      <c r="H25" s="431">
        <v>12</v>
      </c>
      <c r="I25" s="365">
        <v>45230</v>
      </c>
      <c r="J25" s="365">
        <v>45200</v>
      </c>
      <c r="K25" s="366">
        <v>45230</v>
      </c>
      <c r="L25" s="359"/>
    </row>
    <row r="26" spans="1:12" hidden="1" outlineLevel="1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ht="18" hidden="1" customHeight="1" outlineLevel="1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ht="15.75" hidden="1" customHeight="1" outlineLevel="1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hidden="1" outlineLevel="1" x14ac:dyDescent="0.2">
      <c r="A29" s="398"/>
      <c r="B29" s="398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1:12" ht="15.75" hidden="1" customHeight="1" outlineLevel="1" x14ac:dyDescent="0.2">
      <c r="A30" s="398"/>
      <c r="B30" s="398"/>
      <c r="C30" s="436"/>
      <c r="D30" s="436"/>
      <c r="E30" s="436"/>
      <c r="F30" s="1090" t="s">
        <v>692</v>
      </c>
      <c r="G30" s="1090"/>
      <c r="H30" s="1090"/>
      <c r="I30" s="1090"/>
      <c r="J30" s="1091">
        <v>535.27</v>
      </c>
      <c r="K30" s="1091"/>
      <c r="L30" s="398" t="s">
        <v>693</v>
      </c>
    </row>
    <row r="31" spans="1:12" ht="15.75" hidden="1" customHeight="1" outlineLevel="1" x14ac:dyDescent="0.2">
      <c r="A31" s="398"/>
      <c r="B31" s="398"/>
      <c r="C31" s="436"/>
      <c r="D31" s="436"/>
      <c r="E31" s="436"/>
      <c r="F31" s="1090" t="s">
        <v>694</v>
      </c>
      <c r="G31" s="1090"/>
      <c r="H31" s="1090"/>
      <c r="I31" s="1090"/>
      <c r="J31" s="1091">
        <v>246.4</v>
      </c>
      <c r="K31" s="1091"/>
      <c r="L31" s="398" t="s">
        <v>695</v>
      </c>
    </row>
    <row r="32" spans="1:12" ht="15" hidden="1" customHeight="1" outlineLevel="1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95.12</v>
      </c>
      <c r="K32" s="1091"/>
      <c r="L32" s="398" t="s">
        <v>693</v>
      </c>
    </row>
    <row r="33" spans="1:26" hidden="1" outlineLevel="1" x14ac:dyDescent="0.2"/>
    <row r="34" spans="1:26" ht="15" customHeight="1" collapsed="1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ht="15" customHeight="1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ht="15" customHeight="1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  <c r="M37" s="637" t="s">
        <v>1688</v>
      </c>
      <c r="N37" s="637" t="s">
        <v>1701</v>
      </c>
      <c r="O37" s="637" t="s">
        <v>1690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ht="15" customHeight="1" x14ac:dyDescent="0.2">
      <c r="A40" s="1150" t="s">
        <v>1321</v>
      </c>
      <c r="B40" s="1151"/>
      <c r="C40" s="1151"/>
      <c r="D40" s="1151"/>
      <c r="E40" s="1151"/>
      <c r="F40" s="1151"/>
      <c r="G40" s="1151"/>
      <c r="H40" s="1151"/>
      <c r="I40" s="1151"/>
      <c r="J40" s="1151"/>
      <c r="K40" s="1151"/>
      <c r="L40" s="1152"/>
    </row>
    <row r="41" spans="1:26" s="817" customFormat="1" ht="20.399999999999999" x14ac:dyDescent="0.2">
      <c r="A41" s="813">
        <v>1</v>
      </c>
      <c r="B41" s="813">
        <v>49</v>
      </c>
      <c r="C41" s="813" t="s">
        <v>1322</v>
      </c>
      <c r="D41" s="813" t="s">
        <v>1323</v>
      </c>
      <c r="E41" s="814">
        <v>0.31</v>
      </c>
      <c r="F41" s="815">
        <v>1097.69</v>
      </c>
      <c r="G41" s="815" t="s">
        <v>281</v>
      </c>
      <c r="H41" s="816">
        <v>15234.51</v>
      </c>
      <c r="I41" s="816">
        <v>15234.51</v>
      </c>
      <c r="J41" s="816" t="s">
        <v>281</v>
      </c>
      <c r="K41" s="815">
        <v>140.72999999999999</v>
      </c>
      <c r="L41" s="815">
        <v>43.626300000000001</v>
      </c>
      <c r="M41" s="819">
        <v>0</v>
      </c>
      <c r="N41" s="819" t="s">
        <v>2323</v>
      </c>
      <c r="O41" s="819"/>
      <c r="T41" s="817">
        <v>35496.400000000001</v>
      </c>
      <c r="V41" s="817">
        <v>15234.51</v>
      </c>
      <c r="W41" s="817" t="s">
        <v>281</v>
      </c>
      <c r="X41" s="817" t="s">
        <v>281</v>
      </c>
      <c r="Y41" s="817">
        <v>43.626300000000001</v>
      </c>
      <c r="Z41" s="817" t="s">
        <v>281</v>
      </c>
    </row>
    <row r="42" spans="1:26" x14ac:dyDescent="0.2">
      <c r="A42" s="407"/>
      <c r="B42" s="407"/>
      <c r="C42" s="407"/>
      <c r="D42" s="408" t="s">
        <v>747</v>
      </c>
      <c r="E42" s="409"/>
      <c r="F42" s="410">
        <v>1097.69</v>
      </c>
      <c r="G42" s="410" t="s">
        <v>281</v>
      </c>
      <c r="H42" s="409"/>
      <c r="I42" s="409"/>
      <c r="J42" s="411" t="s">
        <v>281</v>
      </c>
      <c r="K42" s="410" t="s">
        <v>281</v>
      </c>
      <c r="L42" s="410" t="s">
        <v>281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x14ac:dyDescent="0.2">
      <c r="A44" s="412"/>
      <c r="B44" s="412"/>
      <c r="C44" s="412"/>
      <c r="D44" s="413" t="s">
        <v>206</v>
      </c>
      <c r="E44" s="414" t="s">
        <v>770</v>
      </c>
      <c r="F44" s="414"/>
      <c r="G44" s="414"/>
      <c r="H44" s="415">
        <v>13558.71</v>
      </c>
      <c r="I44" s="412"/>
      <c r="J44" s="412"/>
      <c r="K44" s="412"/>
      <c r="L44" s="412"/>
    </row>
    <row r="45" spans="1:26" x14ac:dyDescent="0.2">
      <c r="A45" s="412"/>
      <c r="B45" s="412"/>
      <c r="C45" s="412"/>
      <c r="D45" s="413" t="s">
        <v>207</v>
      </c>
      <c r="E45" s="414" t="s">
        <v>771</v>
      </c>
      <c r="F45" s="414"/>
      <c r="G45" s="414"/>
      <c r="H45" s="415">
        <v>6703.18</v>
      </c>
      <c r="I45" s="412"/>
      <c r="J45" s="412"/>
      <c r="K45" s="412"/>
      <c r="L45" s="412"/>
    </row>
    <row r="46" spans="1:26" x14ac:dyDescent="0.2">
      <c r="A46" s="412"/>
      <c r="B46" s="412"/>
      <c r="C46" s="412"/>
      <c r="D46" s="416" t="s">
        <v>715</v>
      </c>
      <c r="E46" s="417"/>
      <c r="F46" s="417"/>
      <c r="G46" s="417"/>
      <c r="H46" s="418">
        <v>35496.400000000001</v>
      </c>
      <c r="I46" s="412"/>
      <c r="J46" s="412"/>
      <c r="K46" s="412"/>
      <c r="L46" s="412"/>
    </row>
    <row r="47" spans="1:26" s="817" customFormat="1" ht="20.399999999999999" x14ac:dyDescent="0.2">
      <c r="A47" s="813">
        <v>2</v>
      </c>
      <c r="B47" s="813">
        <v>50</v>
      </c>
      <c r="C47" s="813" t="s">
        <v>755</v>
      </c>
      <c r="D47" s="813" t="s">
        <v>834</v>
      </c>
      <c r="E47" s="814">
        <v>0.496</v>
      </c>
      <c r="F47" s="815">
        <v>42.98</v>
      </c>
      <c r="G47" s="815">
        <v>42.98</v>
      </c>
      <c r="H47" s="816">
        <v>282.25</v>
      </c>
      <c r="I47" s="816" t="s">
        <v>281</v>
      </c>
      <c r="J47" s="816">
        <v>282.25</v>
      </c>
      <c r="K47" s="815" t="s">
        <v>281</v>
      </c>
      <c r="L47" s="815" t="s">
        <v>281</v>
      </c>
      <c r="M47" s="819">
        <v>0</v>
      </c>
      <c r="N47" s="819" t="s">
        <v>2323</v>
      </c>
      <c r="O47" s="819"/>
      <c r="T47" s="817">
        <v>282.25</v>
      </c>
      <c r="V47" s="817" t="s">
        <v>281</v>
      </c>
      <c r="W47" s="817">
        <v>282.25</v>
      </c>
      <c r="X47" s="817" t="s">
        <v>281</v>
      </c>
      <c r="Y47" s="817" t="s">
        <v>281</v>
      </c>
      <c r="Z47" s="817" t="s">
        <v>281</v>
      </c>
    </row>
    <row r="48" spans="1:26" x14ac:dyDescent="0.2">
      <c r="A48" s="407"/>
      <c r="B48" s="407"/>
      <c r="C48" s="407"/>
      <c r="D48" s="408" t="s">
        <v>743</v>
      </c>
      <c r="E48" s="409"/>
      <c r="F48" s="410" t="s">
        <v>281</v>
      </c>
      <c r="G48" s="410" t="s">
        <v>281</v>
      </c>
      <c r="H48" s="409"/>
      <c r="I48" s="409"/>
      <c r="J48" s="411" t="s">
        <v>281</v>
      </c>
      <c r="K48" s="410" t="s">
        <v>281</v>
      </c>
      <c r="L48" s="410" t="s">
        <v>281</v>
      </c>
    </row>
    <row r="49" spans="1:26" ht="20.399999999999999" x14ac:dyDescent="0.2">
      <c r="A49" s="412"/>
      <c r="B49" s="412"/>
      <c r="C49" s="412"/>
      <c r="D49" s="395" t="s">
        <v>714</v>
      </c>
      <c r="E49" s="412"/>
      <c r="F49" s="412"/>
      <c r="G49" s="412"/>
      <c r="H49" s="412"/>
      <c r="I49" s="412"/>
      <c r="J49" s="412"/>
      <c r="K49" s="412"/>
      <c r="L49" s="412"/>
    </row>
    <row r="50" spans="1:26" x14ac:dyDescent="0.2">
      <c r="A50" s="412"/>
      <c r="B50" s="412"/>
      <c r="C50" s="412"/>
      <c r="D50" s="416" t="s">
        <v>715</v>
      </c>
      <c r="E50" s="417"/>
      <c r="F50" s="417"/>
      <c r="G50" s="417"/>
      <c r="H50" s="418">
        <v>282.25</v>
      </c>
      <c r="I50" s="412"/>
      <c r="J50" s="412"/>
      <c r="K50" s="412"/>
      <c r="L50" s="412"/>
    </row>
    <row r="51" spans="1:26" s="817" customFormat="1" ht="30.6" x14ac:dyDescent="0.2">
      <c r="A51" s="813">
        <v>3</v>
      </c>
      <c r="B51" s="813">
        <v>51</v>
      </c>
      <c r="C51" s="813" t="s">
        <v>744</v>
      </c>
      <c r="D51" s="813" t="s">
        <v>796</v>
      </c>
      <c r="E51" s="814">
        <v>0.28999999999999998</v>
      </c>
      <c r="F51" s="815">
        <v>162.37745100000001</v>
      </c>
      <c r="G51" s="815" t="s">
        <v>281</v>
      </c>
      <c r="H51" s="816">
        <v>384.25</v>
      </c>
      <c r="I51" s="816" t="s">
        <v>281</v>
      </c>
      <c r="J51" s="816" t="s">
        <v>281</v>
      </c>
      <c r="K51" s="815" t="s">
        <v>281</v>
      </c>
      <c r="L51" s="815" t="s">
        <v>281</v>
      </c>
      <c r="M51" s="819">
        <v>0</v>
      </c>
      <c r="N51" s="819" t="s">
        <v>2323</v>
      </c>
      <c r="O51" s="819"/>
      <c r="T51" s="817">
        <v>384.25</v>
      </c>
      <c r="V51" s="817" t="s">
        <v>281</v>
      </c>
      <c r="W51" s="817" t="s">
        <v>281</v>
      </c>
      <c r="X51" s="817" t="s">
        <v>281</v>
      </c>
      <c r="Y51" s="817" t="s">
        <v>281</v>
      </c>
      <c r="Z51" s="817" t="s">
        <v>281</v>
      </c>
    </row>
    <row r="52" spans="1:26" x14ac:dyDescent="0.2">
      <c r="A52" s="407"/>
      <c r="B52" s="407"/>
      <c r="C52" s="407"/>
      <c r="D52" s="408" t="s">
        <v>745</v>
      </c>
      <c r="E52" s="409"/>
      <c r="F52" s="410" t="s">
        <v>281</v>
      </c>
      <c r="G52" s="410" t="s">
        <v>281</v>
      </c>
      <c r="H52" s="409"/>
      <c r="I52" s="409"/>
      <c r="J52" s="411" t="s">
        <v>281</v>
      </c>
      <c r="K52" s="410" t="s">
        <v>281</v>
      </c>
      <c r="L52" s="410" t="s">
        <v>281</v>
      </c>
    </row>
    <row r="53" spans="1:26" ht="20.399999999999999" x14ac:dyDescent="0.2">
      <c r="A53" s="412"/>
      <c r="B53" s="412"/>
      <c r="C53" s="412"/>
      <c r="D53" s="395" t="s">
        <v>714</v>
      </c>
      <c r="E53" s="412"/>
      <c r="F53" s="412"/>
      <c r="G53" s="412"/>
      <c r="H53" s="412"/>
      <c r="I53" s="412"/>
      <c r="J53" s="412"/>
      <c r="K53" s="412"/>
      <c r="L53" s="412"/>
    </row>
    <row r="54" spans="1:26" x14ac:dyDescent="0.2">
      <c r="A54" s="412"/>
      <c r="B54" s="412"/>
      <c r="C54" s="412"/>
      <c r="D54" s="416" t="s">
        <v>715</v>
      </c>
      <c r="E54" s="417"/>
      <c r="F54" s="417"/>
      <c r="G54" s="417"/>
      <c r="H54" s="418">
        <v>384.25</v>
      </c>
      <c r="I54" s="412"/>
      <c r="J54" s="412"/>
      <c r="K54" s="412"/>
      <c r="L54" s="412"/>
    </row>
    <row r="55" spans="1:26" s="790" customFormat="1" ht="51" x14ac:dyDescent="0.2">
      <c r="A55" s="784">
        <v>4</v>
      </c>
      <c r="B55" s="784">
        <v>52</v>
      </c>
      <c r="C55" s="784" t="s">
        <v>1280</v>
      </c>
      <c r="D55" s="784" t="s">
        <v>1312</v>
      </c>
      <c r="E55" s="785">
        <v>0.29199999999999998</v>
      </c>
      <c r="F55" s="786">
        <v>4398.75</v>
      </c>
      <c r="G55" s="786">
        <v>4398.75</v>
      </c>
      <c r="H55" s="787">
        <v>17005.919999999998</v>
      </c>
      <c r="I55" s="787" t="s">
        <v>281</v>
      </c>
      <c r="J55" s="787">
        <v>17005.919999999998</v>
      </c>
      <c r="K55" s="786" t="s">
        <v>281</v>
      </c>
      <c r="L55" s="786" t="s">
        <v>281</v>
      </c>
      <c r="M55" s="789">
        <f>88.69/1000</f>
        <v>8.8690000000000005E-2</v>
      </c>
      <c r="N55" s="789" t="s">
        <v>2324</v>
      </c>
      <c r="O55" s="789"/>
      <c r="T55" s="790">
        <v>27183.3</v>
      </c>
      <c r="V55" s="790" t="s">
        <v>281</v>
      </c>
      <c r="W55" s="790">
        <v>17005.919999999998</v>
      </c>
      <c r="X55" s="790">
        <v>7763.06</v>
      </c>
      <c r="Y55" s="790" t="s">
        <v>281</v>
      </c>
      <c r="Z55" s="790">
        <v>12.84435</v>
      </c>
    </row>
    <row r="56" spans="1:26" x14ac:dyDescent="0.2">
      <c r="A56" s="407"/>
      <c r="B56" s="407"/>
      <c r="C56" s="407"/>
      <c r="D56" s="408" t="s">
        <v>763</v>
      </c>
      <c r="E56" s="409"/>
      <c r="F56" s="410" t="s">
        <v>281</v>
      </c>
      <c r="G56" s="410">
        <v>593.83124999999995</v>
      </c>
      <c r="H56" s="409"/>
      <c r="I56" s="409"/>
      <c r="J56" s="411">
        <v>7763.06</v>
      </c>
      <c r="K56" s="410">
        <v>43.987499999999997</v>
      </c>
      <c r="L56" s="410">
        <v>12.84435</v>
      </c>
    </row>
    <row r="57" spans="1:26" ht="20.399999999999999" x14ac:dyDescent="0.2">
      <c r="A57" s="412"/>
      <c r="B57" s="412"/>
      <c r="C57" s="412"/>
      <c r="D57" s="395" t="s">
        <v>714</v>
      </c>
      <c r="E57" s="412"/>
      <c r="F57" s="412"/>
      <c r="G57" s="412"/>
      <c r="H57" s="412"/>
      <c r="I57" s="412"/>
      <c r="J57" s="412"/>
      <c r="K57" s="412"/>
      <c r="L57" s="412"/>
    </row>
    <row r="58" spans="1:26" ht="30.6" x14ac:dyDescent="0.2">
      <c r="A58" s="412"/>
      <c r="B58" s="412"/>
      <c r="C58" s="412"/>
      <c r="D58" s="395" t="s">
        <v>970</v>
      </c>
      <c r="E58" s="412"/>
      <c r="F58" s="412"/>
      <c r="G58" s="412"/>
      <c r="H58" s="412"/>
      <c r="I58" s="412"/>
      <c r="J58" s="412"/>
      <c r="K58" s="412"/>
      <c r="L58" s="412"/>
    </row>
    <row r="59" spans="1:26" ht="193.8" x14ac:dyDescent="0.2">
      <c r="A59" s="412"/>
      <c r="B59" s="412"/>
      <c r="C59" s="412"/>
      <c r="D59" s="395" t="s">
        <v>971</v>
      </c>
      <c r="E59" s="412"/>
      <c r="F59" s="412"/>
      <c r="G59" s="412"/>
      <c r="H59" s="412"/>
      <c r="I59" s="412"/>
      <c r="J59" s="412"/>
      <c r="K59" s="412"/>
      <c r="L59" s="412"/>
    </row>
    <row r="60" spans="1:26" x14ac:dyDescent="0.2">
      <c r="A60" s="412"/>
      <c r="B60" s="412"/>
      <c r="C60" s="412"/>
      <c r="D60" s="413" t="s">
        <v>206</v>
      </c>
      <c r="E60" s="414" t="s">
        <v>764</v>
      </c>
      <c r="F60" s="414"/>
      <c r="G60" s="414"/>
      <c r="H60" s="415">
        <v>7142.02</v>
      </c>
      <c r="I60" s="412"/>
      <c r="J60" s="412"/>
      <c r="K60" s="412"/>
      <c r="L60" s="412"/>
    </row>
    <row r="61" spans="1:26" x14ac:dyDescent="0.2">
      <c r="A61" s="412"/>
      <c r="B61" s="412"/>
      <c r="C61" s="412"/>
      <c r="D61" s="413" t="s">
        <v>207</v>
      </c>
      <c r="E61" s="414" t="s">
        <v>972</v>
      </c>
      <c r="F61" s="414"/>
      <c r="G61" s="414"/>
      <c r="H61" s="415">
        <v>3035.36</v>
      </c>
      <c r="I61" s="412"/>
      <c r="J61" s="412"/>
      <c r="K61" s="412"/>
      <c r="L61" s="412"/>
    </row>
    <row r="62" spans="1:26" x14ac:dyDescent="0.2">
      <c r="A62" s="412"/>
      <c r="B62" s="412"/>
      <c r="C62" s="412"/>
      <c r="D62" s="416" t="s">
        <v>715</v>
      </c>
      <c r="E62" s="417"/>
      <c r="F62" s="417"/>
      <c r="G62" s="417"/>
      <c r="H62" s="418">
        <v>27183.3</v>
      </c>
      <c r="I62" s="412"/>
      <c r="J62" s="412"/>
      <c r="K62" s="412"/>
      <c r="L62" s="412"/>
    </row>
    <row r="63" spans="1:26" s="790" customFormat="1" ht="51" x14ac:dyDescent="0.2">
      <c r="A63" s="866">
        <v>5</v>
      </c>
      <c r="B63" s="866">
        <v>53</v>
      </c>
      <c r="C63" s="866" t="s">
        <v>768</v>
      </c>
      <c r="D63" s="866" t="s">
        <v>2359</v>
      </c>
      <c r="E63" s="867">
        <v>7.5999999999999998E-2</v>
      </c>
      <c r="F63" s="868">
        <v>6311.8852999999999</v>
      </c>
      <c r="G63" s="868">
        <v>6146.6234999999997</v>
      </c>
      <c r="H63" s="869">
        <v>6735.21</v>
      </c>
      <c r="I63" s="869">
        <v>547.54</v>
      </c>
      <c r="J63" s="869">
        <v>6184.98</v>
      </c>
      <c r="K63" s="868">
        <v>20.631</v>
      </c>
      <c r="L63" s="868">
        <v>1.5679559999999999</v>
      </c>
      <c r="M63" s="789">
        <f>99.91/1000-88.69/1000</f>
        <v>1.1220000000000001E-2</v>
      </c>
      <c r="N63" s="789" t="s">
        <v>2324</v>
      </c>
      <c r="O63" s="789" t="s">
        <v>2363</v>
      </c>
      <c r="T63" s="790">
        <v>11358.87</v>
      </c>
      <c r="V63" s="790">
        <v>547.54</v>
      </c>
      <c r="W63" s="790">
        <v>6184.98</v>
      </c>
      <c r="X63" s="790">
        <v>2979.28</v>
      </c>
      <c r="Y63" s="790">
        <v>1.5679559999999999</v>
      </c>
      <c r="Z63" s="790">
        <v>4.92936</v>
      </c>
    </row>
    <row r="64" spans="1:26" x14ac:dyDescent="0.2">
      <c r="A64" s="407"/>
      <c r="B64" s="407"/>
      <c r="C64" s="407"/>
      <c r="D64" s="408" t="s">
        <v>763</v>
      </c>
      <c r="E64" s="409"/>
      <c r="F64" s="410">
        <v>160.92179999999999</v>
      </c>
      <c r="G64" s="410">
        <v>875.61</v>
      </c>
      <c r="H64" s="409"/>
      <c r="I64" s="409"/>
      <c r="J64" s="411">
        <v>2979.28</v>
      </c>
      <c r="K64" s="410">
        <v>64.86</v>
      </c>
      <c r="L64" s="410">
        <v>4.92936</v>
      </c>
    </row>
    <row r="65" spans="1:26" ht="20.399999999999999" x14ac:dyDescent="0.2">
      <c r="A65" s="412"/>
      <c r="B65" s="412"/>
      <c r="C65" s="412"/>
      <c r="D65" s="395" t="s">
        <v>714</v>
      </c>
      <c r="E65" s="412"/>
      <c r="F65" s="412"/>
      <c r="G65" s="412"/>
      <c r="H65" s="412"/>
      <c r="I65" s="412"/>
      <c r="J65" s="412"/>
      <c r="K65" s="412"/>
      <c r="L65" s="412"/>
    </row>
    <row r="66" spans="1:26" ht="30.6" x14ac:dyDescent="0.2">
      <c r="A66" s="412"/>
      <c r="B66" s="412"/>
      <c r="C66" s="412"/>
      <c r="D66" s="395" t="s">
        <v>970</v>
      </c>
      <c r="E66" s="412"/>
      <c r="F66" s="412"/>
      <c r="G66" s="412"/>
      <c r="H66" s="412"/>
      <c r="I66" s="412"/>
      <c r="J66" s="412"/>
      <c r="K66" s="412"/>
      <c r="L66" s="412"/>
    </row>
    <row r="67" spans="1:26" ht="193.8" x14ac:dyDescent="0.2">
      <c r="A67" s="412"/>
      <c r="B67" s="412"/>
      <c r="C67" s="412"/>
      <c r="D67" s="395" t="s">
        <v>971</v>
      </c>
      <c r="E67" s="412"/>
      <c r="F67" s="412"/>
      <c r="G67" s="412"/>
      <c r="H67" s="412"/>
      <c r="I67" s="412"/>
      <c r="J67" s="412"/>
      <c r="K67" s="412"/>
      <c r="L67" s="412"/>
    </row>
    <row r="68" spans="1:26" x14ac:dyDescent="0.2">
      <c r="A68" s="412"/>
      <c r="B68" s="412"/>
      <c r="C68" s="412"/>
      <c r="D68" s="413" t="s">
        <v>206</v>
      </c>
      <c r="E68" s="414" t="s">
        <v>764</v>
      </c>
      <c r="F68" s="414"/>
      <c r="G68" s="414"/>
      <c r="H68" s="415">
        <v>3244.67</v>
      </c>
      <c r="I68" s="412"/>
      <c r="J68" s="412"/>
      <c r="K68" s="412"/>
      <c r="L68" s="412"/>
    </row>
    <row r="69" spans="1:26" x14ac:dyDescent="0.2">
      <c r="A69" s="412"/>
      <c r="B69" s="412"/>
      <c r="C69" s="412"/>
      <c r="D69" s="413" t="s">
        <v>207</v>
      </c>
      <c r="E69" s="414" t="s">
        <v>972</v>
      </c>
      <c r="F69" s="414"/>
      <c r="G69" s="414"/>
      <c r="H69" s="415">
        <v>1378.99</v>
      </c>
      <c r="I69" s="412"/>
      <c r="J69" s="412"/>
      <c r="K69" s="412"/>
      <c r="L69" s="412"/>
    </row>
    <row r="70" spans="1:26" x14ac:dyDescent="0.2">
      <c r="A70" s="412"/>
      <c r="B70" s="412"/>
      <c r="C70" s="412"/>
      <c r="D70" s="416" t="s">
        <v>715</v>
      </c>
      <c r="E70" s="417"/>
      <c r="F70" s="417"/>
      <c r="G70" s="417"/>
      <c r="H70" s="418">
        <v>11358.87</v>
      </c>
      <c r="I70" s="412"/>
      <c r="J70" s="412"/>
      <c r="K70" s="412"/>
      <c r="L70" s="412"/>
    </row>
    <row r="71" spans="1:26" s="790" customFormat="1" ht="51" x14ac:dyDescent="0.2">
      <c r="A71" s="784">
        <v>6</v>
      </c>
      <c r="B71" s="784">
        <v>54</v>
      </c>
      <c r="C71" s="784" t="s">
        <v>1028</v>
      </c>
      <c r="D71" s="784" t="s">
        <v>1313</v>
      </c>
      <c r="E71" s="785">
        <v>0.09</v>
      </c>
      <c r="F71" s="786">
        <v>1906.3044</v>
      </c>
      <c r="G71" s="786" t="s">
        <v>281</v>
      </c>
      <c r="H71" s="787">
        <v>7681.07</v>
      </c>
      <c r="I71" s="787">
        <v>7681.07</v>
      </c>
      <c r="J71" s="787" t="s">
        <v>281</v>
      </c>
      <c r="K71" s="786">
        <v>244.398</v>
      </c>
      <c r="L71" s="786">
        <v>21.995819999999998</v>
      </c>
      <c r="M71" s="789">
        <f>3.09/100</f>
        <v>3.09E-2</v>
      </c>
      <c r="N71" s="789" t="s">
        <v>2324</v>
      </c>
      <c r="O71" s="789"/>
      <c r="T71" s="790">
        <v>17128.78</v>
      </c>
      <c r="V71" s="790">
        <v>7681.07</v>
      </c>
      <c r="W71" s="790" t="s">
        <v>281</v>
      </c>
      <c r="X71" s="790" t="s">
        <v>281</v>
      </c>
      <c r="Y71" s="790">
        <v>21.995819999999998</v>
      </c>
      <c r="Z71" s="790" t="s">
        <v>281</v>
      </c>
    </row>
    <row r="72" spans="1:26" x14ac:dyDescent="0.2">
      <c r="A72" s="407"/>
      <c r="B72" s="407"/>
      <c r="C72" s="407"/>
      <c r="D72" s="408" t="s">
        <v>901</v>
      </c>
      <c r="E72" s="409"/>
      <c r="F72" s="410">
        <v>1906.3044</v>
      </c>
      <c r="G72" s="410" t="s">
        <v>281</v>
      </c>
      <c r="H72" s="409"/>
      <c r="I72" s="409"/>
      <c r="J72" s="411" t="s">
        <v>281</v>
      </c>
      <c r="K72" s="410" t="s">
        <v>281</v>
      </c>
      <c r="L72" s="410" t="s">
        <v>281</v>
      </c>
    </row>
    <row r="73" spans="1:26" ht="20.399999999999999" x14ac:dyDescent="0.2">
      <c r="A73" s="412"/>
      <c r="B73" s="412"/>
      <c r="C73" s="412"/>
      <c r="D73" s="395" t="s">
        <v>714</v>
      </c>
      <c r="E73" s="412"/>
      <c r="F73" s="412"/>
      <c r="G73" s="412"/>
      <c r="H73" s="412"/>
      <c r="I73" s="412"/>
      <c r="J73" s="412"/>
      <c r="K73" s="412"/>
      <c r="L73" s="412"/>
    </row>
    <row r="74" spans="1:26" ht="30.6" x14ac:dyDescent="0.2">
      <c r="A74" s="412"/>
      <c r="B74" s="412"/>
      <c r="C74" s="412"/>
      <c r="D74" s="395" t="s">
        <v>975</v>
      </c>
      <c r="E74" s="412"/>
      <c r="F74" s="412"/>
      <c r="G74" s="412"/>
      <c r="H74" s="412"/>
      <c r="I74" s="412"/>
      <c r="J74" s="412"/>
      <c r="K74" s="412"/>
      <c r="L74" s="412"/>
    </row>
    <row r="75" spans="1:26" ht="163.19999999999999" x14ac:dyDescent="0.2">
      <c r="A75" s="412"/>
      <c r="B75" s="412"/>
      <c r="C75" s="412"/>
      <c r="D75" s="395" t="s">
        <v>976</v>
      </c>
      <c r="E75" s="412"/>
      <c r="F75" s="412"/>
      <c r="G75" s="412"/>
      <c r="H75" s="412"/>
      <c r="I75" s="412"/>
      <c r="J75" s="412"/>
      <c r="K75" s="412"/>
      <c r="L75" s="412"/>
    </row>
    <row r="76" spans="1:26" x14ac:dyDescent="0.2">
      <c r="A76" s="412"/>
      <c r="B76" s="412"/>
      <c r="C76" s="412"/>
      <c r="D76" s="413" t="s">
        <v>206</v>
      </c>
      <c r="E76" s="414" t="s">
        <v>770</v>
      </c>
      <c r="F76" s="414"/>
      <c r="G76" s="414"/>
      <c r="H76" s="415">
        <v>6836.15</v>
      </c>
      <c r="I76" s="412"/>
      <c r="J76" s="412"/>
      <c r="K76" s="412"/>
      <c r="L76" s="412"/>
    </row>
    <row r="77" spans="1:26" x14ac:dyDescent="0.2">
      <c r="A77" s="412"/>
      <c r="B77" s="412"/>
      <c r="C77" s="412"/>
      <c r="D77" s="413" t="s">
        <v>207</v>
      </c>
      <c r="E77" s="414" t="s">
        <v>977</v>
      </c>
      <c r="F77" s="414"/>
      <c r="G77" s="414"/>
      <c r="H77" s="415">
        <v>2611.56</v>
      </c>
      <c r="I77" s="412"/>
      <c r="J77" s="412"/>
      <c r="K77" s="412"/>
      <c r="L77" s="412"/>
    </row>
    <row r="78" spans="1:26" x14ac:dyDescent="0.2">
      <c r="A78" s="412"/>
      <c r="B78" s="412"/>
      <c r="C78" s="412"/>
      <c r="D78" s="416" t="s">
        <v>715</v>
      </c>
      <c r="E78" s="417"/>
      <c r="F78" s="417"/>
      <c r="G78" s="417"/>
      <c r="H78" s="418">
        <v>17128.78</v>
      </c>
      <c r="I78" s="412"/>
      <c r="J78" s="412"/>
      <c r="K78" s="412"/>
      <c r="L78" s="412"/>
    </row>
    <row r="79" spans="1:26" s="790" customFormat="1" ht="51" x14ac:dyDescent="0.2">
      <c r="A79" s="784">
        <v>7</v>
      </c>
      <c r="B79" s="784">
        <v>55</v>
      </c>
      <c r="C79" s="784" t="s">
        <v>762</v>
      </c>
      <c r="D79" s="784" t="s">
        <v>1036</v>
      </c>
      <c r="E79" s="785">
        <v>0.214</v>
      </c>
      <c r="F79" s="786">
        <v>689.03687500000001</v>
      </c>
      <c r="G79" s="786">
        <v>689.03687500000001</v>
      </c>
      <c r="H79" s="787">
        <v>1952.29</v>
      </c>
      <c r="I79" s="787" t="s">
        <v>281</v>
      </c>
      <c r="J79" s="787">
        <v>1952.29</v>
      </c>
      <c r="K79" s="786" t="s">
        <v>281</v>
      </c>
      <c r="L79" s="786" t="s">
        <v>281</v>
      </c>
      <c r="M79" s="789">
        <f>88.69/1000*0.95</f>
        <v>8.4255499999999997E-2</v>
      </c>
      <c r="N79" s="789" t="s">
        <v>2337</v>
      </c>
      <c r="O79" s="789" t="s">
        <v>2336</v>
      </c>
      <c r="T79" s="790">
        <v>3640.49</v>
      </c>
      <c r="V79" s="790" t="s">
        <v>281</v>
      </c>
      <c r="W79" s="790">
        <v>1952.29</v>
      </c>
      <c r="X79" s="790">
        <v>1287.72</v>
      </c>
      <c r="Y79" s="790" t="s">
        <v>281</v>
      </c>
      <c r="Z79" s="790">
        <v>2.4794580000000002</v>
      </c>
    </row>
    <row r="80" spans="1:26" x14ac:dyDescent="0.2">
      <c r="A80" s="407"/>
      <c r="B80" s="407"/>
      <c r="C80" s="407"/>
      <c r="D80" s="408" t="s">
        <v>763</v>
      </c>
      <c r="E80" s="409"/>
      <c r="F80" s="410" t="s">
        <v>281</v>
      </c>
      <c r="G80" s="410">
        <v>134.40625</v>
      </c>
      <c r="H80" s="409"/>
      <c r="I80" s="409"/>
      <c r="J80" s="411">
        <v>1287.72</v>
      </c>
      <c r="K80" s="410">
        <v>11.58625</v>
      </c>
      <c r="L80" s="410">
        <v>2.4794580000000002</v>
      </c>
    </row>
    <row r="81" spans="1:26" ht="20.399999999999999" x14ac:dyDescent="0.2">
      <c r="A81" s="412"/>
      <c r="B81" s="412"/>
      <c r="C81" s="412"/>
      <c r="D81" s="395" t="s">
        <v>714</v>
      </c>
      <c r="E81" s="412"/>
      <c r="F81" s="412"/>
      <c r="G81" s="412"/>
      <c r="H81" s="412"/>
      <c r="I81" s="412"/>
      <c r="J81" s="412"/>
      <c r="K81" s="412"/>
      <c r="L81" s="412"/>
    </row>
    <row r="82" spans="1:26" ht="20.399999999999999" x14ac:dyDescent="0.2">
      <c r="A82" s="412"/>
      <c r="B82" s="412"/>
      <c r="C82" s="412"/>
      <c r="D82" s="395" t="s">
        <v>978</v>
      </c>
      <c r="E82" s="412"/>
      <c r="F82" s="412"/>
      <c r="G82" s="412"/>
      <c r="H82" s="412"/>
      <c r="I82" s="412"/>
      <c r="J82" s="412"/>
      <c r="K82" s="412"/>
      <c r="L82" s="412"/>
    </row>
    <row r="83" spans="1:26" ht="132.6" x14ac:dyDescent="0.2">
      <c r="A83" s="412"/>
      <c r="B83" s="412"/>
      <c r="C83" s="412"/>
      <c r="D83" s="395" t="s">
        <v>979</v>
      </c>
      <c r="E83" s="412"/>
      <c r="F83" s="412"/>
      <c r="G83" s="412"/>
      <c r="H83" s="412"/>
      <c r="I83" s="412"/>
      <c r="J83" s="412"/>
      <c r="K83" s="412"/>
      <c r="L83" s="412"/>
    </row>
    <row r="84" spans="1:26" x14ac:dyDescent="0.2">
      <c r="A84" s="412"/>
      <c r="B84" s="412"/>
      <c r="C84" s="412"/>
      <c r="D84" s="413" t="s">
        <v>206</v>
      </c>
      <c r="E84" s="414" t="s">
        <v>764</v>
      </c>
      <c r="F84" s="414"/>
      <c r="G84" s="414"/>
      <c r="H84" s="415">
        <v>1184.7</v>
      </c>
      <c r="I84" s="412"/>
      <c r="J84" s="412"/>
      <c r="K84" s="412"/>
      <c r="L84" s="412"/>
    </row>
    <row r="85" spans="1:26" x14ac:dyDescent="0.2">
      <c r="A85" s="412"/>
      <c r="B85" s="412"/>
      <c r="C85" s="412"/>
      <c r="D85" s="413" t="s">
        <v>207</v>
      </c>
      <c r="E85" s="414" t="s">
        <v>972</v>
      </c>
      <c r="F85" s="414"/>
      <c r="G85" s="414"/>
      <c r="H85" s="415">
        <v>503.5</v>
      </c>
      <c r="I85" s="412"/>
      <c r="J85" s="412"/>
      <c r="K85" s="412"/>
      <c r="L85" s="412"/>
    </row>
    <row r="86" spans="1:26" x14ac:dyDescent="0.2">
      <c r="A86" s="412"/>
      <c r="B86" s="412"/>
      <c r="C86" s="412"/>
      <c r="D86" s="416" t="s">
        <v>715</v>
      </c>
      <c r="E86" s="417"/>
      <c r="F86" s="417"/>
      <c r="G86" s="417"/>
      <c r="H86" s="418">
        <v>3640.49</v>
      </c>
      <c r="I86" s="412"/>
      <c r="J86" s="412"/>
      <c r="K86" s="412"/>
      <c r="L86" s="412"/>
    </row>
    <row r="87" spans="1:26" s="790" customFormat="1" ht="40.799999999999997" x14ac:dyDescent="0.2">
      <c r="A87" s="784">
        <v>8</v>
      </c>
      <c r="B87" s="784">
        <v>56</v>
      </c>
      <c r="C87" s="784" t="s">
        <v>914</v>
      </c>
      <c r="D87" s="784" t="s">
        <v>1037</v>
      </c>
      <c r="E87" s="785">
        <v>0.113</v>
      </c>
      <c r="F87" s="786">
        <v>964.10249999999996</v>
      </c>
      <c r="G87" s="786" t="s">
        <v>281</v>
      </c>
      <c r="H87" s="787">
        <v>4877.3999999999996</v>
      </c>
      <c r="I87" s="787">
        <v>4877.3999999999996</v>
      </c>
      <c r="J87" s="787" t="s">
        <v>281</v>
      </c>
      <c r="K87" s="786">
        <v>128.547</v>
      </c>
      <c r="L87" s="786">
        <v>14.525810999999999</v>
      </c>
      <c r="M87" s="789">
        <f>88.69/1000*0.05</f>
        <v>4.4345000000000001E-3</v>
      </c>
      <c r="N87" s="789" t="s">
        <v>2337</v>
      </c>
      <c r="O87" s="789" t="s">
        <v>2338</v>
      </c>
      <c r="T87" s="790">
        <v>10876.61</v>
      </c>
      <c r="V87" s="790">
        <v>4877.3999999999996</v>
      </c>
      <c r="W87" s="790" t="s">
        <v>281</v>
      </c>
      <c r="X87" s="790" t="s">
        <v>281</v>
      </c>
      <c r="Y87" s="790">
        <v>14.525810999999999</v>
      </c>
      <c r="Z87" s="790" t="s">
        <v>281</v>
      </c>
    </row>
    <row r="88" spans="1:26" x14ac:dyDescent="0.2">
      <c r="A88" s="407"/>
      <c r="B88" s="407"/>
      <c r="C88" s="407"/>
      <c r="D88" s="408" t="s">
        <v>901</v>
      </c>
      <c r="E88" s="409"/>
      <c r="F88" s="410">
        <v>964.10249999999996</v>
      </c>
      <c r="G88" s="410" t="s">
        <v>281</v>
      </c>
      <c r="H88" s="409"/>
      <c r="I88" s="409"/>
      <c r="J88" s="411" t="s">
        <v>281</v>
      </c>
      <c r="K88" s="410" t="s">
        <v>281</v>
      </c>
      <c r="L88" s="410" t="s">
        <v>281</v>
      </c>
    </row>
    <row r="89" spans="1:26" ht="20.399999999999999" x14ac:dyDescent="0.2">
      <c r="A89" s="412"/>
      <c r="B89" s="412"/>
      <c r="C89" s="412"/>
      <c r="D89" s="395" t="s">
        <v>714</v>
      </c>
      <c r="E89" s="412"/>
      <c r="F89" s="412"/>
      <c r="G89" s="412"/>
      <c r="H89" s="412"/>
      <c r="I89" s="412"/>
      <c r="J89" s="412"/>
      <c r="K89" s="412"/>
      <c r="L89" s="412"/>
    </row>
    <row r="90" spans="1:26" ht="20.399999999999999" x14ac:dyDescent="0.2">
      <c r="A90" s="412"/>
      <c r="B90" s="412"/>
      <c r="C90" s="412"/>
      <c r="D90" s="395" t="s">
        <v>978</v>
      </c>
      <c r="E90" s="412"/>
      <c r="F90" s="412"/>
      <c r="G90" s="412"/>
      <c r="H90" s="412"/>
      <c r="I90" s="412"/>
      <c r="J90" s="412"/>
      <c r="K90" s="412"/>
      <c r="L90" s="412"/>
    </row>
    <row r="91" spans="1:26" ht="132.6" x14ac:dyDescent="0.2">
      <c r="A91" s="412"/>
      <c r="B91" s="412"/>
      <c r="C91" s="412"/>
      <c r="D91" s="395" t="s">
        <v>979</v>
      </c>
      <c r="E91" s="412"/>
      <c r="F91" s="412"/>
      <c r="G91" s="412"/>
      <c r="H91" s="412"/>
      <c r="I91" s="412"/>
      <c r="J91" s="412"/>
      <c r="K91" s="412"/>
      <c r="L91" s="412"/>
    </row>
    <row r="92" spans="1:26" x14ac:dyDescent="0.2">
      <c r="A92" s="412"/>
      <c r="B92" s="412"/>
      <c r="C92" s="412"/>
      <c r="D92" s="413" t="s">
        <v>206</v>
      </c>
      <c r="E92" s="414" t="s">
        <v>770</v>
      </c>
      <c r="F92" s="414"/>
      <c r="G92" s="414"/>
      <c r="H92" s="415">
        <v>4340.8900000000003</v>
      </c>
      <c r="I92" s="412"/>
      <c r="J92" s="412"/>
      <c r="K92" s="412"/>
      <c r="L92" s="412"/>
    </row>
    <row r="93" spans="1:26" x14ac:dyDescent="0.2">
      <c r="A93" s="412"/>
      <c r="B93" s="412"/>
      <c r="C93" s="412"/>
      <c r="D93" s="413" t="s">
        <v>207</v>
      </c>
      <c r="E93" s="414" t="s">
        <v>977</v>
      </c>
      <c r="F93" s="414"/>
      <c r="G93" s="414"/>
      <c r="H93" s="415">
        <v>1658.32</v>
      </c>
      <c r="I93" s="412"/>
      <c r="J93" s="412"/>
      <c r="K93" s="412"/>
      <c r="L93" s="412"/>
    </row>
    <row r="94" spans="1:26" x14ac:dyDescent="0.2">
      <c r="A94" s="412"/>
      <c r="B94" s="412"/>
      <c r="C94" s="412"/>
      <c r="D94" s="416" t="s">
        <v>715</v>
      </c>
      <c r="E94" s="417"/>
      <c r="F94" s="417"/>
      <c r="G94" s="417"/>
      <c r="H94" s="418">
        <v>10876.61</v>
      </c>
      <c r="I94" s="412"/>
      <c r="J94" s="412"/>
      <c r="K94" s="412"/>
      <c r="L94" s="412"/>
    </row>
    <row r="95" spans="1:26" s="790" customFormat="1" ht="40.799999999999997" x14ac:dyDescent="0.2">
      <c r="A95" s="784">
        <v>9</v>
      </c>
      <c r="B95" s="784">
        <v>57</v>
      </c>
      <c r="C95" s="784" t="s">
        <v>1117</v>
      </c>
      <c r="D95" s="784" t="s">
        <v>1230</v>
      </c>
      <c r="E95" s="785">
        <v>0.69499999999999995</v>
      </c>
      <c r="F95" s="786">
        <v>877.80937500000005</v>
      </c>
      <c r="G95" s="786" t="s">
        <v>281</v>
      </c>
      <c r="H95" s="787">
        <v>27313.17</v>
      </c>
      <c r="I95" s="787">
        <v>27313.17</v>
      </c>
      <c r="J95" s="787" t="s">
        <v>281</v>
      </c>
      <c r="K95" s="786">
        <v>117.04125000000001</v>
      </c>
      <c r="L95" s="786">
        <v>81.343669000000006</v>
      </c>
      <c r="M95" s="789">
        <f>19.05/100</f>
        <v>0.1905</v>
      </c>
      <c r="N95" s="789" t="s">
        <v>2334</v>
      </c>
      <c r="O95" s="789"/>
      <c r="T95" s="790">
        <v>60908.37</v>
      </c>
      <c r="V95" s="790">
        <v>27313.17</v>
      </c>
      <c r="W95" s="790" t="s">
        <v>281</v>
      </c>
      <c r="X95" s="790" t="s">
        <v>281</v>
      </c>
      <c r="Y95" s="790">
        <v>81.343669000000006</v>
      </c>
      <c r="Z95" s="790" t="s">
        <v>281</v>
      </c>
    </row>
    <row r="96" spans="1:26" x14ac:dyDescent="0.2">
      <c r="A96" s="407"/>
      <c r="B96" s="407"/>
      <c r="C96" s="407"/>
      <c r="D96" s="408" t="s">
        <v>901</v>
      </c>
      <c r="E96" s="409"/>
      <c r="F96" s="410">
        <v>877.80937500000005</v>
      </c>
      <c r="G96" s="410" t="s">
        <v>281</v>
      </c>
      <c r="H96" s="409"/>
      <c r="I96" s="409"/>
      <c r="J96" s="411" t="s">
        <v>281</v>
      </c>
      <c r="K96" s="410" t="s">
        <v>281</v>
      </c>
      <c r="L96" s="410" t="s">
        <v>281</v>
      </c>
    </row>
    <row r="97" spans="1:26" ht="20.399999999999999" x14ac:dyDescent="0.2">
      <c r="A97" s="412"/>
      <c r="B97" s="412"/>
      <c r="C97" s="412"/>
      <c r="D97" s="395" t="s">
        <v>714</v>
      </c>
      <c r="E97" s="412"/>
      <c r="F97" s="412"/>
      <c r="G97" s="412"/>
      <c r="H97" s="412"/>
      <c r="I97" s="412"/>
      <c r="J97" s="412"/>
      <c r="K97" s="412"/>
      <c r="L97" s="412"/>
    </row>
    <row r="98" spans="1:26" ht="20.399999999999999" x14ac:dyDescent="0.2">
      <c r="A98" s="412"/>
      <c r="B98" s="412"/>
      <c r="C98" s="412"/>
      <c r="D98" s="395" t="s">
        <v>978</v>
      </c>
      <c r="E98" s="412"/>
      <c r="F98" s="412"/>
      <c r="G98" s="412"/>
      <c r="H98" s="412"/>
      <c r="I98" s="412"/>
      <c r="J98" s="412"/>
      <c r="K98" s="412"/>
      <c r="L98" s="412"/>
    </row>
    <row r="99" spans="1:26" ht="132.6" x14ac:dyDescent="0.2">
      <c r="A99" s="412"/>
      <c r="B99" s="412"/>
      <c r="C99" s="412"/>
      <c r="D99" s="395" t="s">
        <v>979</v>
      </c>
      <c r="E99" s="412"/>
      <c r="F99" s="412"/>
      <c r="G99" s="412"/>
      <c r="H99" s="412"/>
      <c r="I99" s="412"/>
      <c r="J99" s="412"/>
      <c r="K99" s="412"/>
      <c r="L99" s="412"/>
    </row>
    <row r="100" spans="1:26" x14ac:dyDescent="0.2">
      <c r="A100" s="412"/>
      <c r="B100" s="412"/>
      <c r="C100" s="412"/>
      <c r="D100" s="413" t="s">
        <v>206</v>
      </c>
      <c r="E100" s="414" t="s">
        <v>770</v>
      </c>
      <c r="F100" s="414"/>
      <c r="G100" s="414"/>
      <c r="H100" s="415">
        <v>24308.720000000001</v>
      </c>
      <c r="I100" s="412"/>
      <c r="J100" s="412"/>
      <c r="K100" s="412"/>
      <c r="L100" s="412"/>
    </row>
    <row r="101" spans="1:26" x14ac:dyDescent="0.2">
      <c r="A101" s="412"/>
      <c r="B101" s="412"/>
      <c r="C101" s="412"/>
      <c r="D101" s="413" t="s">
        <v>207</v>
      </c>
      <c r="E101" s="414" t="s">
        <v>977</v>
      </c>
      <c r="F101" s="414"/>
      <c r="G101" s="414"/>
      <c r="H101" s="415">
        <v>9286.48</v>
      </c>
      <c r="I101" s="412"/>
      <c r="J101" s="412"/>
      <c r="K101" s="412"/>
      <c r="L101" s="412"/>
    </row>
    <row r="102" spans="1:26" x14ac:dyDescent="0.2">
      <c r="A102" s="412"/>
      <c r="B102" s="412"/>
      <c r="C102" s="412"/>
      <c r="D102" s="416" t="s">
        <v>715</v>
      </c>
      <c r="E102" s="417"/>
      <c r="F102" s="417"/>
      <c r="G102" s="417"/>
      <c r="H102" s="418">
        <v>60908.37</v>
      </c>
      <c r="I102" s="412"/>
      <c r="J102" s="412"/>
      <c r="K102" s="412"/>
      <c r="L102" s="412"/>
    </row>
    <row r="103" spans="1:26" s="790" customFormat="1" ht="30.6" x14ac:dyDescent="0.2">
      <c r="A103" s="784">
        <v>10</v>
      </c>
      <c r="B103" s="784">
        <v>58</v>
      </c>
      <c r="C103" s="784" t="s">
        <v>766</v>
      </c>
      <c r="D103" s="784" t="s">
        <v>1043</v>
      </c>
      <c r="E103" s="785">
        <v>76.45</v>
      </c>
      <c r="F103" s="786">
        <v>101.17976</v>
      </c>
      <c r="G103" s="786" t="s">
        <v>281</v>
      </c>
      <c r="H103" s="787">
        <v>63119.41</v>
      </c>
      <c r="I103" s="787" t="s">
        <v>281</v>
      </c>
      <c r="J103" s="787" t="s">
        <v>281</v>
      </c>
      <c r="K103" s="786" t="s">
        <v>281</v>
      </c>
      <c r="L103" s="786" t="s">
        <v>281</v>
      </c>
      <c r="M103" s="789">
        <f>19.05*1.1</f>
        <v>20.954999999999998</v>
      </c>
      <c r="N103" s="789" t="s">
        <v>2335</v>
      </c>
      <c r="O103" s="789" t="s">
        <v>2326</v>
      </c>
      <c r="T103" s="790">
        <v>63119.41</v>
      </c>
      <c r="V103" s="790" t="s">
        <v>281</v>
      </c>
      <c r="W103" s="790" t="s">
        <v>281</v>
      </c>
      <c r="X103" s="790" t="s">
        <v>281</v>
      </c>
      <c r="Y103" s="790" t="s">
        <v>281</v>
      </c>
      <c r="Z103" s="790" t="s">
        <v>281</v>
      </c>
    </row>
    <row r="104" spans="1:26" x14ac:dyDescent="0.2">
      <c r="A104" s="407"/>
      <c r="B104" s="407"/>
      <c r="C104" s="407"/>
      <c r="D104" s="408" t="s">
        <v>745</v>
      </c>
      <c r="E104" s="409"/>
      <c r="F104" s="410" t="s">
        <v>281</v>
      </c>
      <c r="G104" s="410" t="s">
        <v>281</v>
      </c>
      <c r="H104" s="409"/>
      <c r="I104" s="409"/>
      <c r="J104" s="411" t="s">
        <v>281</v>
      </c>
      <c r="K104" s="410" t="s">
        <v>281</v>
      </c>
      <c r="L104" s="410" t="s">
        <v>281</v>
      </c>
    </row>
    <row r="105" spans="1:26" x14ac:dyDescent="0.2">
      <c r="A105" s="412"/>
      <c r="B105" s="412"/>
      <c r="C105" s="412"/>
      <c r="D105" s="395" t="s">
        <v>718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x14ac:dyDescent="0.2">
      <c r="A106" s="412"/>
      <c r="B106" s="412"/>
      <c r="C106" s="412"/>
      <c r="D106" s="395" t="s">
        <v>1064</v>
      </c>
      <c r="E106" s="412"/>
      <c r="F106" s="412"/>
      <c r="G106" s="412"/>
      <c r="H106" s="412"/>
      <c r="I106" s="412"/>
      <c r="J106" s="412"/>
      <c r="K106" s="412"/>
      <c r="L106" s="412"/>
    </row>
    <row r="107" spans="1:26" x14ac:dyDescent="0.2">
      <c r="A107" s="412"/>
      <c r="B107" s="412"/>
      <c r="C107" s="412"/>
      <c r="D107" s="395" t="s">
        <v>1324</v>
      </c>
      <c r="E107" s="412"/>
      <c r="F107" s="412"/>
      <c r="G107" s="412"/>
      <c r="H107" s="412"/>
      <c r="I107" s="412"/>
      <c r="J107" s="412"/>
      <c r="K107" s="412"/>
      <c r="L107" s="412"/>
    </row>
    <row r="108" spans="1:26" s="829" customFormat="1" ht="30.6" x14ac:dyDescent="0.2">
      <c r="A108" s="825">
        <v>11</v>
      </c>
      <c r="B108" s="825">
        <v>59</v>
      </c>
      <c r="C108" s="825" t="s">
        <v>744</v>
      </c>
      <c r="D108" s="825" t="s">
        <v>1695</v>
      </c>
      <c r="E108" s="826">
        <v>76</v>
      </c>
      <c r="F108" s="827">
        <v>162.38</v>
      </c>
      <c r="G108" s="827" t="s">
        <v>281</v>
      </c>
      <c r="H108" s="828">
        <v>100701.52</v>
      </c>
      <c r="I108" s="828" t="s">
        <v>281</v>
      </c>
      <c r="J108" s="828" t="s">
        <v>281</v>
      </c>
      <c r="K108" s="827" t="s">
        <v>281</v>
      </c>
      <c r="L108" s="827" t="s">
        <v>281</v>
      </c>
      <c r="M108" s="830">
        <f>M63*1000</f>
        <v>11.22</v>
      </c>
      <c r="N108" s="830" t="s">
        <v>2362</v>
      </c>
      <c r="O108" s="789"/>
      <c r="T108" s="829">
        <v>100701.52</v>
      </c>
      <c r="V108" s="829" t="s">
        <v>281</v>
      </c>
      <c r="W108" s="829" t="s">
        <v>281</v>
      </c>
      <c r="X108" s="829" t="s">
        <v>281</v>
      </c>
      <c r="Y108" s="829" t="s">
        <v>281</v>
      </c>
      <c r="Z108" s="829" t="s">
        <v>281</v>
      </c>
    </row>
    <row r="109" spans="1:26" x14ac:dyDescent="0.2">
      <c r="A109" s="407"/>
      <c r="B109" s="407"/>
      <c r="C109" s="407"/>
      <c r="D109" s="408" t="s">
        <v>745</v>
      </c>
      <c r="E109" s="409"/>
      <c r="F109" s="410" t="s">
        <v>281</v>
      </c>
      <c r="G109" s="410" t="s">
        <v>281</v>
      </c>
      <c r="H109" s="409"/>
      <c r="I109" s="409"/>
      <c r="J109" s="411" t="s">
        <v>281</v>
      </c>
      <c r="K109" s="410" t="s">
        <v>281</v>
      </c>
      <c r="L109" s="410" t="s">
        <v>281</v>
      </c>
    </row>
    <row r="110" spans="1:26" x14ac:dyDescent="0.2">
      <c r="A110" s="412"/>
      <c r="B110" s="412"/>
      <c r="C110" s="412"/>
      <c r="D110" s="395" t="s">
        <v>718</v>
      </c>
      <c r="E110" s="412"/>
      <c r="F110" s="412"/>
      <c r="G110" s="412"/>
      <c r="H110" s="412"/>
      <c r="I110" s="412"/>
      <c r="J110" s="412"/>
      <c r="K110" s="412"/>
      <c r="L110" s="412"/>
    </row>
    <row r="111" spans="1:26" s="790" customFormat="1" ht="51" x14ac:dyDescent="0.2">
      <c r="A111" s="784">
        <v>12</v>
      </c>
      <c r="B111" s="784">
        <v>60</v>
      </c>
      <c r="C111" s="784" t="s">
        <v>1325</v>
      </c>
      <c r="D111" s="784" t="s">
        <v>1314</v>
      </c>
      <c r="E111" s="785">
        <v>0.186</v>
      </c>
      <c r="F111" s="786">
        <v>3110.3980000000001</v>
      </c>
      <c r="G111" s="786">
        <v>2392.589375</v>
      </c>
      <c r="H111" s="787">
        <v>11097.52</v>
      </c>
      <c r="I111" s="787">
        <v>5033.38</v>
      </c>
      <c r="J111" s="787">
        <v>5892.09</v>
      </c>
      <c r="K111" s="786">
        <v>62.831975</v>
      </c>
      <c r="L111" s="786">
        <v>11.686747</v>
      </c>
      <c r="M111" s="789">
        <f>8.28/100</f>
        <v>8.2799999999999999E-2</v>
      </c>
      <c r="N111" s="789" t="s">
        <v>2328</v>
      </c>
      <c r="O111" s="789"/>
      <c r="T111" s="790">
        <v>23187.88</v>
      </c>
      <c r="V111" s="790">
        <v>5033.38</v>
      </c>
      <c r="W111" s="790">
        <v>5892.09</v>
      </c>
      <c r="X111" s="790">
        <v>1687.22</v>
      </c>
      <c r="Y111" s="790">
        <v>11.686747</v>
      </c>
      <c r="Z111" s="790">
        <v>2.6176010000000001</v>
      </c>
    </row>
    <row r="112" spans="1:26" x14ac:dyDescent="0.2">
      <c r="A112" s="407"/>
      <c r="B112" s="407"/>
      <c r="C112" s="407"/>
      <c r="D112" s="408" t="s">
        <v>747</v>
      </c>
      <c r="E112" s="409"/>
      <c r="F112" s="410">
        <v>604.44862499999999</v>
      </c>
      <c r="G112" s="410">
        <v>202.61562499999999</v>
      </c>
      <c r="H112" s="409"/>
      <c r="I112" s="409"/>
      <c r="J112" s="411">
        <v>1687.22</v>
      </c>
      <c r="K112" s="410">
        <v>14.073124999999999</v>
      </c>
      <c r="L112" s="410">
        <v>2.6176010000000001</v>
      </c>
    </row>
    <row r="113" spans="1:26" ht="20.399999999999999" x14ac:dyDescent="0.2">
      <c r="A113" s="412"/>
      <c r="B113" s="412"/>
      <c r="C113" s="412"/>
      <c r="D113" s="395" t="s">
        <v>714</v>
      </c>
      <c r="E113" s="412"/>
      <c r="F113" s="412"/>
      <c r="G113" s="412"/>
      <c r="H113" s="412"/>
      <c r="I113" s="412"/>
      <c r="J113" s="412"/>
      <c r="K113" s="412"/>
      <c r="L113" s="412"/>
    </row>
    <row r="114" spans="1:26" ht="20.399999999999999" x14ac:dyDescent="0.2">
      <c r="A114" s="412"/>
      <c r="B114" s="412"/>
      <c r="C114" s="412"/>
      <c r="D114" s="395" t="s">
        <v>978</v>
      </c>
      <c r="E114" s="412"/>
      <c r="F114" s="412"/>
      <c r="G114" s="412"/>
      <c r="H114" s="412"/>
      <c r="I114" s="412"/>
      <c r="J114" s="412"/>
      <c r="K114" s="412"/>
      <c r="L114" s="412"/>
    </row>
    <row r="115" spans="1:26" ht="132.6" x14ac:dyDescent="0.2">
      <c r="A115" s="412"/>
      <c r="B115" s="412"/>
      <c r="C115" s="412"/>
      <c r="D115" s="395" t="s">
        <v>979</v>
      </c>
      <c r="E115" s="412"/>
      <c r="F115" s="412"/>
      <c r="G115" s="412"/>
      <c r="H115" s="412"/>
      <c r="I115" s="412"/>
      <c r="J115" s="412"/>
      <c r="K115" s="412"/>
      <c r="L115" s="412"/>
    </row>
    <row r="116" spans="1:26" x14ac:dyDescent="0.2">
      <c r="A116" s="412"/>
      <c r="B116" s="412"/>
      <c r="C116" s="412"/>
      <c r="D116" s="413" t="s">
        <v>206</v>
      </c>
      <c r="E116" s="414" t="s">
        <v>1242</v>
      </c>
      <c r="F116" s="414"/>
      <c r="G116" s="414"/>
      <c r="H116" s="415">
        <v>7863.1</v>
      </c>
      <c r="I116" s="412"/>
      <c r="J116" s="412"/>
      <c r="K116" s="412"/>
      <c r="L116" s="412"/>
    </row>
    <row r="117" spans="1:26" x14ac:dyDescent="0.2">
      <c r="A117" s="412"/>
      <c r="B117" s="412"/>
      <c r="C117" s="412"/>
      <c r="D117" s="413" t="s">
        <v>207</v>
      </c>
      <c r="E117" s="414" t="s">
        <v>1243</v>
      </c>
      <c r="F117" s="414"/>
      <c r="G117" s="414"/>
      <c r="H117" s="415">
        <v>4227.26</v>
      </c>
      <c r="I117" s="412"/>
      <c r="J117" s="412"/>
      <c r="K117" s="412"/>
      <c r="L117" s="412"/>
    </row>
    <row r="118" spans="1:26" x14ac:dyDescent="0.2">
      <c r="A118" s="412"/>
      <c r="B118" s="412"/>
      <c r="C118" s="412"/>
      <c r="D118" s="416" t="s">
        <v>715</v>
      </c>
      <c r="E118" s="417"/>
      <c r="F118" s="417"/>
      <c r="G118" s="417"/>
      <c r="H118" s="418">
        <v>23187.88</v>
      </c>
      <c r="I118" s="412"/>
      <c r="J118" s="412"/>
      <c r="K118" s="412"/>
      <c r="L118" s="412"/>
    </row>
    <row r="119" spans="1:26" s="790" customFormat="1" ht="40.799999999999997" x14ac:dyDescent="0.2">
      <c r="A119" s="784">
        <v>13</v>
      </c>
      <c r="B119" s="784">
        <v>61</v>
      </c>
      <c r="C119" s="784" t="s">
        <v>1326</v>
      </c>
      <c r="D119" s="784" t="s">
        <v>1327</v>
      </c>
      <c r="E119" s="785">
        <v>18.786000000000001</v>
      </c>
      <c r="F119" s="786">
        <v>501.48</v>
      </c>
      <c r="G119" s="786" t="s">
        <v>281</v>
      </c>
      <c r="H119" s="787">
        <v>76873.81</v>
      </c>
      <c r="I119" s="787" t="s">
        <v>281</v>
      </c>
      <c r="J119" s="787" t="s">
        <v>281</v>
      </c>
      <c r="K119" s="786" t="s">
        <v>281</v>
      </c>
      <c r="L119" s="786" t="s">
        <v>281</v>
      </c>
      <c r="M119" s="789">
        <f>8.28</f>
        <v>8.2799999999999994</v>
      </c>
      <c r="N119" s="789" t="s">
        <v>2330</v>
      </c>
      <c r="O119" s="789"/>
      <c r="T119" s="790">
        <v>76873.81</v>
      </c>
      <c r="V119" s="790" t="s">
        <v>281</v>
      </c>
      <c r="W119" s="790" t="s">
        <v>281</v>
      </c>
      <c r="X119" s="790" t="s">
        <v>281</v>
      </c>
      <c r="Y119" s="790" t="s">
        <v>281</v>
      </c>
      <c r="Z119" s="790" t="s">
        <v>281</v>
      </c>
    </row>
    <row r="120" spans="1:26" x14ac:dyDescent="0.2">
      <c r="A120" s="407"/>
      <c r="B120" s="407"/>
      <c r="C120" s="407"/>
      <c r="D120" s="408" t="s">
        <v>883</v>
      </c>
      <c r="E120" s="409"/>
      <c r="F120" s="410" t="s">
        <v>281</v>
      </c>
      <c r="G120" s="410" t="s">
        <v>281</v>
      </c>
      <c r="H120" s="409"/>
      <c r="I120" s="409"/>
      <c r="J120" s="411" t="s">
        <v>281</v>
      </c>
      <c r="K120" s="410" t="s">
        <v>281</v>
      </c>
      <c r="L120" s="410" t="s">
        <v>281</v>
      </c>
    </row>
    <row r="121" spans="1:26" x14ac:dyDescent="0.2">
      <c r="A121" s="412"/>
      <c r="B121" s="412"/>
      <c r="C121" s="412"/>
      <c r="D121" s="395" t="s">
        <v>718</v>
      </c>
      <c r="E121" s="412"/>
      <c r="F121" s="412"/>
      <c r="G121" s="412"/>
      <c r="H121" s="412"/>
      <c r="I121" s="412"/>
      <c r="J121" s="412"/>
      <c r="K121" s="412"/>
      <c r="L121" s="412"/>
    </row>
    <row r="122" spans="1:26" s="817" customFormat="1" ht="61.2" x14ac:dyDescent="0.2">
      <c r="A122" s="813">
        <v>14</v>
      </c>
      <c r="B122" s="813">
        <v>62</v>
      </c>
      <c r="C122" s="813" t="s">
        <v>1328</v>
      </c>
      <c r="D122" s="813" t="s">
        <v>1315</v>
      </c>
      <c r="E122" s="814">
        <v>1.8599999999999998E-2</v>
      </c>
      <c r="F122" s="815">
        <v>5101.9605000000001</v>
      </c>
      <c r="G122" s="815">
        <v>2476.8556250000001</v>
      </c>
      <c r="H122" s="816">
        <v>1951.76</v>
      </c>
      <c r="I122" s="816">
        <v>1153.6400000000001</v>
      </c>
      <c r="J122" s="816">
        <v>609.96</v>
      </c>
      <c r="K122" s="815">
        <v>139.65600000000001</v>
      </c>
      <c r="L122" s="815">
        <v>2.5976020000000002</v>
      </c>
      <c r="M122" s="819">
        <v>0</v>
      </c>
      <c r="N122" s="819" t="s">
        <v>1696</v>
      </c>
      <c r="O122" s="819"/>
      <c r="T122" s="817">
        <v>4483.01</v>
      </c>
      <c r="V122" s="817">
        <v>1153.6400000000001</v>
      </c>
      <c r="W122" s="817">
        <v>609.96</v>
      </c>
      <c r="X122" s="817">
        <v>253.39</v>
      </c>
      <c r="Y122" s="817">
        <v>2.5976020000000002</v>
      </c>
      <c r="Z122" s="817">
        <v>0.441436</v>
      </c>
    </row>
    <row r="123" spans="1:26" x14ac:dyDescent="0.2">
      <c r="A123" s="407"/>
      <c r="B123" s="407"/>
      <c r="C123" s="407"/>
      <c r="D123" s="408" t="s">
        <v>1245</v>
      </c>
      <c r="E123" s="409"/>
      <c r="F123" s="410">
        <v>1385.384875</v>
      </c>
      <c r="G123" s="410">
        <v>304.29000000000002</v>
      </c>
      <c r="H123" s="409"/>
      <c r="I123" s="409"/>
      <c r="J123" s="411">
        <v>253.39</v>
      </c>
      <c r="K123" s="410">
        <v>23.733125000000001</v>
      </c>
      <c r="L123" s="410">
        <v>0.441436</v>
      </c>
    </row>
    <row r="124" spans="1:26" ht="20.399999999999999" x14ac:dyDescent="0.2">
      <c r="A124" s="412"/>
      <c r="B124" s="412"/>
      <c r="C124" s="412"/>
      <c r="D124" s="395" t="s">
        <v>714</v>
      </c>
      <c r="E124" s="412"/>
      <c r="F124" s="412"/>
      <c r="G124" s="412"/>
      <c r="H124" s="412"/>
      <c r="I124" s="412"/>
      <c r="J124" s="412"/>
      <c r="K124" s="412"/>
      <c r="L124" s="412"/>
    </row>
    <row r="125" spans="1:26" ht="20.399999999999999" x14ac:dyDescent="0.2">
      <c r="A125" s="412"/>
      <c r="B125" s="412"/>
      <c r="C125" s="412"/>
      <c r="D125" s="395" t="s">
        <v>978</v>
      </c>
      <c r="E125" s="412"/>
      <c r="F125" s="412"/>
      <c r="G125" s="412"/>
      <c r="H125" s="412"/>
      <c r="I125" s="412"/>
      <c r="J125" s="412"/>
      <c r="K125" s="412"/>
      <c r="L125" s="412"/>
    </row>
    <row r="126" spans="1:26" ht="132.6" x14ac:dyDescent="0.2">
      <c r="A126" s="412"/>
      <c r="B126" s="412"/>
      <c r="C126" s="412"/>
      <c r="D126" s="395" t="s">
        <v>979</v>
      </c>
      <c r="E126" s="412"/>
      <c r="F126" s="412"/>
      <c r="G126" s="412"/>
      <c r="H126" s="412"/>
      <c r="I126" s="412"/>
      <c r="J126" s="412"/>
      <c r="K126" s="412"/>
      <c r="L126" s="412"/>
    </row>
    <row r="127" spans="1:26" x14ac:dyDescent="0.2">
      <c r="A127" s="412"/>
      <c r="B127" s="412"/>
      <c r="C127" s="412"/>
      <c r="D127" s="413" t="s">
        <v>206</v>
      </c>
      <c r="E127" s="414" t="s">
        <v>1242</v>
      </c>
      <c r="F127" s="414"/>
      <c r="G127" s="414"/>
      <c r="H127" s="415">
        <v>1646.23</v>
      </c>
      <c r="I127" s="412"/>
      <c r="J127" s="412"/>
      <c r="K127" s="412"/>
      <c r="L127" s="412"/>
    </row>
    <row r="128" spans="1:26" x14ac:dyDescent="0.2">
      <c r="A128" s="412"/>
      <c r="B128" s="412"/>
      <c r="C128" s="412"/>
      <c r="D128" s="413" t="s">
        <v>207</v>
      </c>
      <c r="E128" s="414" t="s">
        <v>1243</v>
      </c>
      <c r="F128" s="414"/>
      <c r="G128" s="414"/>
      <c r="H128" s="415">
        <v>885.02</v>
      </c>
      <c r="I128" s="412"/>
      <c r="J128" s="412"/>
      <c r="K128" s="412"/>
      <c r="L128" s="412"/>
    </row>
    <row r="129" spans="1:26" x14ac:dyDescent="0.2">
      <c r="A129" s="412"/>
      <c r="B129" s="412"/>
      <c r="C129" s="412"/>
      <c r="D129" s="416" t="s">
        <v>715</v>
      </c>
      <c r="E129" s="417"/>
      <c r="F129" s="417"/>
      <c r="G129" s="417"/>
      <c r="H129" s="418">
        <v>4483.01</v>
      </c>
      <c r="I129" s="412"/>
      <c r="J129" s="412"/>
      <c r="K129" s="412"/>
      <c r="L129" s="412"/>
    </row>
    <row r="130" spans="1:26" s="817" customFormat="1" ht="61.2" x14ac:dyDescent="0.2">
      <c r="A130" s="813">
        <v>15</v>
      </c>
      <c r="B130" s="813">
        <v>63</v>
      </c>
      <c r="C130" s="813" t="s">
        <v>1329</v>
      </c>
      <c r="D130" s="813" t="s">
        <v>1316</v>
      </c>
      <c r="E130" s="814">
        <v>1.8599999999999998E-2</v>
      </c>
      <c r="F130" s="815">
        <v>4240.7078000000001</v>
      </c>
      <c r="G130" s="815">
        <v>2123.1012500000002</v>
      </c>
      <c r="H130" s="816">
        <v>1650.04</v>
      </c>
      <c r="I130" s="816">
        <v>985.4</v>
      </c>
      <c r="J130" s="816">
        <v>522.84</v>
      </c>
      <c r="K130" s="815">
        <v>119.2895</v>
      </c>
      <c r="L130" s="815">
        <v>2.218785</v>
      </c>
      <c r="M130" s="819">
        <v>0</v>
      </c>
      <c r="N130" s="819" t="s">
        <v>1696</v>
      </c>
      <c r="O130" s="819"/>
      <c r="T130" s="817">
        <v>3823.12</v>
      </c>
      <c r="V130" s="817">
        <v>985.4</v>
      </c>
      <c r="W130" s="817">
        <v>522.84</v>
      </c>
      <c r="X130" s="817">
        <v>222.54</v>
      </c>
      <c r="Y130" s="817">
        <v>2.218785</v>
      </c>
      <c r="Z130" s="817">
        <v>0.38876300000000003</v>
      </c>
    </row>
    <row r="131" spans="1:26" x14ac:dyDescent="0.2">
      <c r="A131" s="407"/>
      <c r="B131" s="407"/>
      <c r="C131" s="407"/>
      <c r="D131" s="408" t="s">
        <v>1245</v>
      </c>
      <c r="E131" s="409"/>
      <c r="F131" s="410">
        <v>1183.34655</v>
      </c>
      <c r="G131" s="410">
        <v>267.24562500000002</v>
      </c>
      <c r="H131" s="409"/>
      <c r="I131" s="409"/>
      <c r="J131" s="411">
        <v>222.54</v>
      </c>
      <c r="K131" s="410">
        <v>20.901250000000001</v>
      </c>
      <c r="L131" s="410">
        <v>0.38876300000000003</v>
      </c>
    </row>
    <row r="132" spans="1:26" ht="20.399999999999999" x14ac:dyDescent="0.2">
      <c r="A132" s="412"/>
      <c r="B132" s="412"/>
      <c r="C132" s="412"/>
      <c r="D132" s="395" t="s">
        <v>714</v>
      </c>
      <c r="E132" s="412"/>
      <c r="F132" s="412"/>
      <c r="G132" s="412"/>
      <c r="H132" s="412"/>
      <c r="I132" s="412"/>
      <c r="J132" s="412"/>
      <c r="K132" s="412"/>
      <c r="L132" s="412"/>
    </row>
    <row r="133" spans="1:26" ht="20.399999999999999" x14ac:dyDescent="0.2">
      <c r="A133" s="412"/>
      <c r="B133" s="412"/>
      <c r="C133" s="412"/>
      <c r="D133" s="395" t="s">
        <v>978</v>
      </c>
      <c r="E133" s="412"/>
      <c r="F133" s="412"/>
      <c r="G133" s="412"/>
      <c r="H133" s="412"/>
      <c r="I133" s="412"/>
      <c r="J133" s="412"/>
      <c r="K133" s="412"/>
      <c r="L133" s="412"/>
    </row>
    <row r="134" spans="1:26" ht="132.6" x14ac:dyDescent="0.2">
      <c r="A134" s="412"/>
      <c r="B134" s="412"/>
      <c r="C134" s="412"/>
      <c r="D134" s="395" t="s">
        <v>979</v>
      </c>
      <c r="E134" s="412"/>
      <c r="F134" s="412"/>
      <c r="G134" s="412"/>
      <c r="H134" s="412"/>
      <c r="I134" s="412"/>
      <c r="J134" s="412"/>
      <c r="K134" s="412"/>
      <c r="L134" s="412"/>
    </row>
    <row r="135" spans="1:26" x14ac:dyDescent="0.2">
      <c r="A135" s="412"/>
      <c r="B135" s="412"/>
      <c r="C135" s="412"/>
      <c r="D135" s="413" t="s">
        <v>206</v>
      </c>
      <c r="E135" s="414" t="s">
        <v>1242</v>
      </c>
      <c r="F135" s="414"/>
      <c r="G135" s="414"/>
      <c r="H135" s="415">
        <v>1413.29</v>
      </c>
      <c r="I135" s="412"/>
      <c r="J135" s="412"/>
      <c r="K135" s="412"/>
      <c r="L135" s="412"/>
    </row>
    <row r="136" spans="1:26" x14ac:dyDescent="0.2">
      <c r="A136" s="412"/>
      <c r="B136" s="412"/>
      <c r="C136" s="412"/>
      <c r="D136" s="413" t="s">
        <v>207</v>
      </c>
      <c r="E136" s="414" t="s">
        <v>1243</v>
      </c>
      <c r="F136" s="414"/>
      <c r="G136" s="414"/>
      <c r="H136" s="415">
        <v>759.79</v>
      </c>
      <c r="I136" s="412"/>
      <c r="J136" s="412"/>
      <c r="K136" s="412"/>
      <c r="L136" s="412"/>
    </row>
    <row r="137" spans="1:26" x14ac:dyDescent="0.2">
      <c r="A137" s="412"/>
      <c r="B137" s="412"/>
      <c r="C137" s="412"/>
      <c r="D137" s="416" t="s">
        <v>715</v>
      </c>
      <c r="E137" s="417"/>
      <c r="F137" s="417"/>
      <c r="G137" s="417"/>
      <c r="H137" s="418">
        <v>3823.12</v>
      </c>
      <c r="I137" s="412"/>
      <c r="J137" s="412"/>
      <c r="K137" s="412"/>
      <c r="L137" s="412"/>
    </row>
    <row r="138" spans="1:26" s="817" customFormat="1" ht="30.6" x14ac:dyDescent="0.2">
      <c r="A138" s="813">
        <v>16</v>
      </c>
      <c r="B138" s="813">
        <v>64</v>
      </c>
      <c r="C138" s="813" t="s">
        <v>1285</v>
      </c>
      <c r="D138" s="813" t="s">
        <v>1270</v>
      </c>
      <c r="E138" s="814">
        <v>2.3E-2</v>
      </c>
      <c r="F138" s="815">
        <v>43982.400000000001</v>
      </c>
      <c r="G138" s="815" t="s">
        <v>281</v>
      </c>
      <c r="H138" s="816">
        <v>8254.6200000000008</v>
      </c>
      <c r="I138" s="816" t="s">
        <v>281</v>
      </c>
      <c r="J138" s="816" t="s">
        <v>281</v>
      </c>
      <c r="K138" s="815" t="s">
        <v>281</v>
      </c>
      <c r="L138" s="815" t="s">
        <v>281</v>
      </c>
      <c r="M138" s="819">
        <v>0</v>
      </c>
      <c r="N138" s="819" t="s">
        <v>1696</v>
      </c>
      <c r="O138" s="819"/>
      <c r="T138" s="817">
        <v>8254.6200000000008</v>
      </c>
      <c r="V138" s="817" t="s">
        <v>281</v>
      </c>
      <c r="W138" s="817" t="s">
        <v>281</v>
      </c>
      <c r="X138" s="817" t="s">
        <v>281</v>
      </c>
      <c r="Y138" s="817" t="s">
        <v>281</v>
      </c>
      <c r="Z138" s="817" t="s">
        <v>281</v>
      </c>
    </row>
    <row r="139" spans="1:26" x14ac:dyDescent="0.2">
      <c r="A139" s="407"/>
      <c r="B139" s="407"/>
      <c r="C139" s="407"/>
      <c r="D139" s="408" t="s">
        <v>224</v>
      </c>
      <c r="E139" s="409"/>
      <c r="F139" s="410" t="s">
        <v>281</v>
      </c>
      <c r="G139" s="410" t="s">
        <v>281</v>
      </c>
      <c r="H139" s="409"/>
      <c r="I139" s="409"/>
      <c r="J139" s="411" t="s">
        <v>281</v>
      </c>
      <c r="K139" s="410" t="s">
        <v>281</v>
      </c>
      <c r="L139" s="410" t="s">
        <v>281</v>
      </c>
    </row>
    <row r="140" spans="1:26" x14ac:dyDescent="0.2">
      <c r="A140" s="412"/>
      <c r="B140" s="412"/>
      <c r="C140" s="412"/>
      <c r="D140" s="395" t="s">
        <v>718</v>
      </c>
      <c r="E140" s="412"/>
      <c r="F140" s="412"/>
      <c r="G140" s="412"/>
      <c r="H140" s="412"/>
      <c r="I140" s="412"/>
      <c r="J140" s="412"/>
      <c r="K140" s="412"/>
      <c r="L140" s="412"/>
    </row>
    <row r="141" spans="1:26" s="817" customFormat="1" ht="20.399999999999999" x14ac:dyDescent="0.2">
      <c r="A141" s="813">
        <v>17</v>
      </c>
      <c r="B141" s="813">
        <v>65</v>
      </c>
      <c r="C141" s="813" t="s">
        <v>1250</v>
      </c>
      <c r="D141" s="813" t="s">
        <v>1572</v>
      </c>
      <c r="E141" s="814">
        <v>1.8228</v>
      </c>
      <c r="F141" s="815">
        <v>12.37</v>
      </c>
      <c r="G141" s="815" t="s">
        <v>281</v>
      </c>
      <c r="H141" s="816">
        <v>183.99</v>
      </c>
      <c r="I141" s="816" t="s">
        <v>281</v>
      </c>
      <c r="J141" s="816" t="s">
        <v>281</v>
      </c>
      <c r="K141" s="815" t="s">
        <v>281</v>
      </c>
      <c r="L141" s="815" t="s">
        <v>281</v>
      </c>
      <c r="M141" s="819">
        <v>0</v>
      </c>
      <c r="N141" s="819" t="s">
        <v>1696</v>
      </c>
      <c r="O141" s="819"/>
      <c r="T141" s="817">
        <v>183.99</v>
      </c>
      <c r="V141" s="817" t="s">
        <v>281</v>
      </c>
      <c r="W141" s="817" t="s">
        <v>281</v>
      </c>
      <c r="X141" s="817" t="s">
        <v>281</v>
      </c>
      <c r="Y141" s="817" t="s">
        <v>281</v>
      </c>
      <c r="Z141" s="817" t="s">
        <v>281</v>
      </c>
    </row>
    <row r="142" spans="1:26" x14ac:dyDescent="0.2">
      <c r="A142" s="407"/>
      <c r="B142" s="407"/>
      <c r="C142" s="407"/>
      <c r="D142" s="408" t="s">
        <v>898</v>
      </c>
      <c r="E142" s="409"/>
      <c r="F142" s="410" t="s">
        <v>281</v>
      </c>
      <c r="G142" s="410" t="s">
        <v>281</v>
      </c>
      <c r="H142" s="409"/>
      <c r="I142" s="409"/>
      <c r="J142" s="411" t="s">
        <v>281</v>
      </c>
      <c r="K142" s="410" t="s">
        <v>281</v>
      </c>
      <c r="L142" s="410" t="s">
        <v>281</v>
      </c>
    </row>
    <row r="143" spans="1:26" x14ac:dyDescent="0.2">
      <c r="A143" s="412"/>
      <c r="B143" s="412"/>
      <c r="C143" s="412"/>
      <c r="D143" s="395" t="s">
        <v>718</v>
      </c>
      <c r="E143" s="412"/>
      <c r="F143" s="412"/>
      <c r="G143" s="412"/>
      <c r="H143" s="412"/>
      <c r="I143" s="412"/>
      <c r="J143" s="412"/>
      <c r="K143" s="412"/>
      <c r="L143" s="412"/>
    </row>
    <row r="144" spans="1:26" s="790" customFormat="1" ht="40.799999999999997" x14ac:dyDescent="0.2">
      <c r="A144" s="784">
        <v>18</v>
      </c>
      <c r="B144" s="784">
        <v>66</v>
      </c>
      <c r="C144" s="784" t="s">
        <v>1330</v>
      </c>
      <c r="D144" s="784" t="s">
        <v>1317</v>
      </c>
      <c r="E144" s="785">
        <v>0.186</v>
      </c>
      <c r="F144" s="786">
        <v>1686.7662250000001</v>
      </c>
      <c r="G144" s="786">
        <v>112.72875000000001</v>
      </c>
      <c r="H144" s="787">
        <v>9252.44</v>
      </c>
      <c r="I144" s="787">
        <v>8053.73</v>
      </c>
      <c r="J144" s="787">
        <v>277.61</v>
      </c>
      <c r="K144" s="786">
        <v>100.53645</v>
      </c>
      <c r="L144" s="786">
        <v>18.699780000000001</v>
      </c>
      <c r="M144" s="789">
        <f>8.28/100</f>
        <v>8.2799999999999999E-2</v>
      </c>
      <c r="N144" s="789" t="s">
        <v>2328</v>
      </c>
      <c r="O144" s="789"/>
      <c r="T144" s="790">
        <v>23752.720000000001</v>
      </c>
      <c r="V144" s="790">
        <v>8053.73</v>
      </c>
      <c r="W144" s="790">
        <v>277.61</v>
      </c>
      <c r="X144" s="790">
        <v>6.46</v>
      </c>
      <c r="Y144" s="790">
        <v>18.699780000000001</v>
      </c>
      <c r="Z144" s="790">
        <v>1.0695E-2</v>
      </c>
    </row>
    <row r="145" spans="1:26" x14ac:dyDescent="0.2">
      <c r="A145" s="407"/>
      <c r="B145" s="407"/>
      <c r="C145" s="407"/>
      <c r="D145" s="408" t="s">
        <v>1255</v>
      </c>
      <c r="E145" s="409"/>
      <c r="F145" s="410">
        <v>967.15747499999998</v>
      </c>
      <c r="G145" s="410">
        <v>0.77625</v>
      </c>
      <c r="H145" s="409"/>
      <c r="I145" s="409"/>
      <c r="J145" s="411">
        <v>6.46</v>
      </c>
      <c r="K145" s="410">
        <v>5.7500000000000002E-2</v>
      </c>
      <c r="L145" s="410">
        <v>1.0695E-2</v>
      </c>
    </row>
    <row r="146" spans="1:26" ht="20.399999999999999" x14ac:dyDescent="0.2">
      <c r="A146" s="412"/>
      <c r="B146" s="412"/>
      <c r="C146" s="412"/>
      <c r="D146" s="395" t="s">
        <v>714</v>
      </c>
      <c r="E146" s="412"/>
      <c r="F146" s="412"/>
      <c r="G146" s="412"/>
      <c r="H146" s="412"/>
      <c r="I146" s="412"/>
      <c r="J146" s="412"/>
      <c r="K146" s="412"/>
      <c r="L146" s="412"/>
    </row>
    <row r="147" spans="1:26" ht="20.399999999999999" x14ac:dyDescent="0.2">
      <c r="A147" s="412"/>
      <c r="B147" s="412"/>
      <c r="C147" s="412"/>
      <c r="D147" s="395" t="s">
        <v>978</v>
      </c>
      <c r="E147" s="412"/>
      <c r="F147" s="412"/>
      <c r="G147" s="412"/>
      <c r="H147" s="412"/>
      <c r="I147" s="412"/>
      <c r="J147" s="412"/>
      <c r="K147" s="412"/>
      <c r="L147" s="412"/>
    </row>
    <row r="148" spans="1:26" ht="132.6" x14ac:dyDescent="0.2">
      <c r="A148" s="412"/>
      <c r="B148" s="412"/>
      <c r="C148" s="412"/>
      <c r="D148" s="395" t="s">
        <v>979</v>
      </c>
      <c r="E148" s="412"/>
      <c r="F148" s="412"/>
      <c r="G148" s="412"/>
      <c r="H148" s="412"/>
      <c r="I148" s="412"/>
      <c r="J148" s="412"/>
      <c r="K148" s="412"/>
      <c r="L148" s="412"/>
    </row>
    <row r="149" spans="1:26" x14ac:dyDescent="0.2">
      <c r="A149" s="412"/>
      <c r="B149" s="412"/>
      <c r="C149" s="412"/>
      <c r="D149" s="413" t="s">
        <v>206</v>
      </c>
      <c r="E149" s="414" t="s">
        <v>1242</v>
      </c>
      <c r="F149" s="414"/>
      <c r="G149" s="414"/>
      <c r="H149" s="415">
        <v>9430.42</v>
      </c>
      <c r="I149" s="412"/>
      <c r="J149" s="412"/>
      <c r="K149" s="412"/>
      <c r="L149" s="412"/>
    </row>
    <row r="150" spans="1:26" x14ac:dyDescent="0.2">
      <c r="A150" s="412"/>
      <c r="B150" s="412"/>
      <c r="C150" s="412"/>
      <c r="D150" s="413" t="s">
        <v>207</v>
      </c>
      <c r="E150" s="414" t="s">
        <v>1243</v>
      </c>
      <c r="F150" s="414"/>
      <c r="G150" s="414"/>
      <c r="H150" s="415">
        <v>5069.8599999999997</v>
      </c>
      <c r="I150" s="412"/>
      <c r="J150" s="412"/>
      <c r="K150" s="412"/>
      <c r="L150" s="412"/>
    </row>
    <row r="151" spans="1:26" x14ac:dyDescent="0.2">
      <c r="A151" s="412"/>
      <c r="B151" s="412"/>
      <c r="C151" s="412"/>
      <c r="D151" s="416" t="s">
        <v>715</v>
      </c>
      <c r="E151" s="417"/>
      <c r="F151" s="417"/>
      <c r="G151" s="417"/>
      <c r="H151" s="418">
        <v>23752.720000000001</v>
      </c>
      <c r="I151" s="412"/>
      <c r="J151" s="412"/>
      <c r="K151" s="412"/>
      <c r="L151" s="412"/>
    </row>
    <row r="152" spans="1:26" s="790" customFormat="1" ht="20.399999999999999" x14ac:dyDescent="0.2">
      <c r="A152" s="784">
        <v>19</v>
      </c>
      <c r="B152" s="784">
        <v>67</v>
      </c>
      <c r="C152" s="784" t="s">
        <v>1331</v>
      </c>
      <c r="D152" s="784" t="s">
        <v>1332</v>
      </c>
      <c r="E152" s="785">
        <v>3</v>
      </c>
      <c r="F152" s="786">
        <v>4.62</v>
      </c>
      <c r="G152" s="786" t="s">
        <v>281</v>
      </c>
      <c r="H152" s="787">
        <v>113.1</v>
      </c>
      <c r="I152" s="787" t="s">
        <v>281</v>
      </c>
      <c r="J152" s="787" t="s">
        <v>281</v>
      </c>
      <c r="K152" s="786" t="s">
        <v>281</v>
      </c>
      <c r="L152" s="786" t="s">
        <v>281</v>
      </c>
      <c r="M152" s="789">
        <v>4</v>
      </c>
      <c r="N152" s="789" t="s">
        <v>2328</v>
      </c>
      <c r="O152" s="789"/>
      <c r="T152" s="790">
        <v>113.1</v>
      </c>
      <c r="V152" s="790" t="s">
        <v>281</v>
      </c>
      <c r="W152" s="790" t="s">
        <v>281</v>
      </c>
      <c r="X152" s="790" t="s">
        <v>281</v>
      </c>
      <c r="Y152" s="790" t="s">
        <v>281</v>
      </c>
      <c r="Z152" s="790" t="s">
        <v>281</v>
      </c>
    </row>
    <row r="153" spans="1:26" x14ac:dyDescent="0.2">
      <c r="A153" s="407"/>
      <c r="B153" s="407"/>
      <c r="C153" s="407"/>
      <c r="D153" s="408" t="s">
        <v>735</v>
      </c>
      <c r="E153" s="409"/>
      <c r="F153" s="410" t="s">
        <v>281</v>
      </c>
      <c r="G153" s="410" t="s">
        <v>281</v>
      </c>
      <c r="H153" s="409"/>
      <c r="I153" s="409"/>
      <c r="J153" s="411" t="s">
        <v>281</v>
      </c>
      <c r="K153" s="410" t="s">
        <v>281</v>
      </c>
      <c r="L153" s="410" t="s">
        <v>281</v>
      </c>
    </row>
    <row r="154" spans="1:26" x14ac:dyDescent="0.2">
      <c r="A154" s="412"/>
      <c r="B154" s="412"/>
      <c r="C154" s="412"/>
      <c r="D154" s="395" t="s">
        <v>718</v>
      </c>
      <c r="E154" s="412"/>
      <c r="F154" s="412"/>
      <c r="G154" s="412"/>
      <c r="H154" s="412"/>
      <c r="I154" s="412"/>
      <c r="J154" s="412"/>
      <c r="K154" s="412"/>
      <c r="L154" s="412"/>
    </row>
    <row r="155" spans="1:26" s="790" customFormat="1" ht="30.6" x14ac:dyDescent="0.2">
      <c r="A155" s="784">
        <v>20</v>
      </c>
      <c r="B155" s="784">
        <v>68</v>
      </c>
      <c r="C155" s="784" t="s">
        <v>1256</v>
      </c>
      <c r="D155" s="784" t="s">
        <v>1333</v>
      </c>
      <c r="E155" s="785">
        <v>1.54</v>
      </c>
      <c r="F155" s="786">
        <v>603.35</v>
      </c>
      <c r="G155" s="786">
        <v>75.010000000000005</v>
      </c>
      <c r="H155" s="787">
        <v>9332.42</v>
      </c>
      <c r="I155" s="787">
        <v>1423.04</v>
      </c>
      <c r="J155" s="787">
        <v>1529.42</v>
      </c>
      <c r="K155" s="786">
        <v>2.33</v>
      </c>
      <c r="L155" s="786">
        <v>3.5882000000000001</v>
      </c>
      <c r="M155" s="789">
        <v>0.72</v>
      </c>
      <c r="N155" s="789" t="s">
        <v>2328</v>
      </c>
      <c r="O155" s="789"/>
      <c r="T155" s="790">
        <v>12894.15</v>
      </c>
      <c r="V155" s="790">
        <v>1423.04</v>
      </c>
      <c r="W155" s="790">
        <v>1529.42</v>
      </c>
      <c r="X155" s="790">
        <v>748.75</v>
      </c>
      <c r="Y155" s="790">
        <v>3.5882000000000001</v>
      </c>
      <c r="Z155" s="790">
        <v>1.0626</v>
      </c>
    </row>
    <row r="156" spans="1:26" x14ac:dyDescent="0.2">
      <c r="A156" s="407"/>
      <c r="B156" s="407"/>
      <c r="C156" s="407"/>
      <c r="D156" s="408" t="s">
        <v>745</v>
      </c>
      <c r="E156" s="409"/>
      <c r="F156" s="410">
        <v>20.64</v>
      </c>
      <c r="G156" s="410">
        <v>10.86</v>
      </c>
      <c r="H156" s="409"/>
      <c r="I156" s="409"/>
      <c r="J156" s="411">
        <v>748.75</v>
      </c>
      <c r="K156" s="410">
        <v>0.69</v>
      </c>
      <c r="L156" s="410">
        <v>1.0626</v>
      </c>
    </row>
    <row r="157" spans="1:26" ht="20.399999999999999" x14ac:dyDescent="0.2">
      <c r="A157" s="412"/>
      <c r="B157" s="412"/>
      <c r="C157" s="412"/>
      <c r="D157" s="395" t="s">
        <v>714</v>
      </c>
      <c r="E157" s="412"/>
      <c r="F157" s="412"/>
      <c r="G157" s="412"/>
      <c r="H157" s="412"/>
      <c r="I157" s="412"/>
      <c r="J157" s="412"/>
      <c r="K157" s="412"/>
      <c r="L157" s="412"/>
    </row>
    <row r="158" spans="1:26" x14ac:dyDescent="0.2">
      <c r="A158" s="412"/>
      <c r="B158" s="412"/>
      <c r="C158" s="412"/>
      <c r="D158" s="413" t="s">
        <v>206</v>
      </c>
      <c r="E158" s="414" t="s">
        <v>1257</v>
      </c>
      <c r="F158" s="414"/>
      <c r="G158" s="414"/>
      <c r="H158" s="415">
        <v>2258.66</v>
      </c>
      <c r="I158" s="412"/>
      <c r="J158" s="412"/>
      <c r="K158" s="412"/>
      <c r="L158" s="412"/>
    </row>
    <row r="159" spans="1:26" x14ac:dyDescent="0.2">
      <c r="A159" s="412"/>
      <c r="B159" s="412"/>
      <c r="C159" s="412"/>
      <c r="D159" s="413" t="s">
        <v>207</v>
      </c>
      <c r="E159" s="414" t="s">
        <v>1258</v>
      </c>
      <c r="F159" s="414"/>
      <c r="G159" s="414"/>
      <c r="H159" s="415">
        <v>1303.07</v>
      </c>
      <c r="I159" s="412"/>
      <c r="J159" s="412"/>
      <c r="K159" s="412"/>
      <c r="L159" s="412"/>
    </row>
    <row r="160" spans="1:26" x14ac:dyDescent="0.2">
      <c r="A160" s="412"/>
      <c r="B160" s="412"/>
      <c r="C160" s="412"/>
      <c r="D160" s="416" t="s">
        <v>715</v>
      </c>
      <c r="E160" s="417"/>
      <c r="F160" s="417"/>
      <c r="G160" s="417"/>
      <c r="H160" s="418">
        <v>12894.15</v>
      </c>
      <c r="I160" s="412"/>
      <c r="J160" s="412"/>
      <c r="K160" s="412"/>
      <c r="L160" s="412"/>
    </row>
    <row r="161" spans="1:26" s="790" customFormat="1" x14ac:dyDescent="0.2">
      <c r="A161" s="784">
        <v>21</v>
      </c>
      <c r="B161" s="784">
        <v>69</v>
      </c>
      <c r="C161" s="784" t="s">
        <v>1259</v>
      </c>
      <c r="D161" s="784" t="s">
        <v>1334</v>
      </c>
      <c r="E161" s="785">
        <v>-1.5630999999999999</v>
      </c>
      <c r="F161" s="786">
        <v>463.3</v>
      </c>
      <c r="G161" s="786" t="s">
        <v>281</v>
      </c>
      <c r="H161" s="787">
        <v>-5909.35</v>
      </c>
      <c r="I161" s="787" t="s">
        <v>281</v>
      </c>
      <c r="J161" s="787" t="s">
        <v>281</v>
      </c>
      <c r="K161" s="786" t="s">
        <v>281</v>
      </c>
      <c r="L161" s="786" t="s">
        <v>281</v>
      </c>
      <c r="M161" s="789"/>
      <c r="N161" s="789"/>
      <c r="O161" s="789"/>
      <c r="T161" s="790">
        <v>-5909.35</v>
      </c>
      <c r="V161" s="790" t="s">
        <v>281</v>
      </c>
      <c r="W161" s="790" t="s">
        <v>281</v>
      </c>
      <c r="X161" s="790" t="s">
        <v>281</v>
      </c>
      <c r="Y161" s="790" t="s">
        <v>281</v>
      </c>
      <c r="Z161" s="790" t="s">
        <v>281</v>
      </c>
    </row>
    <row r="162" spans="1:26" x14ac:dyDescent="0.2">
      <c r="A162" s="407"/>
      <c r="B162" s="407"/>
      <c r="C162" s="407"/>
      <c r="D162" s="408" t="s">
        <v>745</v>
      </c>
      <c r="E162" s="409"/>
      <c r="F162" s="410" t="s">
        <v>281</v>
      </c>
      <c r="G162" s="410" t="s">
        <v>281</v>
      </c>
      <c r="H162" s="409"/>
      <c r="I162" s="409"/>
      <c r="J162" s="411" t="s">
        <v>281</v>
      </c>
      <c r="K162" s="410" t="s">
        <v>281</v>
      </c>
      <c r="L162" s="410" t="s">
        <v>281</v>
      </c>
    </row>
    <row r="163" spans="1:26" x14ac:dyDescent="0.2">
      <c r="A163" s="412"/>
      <c r="B163" s="412"/>
      <c r="C163" s="412"/>
      <c r="D163" s="395" t="s">
        <v>718</v>
      </c>
      <c r="E163" s="412"/>
      <c r="F163" s="412"/>
      <c r="G163" s="412"/>
      <c r="H163" s="412"/>
      <c r="I163" s="412"/>
      <c r="J163" s="412"/>
      <c r="K163" s="412"/>
      <c r="L163" s="412"/>
    </row>
    <row r="164" spans="1:26" s="790" customFormat="1" x14ac:dyDescent="0.2">
      <c r="A164" s="784">
        <v>22</v>
      </c>
      <c r="B164" s="784">
        <v>70</v>
      </c>
      <c r="C164" s="784" t="s">
        <v>1260</v>
      </c>
      <c r="D164" s="784" t="s">
        <v>1335</v>
      </c>
      <c r="E164" s="785">
        <v>1.5630999999999999</v>
      </c>
      <c r="F164" s="786">
        <v>519.79999999999995</v>
      </c>
      <c r="G164" s="786" t="s">
        <v>281</v>
      </c>
      <c r="H164" s="787">
        <v>6630</v>
      </c>
      <c r="I164" s="787" t="s">
        <v>281</v>
      </c>
      <c r="J164" s="787" t="s">
        <v>281</v>
      </c>
      <c r="K164" s="786" t="s">
        <v>281</v>
      </c>
      <c r="L164" s="786" t="s">
        <v>281</v>
      </c>
      <c r="M164" s="789">
        <v>0.72</v>
      </c>
      <c r="N164" s="789" t="s">
        <v>2331</v>
      </c>
      <c r="O164" s="789"/>
      <c r="T164" s="790">
        <v>6630</v>
      </c>
      <c r="V164" s="790" t="s">
        <v>281</v>
      </c>
      <c r="W164" s="790" t="s">
        <v>281</v>
      </c>
      <c r="X164" s="790" t="s">
        <v>281</v>
      </c>
      <c r="Y164" s="790" t="s">
        <v>281</v>
      </c>
      <c r="Z164" s="790" t="s">
        <v>281</v>
      </c>
    </row>
    <row r="165" spans="1:26" x14ac:dyDescent="0.2">
      <c r="A165" s="407"/>
      <c r="B165" s="407"/>
      <c r="C165" s="407"/>
      <c r="D165" s="408" t="s">
        <v>745</v>
      </c>
      <c r="E165" s="409"/>
      <c r="F165" s="410" t="s">
        <v>281</v>
      </c>
      <c r="G165" s="410" t="s">
        <v>281</v>
      </c>
      <c r="H165" s="409"/>
      <c r="I165" s="409"/>
      <c r="J165" s="411" t="s">
        <v>281</v>
      </c>
      <c r="K165" s="410" t="s">
        <v>281</v>
      </c>
      <c r="L165" s="410" t="s">
        <v>281</v>
      </c>
    </row>
    <row r="166" spans="1:26" x14ac:dyDescent="0.2">
      <c r="A166" s="412"/>
      <c r="B166" s="412"/>
      <c r="C166" s="412"/>
      <c r="D166" s="395" t="s">
        <v>718</v>
      </c>
      <c r="E166" s="412"/>
      <c r="F166" s="412"/>
      <c r="G166" s="412"/>
      <c r="H166" s="412"/>
      <c r="I166" s="412"/>
      <c r="J166" s="412"/>
      <c r="K166" s="412"/>
      <c r="L166" s="412"/>
    </row>
    <row r="167" spans="1:26" s="790" customFormat="1" ht="40.799999999999997" x14ac:dyDescent="0.2">
      <c r="A167" s="784">
        <v>23</v>
      </c>
      <c r="B167" s="784">
        <v>71</v>
      </c>
      <c r="C167" s="784" t="s">
        <v>1241</v>
      </c>
      <c r="D167" s="784" t="s">
        <v>1229</v>
      </c>
      <c r="E167" s="785">
        <v>0.28000000000000003</v>
      </c>
      <c r="F167" s="786">
        <v>151.603925</v>
      </c>
      <c r="G167" s="786">
        <v>41.4</v>
      </c>
      <c r="H167" s="787">
        <v>1534.95</v>
      </c>
      <c r="I167" s="787">
        <v>1381.47</v>
      </c>
      <c r="J167" s="787">
        <v>153.47999999999999</v>
      </c>
      <c r="K167" s="786">
        <v>13.4895</v>
      </c>
      <c r="L167" s="786">
        <v>3.7770600000000001</v>
      </c>
      <c r="M167" s="789">
        <f>3.64/10</f>
        <v>0.36399999999999999</v>
      </c>
      <c r="N167" s="789" t="s">
        <v>2325</v>
      </c>
      <c r="O167" s="789"/>
      <c r="T167" s="790">
        <v>4124.59</v>
      </c>
      <c r="V167" s="790">
        <v>1381.47</v>
      </c>
      <c r="W167" s="790">
        <v>153.47999999999999</v>
      </c>
      <c r="X167" s="790">
        <v>58.02</v>
      </c>
      <c r="Y167" s="790">
        <v>3.7770600000000001</v>
      </c>
      <c r="Z167" s="790">
        <v>0.1288</v>
      </c>
    </row>
    <row r="168" spans="1:26" x14ac:dyDescent="0.2">
      <c r="A168" s="407"/>
      <c r="B168" s="407"/>
      <c r="C168" s="407"/>
      <c r="D168" s="408" t="s">
        <v>1239</v>
      </c>
      <c r="E168" s="409"/>
      <c r="F168" s="410">
        <v>110.203925</v>
      </c>
      <c r="G168" s="410">
        <v>4.6287500000000001</v>
      </c>
      <c r="H168" s="409"/>
      <c r="I168" s="409"/>
      <c r="J168" s="411">
        <v>58.02</v>
      </c>
      <c r="K168" s="410">
        <v>0.46</v>
      </c>
      <c r="L168" s="410">
        <v>0.1288</v>
      </c>
    </row>
    <row r="169" spans="1:26" ht="20.399999999999999" x14ac:dyDescent="0.2">
      <c r="A169" s="412"/>
      <c r="B169" s="412"/>
      <c r="C169" s="412"/>
      <c r="D169" s="395" t="s">
        <v>714</v>
      </c>
      <c r="E169" s="412"/>
      <c r="F169" s="412"/>
      <c r="G169" s="412"/>
      <c r="H169" s="412"/>
      <c r="I169" s="412"/>
      <c r="J169" s="412"/>
      <c r="K169" s="412"/>
      <c r="L169" s="412"/>
    </row>
    <row r="170" spans="1:26" ht="20.399999999999999" x14ac:dyDescent="0.2">
      <c r="A170" s="412"/>
      <c r="B170" s="412"/>
      <c r="C170" s="412"/>
      <c r="D170" s="395" t="s">
        <v>978</v>
      </c>
      <c r="E170" s="412"/>
      <c r="F170" s="412"/>
      <c r="G170" s="412"/>
      <c r="H170" s="412"/>
      <c r="I170" s="412"/>
      <c r="J170" s="412"/>
      <c r="K170" s="412"/>
      <c r="L170" s="412"/>
    </row>
    <row r="171" spans="1:26" ht="132.6" x14ac:dyDescent="0.2">
      <c r="A171" s="412"/>
      <c r="B171" s="412"/>
      <c r="C171" s="412"/>
      <c r="D171" s="395" t="s">
        <v>979</v>
      </c>
      <c r="E171" s="412"/>
      <c r="F171" s="412"/>
      <c r="G171" s="412"/>
      <c r="H171" s="412"/>
      <c r="I171" s="412"/>
      <c r="J171" s="412"/>
      <c r="K171" s="412"/>
      <c r="L171" s="412"/>
    </row>
    <row r="172" spans="1:26" x14ac:dyDescent="0.2">
      <c r="A172" s="412"/>
      <c r="B172" s="412"/>
      <c r="C172" s="412"/>
      <c r="D172" s="413" t="s">
        <v>206</v>
      </c>
      <c r="E172" s="414" t="s">
        <v>1242</v>
      </c>
      <c r="F172" s="414"/>
      <c r="G172" s="414"/>
      <c r="H172" s="415">
        <v>1684.2</v>
      </c>
      <c r="I172" s="412"/>
      <c r="J172" s="412"/>
      <c r="K172" s="412"/>
      <c r="L172" s="412"/>
    </row>
    <row r="173" spans="1:26" x14ac:dyDescent="0.2">
      <c r="A173" s="412"/>
      <c r="B173" s="412"/>
      <c r="C173" s="412"/>
      <c r="D173" s="413" t="s">
        <v>207</v>
      </c>
      <c r="E173" s="414" t="s">
        <v>1243</v>
      </c>
      <c r="F173" s="414"/>
      <c r="G173" s="414"/>
      <c r="H173" s="415">
        <v>905.44</v>
      </c>
      <c r="I173" s="412"/>
      <c r="J173" s="412"/>
      <c r="K173" s="412"/>
      <c r="L173" s="412"/>
    </row>
    <row r="174" spans="1:26" x14ac:dyDescent="0.2">
      <c r="A174" s="412"/>
      <c r="B174" s="412"/>
      <c r="C174" s="412"/>
      <c r="D174" s="416" t="s">
        <v>715</v>
      </c>
      <c r="E174" s="417"/>
      <c r="F174" s="417"/>
      <c r="G174" s="417"/>
      <c r="H174" s="418">
        <v>4124.59</v>
      </c>
      <c r="I174" s="412"/>
      <c r="J174" s="412"/>
      <c r="K174" s="412"/>
      <c r="L174" s="412"/>
    </row>
    <row r="175" spans="1:26" s="790" customFormat="1" ht="30.6" x14ac:dyDescent="0.2">
      <c r="A175" s="784">
        <v>24</v>
      </c>
      <c r="B175" s="784">
        <v>72</v>
      </c>
      <c r="C175" s="784" t="s">
        <v>766</v>
      </c>
      <c r="D175" s="784" t="s">
        <v>1043</v>
      </c>
      <c r="E175" s="785">
        <v>3.08</v>
      </c>
      <c r="F175" s="786">
        <v>101.17976</v>
      </c>
      <c r="G175" s="786" t="s">
        <v>281</v>
      </c>
      <c r="H175" s="787">
        <v>2542.94</v>
      </c>
      <c r="I175" s="787" t="s">
        <v>281</v>
      </c>
      <c r="J175" s="787" t="s">
        <v>281</v>
      </c>
      <c r="K175" s="786" t="s">
        <v>281</v>
      </c>
      <c r="L175" s="786" t="s">
        <v>281</v>
      </c>
      <c r="M175" s="789">
        <f>M167*10*1.1</f>
        <v>4.0039999999999996</v>
      </c>
      <c r="N175" s="789" t="s">
        <v>2327</v>
      </c>
      <c r="O175" s="789" t="s">
        <v>2326</v>
      </c>
      <c r="T175" s="790">
        <v>2542.94</v>
      </c>
      <c r="V175" s="790" t="s">
        <v>281</v>
      </c>
      <c r="W175" s="790" t="s">
        <v>281</v>
      </c>
      <c r="X175" s="790" t="s">
        <v>281</v>
      </c>
      <c r="Y175" s="790" t="s">
        <v>281</v>
      </c>
      <c r="Z175" s="790" t="s">
        <v>281</v>
      </c>
    </row>
    <row r="176" spans="1:26" x14ac:dyDescent="0.2">
      <c r="A176" s="407"/>
      <c r="B176" s="407"/>
      <c r="C176" s="407"/>
      <c r="D176" s="408" t="s">
        <v>745</v>
      </c>
      <c r="E176" s="409"/>
      <c r="F176" s="410" t="s">
        <v>281</v>
      </c>
      <c r="G176" s="410" t="s">
        <v>281</v>
      </c>
      <c r="H176" s="409"/>
      <c r="I176" s="409"/>
      <c r="J176" s="411" t="s">
        <v>281</v>
      </c>
      <c r="K176" s="410" t="s">
        <v>281</v>
      </c>
      <c r="L176" s="410" t="s">
        <v>281</v>
      </c>
    </row>
    <row r="177" spans="1:26" x14ac:dyDescent="0.2">
      <c r="A177" s="412"/>
      <c r="B177" s="412"/>
      <c r="C177" s="412"/>
      <c r="D177" s="395" t="s">
        <v>718</v>
      </c>
      <c r="E177" s="412"/>
      <c r="F177" s="412"/>
      <c r="G177" s="412"/>
      <c r="H177" s="412"/>
      <c r="I177" s="412"/>
      <c r="J177" s="412"/>
      <c r="K177" s="412"/>
      <c r="L177" s="412"/>
    </row>
    <row r="178" spans="1:26" x14ac:dyDescent="0.2">
      <c r="A178" s="412"/>
      <c r="B178" s="412"/>
      <c r="C178" s="412"/>
      <c r="D178" s="395" t="s">
        <v>1064</v>
      </c>
      <c r="E178" s="412"/>
      <c r="F178" s="412"/>
      <c r="G178" s="412"/>
      <c r="H178" s="412"/>
      <c r="I178" s="412"/>
      <c r="J178" s="412"/>
      <c r="K178" s="412"/>
      <c r="L178" s="412"/>
    </row>
    <row r="179" spans="1:26" x14ac:dyDescent="0.2">
      <c r="A179" s="412"/>
      <c r="B179" s="412"/>
      <c r="C179" s="412"/>
      <c r="D179" s="395" t="s">
        <v>1324</v>
      </c>
      <c r="E179" s="412"/>
      <c r="F179" s="412"/>
      <c r="G179" s="412"/>
      <c r="H179" s="412"/>
      <c r="I179" s="412"/>
      <c r="J179" s="412"/>
      <c r="K179" s="412"/>
      <c r="L179" s="412"/>
    </row>
    <row r="180" spans="1:26" s="817" customFormat="1" ht="40.799999999999997" x14ac:dyDescent="0.2">
      <c r="A180" s="813">
        <v>25</v>
      </c>
      <c r="B180" s="813">
        <v>73</v>
      </c>
      <c r="C180" s="813" t="s">
        <v>1336</v>
      </c>
      <c r="D180" s="813" t="s">
        <v>1318</v>
      </c>
      <c r="E180" s="814">
        <v>0.126</v>
      </c>
      <c r="F180" s="815">
        <v>171.010175</v>
      </c>
      <c r="G180" s="815">
        <v>60.806249999999999</v>
      </c>
      <c r="H180" s="816">
        <v>723.1</v>
      </c>
      <c r="I180" s="816">
        <v>621.66</v>
      </c>
      <c r="J180" s="816">
        <v>101.44</v>
      </c>
      <c r="K180" s="815">
        <v>13.4895</v>
      </c>
      <c r="L180" s="815">
        <v>1.6996770000000001</v>
      </c>
      <c r="M180" s="819">
        <v>0</v>
      </c>
      <c r="N180" s="819" t="s">
        <v>2323</v>
      </c>
      <c r="O180" s="819"/>
      <c r="T180" s="817">
        <v>1910.47</v>
      </c>
      <c r="V180" s="817">
        <v>621.66</v>
      </c>
      <c r="W180" s="817">
        <v>101.44</v>
      </c>
      <c r="X180" s="817">
        <v>38.36</v>
      </c>
      <c r="Y180" s="817">
        <v>1.6996770000000001</v>
      </c>
      <c r="Z180" s="817">
        <v>8.5128999999999996E-2</v>
      </c>
    </row>
    <row r="181" spans="1:26" x14ac:dyDescent="0.2">
      <c r="A181" s="407"/>
      <c r="B181" s="407"/>
      <c r="C181" s="407"/>
      <c r="D181" s="408" t="s">
        <v>1239</v>
      </c>
      <c r="E181" s="409"/>
      <c r="F181" s="410">
        <v>110.203925</v>
      </c>
      <c r="G181" s="410">
        <v>6.7993750000000004</v>
      </c>
      <c r="H181" s="409"/>
      <c r="I181" s="409"/>
      <c r="J181" s="411">
        <v>38.36</v>
      </c>
      <c r="K181" s="410">
        <v>0.67562500000000003</v>
      </c>
      <c r="L181" s="410">
        <v>8.5128999999999996E-2</v>
      </c>
    </row>
    <row r="182" spans="1:26" ht="20.399999999999999" x14ac:dyDescent="0.2">
      <c r="A182" s="412"/>
      <c r="B182" s="412"/>
      <c r="C182" s="412"/>
      <c r="D182" s="395" t="s">
        <v>714</v>
      </c>
      <c r="E182" s="412"/>
      <c r="F182" s="412"/>
      <c r="G182" s="412"/>
      <c r="H182" s="412"/>
      <c r="I182" s="412"/>
      <c r="J182" s="412"/>
      <c r="K182" s="412"/>
      <c r="L182" s="412"/>
    </row>
    <row r="183" spans="1:26" ht="20.399999999999999" x14ac:dyDescent="0.2">
      <c r="A183" s="412"/>
      <c r="B183" s="412"/>
      <c r="C183" s="412"/>
      <c r="D183" s="395" t="s">
        <v>978</v>
      </c>
      <c r="E183" s="412"/>
      <c r="F183" s="412"/>
      <c r="G183" s="412"/>
      <c r="H183" s="412"/>
      <c r="I183" s="412"/>
      <c r="J183" s="412"/>
      <c r="K183" s="412"/>
      <c r="L183" s="412"/>
    </row>
    <row r="184" spans="1:26" ht="132.6" x14ac:dyDescent="0.2">
      <c r="A184" s="412"/>
      <c r="B184" s="412"/>
      <c r="C184" s="412"/>
      <c r="D184" s="395" t="s">
        <v>979</v>
      </c>
      <c r="E184" s="412"/>
      <c r="F184" s="412"/>
      <c r="G184" s="412"/>
      <c r="H184" s="412"/>
      <c r="I184" s="412"/>
      <c r="J184" s="412"/>
      <c r="K184" s="412"/>
      <c r="L184" s="412"/>
    </row>
    <row r="185" spans="1:26" x14ac:dyDescent="0.2">
      <c r="A185" s="412"/>
      <c r="B185" s="412"/>
      <c r="C185" s="412"/>
      <c r="D185" s="413" t="s">
        <v>206</v>
      </c>
      <c r="E185" s="414" t="s">
        <v>1242</v>
      </c>
      <c r="F185" s="414"/>
      <c r="G185" s="414"/>
      <c r="H185" s="415">
        <v>772.22</v>
      </c>
      <c r="I185" s="412"/>
      <c r="J185" s="412"/>
      <c r="K185" s="412"/>
      <c r="L185" s="412"/>
    </row>
    <row r="186" spans="1:26" x14ac:dyDescent="0.2">
      <c r="A186" s="412"/>
      <c r="B186" s="412"/>
      <c r="C186" s="412"/>
      <c r="D186" s="413" t="s">
        <v>207</v>
      </c>
      <c r="E186" s="414" t="s">
        <v>1243</v>
      </c>
      <c r="F186" s="414"/>
      <c r="G186" s="414"/>
      <c r="H186" s="415">
        <v>415.15</v>
      </c>
      <c r="I186" s="412"/>
      <c r="J186" s="412"/>
      <c r="K186" s="412"/>
      <c r="L186" s="412"/>
    </row>
    <row r="187" spans="1:26" x14ac:dyDescent="0.2">
      <c r="A187" s="412"/>
      <c r="B187" s="412"/>
      <c r="C187" s="412"/>
      <c r="D187" s="416" t="s">
        <v>715</v>
      </c>
      <c r="E187" s="417"/>
      <c r="F187" s="417"/>
      <c r="G187" s="417"/>
      <c r="H187" s="418">
        <v>1910.47</v>
      </c>
      <c r="I187" s="412"/>
      <c r="J187" s="412"/>
      <c r="K187" s="412"/>
      <c r="L187" s="412"/>
    </row>
    <row r="188" spans="1:26" s="817" customFormat="1" ht="30.6" x14ac:dyDescent="0.2">
      <c r="A188" s="813">
        <v>26</v>
      </c>
      <c r="B188" s="813">
        <v>74</v>
      </c>
      <c r="C188" s="813" t="s">
        <v>766</v>
      </c>
      <c r="D188" s="813" t="s">
        <v>1579</v>
      </c>
      <c r="E188" s="814">
        <v>1.575</v>
      </c>
      <c r="F188" s="815">
        <v>329.11252000000002</v>
      </c>
      <c r="G188" s="815" t="s">
        <v>281</v>
      </c>
      <c r="H188" s="816">
        <v>4229.76</v>
      </c>
      <c r="I188" s="816" t="s">
        <v>281</v>
      </c>
      <c r="J188" s="816" t="s">
        <v>281</v>
      </c>
      <c r="K188" s="815" t="s">
        <v>281</v>
      </c>
      <c r="L188" s="815" t="s">
        <v>281</v>
      </c>
      <c r="M188" s="819">
        <v>0</v>
      </c>
      <c r="N188" s="819" t="s">
        <v>2323</v>
      </c>
      <c r="O188" s="819"/>
      <c r="T188" s="817">
        <v>4229.76</v>
      </c>
      <c r="V188" s="817" t="s">
        <v>281</v>
      </c>
      <c r="W188" s="817" t="s">
        <v>281</v>
      </c>
      <c r="X188" s="817" t="s">
        <v>281</v>
      </c>
      <c r="Y188" s="817" t="s">
        <v>281</v>
      </c>
      <c r="Z188" s="817" t="s">
        <v>281</v>
      </c>
    </row>
    <row r="189" spans="1:26" x14ac:dyDescent="0.2">
      <c r="A189" s="407"/>
      <c r="B189" s="407"/>
      <c r="C189" s="407"/>
      <c r="D189" s="408" t="s">
        <v>745</v>
      </c>
      <c r="E189" s="409"/>
      <c r="F189" s="410" t="s">
        <v>281</v>
      </c>
      <c r="G189" s="410" t="s">
        <v>281</v>
      </c>
      <c r="H189" s="409"/>
      <c r="I189" s="409"/>
      <c r="J189" s="411" t="s">
        <v>281</v>
      </c>
      <c r="K189" s="410" t="s">
        <v>281</v>
      </c>
      <c r="L189" s="410" t="s">
        <v>281</v>
      </c>
    </row>
    <row r="190" spans="1:26" x14ac:dyDescent="0.2">
      <c r="A190" s="412"/>
      <c r="B190" s="412"/>
      <c r="C190" s="412"/>
      <c r="D190" s="395" t="s">
        <v>718</v>
      </c>
      <c r="E190" s="412"/>
      <c r="F190" s="412"/>
      <c r="G190" s="412"/>
      <c r="H190" s="412"/>
      <c r="I190" s="412"/>
      <c r="J190" s="412"/>
      <c r="K190" s="412"/>
      <c r="L190" s="412"/>
    </row>
    <row r="191" spans="1:26" s="790" customFormat="1" ht="51" x14ac:dyDescent="0.2">
      <c r="A191" s="784">
        <v>27</v>
      </c>
      <c r="B191" s="784">
        <v>75</v>
      </c>
      <c r="C191" s="784" t="s">
        <v>1337</v>
      </c>
      <c r="D191" s="784" t="s">
        <v>1319</v>
      </c>
      <c r="E191" s="785">
        <v>0.31</v>
      </c>
      <c r="F191" s="786">
        <v>292.4425</v>
      </c>
      <c r="G191" s="786">
        <v>11.370625</v>
      </c>
      <c r="H191" s="787">
        <v>3890.84</v>
      </c>
      <c r="I191" s="787">
        <v>3831.52</v>
      </c>
      <c r="J191" s="787">
        <v>46.67</v>
      </c>
      <c r="K191" s="786">
        <v>30.073650000000001</v>
      </c>
      <c r="L191" s="786">
        <v>9.322832</v>
      </c>
      <c r="M191" s="789">
        <f>30.18/100</f>
        <v>0.30180000000000001</v>
      </c>
      <c r="N191" s="789" t="s">
        <v>2328</v>
      </c>
      <c r="O191" s="789"/>
      <c r="T191" s="790">
        <v>10823.94</v>
      </c>
      <c r="V191" s="790">
        <v>3831.52</v>
      </c>
      <c r="W191" s="790">
        <v>46.67</v>
      </c>
      <c r="X191" s="790">
        <v>22.34</v>
      </c>
      <c r="Y191" s="790">
        <v>9.322832</v>
      </c>
      <c r="Z191" s="790">
        <v>4.0106000000000003E-2</v>
      </c>
    </row>
    <row r="192" spans="1:26" x14ac:dyDescent="0.2">
      <c r="A192" s="407"/>
      <c r="B192" s="407"/>
      <c r="C192" s="407"/>
      <c r="D192" s="408" t="s">
        <v>747</v>
      </c>
      <c r="E192" s="409"/>
      <c r="F192" s="410">
        <v>276.07187499999998</v>
      </c>
      <c r="G192" s="410">
        <v>1.61</v>
      </c>
      <c r="H192" s="409"/>
      <c r="I192" s="409"/>
      <c r="J192" s="411">
        <v>22.34</v>
      </c>
      <c r="K192" s="410">
        <v>0.12937499999999999</v>
      </c>
      <c r="L192" s="410">
        <v>4.0106000000000003E-2</v>
      </c>
    </row>
    <row r="193" spans="1:26" ht="20.399999999999999" x14ac:dyDescent="0.2">
      <c r="A193" s="412"/>
      <c r="B193" s="412"/>
      <c r="C193" s="412"/>
      <c r="D193" s="395" t="s">
        <v>714</v>
      </c>
      <c r="E193" s="412"/>
      <c r="F193" s="412"/>
      <c r="G193" s="412"/>
      <c r="H193" s="412"/>
      <c r="I193" s="412"/>
      <c r="J193" s="412"/>
      <c r="K193" s="412"/>
      <c r="L193" s="412"/>
    </row>
    <row r="194" spans="1:26" ht="20.399999999999999" x14ac:dyDescent="0.2">
      <c r="A194" s="412"/>
      <c r="B194" s="412"/>
      <c r="C194" s="412"/>
      <c r="D194" s="395" t="s">
        <v>978</v>
      </c>
      <c r="E194" s="412"/>
      <c r="F194" s="412"/>
      <c r="G194" s="412"/>
      <c r="H194" s="412"/>
      <c r="I194" s="412"/>
      <c r="J194" s="412"/>
      <c r="K194" s="412"/>
      <c r="L194" s="412"/>
    </row>
    <row r="195" spans="1:26" ht="132.6" x14ac:dyDescent="0.2">
      <c r="A195" s="412"/>
      <c r="B195" s="412"/>
      <c r="C195" s="412"/>
      <c r="D195" s="395" t="s">
        <v>979</v>
      </c>
      <c r="E195" s="412"/>
      <c r="F195" s="412"/>
      <c r="G195" s="412"/>
      <c r="H195" s="412"/>
      <c r="I195" s="412"/>
      <c r="J195" s="412"/>
      <c r="K195" s="412"/>
      <c r="L195" s="412"/>
    </row>
    <row r="196" spans="1:26" x14ac:dyDescent="0.2">
      <c r="A196" s="412"/>
      <c r="B196" s="412"/>
      <c r="C196" s="412"/>
      <c r="D196" s="413" t="s">
        <v>206</v>
      </c>
      <c r="E196" s="414" t="s">
        <v>1242</v>
      </c>
      <c r="F196" s="414"/>
      <c r="G196" s="414"/>
      <c r="H196" s="415">
        <v>4509.0200000000004</v>
      </c>
      <c r="I196" s="412"/>
      <c r="J196" s="412"/>
      <c r="K196" s="412"/>
      <c r="L196" s="412"/>
    </row>
    <row r="197" spans="1:26" x14ac:dyDescent="0.2">
      <c r="A197" s="412"/>
      <c r="B197" s="412"/>
      <c r="C197" s="412"/>
      <c r="D197" s="413" t="s">
        <v>207</v>
      </c>
      <c r="E197" s="414" t="s">
        <v>1243</v>
      </c>
      <c r="F197" s="414"/>
      <c r="G197" s="414"/>
      <c r="H197" s="415">
        <v>2424.08</v>
      </c>
      <c r="I197" s="412"/>
      <c r="J197" s="412"/>
      <c r="K197" s="412"/>
      <c r="L197" s="412"/>
    </row>
    <row r="198" spans="1:26" x14ac:dyDescent="0.2">
      <c r="A198" s="412"/>
      <c r="B198" s="412"/>
      <c r="C198" s="412"/>
      <c r="D198" s="416" t="s">
        <v>715</v>
      </c>
      <c r="E198" s="417"/>
      <c r="F198" s="417"/>
      <c r="G198" s="417"/>
      <c r="H198" s="418">
        <v>10823.94</v>
      </c>
      <c r="I198" s="412"/>
      <c r="J198" s="412"/>
      <c r="K198" s="412"/>
      <c r="L198" s="412"/>
    </row>
    <row r="199" spans="1:26" s="829" customFormat="1" ht="40.799999999999997" x14ac:dyDescent="0.2">
      <c r="A199" s="825">
        <v>28</v>
      </c>
      <c r="B199" s="825">
        <v>76</v>
      </c>
      <c r="C199" s="825" t="s">
        <v>1338</v>
      </c>
      <c r="D199" s="825" t="s">
        <v>1339</v>
      </c>
      <c r="E199" s="826">
        <v>31</v>
      </c>
      <c r="F199" s="827">
        <v>71.06</v>
      </c>
      <c r="G199" s="827" t="s">
        <v>281</v>
      </c>
      <c r="H199" s="828">
        <v>17975.349999999999</v>
      </c>
      <c r="I199" s="828" t="s">
        <v>281</v>
      </c>
      <c r="J199" s="828" t="s">
        <v>281</v>
      </c>
      <c r="K199" s="827" t="s">
        <v>281</v>
      </c>
      <c r="L199" s="827" t="s">
        <v>281</v>
      </c>
      <c r="M199" s="830">
        <v>31</v>
      </c>
      <c r="N199" s="830" t="s">
        <v>2328</v>
      </c>
      <c r="O199" s="830" t="s">
        <v>2329</v>
      </c>
      <c r="T199" s="829">
        <v>17975.349999999999</v>
      </c>
      <c r="V199" s="829" t="s">
        <v>281</v>
      </c>
      <c r="W199" s="829" t="s">
        <v>281</v>
      </c>
      <c r="X199" s="829" t="s">
        <v>281</v>
      </c>
      <c r="Y199" s="829" t="s">
        <v>281</v>
      </c>
      <c r="Z199" s="829" t="s">
        <v>281</v>
      </c>
    </row>
    <row r="200" spans="1:26" x14ac:dyDescent="0.2">
      <c r="A200" s="407"/>
      <c r="B200" s="407"/>
      <c r="C200" s="407"/>
      <c r="D200" s="408" t="s">
        <v>883</v>
      </c>
      <c r="E200" s="409"/>
      <c r="F200" s="410" t="s">
        <v>281</v>
      </c>
      <c r="G200" s="410" t="s">
        <v>281</v>
      </c>
      <c r="H200" s="409"/>
      <c r="I200" s="409"/>
      <c r="J200" s="411" t="s">
        <v>281</v>
      </c>
      <c r="K200" s="410" t="s">
        <v>281</v>
      </c>
      <c r="L200" s="410" t="s">
        <v>281</v>
      </c>
    </row>
    <row r="201" spans="1:26" x14ac:dyDescent="0.2">
      <c r="A201" s="412"/>
      <c r="B201" s="412"/>
      <c r="C201" s="412"/>
      <c r="D201" s="395" t="s">
        <v>718</v>
      </c>
      <c r="E201" s="412"/>
      <c r="F201" s="412"/>
      <c r="G201" s="412"/>
      <c r="H201" s="412"/>
      <c r="I201" s="412"/>
      <c r="J201" s="412"/>
      <c r="K201" s="412"/>
      <c r="L201" s="412"/>
    </row>
    <row r="202" spans="1:26" s="790" customFormat="1" ht="40.799999999999997" x14ac:dyDescent="0.2">
      <c r="A202" s="784">
        <v>29</v>
      </c>
      <c r="B202" s="784">
        <v>77</v>
      </c>
      <c r="C202" s="784" t="s">
        <v>1340</v>
      </c>
      <c r="D202" s="784" t="s">
        <v>1320</v>
      </c>
      <c r="E202" s="785">
        <v>2</v>
      </c>
      <c r="F202" s="786">
        <v>88.18</v>
      </c>
      <c r="G202" s="786" t="s">
        <v>281</v>
      </c>
      <c r="H202" s="787">
        <v>3006.74</v>
      </c>
      <c r="I202" s="787">
        <v>1917.06</v>
      </c>
      <c r="J202" s="787" t="s">
        <v>281</v>
      </c>
      <c r="K202" s="786">
        <v>2.36</v>
      </c>
      <c r="L202" s="786">
        <v>4.72</v>
      </c>
      <c r="M202" s="789">
        <v>2</v>
      </c>
      <c r="N202" s="789" t="s">
        <v>2328</v>
      </c>
      <c r="O202" s="789"/>
      <c r="T202" s="790">
        <v>6499.62</v>
      </c>
      <c r="V202" s="790">
        <v>1917.06</v>
      </c>
      <c r="W202" s="790" t="s">
        <v>281</v>
      </c>
      <c r="X202" s="790" t="s">
        <v>281</v>
      </c>
      <c r="Y202" s="790">
        <v>4.72</v>
      </c>
      <c r="Z202" s="790" t="s">
        <v>281</v>
      </c>
    </row>
    <row r="203" spans="1:26" x14ac:dyDescent="0.2">
      <c r="A203" s="407"/>
      <c r="B203" s="407"/>
      <c r="C203" s="407"/>
      <c r="D203" s="408" t="s">
        <v>735</v>
      </c>
      <c r="E203" s="409"/>
      <c r="F203" s="410">
        <v>21.41</v>
      </c>
      <c r="G203" s="410" t="s">
        <v>281</v>
      </c>
      <c r="H203" s="409"/>
      <c r="I203" s="409"/>
      <c r="J203" s="411" t="s">
        <v>281</v>
      </c>
      <c r="K203" s="410" t="s">
        <v>281</v>
      </c>
      <c r="L203" s="410" t="s">
        <v>281</v>
      </c>
    </row>
    <row r="204" spans="1:26" ht="20.399999999999999" x14ac:dyDescent="0.2">
      <c r="A204" s="412"/>
      <c r="B204" s="412"/>
      <c r="C204" s="412"/>
      <c r="D204" s="395" t="s">
        <v>714</v>
      </c>
      <c r="E204" s="412"/>
      <c r="F204" s="412"/>
      <c r="G204" s="412"/>
      <c r="H204" s="412"/>
      <c r="I204" s="412"/>
      <c r="J204" s="412"/>
      <c r="K204" s="412"/>
      <c r="L204" s="412"/>
    </row>
    <row r="205" spans="1:26" x14ac:dyDescent="0.2">
      <c r="A205" s="412"/>
      <c r="B205" s="412"/>
      <c r="C205" s="412"/>
      <c r="D205" s="413" t="s">
        <v>206</v>
      </c>
      <c r="E205" s="414" t="s">
        <v>943</v>
      </c>
      <c r="F205" s="414"/>
      <c r="G205" s="414"/>
      <c r="H205" s="415">
        <v>2319.64</v>
      </c>
      <c r="I205" s="412"/>
      <c r="J205" s="412"/>
      <c r="K205" s="412"/>
      <c r="L205" s="412"/>
    </row>
    <row r="206" spans="1:26" x14ac:dyDescent="0.2">
      <c r="A206" s="412"/>
      <c r="B206" s="412"/>
      <c r="C206" s="412"/>
      <c r="D206" s="413" t="s">
        <v>207</v>
      </c>
      <c r="E206" s="414" t="s">
        <v>944</v>
      </c>
      <c r="F206" s="414"/>
      <c r="G206" s="414"/>
      <c r="H206" s="415">
        <v>1173.24</v>
      </c>
      <c r="I206" s="412"/>
      <c r="J206" s="412"/>
      <c r="K206" s="412"/>
      <c r="L206" s="412"/>
    </row>
    <row r="207" spans="1:26" x14ac:dyDescent="0.2">
      <c r="A207" s="412"/>
      <c r="B207" s="412"/>
      <c r="C207" s="412"/>
      <c r="D207" s="416" t="s">
        <v>715</v>
      </c>
      <c r="E207" s="417"/>
      <c r="F207" s="417"/>
      <c r="G207" s="417"/>
      <c r="H207" s="418">
        <v>5496.35</v>
      </c>
      <c r="I207" s="412"/>
      <c r="J207" s="412"/>
      <c r="K207" s="412"/>
      <c r="L207" s="412"/>
    </row>
    <row r="208" spans="1:26" s="790" customFormat="1" ht="30.6" x14ac:dyDescent="0.2">
      <c r="A208" s="784">
        <v>30</v>
      </c>
      <c r="B208" s="784">
        <v>78</v>
      </c>
      <c r="C208" s="784" t="s">
        <v>1341</v>
      </c>
      <c r="D208" s="784" t="s">
        <v>1342</v>
      </c>
      <c r="E208" s="785">
        <v>2</v>
      </c>
      <c r="F208" s="786">
        <v>171.49</v>
      </c>
      <c r="G208" s="786" t="s">
        <v>281</v>
      </c>
      <c r="H208" s="787">
        <v>2798.72</v>
      </c>
      <c r="I208" s="787" t="s">
        <v>281</v>
      </c>
      <c r="J208" s="787" t="s">
        <v>281</v>
      </c>
      <c r="K208" s="786" t="s">
        <v>281</v>
      </c>
      <c r="L208" s="786" t="s">
        <v>281</v>
      </c>
      <c r="M208" s="789">
        <v>2</v>
      </c>
      <c r="N208" s="789" t="s">
        <v>2332</v>
      </c>
      <c r="O208" s="789" t="s">
        <v>2333</v>
      </c>
      <c r="T208" s="790">
        <v>2798.72</v>
      </c>
      <c r="V208" s="790" t="s">
        <v>281</v>
      </c>
      <c r="W208" s="790" t="s">
        <v>281</v>
      </c>
      <c r="X208" s="790" t="s">
        <v>281</v>
      </c>
      <c r="Y208" s="790" t="s">
        <v>281</v>
      </c>
      <c r="Z208" s="790" t="s">
        <v>281</v>
      </c>
    </row>
    <row r="209" spans="1:15" x14ac:dyDescent="0.2">
      <c r="A209" s="407"/>
      <c r="B209" s="407"/>
      <c r="C209" s="407"/>
      <c r="D209" s="408" t="s">
        <v>735</v>
      </c>
      <c r="E209" s="409"/>
      <c r="F209" s="410" t="s">
        <v>281</v>
      </c>
      <c r="G209" s="410" t="s">
        <v>281</v>
      </c>
      <c r="H209" s="409"/>
      <c r="I209" s="409"/>
      <c r="J209" s="411" t="s">
        <v>281</v>
      </c>
      <c r="K209" s="410" t="s">
        <v>281</v>
      </c>
      <c r="L209" s="410" t="s">
        <v>281</v>
      </c>
    </row>
    <row r="210" spans="1:15" x14ac:dyDescent="0.2">
      <c r="A210" s="419"/>
      <c r="B210" s="419"/>
      <c r="C210" s="419"/>
      <c r="D210" s="470" t="s">
        <v>718</v>
      </c>
      <c r="E210" s="419"/>
      <c r="F210" s="419"/>
      <c r="G210" s="419"/>
      <c r="H210" s="419"/>
      <c r="I210" s="419"/>
      <c r="J210" s="419"/>
      <c r="K210" s="419"/>
      <c r="L210" s="419"/>
    </row>
    <row r="212" spans="1:15" ht="15" customHeight="1" x14ac:dyDescent="0.2">
      <c r="A212" s="1144" t="s">
        <v>1343</v>
      </c>
      <c r="B212" s="1145"/>
      <c r="C212" s="1145"/>
      <c r="D212" s="1145"/>
      <c r="E212" s="1145"/>
      <c r="F212" s="1145"/>
      <c r="G212" s="1145"/>
      <c r="H212" s="1145"/>
      <c r="I212" s="1145"/>
      <c r="J212" s="1145"/>
      <c r="K212" s="1145"/>
      <c r="L212" s="1146"/>
    </row>
    <row r="213" spans="1:15" ht="12.75" customHeight="1" x14ac:dyDescent="0.2">
      <c r="A213" s="1141" t="s">
        <v>774</v>
      </c>
      <c r="B213" s="1142"/>
      <c r="C213" s="1142"/>
      <c r="D213" s="1142"/>
      <c r="E213" s="1142"/>
      <c r="F213" s="1142"/>
      <c r="G213" s="1143"/>
      <c r="H213" s="423">
        <v>400416.48</v>
      </c>
      <c r="I213" s="419"/>
      <c r="J213" s="419"/>
      <c r="K213" s="419"/>
      <c r="L213" s="419"/>
    </row>
    <row r="214" spans="1:15" ht="12.75" customHeight="1" x14ac:dyDescent="0.2">
      <c r="A214" s="1141" t="s">
        <v>919</v>
      </c>
      <c r="B214" s="1142"/>
      <c r="C214" s="1142"/>
      <c r="D214" s="1142"/>
      <c r="E214" s="1142"/>
      <c r="F214" s="1142"/>
      <c r="G214" s="1143"/>
      <c r="H214" s="423">
        <v>285802.94</v>
      </c>
      <c r="I214" s="419"/>
      <c r="J214" s="419"/>
      <c r="K214" s="419"/>
      <c r="L214" s="419"/>
    </row>
    <row r="215" spans="1:15" ht="12.75" customHeight="1" x14ac:dyDescent="0.2">
      <c r="A215" s="1141" t="s">
        <v>776</v>
      </c>
      <c r="B215" s="1142"/>
      <c r="C215" s="1142"/>
      <c r="D215" s="1142"/>
      <c r="E215" s="1142"/>
      <c r="F215" s="1142"/>
      <c r="G215" s="1143"/>
      <c r="H215" s="423">
        <v>34558.949999999997</v>
      </c>
      <c r="I215" s="419"/>
      <c r="J215" s="419"/>
      <c r="K215" s="419"/>
      <c r="L215" s="419"/>
    </row>
    <row r="216" spans="1:15" ht="12.75" customHeight="1" x14ac:dyDescent="0.2">
      <c r="A216" s="1141" t="s">
        <v>777</v>
      </c>
      <c r="B216" s="1142"/>
      <c r="C216" s="1142"/>
      <c r="D216" s="1142"/>
      <c r="E216" s="1142"/>
      <c r="F216" s="1142"/>
      <c r="G216" s="1143"/>
      <c r="H216" s="423">
        <v>15067.14</v>
      </c>
      <c r="I216" s="419"/>
      <c r="J216" s="419"/>
      <c r="K216" s="419"/>
      <c r="L216" s="419"/>
    </row>
    <row r="217" spans="1:15" ht="12.75" customHeight="1" x14ac:dyDescent="0.2">
      <c r="A217" s="1141" t="s">
        <v>778</v>
      </c>
      <c r="B217" s="1142"/>
      <c r="C217" s="1142"/>
      <c r="D217" s="1142"/>
      <c r="E217" s="1142"/>
      <c r="F217" s="1142"/>
      <c r="G217" s="1143"/>
      <c r="H217" s="423">
        <v>80054.59</v>
      </c>
      <c r="I217" s="419"/>
      <c r="J217" s="419"/>
      <c r="K217" s="419"/>
      <c r="L217" s="419"/>
    </row>
    <row r="218" spans="1:15" ht="12.75" customHeight="1" x14ac:dyDescent="0.2">
      <c r="A218" s="1141" t="s">
        <v>779</v>
      </c>
      <c r="B218" s="1142"/>
      <c r="C218" s="1142"/>
      <c r="D218" s="1142"/>
      <c r="E218" s="1142"/>
      <c r="F218" s="1142"/>
      <c r="G218" s="1143"/>
      <c r="H218" s="423">
        <v>535269.42000000004</v>
      </c>
      <c r="I218" s="419"/>
      <c r="J218" s="419"/>
      <c r="K218" s="419"/>
      <c r="L218" s="419"/>
    </row>
    <row r="219" spans="1:15" ht="12.75" customHeight="1" x14ac:dyDescent="0.2">
      <c r="A219" s="1141" t="s">
        <v>1029</v>
      </c>
      <c r="B219" s="1142"/>
      <c r="C219" s="1142"/>
      <c r="D219" s="1142"/>
      <c r="E219" s="1142"/>
      <c r="F219" s="1142"/>
      <c r="G219" s="1143"/>
      <c r="H219" s="423">
        <v>384.25</v>
      </c>
      <c r="I219" s="419"/>
      <c r="J219" s="419"/>
      <c r="K219" s="419"/>
      <c r="L219" s="419"/>
    </row>
    <row r="220" spans="1:15" ht="12.75" customHeight="1" x14ac:dyDescent="0.2">
      <c r="A220" s="1141" t="s">
        <v>207</v>
      </c>
      <c r="B220" s="1142"/>
      <c r="C220" s="1142"/>
      <c r="D220" s="1142"/>
      <c r="E220" s="1142"/>
      <c r="F220" s="1142"/>
      <c r="G220" s="1143"/>
      <c r="H220" s="423">
        <v>42340.3</v>
      </c>
      <c r="I220" s="419"/>
      <c r="J220" s="419"/>
      <c r="K220" s="419"/>
      <c r="L220" s="419"/>
    </row>
    <row r="221" spans="1:15" s="426" customFormat="1" ht="12.75" customHeight="1" x14ac:dyDescent="0.2">
      <c r="A221" s="1144" t="s">
        <v>73</v>
      </c>
      <c r="B221" s="1145"/>
      <c r="C221" s="1145"/>
      <c r="D221" s="1145"/>
      <c r="E221" s="1145"/>
      <c r="F221" s="1145"/>
      <c r="G221" s="1146"/>
      <c r="H221" s="424">
        <v>535269.42000000004</v>
      </c>
      <c r="I221" s="425"/>
      <c r="J221" s="425"/>
      <c r="K221" s="425"/>
      <c r="L221" s="425"/>
      <c r="M221" s="823"/>
      <c r="N221" s="823"/>
      <c r="O221" s="823"/>
    </row>
    <row r="222" spans="1:15" s="432" customFormat="1" x14ac:dyDescent="0.2">
      <c r="A222" s="1084" t="s">
        <v>784</v>
      </c>
      <c r="B222" s="1084"/>
      <c r="C222" s="1084"/>
      <c r="D222" s="1084"/>
      <c r="E222" s="1084"/>
      <c r="F222" s="1084"/>
      <c r="G222" s="1084"/>
      <c r="H222" s="382">
        <f>ROUND(H221*0.082,2)</f>
        <v>43892.09</v>
      </c>
      <c r="I222" s="383"/>
      <c r="J222" s="383"/>
      <c r="K222" s="383"/>
      <c r="L222" s="383"/>
      <c r="M222" s="631"/>
      <c r="N222" s="631"/>
      <c r="O222" s="631"/>
    </row>
    <row r="223" spans="1:15" s="386" customFormat="1" x14ac:dyDescent="0.2">
      <c r="A223" s="1083" t="s">
        <v>785</v>
      </c>
      <c r="B223" s="1083"/>
      <c r="C223" s="1083"/>
      <c r="D223" s="1083"/>
      <c r="E223" s="1083"/>
      <c r="F223" s="1083"/>
      <c r="G223" s="1083"/>
      <c r="H223" s="384">
        <f>H221+H222</f>
        <v>579161.51</v>
      </c>
      <c r="I223" s="385"/>
      <c r="J223" s="385"/>
      <c r="K223" s="385"/>
      <c r="L223" s="385"/>
      <c r="M223" s="635"/>
      <c r="N223" s="635"/>
      <c r="O223" s="635"/>
    </row>
    <row r="224" spans="1:15" s="432" customFormat="1" x14ac:dyDescent="0.2">
      <c r="A224" s="1084" t="s">
        <v>786</v>
      </c>
      <c r="B224" s="1084"/>
      <c r="C224" s="1084"/>
      <c r="D224" s="1084"/>
      <c r="E224" s="1084"/>
      <c r="F224" s="1084"/>
      <c r="G224" s="1084"/>
      <c r="H224" s="382">
        <f>ROUND(H223*0.024,2)</f>
        <v>13899.88</v>
      </c>
      <c r="I224" s="383"/>
      <c r="J224" s="383"/>
      <c r="K224" s="383"/>
      <c r="L224" s="383"/>
      <c r="M224" s="631"/>
      <c r="N224" s="631"/>
      <c r="O224" s="631"/>
    </row>
    <row r="225" spans="1:15" s="389" customFormat="1" ht="12" x14ac:dyDescent="0.25">
      <c r="A225" s="1054" t="s">
        <v>787</v>
      </c>
      <c r="B225" s="1054"/>
      <c r="C225" s="1054"/>
      <c r="D225" s="1054"/>
      <c r="E225" s="1054"/>
      <c r="F225" s="1054"/>
      <c r="G225" s="1054"/>
      <c r="H225" s="387">
        <f>H223+H224</f>
        <v>593061.39</v>
      </c>
      <c r="I225" s="388"/>
      <c r="J225" s="388"/>
      <c r="K225" s="388"/>
      <c r="L225" s="388"/>
      <c r="M225" s="636"/>
      <c r="N225" s="636"/>
      <c r="O225" s="636"/>
    </row>
    <row r="226" spans="1:15" s="389" customFormat="1" ht="12" x14ac:dyDescent="0.25">
      <c r="A226" s="1054" t="s">
        <v>1686</v>
      </c>
      <c r="B226" s="1054"/>
      <c r="C226" s="1054"/>
      <c r="D226" s="1054"/>
      <c r="E226" s="1054"/>
      <c r="F226" s="1054"/>
      <c r="G226" s="1054"/>
      <c r="H226" s="387">
        <f>ROUND(H225*1.0514,2)</f>
        <v>623544.75</v>
      </c>
      <c r="I226" s="388"/>
      <c r="J226" s="388"/>
      <c r="K226" s="388"/>
      <c r="L226" s="388"/>
      <c r="M226" s="636"/>
      <c r="N226" s="636"/>
      <c r="O226" s="636"/>
    </row>
    <row r="227" spans="1:15" s="389" customFormat="1" ht="12" x14ac:dyDescent="0.25">
      <c r="A227" s="611"/>
      <c r="B227" s="611"/>
      <c r="C227" s="611"/>
      <c r="D227" s="611"/>
      <c r="E227" s="611"/>
      <c r="F227" s="611"/>
      <c r="G227" s="611"/>
      <c r="H227" s="612"/>
      <c r="I227" s="613"/>
      <c r="J227" s="613"/>
      <c r="K227" s="613"/>
      <c r="L227" s="613"/>
      <c r="M227" s="636"/>
      <c r="N227" s="636"/>
      <c r="O227" s="636"/>
    </row>
    <row r="228" spans="1:15" s="389" customFormat="1" ht="12" x14ac:dyDescent="0.25">
      <c r="A228" s="611"/>
      <c r="B228" s="611"/>
      <c r="C228" s="611"/>
      <c r="D228" s="611"/>
      <c r="E228" s="611"/>
      <c r="F228" s="611"/>
      <c r="G228" s="611"/>
      <c r="H228" s="612"/>
      <c r="I228" s="613"/>
      <c r="J228" s="613"/>
      <c r="K228" s="613"/>
      <c r="L228" s="613"/>
      <c r="M228" s="636"/>
      <c r="N228" s="636"/>
      <c r="O228" s="636"/>
    </row>
    <row r="229" spans="1:15" s="389" customFormat="1" ht="12" x14ac:dyDescent="0.25">
      <c r="A229" s="611"/>
      <c r="B229" s="611"/>
      <c r="C229" s="611"/>
      <c r="D229" s="611"/>
      <c r="E229" s="611"/>
      <c r="F229" s="611"/>
      <c r="G229" s="611"/>
      <c r="H229" s="612"/>
      <c r="I229" s="613"/>
      <c r="J229" s="613"/>
      <c r="K229" s="613"/>
      <c r="L229" s="613"/>
      <c r="M229" s="636"/>
      <c r="N229" s="636"/>
      <c r="O229" s="636"/>
    </row>
    <row r="230" spans="1:15" s="432" customFormat="1" x14ac:dyDescent="0.2">
      <c r="M230" s="631"/>
      <c r="N230" s="631"/>
      <c r="O230" s="631"/>
    </row>
    <row r="231" spans="1:15" s="432" customFormat="1" ht="24" x14ac:dyDescent="0.25">
      <c r="C231" s="428" t="s">
        <v>729</v>
      </c>
      <c r="D231" s="429" t="s">
        <v>824</v>
      </c>
      <c r="E231" s="427" t="s">
        <v>281</v>
      </c>
      <c r="F231" s="427"/>
      <c r="G231" s="389" t="s">
        <v>823</v>
      </c>
      <c r="M231" s="631"/>
      <c r="N231" s="631"/>
      <c r="O231" s="631"/>
    </row>
    <row r="232" spans="1:15" s="432" customFormat="1" ht="12" x14ac:dyDescent="0.25">
      <c r="C232" s="428"/>
      <c r="G232" s="389"/>
      <c r="M232" s="631"/>
      <c r="N232" s="631"/>
      <c r="O232" s="631"/>
    </row>
    <row r="233" spans="1:15" s="432" customFormat="1" ht="24" x14ac:dyDescent="0.25">
      <c r="C233" s="428" t="s">
        <v>730</v>
      </c>
      <c r="D233" s="429" t="s">
        <v>821</v>
      </c>
      <c r="E233" s="427" t="s">
        <v>281</v>
      </c>
      <c r="F233" s="427"/>
      <c r="G233" s="389" t="s">
        <v>822</v>
      </c>
      <c r="M233" s="631"/>
      <c r="N233" s="631"/>
      <c r="O233" s="631"/>
    </row>
    <row r="234" spans="1:15" s="432" customFormat="1" x14ac:dyDescent="0.2">
      <c r="M234" s="631"/>
      <c r="N234" s="631"/>
      <c r="O234" s="631"/>
    </row>
  </sheetData>
  <mergeCells count="76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A16:B16"/>
    <mergeCell ref="C16:I16"/>
    <mergeCell ref="C17:I17"/>
    <mergeCell ref="H18:J18"/>
    <mergeCell ref="K18:L18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C27:L27"/>
    <mergeCell ref="C28:L28"/>
    <mergeCell ref="F30:I30"/>
    <mergeCell ref="J30:K30"/>
    <mergeCell ref="F31:I31"/>
    <mergeCell ref="J31:K31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A218:G218"/>
    <mergeCell ref="A40:L40"/>
    <mergeCell ref="A212:L212"/>
    <mergeCell ref="F35:F36"/>
    <mergeCell ref="G35:G36"/>
    <mergeCell ref="H35:H37"/>
    <mergeCell ref="I35:I37"/>
    <mergeCell ref="J35:J36"/>
    <mergeCell ref="K35:L35"/>
    <mergeCell ref="K36:L36"/>
    <mergeCell ref="A213:G213"/>
    <mergeCell ref="A214:G214"/>
    <mergeCell ref="A215:G215"/>
    <mergeCell ref="A216:G216"/>
    <mergeCell ref="A217:G217"/>
    <mergeCell ref="A226:G226"/>
    <mergeCell ref="A225:G225"/>
    <mergeCell ref="A219:G219"/>
    <mergeCell ref="A220:G220"/>
    <mergeCell ref="A221:G221"/>
    <mergeCell ref="A222:G222"/>
    <mergeCell ref="A223:G223"/>
    <mergeCell ref="A224:G224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E244"/>
  <sheetViews>
    <sheetView view="pageBreakPreview" topLeftCell="A7" zoomScale="85" zoomScaleNormal="100" zoomScaleSheetLayoutView="85" workbookViewId="0">
      <pane ySplit="32" topLeftCell="A60" activePane="bottomLeft" state="frozen"/>
      <selection activeCell="A7" sqref="A7"/>
      <selection pane="bottomLeft" activeCell="N76" sqref="N76"/>
    </sheetView>
  </sheetViews>
  <sheetFormatPr defaultColWidth="9.109375" defaultRowHeight="10.199999999999999" outlineLevelRow="1" x14ac:dyDescent="0.2"/>
  <cols>
    <col min="1" max="1" width="6.33203125" style="435" customWidth="1"/>
    <col min="2" max="2" width="6.6640625" style="435" customWidth="1"/>
    <col min="3" max="3" width="15.6640625" style="435" customWidth="1"/>
    <col min="4" max="4" width="40.6640625" style="435" customWidth="1"/>
    <col min="5" max="12" width="12.6640625" style="435" customWidth="1"/>
    <col min="13" max="13" width="12.33203125" style="822" customWidth="1"/>
    <col min="14" max="15" width="24.109375" style="822" customWidth="1"/>
    <col min="16" max="19" width="9.109375" style="435"/>
    <col min="20" max="29" width="0" style="435" hidden="1" customWidth="1"/>
    <col min="30" max="30" width="118.6640625" style="435" hidden="1" customWidth="1"/>
    <col min="31" max="31" width="166.33203125" style="435" hidden="1" customWidth="1"/>
    <col min="32" max="36" width="0" style="435" hidden="1" customWidth="1"/>
    <col min="37" max="16384" width="9.109375" style="435"/>
  </cols>
  <sheetData>
    <row r="1" spans="1:15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5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5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5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5" hidden="1" outlineLevel="1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5" hidden="1" outlineLevel="1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5" hidden="1" outlineLevel="1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5" hidden="1" outlineLevel="1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434" t="s">
        <v>4</v>
      </c>
      <c r="K8" s="1101"/>
      <c r="L8" s="1102"/>
    </row>
    <row r="9" spans="1:15" hidden="1" outlineLevel="1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5" s="432" customFormat="1" hidden="1" outlineLevel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430" t="s">
        <v>4</v>
      </c>
      <c r="K10" s="1101"/>
      <c r="L10" s="1102"/>
      <c r="M10" s="631"/>
      <c r="N10" s="631"/>
      <c r="O10" s="631"/>
    </row>
    <row r="11" spans="1:15" s="432" customFormat="1" hidden="1" outlineLevel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1"/>
      <c r="N11" s="631"/>
      <c r="O11" s="631"/>
    </row>
    <row r="12" spans="1:15" s="432" customFormat="1" hidden="1" outlineLevel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430" t="s">
        <v>4</v>
      </c>
      <c r="K12" s="1064"/>
      <c r="L12" s="1065"/>
      <c r="M12" s="631"/>
      <c r="N12" s="631"/>
      <c r="O12" s="631"/>
    </row>
    <row r="13" spans="1:15" s="432" customFormat="1" hidden="1" outlineLevel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1"/>
      <c r="N13" s="631"/>
      <c r="O13" s="631"/>
    </row>
    <row r="14" spans="1:15" s="432" customFormat="1" hidden="1" outlineLevel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1"/>
      <c r="N14" s="631"/>
      <c r="O14" s="631"/>
    </row>
    <row r="15" spans="1:15" hidden="1" outlineLevel="1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5" hidden="1" outlineLevel="1" x14ac:dyDescent="0.2">
      <c r="A16" s="1103" t="s">
        <v>686</v>
      </c>
      <c r="B16" s="1103"/>
      <c r="C16" s="1104" t="s">
        <v>1384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hidden="1" outlineLevel="1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hidden="1" customHeight="1" outlineLevel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hidden="1" customHeight="1" outlineLevel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hidden="1" outlineLevel="1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431" t="s">
        <v>10</v>
      </c>
      <c r="K20" s="1073">
        <v>45110</v>
      </c>
      <c r="L20" s="1074"/>
    </row>
    <row r="21" spans="1:12" hidden="1" outlineLevel="1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hidden="1" outlineLevel="1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hidden="1" customHeight="1" outlineLevel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hidden="1" outlineLevel="1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433" t="s">
        <v>16</v>
      </c>
      <c r="L24" s="359"/>
    </row>
    <row r="25" spans="1:12" hidden="1" outlineLevel="1" x14ac:dyDescent="0.2">
      <c r="A25" s="398"/>
      <c r="B25" s="398"/>
      <c r="C25" s="398"/>
      <c r="D25" s="398"/>
      <c r="E25" s="398"/>
      <c r="F25" s="398"/>
      <c r="G25" s="398"/>
      <c r="H25" s="431">
        <v>13</v>
      </c>
      <c r="I25" s="365">
        <v>45230</v>
      </c>
      <c r="J25" s="365">
        <v>45200</v>
      </c>
      <c r="K25" s="366">
        <v>45230</v>
      </c>
      <c r="L25" s="359"/>
    </row>
    <row r="26" spans="1:12" hidden="1" outlineLevel="1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hidden="1" outlineLevel="1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hidden="1" outlineLevel="1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hidden="1" outlineLevel="1" x14ac:dyDescent="0.2">
      <c r="A29" s="398"/>
      <c r="B29" s="398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1:12" hidden="1" outlineLevel="1" x14ac:dyDescent="0.2">
      <c r="A30" s="398"/>
      <c r="B30" s="398"/>
      <c r="C30" s="436"/>
      <c r="D30" s="436"/>
      <c r="E30" s="436"/>
      <c r="F30" s="1090" t="s">
        <v>692</v>
      </c>
      <c r="G30" s="1090"/>
      <c r="H30" s="1090"/>
      <c r="I30" s="1090"/>
      <c r="J30" s="1091">
        <v>1249.48</v>
      </c>
      <c r="K30" s="1092"/>
      <c r="L30" s="398" t="s">
        <v>693</v>
      </c>
    </row>
    <row r="31" spans="1:12" hidden="1" outlineLevel="1" x14ac:dyDescent="0.2">
      <c r="A31" s="398"/>
      <c r="B31" s="398"/>
      <c r="C31" s="436"/>
      <c r="D31" s="436"/>
      <c r="E31" s="436"/>
      <c r="F31" s="1090" t="s">
        <v>694</v>
      </c>
      <c r="G31" s="1090"/>
      <c r="H31" s="1090"/>
      <c r="I31" s="1090"/>
      <c r="J31" s="1091">
        <v>207.26</v>
      </c>
      <c r="K31" s="1092"/>
      <c r="L31" s="398" t="s">
        <v>695</v>
      </c>
    </row>
    <row r="32" spans="1:12" hidden="1" outlineLevel="1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91.16</v>
      </c>
      <c r="K32" s="1092"/>
      <c r="L32" s="398" t="s">
        <v>693</v>
      </c>
    </row>
    <row r="33" spans="1:26" hidden="1" outlineLevel="1" x14ac:dyDescent="0.2"/>
    <row r="34" spans="1:26" collapsed="1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  <c r="M37" s="637" t="s">
        <v>1688</v>
      </c>
      <c r="N37" s="637" t="s">
        <v>1701</v>
      </c>
      <c r="O37" s="637" t="s">
        <v>1690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1356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</row>
    <row r="41" spans="1:26" s="817" customFormat="1" ht="51" x14ac:dyDescent="0.2">
      <c r="A41" s="870">
        <v>1</v>
      </c>
      <c r="B41" s="870">
        <v>169</v>
      </c>
      <c r="C41" s="870" t="s">
        <v>1280</v>
      </c>
      <c r="D41" s="870" t="s">
        <v>2360</v>
      </c>
      <c r="E41" s="871">
        <v>4.4159999999999998E-2</v>
      </c>
      <c r="F41" s="872">
        <v>4398.75</v>
      </c>
      <c r="G41" s="872">
        <v>4398.75</v>
      </c>
      <c r="H41" s="873">
        <v>2571.85</v>
      </c>
      <c r="I41" s="873" t="s">
        <v>281</v>
      </c>
      <c r="J41" s="873">
        <v>2571.85</v>
      </c>
      <c r="K41" s="872" t="s">
        <v>281</v>
      </c>
      <c r="L41" s="872" t="s">
        <v>281</v>
      </c>
      <c r="M41" s="819">
        <v>0</v>
      </c>
      <c r="N41" s="819" t="s">
        <v>2309</v>
      </c>
      <c r="O41" s="819"/>
      <c r="T41" s="817">
        <v>4111.01</v>
      </c>
      <c r="V41" s="817" t="s">
        <v>281</v>
      </c>
      <c r="W41" s="817">
        <v>2571.85</v>
      </c>
      <c r="X41" s="817">
        <v>1174.03</v>
      </c>
      <c r="Y41" s="817" t="s">
        <v>281</v>
      </c>
      <c r="Z41" s="817">
        <v>1.942488</v>
      </c>
    </row>
    <row r="42" spans="1:26" x14ac:dyDescent="0.2">
      <c r="A42" s="407"/>
      <c r="B42" s="407"/>
      <c r="C42" s="407"/>
      <c r="D42" s="408" t="s">
        <v>763</v>
      </c>
      <c r="E42" s="409"/>
      <c r="F42" s="410" t="s">
        <v>281</v>
      </c>
      <c r="G42" s="410">
        <v>593.83124999999995</v>
      </c>
      <c r="H42" s="409"/>
      <c r="I42" s="409"/>
      <c r="J42" s="411">
        <v>1174.03</v>
      </c>
      <c r="K42" s="410">
        <v>43.987499999999997</v>
      </c>
      <c r="L42" s="410">
        <v>1.942488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30.6" x14ac:dyDescent="0.2">
      <c r="A44" s="412"/>
      <c r="B44" s="412"/>
      <c r="C44" s="412"/>
      <c r="D44" s="395" t="s">
        <v>970</v>
      </c>
      <c r="E44" s="412"/>
      <c r="F44" s="412"/>
      <c r="G44" s="412"/>
      <c r="H44" s="412"/>
      <c r="I44" s="412"/>
      <c r="J44" s="412"/>
      <c r="K44" s="412"/>
      <c r="L44" s="412"/>
    </row>
    <row r="45" spans="1:26" ht="193.8" x14ac:dyDescent="0.2">
      <c r="A45" s="412"/>
      <c r="B45" s="412"/>
      <c r="C45" s="412"/>
      <c r="D45" s="395" t="s">
        <v>971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764</v>
      </c>
      <c r="F46" s="414"/>
      <c r="G46" s="414"/>
      <c r="H46" s="415">
        <v>1080.1099999999999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972</v>
      </c>
      <c r="F47" s="414"/>
      <c r="G47" s="414"/>
      <c r="H47" s="415">
        <v>459.05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4111.01</v>
      </c>
      <c r="I48" s="412"/>
      <c r="J48" s="412"/>
      <c r="K48" s="412"/>
      <c r="L48" s="412"/>
    </row>
    <row r="49" spans="1:26" s="790" customFormat="1" ht="51" x14ac:dyDescent="0.2">
      <c r="A49" s="866">
        <v>2</v>
      </c>
      <c r="B49" s="866">
        <v>170</v>
      </c>
      <c r="C49" s="866" t="s">
        <v>768</v>
      </c>
      <c r="D49" s="866" t="s">
        <v>2359</v>
      </c>
      <c r="E49" s="867">
        <v>0.17244000000000001</v>
      </c>
      <c r="F49" s="868">
        <v>6311.8852999999999</v>
      </c>
      <c r="G49" s="868">
        <v>6146.6234999999997</v>
      </c>
      <c r="H49" s="869">
        <v>15281.84</v>
      </c>
      <c r="I49" s="869">
        <v>1242.3399999999999</v>
      </c>
      <c r="J49" s="869">
        <v>14033.39</v>
      </c>
      <c r="K49" s="868">
        <v>20.631</v>
      </c>
      <c r="L49" s="868">
        <v>3.5576099999999999</v>
      </c>
      <c r="M49" s="789">
        <f>157.73/1000</f>
        <v>0.15773000000000001</v>
      </c>
      <c r="N49" s="789" t="s">
        <v>2339</v>
      </c>
      <c r="O49" s="789" t="s">
        <v>2358</v>
      </c>
      <c r="T49" s="790">
        <v>25772.69</v>
      </c>
      <c r="V49" s="790">
        <v>1242.3399999999999</v>
      </c>
      <c r="W49" s="790">
        <v>14033.39</v>
      </c>
      <c r="X49" s="790">
        <v>6759.83</v>
      </c>
      <c r="Y49" s="790">
        <v>3.5576099999999999</v>
      </c>
      <c r="Z49" s="790">
        <v>11.184457999999999</v>
      </c>
    </row>
    <row r="50" spans="1:26" x14ac:dyDescent="0.2">
      <c r="A50" s="407"/>
      <c r="B50" s="407"/>
      <c r="C50" s="407"/>
      <c r="D50" s="408" t="s">
        <v>763</v>
      </c>
      <c r="E50" s="409"/>
      <c r="F50" s="410">
        <v>160.92179999999999</v>
      </c>
      <c r="G50" s="410">
        <v>875.61</v>
      </c>
      <c r="H50" s="409"/>
      <c r="I50" s="409"/>
      <c r="J50" s="411">
        <v>6759.83</v>
      </c>
      <c r="K50" s="410">
        <v>64.86</v>
      </c>
      <c r="L50" s="410">
        <v>11.184457999999999</v>
      </c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</row>
    <row r="52" spans="1:26" ht="30.6" x14ac:dyDescent="0.2">
      <c r="A52" s="412"/>
      <c r="B52" s="412"/>
      <c r="C52" s="412"/>
      <c r="D52" s="395" t="s">
        <v>970</v>
      </c>
      <c r="E52" s="412"/>
      <c r="F52" s="412"/>
      <c r="G52" s="412"/>
      <c r="H52" s="412"/>
      <c r="I52" s="412"/>
      <c r="J52" s="412"/>
      <c r="K52" s="412"/>
      <c r="L52" s="412"/>
    </row>
    <row r="53" spans="1:26" ht="193.8" x14ac:dyDescent="0.2">
      <c r="A53" s="412"/>
      <c r="B53" s="412"/>
      <c r="C53" s="412"/>
      <c r="D53" s="395" t="s">
        <v>971</v>
      </c>
      <c r="E53" s="412"/>
      <c r="F53" s="412"/>
      <c r="G53" s="412"/>
      <c r="H53" s="412"/>
      <c r="I53" s="412"/>
      <c r="J53" s="412"/>
      <c r="K53" s="412"/>
      <c r="L53" s="412"/>
    </row>
    <row r="54" spans="1:26" x14ac:dyDescent="0.2">
      <c r="A54" s="412"/>
      <c r="B54" s="412"/>
      <c r="C54" s="412"/>
      <c r="D54" s="413" t="s">
        <v>206</v>
      </c>
      <c r="E54" s="414" t="s">
        <v>764</v>
      </c>
      <c r="F54" s="414"/>
      <c r="G54" s="414"/>
      <c r="H54" s="415">
        <v>7362</v>
      </c>
      <c r="I54" s="412"/>
      <c r="J54" s="412"/>
      <c r="K54" s="412"/>
      <c r="L54" s="412"/>
    </row>
    <row r="55" spans="1:26" x14ac:dyDescent="0.2">
      <c r="A55" s="412"/>
      <c r="B55" s="412"/>
      <c r="C55" s="412"/>
      <c r="D55" s="413" t="s">
        <v>207</v>
      </c>
      <c r="E55" s="414" t="s">
        <v>972</v>
      </c>
      <c r="F55" s="414"/>
      <c r="G55" s="414"/>
      <c r="H55" s="415">
        <v>3128.85</v>
      </c>
      <c r="I55" s="412"/>
      <c r="J55" s="412"/>
      <c r="K55" s="412"/>
      <c r="L55" s="412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25772.69</v>
      </c>
      <c r="I56" s="412"/>
      <c r="J56" s="412"/>
      <c r="K56" s="412"/>
      <c r="L56" s="412"/>
    </row>
    <row r="57" spans="1:26" s="790" customFormat="1" ht="40.799999999999997" x14ac:dyDescent="0.2">
      <c r="A57" s="784">
        <v>3</v>
      </c>
      <c r="B57" s="784">
        <v>171</v>
      </c>
      <c r="C57" s="784" t="s">
        <v>1028</v>
      </c>
      <c r="D57" s="784" t="s">
        <v>1019</v>
      </c>
      <c r="E57" s="785">
        <v>6.7000000000000004E-2</v>
      </c>
      <c r="F57" s="786">
        <v>1906.3044</v>
      </c>
      <c r="G57" s="786" t="s">
        <v>281</v>
      </c>
      <c r="H57" s="787">
        <v>5718.13</v>
      </c>
      <c r="I57" s="787">
        <v>5718.13</v>
      </c>
      <c r="J57" s="787" t="s">
        <v>281</v>
      </c>
      <c r="K57" s="786">
        <v>244.398</v>
      </c>
      <c r="L57" s="786">
        <v>16.374666000000001</v>
      </c>
      <c r="M57" s="789">
        <v>4.88</v>
      </c>
      <c r="N57" s="789" t="s">
        <v>2339</v>
      </c>
      <c r="O57" s="789"/>
      <c r="T57" s="790">
        <v>12751.43</v>
      </c>
      <c r="V57" s="790">
        <v>5718.13</v>
      </c>
      <c r="W57" s="790" t="s">
        <v>281</v>
      </c>
      <c r="X57" s="790" t="s">
        <v>281</v>
      </c>
      <c r="Y57" s="790">
        <v>16.374666000000001</v>
      </c>
      <c r="Z57" s="790" t="s">
        <v>281</v>
      </c>
    </row>
    <row r="58" spans="1:26" x14ac:dyDescent="0.2">
      <c r="A58" s="407"/>
      <c r="B58" s="407"/>
      <c r="C58" s="407"/>
      <c r="D58" s="408" t="s">
        <v>901</v>
      </c>
      <c r="E58" s="409"/>
      <c r="F58" s="410">
        <v>1906.3044</v>
      </c>
      <c r="G58" s="410" t="s">
        <v>281</v>
      </c>
      <c r="H58" s="409"/>
      <c r="I58" s="409"/>
      <c r="J58" s="411" t="s">
        <v>281</v>
      </c>
      <c r="K58" s="410" t="s">
        <v>281</v>
      </c>
      <c r="L58" s="410" t="s">
        <v>281</v>
      </c>
    </row>
    <row r="59" spans="1:26" ht="20.399999999999999" x14ac:dyDescent="0.2">
      <c r="A59" s="412"/>
      <c r="B59" s="412"/>
      <c r="C59" s="412"/>
      <c r="D59" s="395" t="s">
        <v>714</v>
      </c>
      <c r="E59" s="412"/>
      <c r="F59" s="412"/>
      <c r="G59" s="412"/>
      <c r="H59" s="412"/>
      <c r="I59" s="412"/>
      <c r="J59" s="412"/>
      <c r="K59" s="412"/>
      <c r="L59" s="412"/>
    </row>
    <row r="60" spans="1:26" ht="30.6" x14ac:dyDescent="0.2">
      <c r="A60" s="412"/>
      <c r="B60" s="412"/>
      <c r="C60" s="412"/>
      <c r="D60" s="395" t="s">
        <v>975</v>
      </c>
      <c r="E60" s="412"/>
      <c r="F60" s="412"/>
      <c r="G60" s="412"/>
      <c r="H60" s="412"/>
      <c r="I60" s="412"/>
      <c r="J60" s="412"/>
      <c r="K60" s="412"/>
      <c r="L60" s="412"/>
    </row>
    <row r="61" spans="1:26" ht="163.19999999999999" x14ac:dyDescent="0.2">
      <c r="A61" s="412"/>
      <c r="B61" s="412"/>
      <c r="C61" s="412"/>
      <c r="D61" s="395" t="s">
        <v>976</v>
      </c>
      <c r="E61" s="412"/>
      <c r="F61" s="412"/>
      <c r="G61" s="412"/>
      <c r="H61" s="412"/>
      <c r="I61" s="412"/>
      <c r="J61" s="412"/>
      <c r="K61" s="412"/>
      <c r="L61" s="412"/>
    </row>
    <row r="62" spans="1:26" x14ac:dyDescent="0.2">
      <c r="A62" s="412"/>
      <c r="B62" s="412"/>
      <c r="C62" s="412"/>
      <c r="D62" s="413" t="s">
        <v>206</v>
      </c>
      <c r="E62" s="414" t="s">
        <v>770</v>
      </c>
      <c r="F62" s="414"/>
      <c r="G62" s="414"/>
      <c r="H62" s="415">
        <v>5089.1400000000003</v>
      </c>
      <c r="I62" s="412"/>
      <c r="J62" s="412"/>
      <c r="K62" s="412"/>
      <c r="L62" s="412"/>
    </row>
    <row r="63" spans="1:26" x14ac:dyDescent="0.2">
      <c r="A63" s="412"/>
      <c r="B63" s="412"/>
      <c r="C63" s="412"/>
      <c r="D63" s="413" t="s">
        <v>207</v>
      </c>
      <c r="E63" s="414" t="s">
        <v>977</v>
      </c>
      <c r="F63" s="414"/>
      <c r="G63" s="414"/>
      <c r="H63" s="415">
        <v>1944.16</v>
      </c>
      <c r="I63" s="412"/>
      <c r="J63" s="412"/>
      <c r="K63" s="412"/>
      <c r="L63" s="412"/>
    </row>
    <row r="64" spans="1:26" x14ac:dyDescent="0.2">
      <c r="A64" s="412"/>
      <c r="B64" s="412"/>
      <c r="C64" s="412"/>
      <c r="D64" s="416" t="s">
        <v>715</v>
      </c>
      <c r="E64" s="417"/>
      <c r="F64" s="417"/>
      <c r="G64" s="417"/>
      <c r="H64" s="418">
        <v>12751.43</v>
      </c>
      <c r="I64" s="412"/>
      <c r="J64" s="412"/>
      <c r="K64" s="412"/>
      <c r="L64" s="412"/>
    </row>
    <row r="65" spans="1:26" s="790" customFormat="1" ht="51" x14ac:dyDescent="0.2">
      <c r="A65" s="784">
        <v>4</v>
      </c>
      <c r="B65" s="784">
        <v>172</v>
      </c>
      <c r="C65" s="784" t="s">
        <v>762</v>
      </c>
      <c r="D65" s="784" t="s">
        <v>1036</v>
      </c>
      <c r="E65" s="785">
        <v>0.20601</v>
      </c>
      <c r="F65" s="786">
        <v>689.03687500000001</v>
      </c>
      <c r="G65" s="786">
        <v>689.03687500000001</v>
      </c>
      <c r="H65" s="787">
        <v>1879.4</v>
      </c>
      <c r="I65" s="787" t="s">
        <v>281</v>
      </c>
      <c r="J65" s="787">
        <v>1879.4</v>
      </c>
      <c r="K65" s="786" t="s">
        <v>281</v>
      </c>
      <c r="L65" s="786" t="s">
        <v>281</v>
      </c>
      <c r="M65" s="789">
        <f>141.34/1000</f>
        <v>0.14133999999999999</v>
      </c>
      <c r="N65" s="789" t="s">
        <v>2356</v>
      </c>
      <c r="O65" s="789"/>
      <c r="T65" s="790">
        <v>3504.57</v>
      </c>
      <c r="V65" s="790" t="s">
        <v>281</v>
      </c>
      <c r="W65" s="790">
        <v>1879.4</v>
      </c>
      <c r="X65" s="790">
        <v>1239.6400000000001</v>
      </c>
      <c r="Y65" s="790" t="s">
        <v>281</v>
      </c>
      <c r="Z65" s="790">
        <v>2.3868830000000001</v>
      </c>
    </row>
    <row r="66" spans="1:26" x14ac:dyDescent="0.2">
      <c r="A66" s="407"/>
      <c r="B66" s="407"/>
      <c r="C66" s="407"/>
      <c r="D66" s="408" t="s">
        <v>763</v>
      </c>
      <c r="E66" s="409"/>
      <c r="F66" s="410" t="s">
        <v>281</v>
      </c>
      <c r="G66" s="410">
        <v>134.40625</v>
      </c>
      <c r="H66" s="409"/>
      <c r="I66" s="409"/>
      <c r="J66" s="411">
        <v>1239.6400000000001</v>
      </c>
      <c r="K66" s="410">
        <v>11.58625</v>
      </c>
      <c r="L66" s="410">
        <v>2.3868830000000001</v>
      </c>
    </row>
    <row r="67" spans="1:26" ht="20.399999999999999" x14ac:dyDescent="0.2">
      <c r="A67" s="412"/>
      <c r="B67" s="412"/>
      <c r="C67" s="412"/>
      <c r="D67" s="395" t="s">
        <v>714</v>
      </c>
      <c r="E67" s="412"/>
      <c r="F67" s="412"/>
      <c r="G67" s="412"/>
      <c r="H67" s="412"/>
      <c r="I67" s="412"/>
      <c r="J67" s="412"/>
      <c r="K67" s="412"/>
      <c r="L67" s="412"/>
    </row>
    <row r="68" spans="1:26" ht="20.399999999999999" x14ac:dyDescent="0.2">
      <c r="A68" s="412"/>
      <c r="B68" s="412"/>
      <c r="C68" s="412"/>
      <c r="D68" s="395" t="s">
        <v>978</v>
      </c>
      <c r="E68" s="412"/>
      <c r="F68" s="412"/>
      <c r="G68" s="412"/>
      <c r="H68" s="412"/>
      <c r="I68" s="412"/>
      <c r="J68" s="412"/>
      <c r="K68" s="412"/>
      <c r="L68" s="412"/>
    </row>
    <row r="69" spans="1:26" ht="132.6" x14ac:dyDescent="0.2">
      <c r="A69" s="412"/>
      <c r="B69" s="412"/>
      <c r="C69" s="412"/>
      <c r="D69" s="395" t="s">
        <v>979</v>
      </c>
      <c r="E69" s="412"/>
      <c r="F69" s="412"/>
      <c r="G69" s="412"/>
      <c r="H69" s="412"/>
      <c r="I69" s="412"/>
      <c r="J69" s="412"/>
      <c r="K69" s="412"/>
      <c r="L69" s="412"/>
    </row>
    <row r="70" spans="1:26" x14ac:dyDescent="0.2">
      <c r="A70" s="412"/>
      <c r="B70" s="412"/>
      <c r="C70" s="412"/>
      <c r="D70" s="413" t="s">
        <v>206</v>
      </c>
      <c r="E70" s="414" t="s">
        <v>764</v>
      </c>
      <c r="F70" s="414"/>
      <c r="G70" s="414"/>
      <c r="H70" s="415">
        <v>1140.47</v>
      </c>
      <c r="I70" s="412"/>
      <c r="J70" s="412"/>
      <c r="K70" s="412"/>
      <c r="L70" s="412"/>
    </row>
    <row r="71" spans="1:26" x14ac:dyDescent="0.2">
      <c r="A71" s="412"/>
      <c r="B71" s="412"/>
      <c r="C71" s="412"/>
      <c r="D71" s="413" t="s">
        <v>207</v>
      </c>
      <c r="E71" s="414" t="s">
        <v>972</v>
      </c>
      <c r="F71" s="414"/>
      <c r="G71" s="414"/>
      <c r="H71" s="415">
        <v>484.7</v>
      </c>
      <c r="I71" s="412"/>
      <c r="J71" s="412"/>
      <c r="K71" s="412"/>
      <c r="L71" s="412"/>
    </row>
    <row r="72" spans="1:26" x14ac:dyDescent="0.2">
      <c r="A72" s="412"/>
      <c r="B72" s="412"/>
      <c r="C72" s="412"/>
      <c r="D72" s="416" t="s">
        <v>715</v>
      </c>
      <c r="E72" s="417"/>
      <c r="F72" s="417"/>
      <c r="G72" s="417"/>
      <c r="H72" s="418">
        <v>3504.57</v>
      </c>
      <c r="I72" s="412"/>
      <c r="J72" s="412"/>
      <c r="K72" s="412"/>
      <c r="L72" s="412"/>
    </row>
    <row r="73" spans="1:26" s="790" customFormat="1" ht="30.6" x14ac:dyDescent="0.2">
      <c r="A73" s="784">
        <v>5</v>
      </c>
      <c r="B73" s="784">
        <v>173</v>
      </c>
      <c r="C73" s="784" t="s">
        <v>1357</v>
      </c>
      <c r="D73" s="784" t="s">
        <v>1536</v>
      </c>
      <c r="E73" s="785">
        <v>170.72</v>
      </c>
      <c r="F73" s="786">
        <v>101.17976</v>
      </c>
      <c r="G73" s="786" t="s">
        <v>281</v>
      </c>
      <c r="H73" s="787">
        <v>140951.54999999999</v>
      </c>
      <c r="I73" s="787" t="s">
        <v>281</v>
      </c>
      <c r="J73" s="787" t="s">
        <v>281</v>
      </c>
      <c r="K73" s="786" t="s">
        <v>281</v>
      </c>
      <c r="L73" s="786" t="s">
        <v>281</v>
      </c>
      <c r="M73" s="789">
        <f>M65*1000*1.1</f>
        <v>155.47399999999999</v>
      </c>
      <c r="N73" s="789" t="s">
        <v>2357</v>
      </c>
      <c r="O73" s="789" t="s">
        <v>2326</v>
      </c>
      <c r="T73" s="790">
        <v>140951.54999999999</v>
      </c>
      <c r="V73" s="790" t="s">
        <v>281</v>
      </c>
      <c r="W73" s="790" t="s">
        <v>281</v>
      </c>
      <c r="X73" s="790" t="s">
        <v>281</v>
      </c>
      <c r="Y73" s="790" t="s">
        <v>281</v>
      </c>
      <c r="Z73" s="790" t="s">
        <v>281</v>
      </c>
    </row>
    <row r="74" spans="1:26" x14ac:dyDescent="0.2">
      <c r="A74" s="407"/>
      <c r="B74" s="407"/>
      <c r="C74" s="407"/>
      <c r="D74" s="408" t="s">
        <v>745</v>
      </c>
      <c r="E74" s="409"/>
      <c r="F74" s="410" t="s">
        <v>281</v>
      </c>
      <c r="G74" s="410" t="s">
        <v>281</v>
      </c>
      <c r="H74" s="409"/>
      <c r="I74" s="409"/>
      <c r="J74" s="411" t="s">
        <v>281</v>
      </c>
      <c r="K74" s="410" t="s">
        <v>281</v>
      </c>
      <c r="L74" s="410" t="s">
        <v>281</v>
      </c>
    </row>
    <row r="75" spans="1:26" x14ac:dyDescent="0.2">
      <c r="A75" s="412"/>
      <c r="B75" s="412"/>
      <c r="C75" s="412"/>
      <c r="D75" s="395" t="s">
        <v>718</v>
      </c>
      <c r="E75" s="412"/>
      <c r="F75" s="412"/>
      <c r="G75" s="412"/>
      <c r="H75" s="412"/>
      <c r="I75" s="412"/>
      <c r="J75" s="412"/>
      <c r="K75" s="412"/>
      <c r="L75" s="412"/>
    </row>
    <row r="76" spans="1:26" s="829" customFormat="1" ht="30.6" x14ac:dyDescent="0.2">
      <c r="A76" s="825">
        <v>6</v>
      </c>
      <c r="B76" s="825">
        <v>174</v>
      </c>
      <c r="C76" s="825" t="s">
        <v>744</v>
      </c>
      <c r="D76" s="825" t="s">
        <v>2361</v>
      </c>
      <c r="E76" s="826">
        <v>172.44</v>
      </c>
      <c r="F76" s="827">
        <v>194.85</v>
      </c>
      <c r="G76" s="827" t="s">
        <v>281</v>
      </c>
      <c r="H76" s="828">
        <v>274176.15000000002</v>
      </c>
      <c r="I76" s="828" t="s">
        <v>281</v>
      </c>
      <c r="J76" s="828" t="s">
        <v>281</v>
      </c>
      <c r="K76" s="827" t="s">
        <v>281</v>
      </c>
      <c r="L76" s="827" t="s">
        <v>281</v>
      </c>
      <c r="M76" s="830">
        <f>M49*1000</f>
        <v>157.72999999999999</v>
      </c>
      <c r="N76" s="830" t="s">
        <v>2362</v>
      </c>
      <c r="O76" s="830"/>
      <c r="T76" s="829">
        <v>274176.15000000002</v>
      </c>
      <c r="V76" s="829" t="s">
        <v>281</v>
      </c>
      <c r="W76" s="829" t="s">
        <v>281</v>
      </c>
      <c r="X76" s="829" t="s">
        <v>281</v>
      </c>
      <c r="Y76" s="829" t="s">
        <v>281</v>
      </c>
      <c r="Z76" s="829" t="s">
        <v>281</v>
      </c>
    </row>
    <row r="77" spans="1:26" x14ac:dyDescent="0.2">
      <c r="A77" s="407"/>
      <c r="B77" s="407"/>
      <c r="C77" s="407"/>
      <c r="D77" s="408" t="s">
        <v>745</v>
      </c>
      <c r="E77" s="409"/>
      <c r="F77" s="410" t="s">
        <v>281</v>
      </c>
      <c r="G77" s="410" t="s">
        <v>281</v>
      </c>
      <c r="H77" s="409"/>
      <c r="I77" s="409"/>
      <c r="J77" s="411" t="s">
        <v>281</v>
      </c>
      <c r="K77" s="410" t="s">
        <v>281</v>
      </c>
      <c r="L77" s="410" t="s">
        <v>281</v>
      </c>
    </row>
    <row r="78" spans="1:26" x14ac:dyDescent="0.2">
      <c r="A78" s="412"/>
      <c r="B78" s="412"/>
      <c r="C78" s="412"/>
      <c r="D78" s="395" t="s">
        <v>718</v>
      </c>
      <c r="E78" s="412"/>
      <c r="F78" s="412"/>
      <c r="G78" s="412"/>
      <c r="H78" s="412"/>
      <c r="I78" s="412"/>
      <c r="J78" s="412"/>
      <c r="K78" s="412"/>
      <c r="L78" s="412"/>
    </row>
    <row r="79" spans="1:26" s="790" customFormat="1" ht="51" x14ac:dyDescent="0.2">
      <c r="A79" s="784">
        <v>7</v>
      </c>
      <c r="B79" s="784">
        <v>175</v>
      </c>
      <c r="C79" s="784" t="s">
        <v>1358</v>
      </c>
      <c r="D79" s="784" t="s">
        <v>1346</v>
      </c>
      <c r="E79" s="785">
        <v>0.06</v>
      </c>
      <c r="F79" s="786">
        <v>8250.3257749999993</v>
      </c>
      <c r="G79" s="786">
        <v>5650.6975000000002</v>
      </c>
      <c r="H79" s="787">
        <v>9832.73</v>
      </c>
      <c r="I79" s="787">
        <v>4978.4399999999996</v>
      </c>
      <c r="J79" s="787">
        <v>4488.91</v>
      </c>
      <c r="K79" s="786">
        <v>194.8836</v>
      </c>
      <c r="L79" s="786">
        <v>11.693016</v>
      </c>
      <c r="M79" s="789">
        <f>8/100</f>
        <v>0.08</v>
      </c>
      <c r="N79" s="789" t="s">
        <v>2343</v>
      </c>
      <c r="O79" s="789"/>
      <c r="T79" s="790">
        <v>20787.22</v>
      </c>
      <c r="V79" s="790">
        <v>4978.4399999999996</v>
      </c>
      <c r="W79" s="790">
        <v>4488.91</v>
      </c>
      <c r="X79" s="790">
        <v>1110.77</v>
      </c>
      <c r="Y79" s="790">
        <v>11.693016</v>
      </c>
      <c r="Z79" s="790">
        <v>1.7241379999999999</v>
      </c>
    </row>
    <row r="80" spans="1:26" x14ac:dyDescent="0.2">
      <c r="A80" s="407"/>
      <c r="B80" s="407"/>
      <c r="C80" s="407"/>
      <c r="D80" s="408" t="s">
        <v>747</v>
      </c>
      <c r="E80" s="409"/>
      <c r="F80" s="410">
        <v>1853.3382750000001</v>
      </c>
      <c r="G80" s="410">
        <v>413.51125000000002</v>
      </c>
      <c r="H80" s="409"/>
      <c r="I80" s="409"/>
      <c r="J80" s="411">
        <v>1110.77</v>
      </c>
      <c r="K80" s="410">
        <v>28.735624999999999</v>
      </c>
      <c r="L80" s="410">
        <v>1.7241379999999999</v>
      </c>
    </row>
    <row r="81" spans="1:26" ht="20.399999999999999" x14ac:dyDescent="0.2">
      <c r="A81" s="412"/>
      <c r="B81" s="412"/>
      <c r="C81" s="412"/>
      <c r="D81" s="395" t="s">
        <v>714</v>
      </c>
      <c r="E81" s="412"/>
      <c r="F81" s="412"/>
      <c r="G81" s="412"/>
      <c r="H81" s="412"/>
      <c r="I81" s="412"/>
      <c r="J81" s="412"/>
      <c r="K81" s="412"/>
      <c r="L81" s="412"/>
    </row>
    <row r="82" spans="1:26" ht="20.399999999999999" x14ac:dyDescent="0.2">
      <c r="A82" s="412"/>
      <c r="B82" s="412"/>
      <c r="C82" s="412"/>
      <c r="D82" s="395" t="s">
        <v>978</v>
      </c>
      <c r="E82" s="412"/>
      <c r="F82" s="412"/>
      <c r="G82" s="412"/>
      <c r="H82" s="412"/>
      <c r="I82" s="412"/>
      <c r="J82" s="412"/>
      <c r="K82" s="412"/>
      <c r="L82" s="412"/>
    </row>
    <row r="83" spans="1:26" ht="132.6" x14ac:dyDescent="0.2">
      <c r="A83" s="412"/>
      <c r="B83" s="412"/>
      <c r="C83" s="412"/>
      <c r="D83" s="395" t="s">
        <v>979</v>
      </c>
      <c r="E83" s="412"/>
      <c r="F83" s="412"/>
      <c r="G83" s="412"/>
      <c r="H83" s="412"/>
      <c r="I83" s="412"/>
      <c r="J83" s="412"/>
      <c r="K83" s="412"/>
      <c r="L83" s="412"/>
    </row>
    <row r="84" spans="1:26" x14ac:dyDescent="0.2">
      <c r="A84" s="412"/>
      <c r="B84" s="412"/>
      <c r="C84" s="412"/>
      <c r="D84" s="413" t="s">
        <v>206</v>
      </c>
      <c r="E84" s="414" t="s">
        <v>1242</v>
      </c>
      <c r="F84" s="414"/>
      <c r="G84" s="414"/>
      <c r="H84" s="415">
        <v>7124.38</v>
      </c>
      <c r="I84" s="412"/>
      <c r="J84" s="412"/>
      <c r="K84" s="412"/>
      <c r="L84" s="412"/>
    </row>
    <row r="85" spans="1:26" x14ac:dyDescent="0.2">
      <c r="A85" s="412"/>
      <c r="B85" s="412"/>
      <c r="C85" s="412"/>
      <c r="D85" s="413" t="s">
        <v>207</v>
      </c>
      <c r="E85" s="414" t="s">
        <v>1243</v>
      </c>
      <c r="F85" s="414"/>
      <c r="G85" s="414"/>
      <c r="H85" s="415">
        <v>3830.11</v>
      </c>
      <c r="I85" s="412"/>
      <c r="J85" s="412"/>
      <c r="K85" s="412"/>
      <c r="L85" s="412"/>
    </row>
    <row r="86" spans="1:26" x14ac:dyDescent="0.2">
      <c r="A86" s="412"/>
      <c r="B86" s="412"/>
      <c r="C86" s="412"/>
      <c r="D86" s="416" t="s">
        <v>715</v>
      </c>
      <c r="E86" s="417"/>
      <c r="F86" s="417"/>
      <c r="G86" s="417"/>
      <c r="H86" s="418">
        <v>20787.22</v>
      </c>
      <c r="I86" s="412"/>
      <c r="J86" s="412"/>
      <c r="K86" s="412"/>
      <c r="L86" s="412"/>
    </row>
    <row r="87" spans="1:26" s="790" customFormat="1" ht="30.6" x14ac:dyDescent="0.2">
      <c r="A87" s="784">
        <v>8</v>
      </c>
      <c r="B87" s="784">
        <v>176</v>
      </c>
      <c r="C87" s="784" t="s">
        <v>1359</v>
      </c>
      <c r="D87" s="784" t="s">
        <v>1589</v>
      </c>
      <c r="E87" s="785">
        <v>6.06</v>
      </c>
      <c r="F87" s="786">
        <v>1887.1</v>
      </c>
      <c r="G87" s="786" t="s">
        <v>281</v>
      </c>
      <c r="H87" s="787">
        <v>93316.36</v>
      </c>
      <c r="I87" s="787" t="s">
        <v>281</v>
      </c>
      <c r="J87" s="787" t="s">
        <v>281</v>
      </c>
      <c r="K87" s="786" t="s">
        <v>281</v>
      </c>
      <c r="L87" s="786" t="s">
        <v>281</v>
      </c>
      <c r="M87" s="789">
        <f>M79*1.01*100</f>
        <v>8.08</v>
      </c>
      <c r="N87" s="789" t="s">
        <v>2346</v>
      </c>
      <c r="O87" s="789" t="s">
        <v>2347</v>
      </c>
      <c r="T87" s="790">
        <v>93316.36</v>
      </c>
      <c r="V87" s="790" t="s">
        <v>281</v>
      </c>
      <c r="W87" s="790" t="s">
        <v>281</v>
      </c>
      <c r="X87" s="790" t="s">
        <v>281</v>
      </c>
      <c r="Y87" s="790" t="s">
        <v>281</v>
      </c>
      <c r="Z87" s="790" t="s">
        <v>281</v>
      </c>
    </row>
    <row r="88" spans="1:26" x14ac:dyDescent="0.2">
      <c r="A88" s="407"/>
      <c r="B88" s="407"/>
      <c r="C88" s="407"/>
      <c r="D88" s="408" t="s">
        <v>883</v>
      </c>
      <c r="E88" s="409"/>
      <c r="F88" s="410" t="s">
        <v>281</v>
      </c>
      <c r="G88" s="410" t="s">
        <v>281</v>
      </c>
      <c r="H88" s="409"/>
      <c r="I88" s="409"/>
      <c r="J88" s="411" t="s">
        <v>281</v>
      </c>
      <c r="K88" s="410" t="s">
        <v>281</v>
      </c>
      <c r="L88" s="410" t="s">
        <v>281</v>
      </c>
    </row>
    <row r="89" spans="1:26" x14ac:dyDescent="0.2">
      <c r="A89" s="412"/>
      <c r="B89" s="412"/>
      <c r="C89" s="412"/>
      <c r="D89" s="395" t="s">
        <v>718</v>
      </c>
      <c r="E89" s="412"/>
      <c r="F89" s="412"/>
      <c r="G89" s="412"/>
      <c r="H89" s="412"/>
      <c r="I89" s="412"/>
      <c r="J89" s="412"/>
      <c r="K89" s="412"/>
      <c r="L89" s="412"/>
    </row>
    <row r="90" spans="1:26" s="790" customFormat="1" ht="61.2" x14ac:dyDescent="0.2">
      <c r="A90" s="784">
        <v>9</v>
      </c>
      <c r="B90" s="784">
        <v>177</v>
      </c>
      <c r="C90" s="784" t="s">
        <v>1360</v>
      </c>
      <c r="D90" s="784" t="s">
        <v>1347</v>
      </c>
      <c r="E90" s="785">
        <v>6.0000000000000001E-3</v>
      </c>
      <c r="F90" s="786">
        <v>97191.516875000001</v>
      </c>
      <c r="G90" s="786">
        <v>62329.353125000001</v>
      </c>
      <c r="H90" s="787">
        <v>8325.0400000000009</v>
      </c>
      <c r="I90" s="787">
        <v>2038.25</v>
      </c>
      <c r="J90" s="787">
        <v>4951.4399999999996</v>
      </c>
      <c r="K90" s="786">
        <v>826.5625</v>
      </c>
      <c r="L90" s="786">
        <v>4.9593749999999996</v>
      </c>
      <c r="M90" s="789">
        <f>M79/10</f>
        <v>8.0000000000000002E-3</v>
      </c>
      <c r="N90" s="789" t="s">
        <v>2348</v>
      </c>
      <c r="O90" s="789"/>
      <c r="T90" s="790">
        <v>14346.8</v>
      </c>
      <c r="V90" s="790">
        <v>2038.25</v>
      </c>
      <c r="W90" s="790">
        <v>4951.4399999999996</v>
      </c>
      <c r="X90" s="790">
        <v>1309.03</v>
      </c>
      <c r="Y90" s="790">
        <v>4.9593749999999996</v>
      </c>
      <c r="Z90" s="790">
        <v>2.0643940000000001</v>
      </c>
    </row>
    <row r="91" spans="1:26" x14ac:dyDescent="0.2">
      <c r="A91" s="407"/>
      <c r="B91" s="407"/>
      <c r="C91" s="407"/>
      <c r="D91" s="408" t="s">
        <v>1245</v>
      </c>
      <c r="E91" s="409"/>
      <c r="F91" s="410">
        <v>7587.84375</v>
      </c>
      <c r="G91" s="410">
        <v>4873.1681250000001</v>
      </c>
      <c r="H91" s="409"/>
      <c r="I91" s="409"/>
      <c r="J91" s="411">
        <v>1309.03</v>
      </c>
      <c r="K91" s="410">
        <v>344.06562500000001</v>
      </c>
      <c r="L91" s="410">
        <v>2.0643940000000001</v>
      </c>
    </row>
    <row r="92" spans="1:26" ht="20.399999999999999" x14ac:dyDescent="0.2">
      <c r="A92" s="412"/>
      <c r="B92" s="412"/>
      <c r="C92" s="412"/>
      <c r="D92" s="395" t="s">
        <v>714</v>
      </c>
      <c r="E92" s="412"/>
      <c r="F92" s="412"/>
      <c r="G92" s="412"/>
      <c r="H92" s="412"/>
      <c r="I92" s="412"/>
      <c r="J92" s="412"/>
      <c r="K92" s="412"/>
      <c r="L92" s="412"/>
    </row>
    <row r="93" spans="1:26" ht="20.399999999999999" x14ac:dyDescent="0.2">
      <c r="A93" s="412"/>
      <c r="B93" s="412"/>
      <c r="C93" s="412"/>
      <c r="D93" s="395" t="s">
        <v>978</v>
      </c>
      <c r="E93" s="412"/>
      <c r="F93" s="412"/>
      <c r="G93" s="412"/>
      <c r="H93" s="412"/>
      <c r="I93" s="412"/>
      <c r="J93" s="412"/>
      <c r="K93" s="412"/>
      <c r="L93" s="412"/>
    </row>
    <row r="94" spans="1:26" ht="132.6" x14ac:dyDescent="0.2">
      <c r="A94" s="412"/>
      <c r="B94" s="412"/>
      <c r="C94" s="412"/>
      <c r="D94" s="395" t="s">
        <v>979</v>
      </c>
      <c r="E94" s="412"/>
      <c r="F94" s="412"/>
      <c r="G94" s="412"/>
      <c r="H94" s="412"/>
      <c r="I94" s="412"/>
      <c r="J94" s="412"/>
      <c r="K94" s="412"/>
      <c r="L94" s="412"/>
    </row>
    <row r="95" spans="1:26" x14ac:dyDescent="0.2">
      <c r="A95" s="412"/>
      <c r="B95" s="412"/>
      <c r="C95" s="412"/>
      <c r="D95" s="413" t="s">
        <v>206</v>
      </c>
      <c r="E95" s="414" t="s">
        <v>1242</v>
      </c>
      <c r="F95" s="414"/>
      <c r="G95" s="414"/>
      <c r="H95" s="415">
        <v>3916.32</v>
      </c>
      <c r="I95" s="412"/>
      <c r="J95" s="412"/>
      <c r="K95" s="412"/>
      <c r="L95" s="412"/>
    </row>
    <row r="96" spans="1:26" x14ac:dyDescent="0.2">
      <c r="A96" s="412"/>
      <c r="B96" s="412"/>
      <c r="C96" s="412"/>
      <c r="D96" s="413" t="s">
        <v>207</v>
      </c>
      <c r="E96" s="414" t="s">
        <v>1243</v>
      </c>
      <c r="F96" s="414"/>
      <c r="G96" s="414"/>
      <c r="H96" s="415">
        <v>2105.44</v>
      </c>
      <c r="I96" s="412"/>
      <c r="J96" s="412"/>
      <c r="K96" s="412"/>
      <c r="L96" s="412"/>
    </row>
    <row r="97" spans="1:26" x14ac:dyDescent="0.2">
      <c r="A97" s="412"/>
      <c r="B97" s="412"/>
      <c r="C97" s="412"/>
      <c r="D97" s="416" t="s">
        <v>715</v>
      </c>
      <c r="E97" s="417"/>
      <c r="F97" s="417"/>
      <c r="G97" s="417"/>
      <c r="H97" s="418">
        <v>14346.8</v>
      </c>
      <c r="I97" s="412"/>
      <c r="J97" s="412"/>
      <c r="K97" s="412"/>
      <c r="L97" s="412"/>
    </row>
    <row r="98" spans="1:26" s="790" customFormat="1" x14ac:dyDescent="0.2">
      <c r="A98" s="784">
        <v>10</v>
      </c>
      <c r="B98" s="784">
        <v>178</v>
      </c>
      <c r="C98" s="784" t="s">
        <v>1285</v>
      </c>
      <c r="D98" s="784" t="s">
        <v>1573</v>
      </c>
      <c r="E98" s="785">
        <v>0.1464</v>
      </c>
      <c r="F98" s="786">
        <v>43982.400000000001</v>
      </c>
      <c r="G98" s="786" t="s">
        <v>281</v>
      </c>
      <c r="H98" s="787">
        <v>52542.43</v>
      </c>
      <c r="I98" s="787" t="s">
        <v>281</v>
      </c>
      <c r="J98" s="787" t="s">
        <v>281</v>
      </c>
      <c r="K98" s="786" t="s">
        <v>281</v>
      </c>
      <c r="L98" s="786" t="s">
        <v>281</v>
      </c>
      <c r="M98" s="789"/>
      <c r="N98" s="789" t="s">
        <v>2349</v>
      </c>
      <c r="O98" s="789"/>
      <c r="T98" s="790">
        <v>52542.43</v>
      </c>
      <c r="V98" s="790" t="s">
        <v>281</v>
      </c>
      <c r="W98" s="790" t="s">
        <v>281</v>
      </c>
      <c r="X98" s="790" t="s">
        <v>281</v>
      </c>
      <c r="Y98" s="790" t="s">
        <v>281</v>
      </c>
      <c r="Z98" s="790" t="s">
        <v>281</v>
      </c>
    </row>
    <row r="99" spans="1:26" x14ac:dyDescent="0.2">
      <c r="A99" s="407"/>
      <c r="B99" s="407"/>
      <c r="C99" s="407"/>
      <c r="D99" s="408" t="s">
        <v>224</v>
      </c>
      <c r="E99" s="409"/>
      <c r="F99" s="410" t="s">
        <v>281</v>
      </c>
      <c r="G99" s="410" t="s">
        <v>281</v>
      </c>
      <c r="H99" s="409"/>
      <c r="I99" s="409"/>
      <c r="J99" s="411" t="s">
        <v>281</v>
      </c>
      <c r="K99" s="410" t="s">
        <v>281</v>
      </c>
      <c r="L99" s="410" t="s">
        <v>281</v>
      </c>
    </row>
    <row r="100" spans="1:26" x14ac:dyDescent="0.2">
      <c r="A100" s="412"/>
      <c r="B100" s="412"/>
      <c r="C100" s="412"/>
      <c r="D100" s="395" t="s">
        <v>718</v>
      </c>
      <c r="E100" s="412"/>
      <c r="F100" s="412"/>
      <c r="G100" s="412"/>
      <c r="H100" s="412"/>
      <c r="I100" s="412"/>
      <c r="J100" s="412"/>
      <c r="K100" s="412"/>
      <c r="L100" s="412"/>
    </row>
    <row r="101" spans="1:26" s="790" customFormat="1" ht="40.799999999999997" x14ac:dyDescent="0.2">
      <c r="A101" s="784">
        <v>11</v>
      </c>
      <c r="B101" s="784">
        <v>179</v>
      </c>
      <c r="C101" s="784" t="s">
        <v>1361</v>
      </c>
      <c r="D101" s="784" t="s">
        <v>1348</v>
      </c>
      <c r="E101" s="785">
        <v>0.06</v>
      </c>
      <c r="F101" s="786">
        <v>4806.8047500000002</v>
      </c>
      <c r="G101" s="786">
        <v>203.66499999999999</v>
      </c>
      <c r="H101" s="787">
        <v>5585.13</v>
      </c>
      <c r="I101" s="787">
        <v>3876.13</v>
      </c>
      <c r="J101" s="787">
        <v>161.79</v>
      </c>
      <c r="K101" s="786">
        <v>149.99795</v>
      </c>
      <c r="L101" s="786">
        <v>8.9998769999999997</v>
      </c>
      <c r="M101" s="789">
        <f>8/100</f>
        <v>0.08</v>
      </c>
      <c r="N101" s="789" t="s">
        <v>2343</v>
      </c>
      <c r="O101" s="789"/>
      <c r="T101" s="790">
        <v>12581.76</v>
      </c>
      <c r="V101" s="790">
        <v>3876.13</v>
      </c>
      <c r="W101" s="790">
        <v>161.79</v>
      </c>
      <c r="X101" s="790">
        <v>13.05</v>
      </c>
      <c r="Y101" s="790">
        <v>8.9998769999999997</v>
      </c>
      <c r="Z101" s="790">
        <v>2.1562999999999999E-2</v>
      </c>
    </row>
    <row r="102" spans="1:26" x14ac:dyDescent="0.2">
      <c r="A102" s="407"/>
      <c r="B102" s="407"/>
      <c r="C102" s="407"/>
      <c r="D102" s="408" t="s">
        <v>1255</v>
      </c>
      <c r="E102" s="409"/>
      <c r="F102" s="410">
        <v>1442.97975</v>
      </c>
      <c r="G102" s="410">
        <v>4.8587499999999997</v>
      </c>
      <c r="H102" s="409"/>
      <c r="I102" s="409"/>
      <c r="J102" s="411">
        <v>13.05</v>
      </c>
      <c r="K102" s="410">
        <v>0.359375</v>
      </c>
      <c r="L102" s="410">
        <v>2.1562999999999999E-2</v>
      </c>
    </row>
    <row r="103" spans="1:26" ht="20.399999999999999" x14ac:dyDescent="0.2">
      <c r="A103" s="412"/>
      <c r="B103" s="412"/>
      <c r="C103" s="412"/>
      <c r="D103" s="395" t="s">
        <v>714</v>
      </c>
      <c r="E103" s="412"/>
      <c r="F103" s="412"/>
      <c r="G103" s="412"/>
      <c r="H103" s="412"/>
      <c r="I103" s="412"/>
      <c r="J103" s="412"/>
      <c r="K103" s="412"/>
      <c r="L103" s="412"/>
    </row>
    <row r="104" spans="1:26" ht="20.399999999999999" x14ac:dyDescent="0.2">
      <c r="A104" s="412"/>
      <c r="B104" s="412"/>
      <c r="C104" s="412"/>
      <c r="D104" s="395" t="s">
        <v>978</v>
      </c>
      <c r="E104" s="412"/>
      <c r="F104" s="412"/>
      <c r="G104" s="412"/>
      <c r="H104" s="412"/>
      <c r="I104" s="412"/>
      <c r="J104" s="412"/>
      <c r="K104" s="412"/>
      <c r="L104" s="412"/>
    </row>
    <row r="105" spans="1:26" ht="132.6" x14ac:dyDescent="0.2">
      <c r="A105" s="412"/>
      <c r="B105" s="412"/>
      <c r="C105" s="412"/>
      <c r="D105" s="395" t="s">
        <v>979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x14ac:dyDescent="0.2">
      <c r="A106" s="412"/>
      <c r="B106" s="412"/>
      <c r="C106" s="412"/>
      <c r="D106" s="413" t="s">
        <v>206</v>
      </c>
      <c r="E106" s="414" t="s">
        <v>1242</v>
      </c>
      <c r="F106" s="414"/>
      <c r="G106" s="414"/>
      <c r="H106" s="415">
        <v>4550.34</v>
      </c>
      <c r="I106" s="412"/>
      <c r="J106" s="412"/>
      <c r="K106" s="412"/>
      <c r="L106" s="412"/>
    </row>
    <row r="107" spans="1:26" x14ac:dyDescent="0.2">
      <c r="A107" s="412"/>
      <c r="B107" s="412"/>
      <c r="C107" s="412"/>
      <c r="D107" s="413" t="s">
        <v>207</v>
      </c>
      <c r="E107" s="414" t="s">
        <v>1243</v>
      </c>
      <c r="F107" s="414"/>
      <c r="G107" s="414"/>
      <c r="H107" s="415">
        <v>2446.29</v>
      </c>
      <c r="I107" s="412"/>
      <c r="J107" s="412"/>
      <c r="K107" s="412"/>
      <c r="L107" s="412"/>
    </row>
    <row r="108" spans="1:26" x14ac:dyDescent="0.2">
      <c r="A108" s="412"/>
      <c r="B108" s="412"/>
      <c r="C108" s="412"/>
      <c r="D108" s="416" t="s">
        <v>715</v>
      </c>
      <c r="E108" s="417"/>
      <c r="F108" s="417"/>
      <c r="G108" s="417"/>
      <c r="H108" s="418">
        <v>12581.76</v>
      </c>
      <c r="I108" s="412"/>
      <c r="J108" s="412"/>
      <c r="K108" s="412"/>
      <c r="L108" s="412"/>
    </row>
    <row r="109" spans="1:26" s="790" customFormat="1" ht="20.399999999999999" x14ac:dyDescent="0.2">
      <c r="A109" s="784">
        <v>12</v>
      </c>
      <c r="B109" s="784">
        <v>180</v>
      </c>
      <c r="C109" s="784" t="s">
        <v>1362</v>
      </c>
      <c r="D109" s="784" t="s">
        <v>1588</v>
      </c>
      <c r="E109" s="785">
        <v>2</v>
      </c>
      <c r="F109" s="786">
        <v>28.24</v>
      </c>
      <c r="G109" s="786" t="s">
        <v>281</v>
      </c>
      <c r="H109" s="787">
        <v>460.88</v>
      </c>
      <c r="I109" s="787" t="s">
        <v>281</v>
      </c>
      <c r="J109" s="787" t="s">
        <v>281</v>
      </c>
      <c r="K109" s="786" t="s">
        <v>281</v>
      </c>
      <c r="L109" s="786" t="s">
        <v>281</v>
      </c>
      <c r="M109" s="789">
        <v>4</v>
      </c>
      <c r="N109" s="789" t="s">
        <v>2350</v>
      </c>
      <c r="O109" s="789"/>
      <c r="T109" s="790">
        <v>460.88</v>
      </c>
      <c r="V109" s="790" t="s">
        <v>281</v>
      </c>
      <c r="W109" s="790" t="s">
        <v>281</v>
      </c>
      <c r="X109" s="790" t="s">
        <v>281</v>
      </c>
      <c r="Y109" s="790" t="s">
        <v>281</v>
      </c>
      <c r="Z109" s="790" t="s">
        <v>281</v>
      </c>
    </row>
    <row r="110" spans="1:26" x14ac:dyDescent="0.2">
      <c r="A110" s="407"/>
      <c r="B110" s="407"/>
      <c r="C110" s="407"/>
      <c r="D110" s="408" t="s">
        <v>735</v>
      </c>
      <c r="E110" s="409"/>
      <c r="F110" s="410" t="s">
        <v>281</v>
      </c>
      <c r="G110" s="410" t="s">
        <v>281</v>
      </c>
      <c r="H110" s="409"/>
      <c r="I110" s="409"/>
      <c r="J110" s="411" t="s">
        <v>281</v>
      </c>
      <c r="K110" s="410" t="s">
        <v>281</v>
      </c>
      <c r="L110" s="410" t="s">
        <v>281</v>
      </c>
    </row>
    <row r="111" spans="1:26" x14ac:dyDescent="0.2">
      <c r="A111" s="412"/>
      <c r="B111" s="412"/>
      <c r="C111" s="412"/>
      <c r="D111" s="395" t="s">
        <v>718</v>
      </c>
      <c r="E111" s="412"/>
      <c r="F111" s="412"/>
      <c r="G111" s="412"/>
      <c r="H111" s="412"/>
      <c r="I111" s="412"/>
      <c r="J111" s="412"/>
      <c r="K111" s="412"/>
      <c r="L111" s="412"/>
    </row>
    <row r="112" spans="1:26" s="790" customFormat="1" ht="40.799999999999997" x14ac:dyDescent="0.2">
      <c r="A112" s="784">
        <v>13</v>
      </c>
      <c r="B112" s="784">
        <v>181</v>
      </c>
      <c r="C112" s="784" t="s">
        <v>1363</v>
      </c>
      <c r="D112" s="784" t="s">
        <v>1349</v>
      </c>
      <c r="E112" s="785">
        <v>1</v>
      </c>
      <c r="F112" s="786">
        <v>644.05044999999996</v>
      </c>
      <c r="G112" s="786">
        <v>170.84687500000001</v>
      </c>
      <c r="H112" s="787">
        <v>9593.3799999999992</v>
      </c>
      <c r="I112" s="787">
        <v>4243.46</v>
      </c>
      <c r="J112" s="787">
        <v>2262.0100000000002</v>
      </c>
      <c r="K112" s="786">
        <v>10.566775</v>
      </c>
      <c r="L112" s="786">
        <v>10.566775</v>
      </c>
      <c r="M112" s="789">
        <v>1</v>
      </c>
      <c r="N112" s="789" t="s">
        <v>2351</v>
      </c>
      <c r="O112" s="789" t="s">
        <v>2352</v>
      </c>
      <c r="T112" s="790">
        <v>17294.52</v>
      </c>
      <c r="V112" s="790">
        <v>4243.46</v>
      </c>
      <c r="W112" s="790">
        <v>2262.0100000000002</v>
      </c>
      <c r="X112" s="790">
        <v>37.33</v>
      </c>
      <c r="Y112" s="790">
        <v>10.566775</v>
      </c>
      <c r="Z112" s="790">
        <v>7.1874999999999994E-2</v>
      </c>
    </row>
    <row r="113" spans="1:26" x14ac:dyDescent="0.2">
      <c r="A113" s="407"/>
      <c r="B113" s="407"/>
      <c r="C113" s="407"/>
      <c r="D113" s="408" t="s">
        <v>1364</v>
      </c>
      <c r="E113" s="409"/>
      <c r="F113" s="410">
        <v>94.783574999999999</v>
      </c>
      <c r="G113" s="410">
        <v>0.83374999999999999</v>
      </c>
      <c r="H113" s="409"/>
      <c r="I113" s="409"/>
      <c r="J113" s="411">
        <v>37.33</v>
      </c>
      <c r="K113" s="410">
        <v>7.1874999999999994E-2</v>
      </c>
      <c r="L113" s="410">
        <v>7.1874999999999994E-2</v>
      </c>
    </row>
    <row r="114" spans="1:26" ht="20.399999999999999" x14ac:dyDescent="0.2">
      <c r="A114" s="412"/>
      <c r="B114" s="412"/>
      <c r="C114" s="412"/>
      <c r="D114" s="395" t="s">
        <v>714</v>
      </c>
      <c r="E114" s="412"/>
      <c r="F114" s="412"/>
      <c r="G114" s="412"/>
      <c r="H114" s="412"/>
      <c r="I114" s="412"/>
      <c r="J114" s="412"/>
      <c r="K114" s="412"/>
      <c r="L114" s="412"/>
    </row>
    <row r="115" spans="1:26" ht="20.399999999999999" x14ac:dyDescent="0.2">
      <c r="A115" s="412"/>
      <c r="B115" s="412"/>
      <c r="C115" s="412"/>
      <c r="D115" s="395" t="s">
        <v>978</v>
      </c>
      <c r="E115" s="412"/>
      <c r="F115" s="412"/>
      <c r="G115" s="412"/>
      <c r="H115" s="412"/>
      <c r="I115" s="412"/>
      <c r="J115" s="412"/>
      <c r="K115" s="412"/>
      <c r="L115" s="412"/>
    </row>
    <row r="116" spans="1:26" ht="132.6" x14ac:dyDescent="0.2">
      <c r="A116" s="412"/>
      <c r="B116" s="412"/>
      <c r="C116" s="412"/>
      <c r="D116" s="395" t="s">
        <v>979</v>
      </c>
      <c r="E116" s="412"/>
      <c r="F116" s="412"/>
      <c r="G116" s="412"/>
      <c r="H116" s="412"/>
      <c r="I116" s="412"/>
      <c r="J116" s="412"/>
      <c r="K116" s="412"/>
      <c r="L116" s="412"/>
    </row>
    <row r="117" spans="1:26" x14ac:dyDescent="0.2">
      <c r="A117" s="412"/>
      <c r="B117" s="412"/>
      <c r="C117" s="412"/>
      <c r="D117" s="413" t="s">
        <v>206</v>
      </c>
      <c r="E117" s="414" t="s">
        <v>1242</v>
      </c>
      <c r="F117" s="414"/>
      <c r="G117" s="414"/>
      <c r="H117" s="415">
        <v>5008.5200000000004</v>
      </c>
      <c r="I117" s="412"/>
      <c r="J117" s="412"/>
      <c r="K117" s="412"/>
      <c r="L117" s="412"/>
    </row>
    <row r="118" spans="1:26" x14ac:dyDescent="0.2">
      <c r="A118" s="412"/>
      <c r="B118" s="412"/>
      <c r="C118" s="412"/>
      <c r="D118" s="413" t="s">
        <v>207</v>
      </c>
      <c r="E118" s="414" t="s">
        <v>1243</v>
      </c>
      <c r="F118" s="414"/>
      <c r="G118" s="414"/>
      <c r="H118" s="415">
        <v>2692.62</v>
      </c>
      <c r="I118" s="412"/>
      <c r="J118" s="412"/>
      <c r="K118" s="412"/>
      <c r="L118" s="412"/>
    </row>
    <row r="119" spans="1:26" x14ac:dyDescent="0.2">
      <c r="A119" s="412"/>
      <c r="B119" s="412"/>
      <c r="C119" s="412"/>
      <c r="D119" s="416" t="s">
        <v>715</v>
      </c>
      <c r="E119" s="417"/>
      <c r="F119" s="417"/>
      <c r="G119" s="417"/>
      <c r="H119" s="418">
        <v>17294.52</v>
      </c>
      <c r="I119" s="412"/>
      <c r="J119" s="412"/>
      <c r="K119" s="412"/>
      <c r="L119" s="412"/>
    </row>
    <row r="120" spans="1:26" s="790" customFormat="1" ht="40.799999999999997" x14ac:dyDescent="0.2">
      <c r="A120" s="784">
        <v>14</v>
      </c>
      <c r="B120" s="784">
        <v>182</v>
      </c>
      <c r="C120" s="784" t="s">
        <v>1241</v>
      </c>
      <c r="D120" s="784" t="s">
        <v>1229</v>
      </c>
      <c r="E120" s="785">
        <v>0.75800000000000001</v>
      </c>
      <c r="F120" s="786">
        <v>151.603925</v>
      </c>
      <c r="G120" s="786">
        <v>41.4</v>
      </c>
      <c r="H120" s="787">
        <v>4155.33</v>
      </c>
      <c r="I120" s="787">
        <v>3739.84</v>
      </c>
      <c r="J120" s="787">
        <v>415.49</v>
      </c>
      <c r="K120" s="786">
        <v>13.4895</v>
      </c>
      <c r="L120" s="786">
        <v>10.225040999999999</v>
      </c>
      <c r="M120" s="789">
        <f>5.22/10</f>
        <v>0.52200000000000002</v>
      </c>
      <c r="N120" s="789" t="s">
        <v>2340</v>
      </c>
      <c r="O120" s="789"/>
      <c r="T120" s="790">
        <v>11165.89</v>
      </c>
      <c r="V120" s="790">
        <v>3739.84</v>
      </c>
      <c r="W120" s="790">
        <v>415.49</v>
      </c>
      <c r="X120" s="790">
        <v>157.08000000000001</v>
      </c>
      <c r="Y120" s="790">
        <v>10.225040999999999</v>
      </c>
      <c r="Z120" s="790">
        <v>0.34867999999999999</v>
      </c>
    </row>
    <row r="121" spans="1:26" x14ac:dyDescent="0.2">
      <c r="A121" s="407"/>
      <c r="B121" s="407"/>
      <c r="C121" s="407"/>
      <c r="D121" s="408" t="s">
        <v>1239</v>
      </c>
      <c r="E121" s="409"/>
      <c r="F121" s="410">
        <v>110.203925</v>
      </c>
      <c r="G121" s="410">
        <v>4.6287500000000001</v>
      </c>
      <c r="H121" s="409"/>
      <c r="I121" s="409"/>
      <c r="J121" s="411">
        <v>157.08000000000001</v>
      </c>
      <c r="K121" s="410">
        <v>0.46</v>
      </c>
      <c r="L121" s="410">
        <v>0.34867999999999999</v>
      </c>
    </row>
    <row r="122" spans="1:26" ht="20.399999999999999" x14ac:dyDescent="0.2">
      <c r="A122" s="412"/>
      <c r="B122" s="412"/>
      <c r="C122" s="412"/>
      <c r="D122" s="395" t="s">
        <v>714</v>
      </c>
      <c r="E122" s="412"/>
      <c r="F122" s="412"/>
      <c r="G122" s="412"/>
      <c r="H122" s="412"/>
      <c r="I122" s="412"/>
      <c r="J122" s="412"/>
      <c r="K122" s="412"/>
      <c r="L122" s="412"/>
    </row>
    <row r="123" spans="1:26" ht="20.399999999999999" x14ac:dyDescent="0.2">
      <c r="A123" s="412"/>
      <c r="B123" s="412"/>
      <c r="C123" s="412"/>
      <c r="D123" s="395" t="s">
        <v>978</v>
      </c>
      <c r="E123" s="412"/>
      <c r="F123" s="412"/>
      <c r="G123" s="412"/>
      <c r="H123" s="412"/>
      <c r="I123" s="412"/>
      <c r="J123" s="412"/>
      <c r="K123" s="412"/>
      <c r="L123" s="412"/>
    </row>
    <row r="124" spans="1:26" ht="132.6" x14ac:dyDescent="0.2">
      <c r="A124" s="412"/>
      <c r="B124" s="412"/>
      <c r="C124" s="412"/>
      <c r="D124" s="395" t="s">
        <v>979</v>
      </c>
      <c r="E124" s="412"/>
      <c r="F124" s="412"/>
      <c r="G124" s="412"/>
      <c r="H124" s="412"/>
      <c r="I124" s="412"/>
      <c r="J124" s="412"/>
      <c r="K124" s="412"/>
      <c r="L124" s="412"/>
    </row>
    <row r="125" spans="1:26" x14ac:dyDescent="0.2">
      <c r="A125" s="412"/>
      <c r="B125" s="412"/>
      <c r="C125" s="412"/>
      <c r="D125" s="413" t="s">
        <v>206</v>
      </c>
      <c r="E125" s="414" t="s">
        <v>1242</v>
      </c>
      <c r="F125" s="414"/>
      <c r="G125" s="414"/>
      <c r="H125" s="415">
        <v>4559.3999999999996</v>
      </c>
      <c r="I125" s="412"/>
      <c r="J125" s="412"/>
      <c r="K125" s="412"/>
      <c r="L125" s="412"/>
    </row>
    <row r="126" spans="1:26" x14ac:dyDescent="0.2">
      <c r="A126" s="412"/>
      <c r="B126" s="412"/>
      <c r="C126" s="412"/>
      <c r="D126" s="413" t="s">
        <v>207</v>
      </c>
      <c r="E126" s="414" t="s">
        <v>1243</v>
      </c>
      <c r="F126" s="414"/>
      <c r="G126" s="414"/>
      <c r="H126" s="415">
        <v>2451.16</v>
      </c>
      <c r="I126" s="412"/>
      <c r="J126" s="412"/>
      <c r="K126" s="412"/>
      <c r="L126" s="412"/>
    </row>
    <row r="127" spans="1:26" x14ac:dyDescent="0.2">
      <c r="A127" s="412"/>
      <c r="B127" s="412"/>
      <c r="C127" s="412"/>
      <c r="D127" s="416" t="s">
        <v>715</v>
      </c>
      <c r="E127" s="417"/>
      <c r="F127" s="417"/>
      <c r="G127" s="417"/>
      <c r="H127" s="418">
        <v>11165.89</v>
      </c>
      <c r="I127" s="412"/>
      <c r="J127" s="412"/>
      <c r="K127" s="412"/>
      <c r="L127" s="412"/>
    </row>
    <row r="128" spans="1:26" s="790" customFormat="1" ht="30.6" x14ac:dyDescent="0.2">
      <c r="A128" s="784">
        <v>15</v>
      </c>
      <c r="B128" s="784">
        <v>183</v>
      </c>
      <c r="C128" s="784" t="s">
        <v>1357</v>
      </c>
      <c r="D128" s="784" t="s">
        <v>1540</v>
      </c>
      <c r="E128" s="785">
        <v>8.34</v>
      </c>
      <c r="F128" s="786">
        <v>101.17976</v>
      </c>
      <c r="G128" s="786" t="s">
        <v>281</v>
      </c>
      <c r="H128" s="787">
        <v>6885.75</v>
      </c>
      <c r="I128" s="787" t="s">
        <v>281</v>
      </c>
      <c r="J128" s="787" t="s">
        <v>281</v>
      </c>
      <c r="K128" s="786" t="s">
        <v>281</v>
      </c>
      <c r="L128" s="786" t="s">
        <v>281</v>
      </c>
      <c r="M128" s="789">
        <f>M120*10*1.1</f>
        <v>5.742</v>
      </c>
      <c r="N128" s="789" t="s">
        <v>2342</v>
      </c>
      <c r="O128" s="789" t="s">
        <v>2341</v>
      </c>
      <c r="T128" s="790">
        <v>6885.75</v>
      </c>
      <c r="V128" s="790" t="s">
        <v>281</v>
      </c>
      <c r="W128" s="790" t="s">
        <v>281</v>
      </c>
      <c r="X128" s="790" t="s">
        <v>281</v>
      </c>
      <c r="Y128" s="790" t="s">
        <v>281</v>
      </c>
      <c r="Z128" s="790" t="s">
        <v>281</v>
      </c>
    </row>
    <row r="129" spans="1:26" x14ac:dyDescent="0.2">
      <c r="A129" s="407"/>
      <c r="B129" s="407"/>
      <c r="C129" s="407"/>
      <c r="D129" s="408" t="s">
        <v>745</v>
      </c>
      <c r="E129" s="409"/>
      <c r="F129" s="410" t="s">
        <v>281</v>
      </c>
      <c r="G129" s="410" t="s">
        <v>281</v>
      </c>
      <c r="H129" s="409"/>
      <c r="I129" s="409"/>
      <c r="J129" s="411" t="s">
        <v>281</v>
      </c>
      <c r="K129" s="410" t="s">
        <v>281</v>
      </c>
      <c r="L129" s="410" t="s">
        <v>281</v>
      </c>
    </row>
    <row r="130" spans="1:26" x14ac:dyDescent="0.2">
      <c r="A130" s="412"/>
      <c r="B130" s="412"/>
      <c r="C130" s="412"/>
      <c r="D130" s="395" t="s">
        <v>718</v>
      </c>
      <c r="E130" s="412"/>
      <c r="F130" s="412"/>
      <c r="G130" s="412"/>
      <c r="H130" s="412"/>
      <c r="I130" s="412"/>
      <c r="J130" s="412"/>
      <c r="K130" s="412"/>
      <c r="L130" s="412"/>
    </row>
    <row r="131" spans="1:26" s="790" customFormat="1" ht="40.799999999999997" x14ac:dyDescent="0.2">
      <c r="A131" s="784">
        <v>16</v>
      </c>
      <c r="B131" s="784">
        <v>184</v>
      </c>
      <c r="C131" s="784" t="s">
        <v>1365</v>
      </c>
      <c r="D131" s="784" t="s">
        <v>1350</v>
      </c>
      <c r="E131" s="785">
        <v>0.31</v>
      </c>
      <c r="F131" s="786">
        <v>9720.1795000000002</v>
      </c>
      <c r="G131" s="786">
        <v>8610.2512499999993</v>
      </c>
      <c r="H131" s="787">
        <v>49880.28</v>
      </c>
      <c r="I131" s="787">
        <v>14347.78</v>
      </c>
      <c r="J131" s="787">
        <v>35339.919999999998</v>
      </c>
      <c r="K131" s="786">
        <v>109.9791</v>
      </c>
      <c r="L131" s="786">
        <v>34.093521000000003</v>
      </c>
      <c r="M131" s="789">
        <v>30.3</v>
      </c>
      <c r="N131" s="789" t="s">
        <v>2343</v>
      </c>
      <c r="O131" s="789"/>
      <c r="T131" s="790">
        <v>94204.98</v>
      </c>
      <c r="V131" s="790">
        <v>14347.78</v>
      </c>
      <c r="W131" s="790">
        <v>35339.919999999998</v>
      </c>
      <c r="X131" s="790">
        <v>10290.74</v>
      </c>
      <c r="Y131" s="790">
        <v>34.093521000000003</v>
      </c>
      <c r="Z131" s="790">
        <v>16.541599999999999</v>
      </c>
    </row>
    <row r="132" spans="1:26" x14ac:dyDescent="0.2">
      <c r="A132" s="407"/>
      <c r="B132" s="407"/>
      <c r="C132" s="407"/>
      <c r="D132" s="408" t="s">
        <v>747</v>
      </c>
      <c r="E132" s="409"/>
      <c r="F132" s="410">
        <v>1033.7982500000001</v>
      </c>
      <c r="G132" s="410">
        <v>741.47687499999995</v>
      </c>
      <c r="H132" s="409"/>
      <c r="I132" s="409"/>
      <c r="J132" s="411">
        <v>10290.74</v>
      </c>
      <c r="K132" s="410">
        <v>53.36</v>
      </c>
      <c r="L132" s="410">
        <v>16.541599999999999</v>
      </c>
    </row>
    <row r="133" spans="1:26" ht="20.399999999999999" x14ac:dyDescent="0.2">
      <c r="A133" s="412"/>
      <c r="B133" s="412"/>
      <c r="C133" s="412"/>
      <c r="D133" s="395" t="s">
        <v>714</v>
      </c>
      <c r="E133" s="412"/>
      <c r="F133" s="412"/>
      <c r="G133" s="412"/>
      <c r="H133" s="412"/>
      <c r="I133" s="412"/>
      <c r="J133" s="412"/>
      <c r="K133" s="412"/>
      <c r="L133" s="412"/>
    </row>
    <row r="134" spans="1:26" ht="20.399999999999999" x14ac:dyDescent="0.2">
      <c r="A134" s="412"/>
      <c r="B134" s="412"/>
      <c r="C134" s="412"/>
      <c r="D134" s="395" t="s">
        <v>978</v>
      </c>
      <c r="E134" s="412"/>
      <c r="F134" s="412"/>
      <c r="G134" s="412"/>
      <c r="H134" s="412"/>
      <c r="I134" s="412"/>
      <c r="J134" s="412"/>
      <c r="K134" s="412"/>
      <c r="L134" s="412"/>
    </row>
    <row r="135" spans="1:26" ht="132.6" x14ac:dyDescent="0.2">
      <c r="A135" s="412"/>
      <c r="B135" s="412"/>
      <c r="C135" s="412"/>
      <c r="D135" s="395" t="s">
        <v>979</v>
      </c>
      <c r="E135" s="412"/>
      <c r="F135" s="412"/>
      <c r="G135" s="412"/>
      <c r="H135" s="412"/>
      <c r="I135" s="412"/>
      <c r="J135" s="412"/>
      <c r="K135" s="412"/>
      <c r="L135" s="412"/>
    </row>
    <row r="136" spans="1:26" x14ac:dyDescent="0.2">
      <c r="A136" s="412"/>
      <c r="B136" s="412"/>
      <c r="C136" s="412"/>
      <c r="D136" s="413" t="s">
        <v>206</v>
      </c>
      <c r="E136" s="414" t="s">
        <v>1242</v>
      </c>
      <c r="F136" s="414"/>
      <c r="G136" s="414"/>
      <c r="H136" s="415">
        <v>28827.07</v>
      </c>
      <c r="I136" s="412"/>
      <c r="J136" s="412"/>
      <c r="K136" s="412"/>
      <c r="L136" s="412"/>
    </row>
    <row r="137" spans="1:26" x14ac:dyDescent="0.2">
      <c r="A137" s="412"/>
      <c r="B137" s="412"/>
      <c r="C137" s="412"/>
      <c r="D137" s="413" t="s">
        <v>207</v>
      </c>
      <c r="E137" s="414" t="s">
        <v>1243</v>
      </c>
      <c r="F137" s="414"/>
      <c r="G137" s="414"/>
      <c r="H137" s="415">
        <v>15497.63</v>
      </c>
      <c r="I137" s="412"/>
      <c r="J137" s="412"/>
      <c r="K137" s="412"/>
      <c r="L137" s="412"/>
    </row>
    <row r="138" spans="1:26" x14ac:dyDescent="0.2">
      <c r="A138" s="412"/>
      <c r="B138" s="412"/>
      <c r="C138" s="412"/>
      <c r="D138" s="416" t="s">
        <v>715</v>
      </c>
      <c r="E138" s="417"/>
      <c r="F138" s="417"/>
      <c r="G138" s="417"/>
      <c r="H138" s="418">
        <v>94204.98</v>
      </c>
      <c r="I138" s="412"/>
      <c r="J138" s="412"/>
      <c r="K138" s="412"/>
      <c r="L138" s="412"/>
    </row>
    <row r="139" spans="1:26" s="790" customFormat="1" ht="40.799999999999997" x14ac:dyDescent="0.2">
      <c r="A139" s="784">
        <v>17</v>
      </c>
      <c r="B139" s="784">
        <v>185</v>
      </c>
      <c r="C139" s="784" t="s">
        <v>1366</v>
      </c>
      <c r="D139" s="784" t="s">
        <v>1587</v>
      </c>
      <c r="E139" s="785">
        <v>31.31</v>
      </c>
      <c r="F139" s="786">
        <v>1247.4564909999999</v>
      </c>
      <c r="G139" s="786" t="s">
        <v>281</v>
      </c>
      <c r="H139" s="787">
        <v>318712</v>
      </c>
      <c r="I139" s="787" t="s">
        <v>281</v>
      </c>
      <c r="J139" s="787" t="s">
        <v>281</v>
      </c>
      <c r="K139" s="786" t="s">
        <v>281</v>
      </c>
      <c r="L139" s="786" t="s">
        <v>281</v>
      </c>
      <c r="M139" s="789">
        <f>M131*1.01</f>
        <v>30.603000000000002</v>
      </c>
      <c r="N139" s="789" t="s">
        <v>2345</v>
      </c>
      <c r="O139" s="789" t="s">
        <v>2344</v>
      </c>
      <c r="T139" s="790">
        <v>318712</v>
      </c>
      <c r="V139" s="790" t="s">
        <v>281</v>
      </c>
      <c r="W139" s="790" t="s">
        <v>281</v>
      </c>
      <c r="X139" s="790" t="s">
        <v>281</v>
      </c>
      <c r="Y139" s="790" t="s">
        <v>281</v>
      </c>
      <c r="Z139" s="790" t="s">
        <v>281</v>
      </c>
    </row>
    <row r="140" spans="1:26" x14ac:dyDescent="0.2">
      <c r="A140" s="407"/>
      <c r="B140" s="407"/>
      <c r="C140" s="407"/>
      <c r="D140" s="408" t="s">
        <v>883</v>
      </c>
      <c r="E140" s="409"/>
      <c r="F140" s="410" t="s">
        <v>281</v>
      </c>
      <c r="G140" s="410" t="s">
        <v>281</v>
      </c>
      <c r="H140" s="409"/>
      <c r="I140" s="409"/>
      <c r="J140" s="411" t="s">
        <v>281</v>
      </c>
      <c r="K140" s="410" t="s">
        <v>281</v>
      </c>
      <c r="L140" s="410" t="s">
        <v>281</v>
      </c>
    </row>
    <row r="141" spans="1:26" x14ac:dyDescent="0.2">
      <c r="A141" s="412"/>
      <c r="B141" s="412"/>
      <c r="C141" s="412"/>
      <c r="D141" s="395" t="s">
        <v>718</v>
      </c>
      <c r="E141" s="412"/>
      <c r="F141" s="412"/>
      <c r="G141" s="412"/>
      <c r="H141" s="412"/>
      <c r="I141" s="412"/>
      <c r="J141" s="412"/>
      <c r="K141" s="412"/>
      <c r="L141" s="412"/>
    </row>
    <row r="142" spans="1:26" s="817" customFormat="1" ht="30.6" x14ac:dyDescent="0.2">
      <c r="A142" s="813">
        <v>18</v>
      </c>
      <c r="B142" s="813">
        <v>186</v>
      </c>
      <c r="C142" s="813" t="s">
        <v>1367</v>
      </c>
      <c r="D142" s="813" t="s">
        <v>1351</v>
      </c>
      <c r="E142" s="814">
        <v>1.95E-2</v>
      </c>
      <c r="F142" s="815">
        <v>8351.8485000000001</v>
      </c>
      <c r="G142" s="815">
        <v>337.95049999999998</v>
      </c>
      <c r="H142" s="816">
        <v>1658.89</v>
      </c>
      <c r="I142" s="816">
        <v>362.55</v>
      </c>
      <c r="J142" s="816">
        <v>87.25</v>
      </c>
      <c r="K142" s="815">
        <v>42.55</v>
      </c>
      <c r="L142" s="815">
        <v>0.82972500000000005</v>
      </c>
      <c r="M142" s="819">
        <v>0</v>
      </c>
      <c r="N142" s="819" t="s">
        <v>2323</v>
      </c>
      <c r="O142" s="819"/>
      <c r="T142" s="817">
        <v>2307.9</v>
      </c>
      <c r="V142" s="817">
        <v>362.55</v>
      </c>
      <c r="W142" s="817">
        <v>87.25</v>
      </c>
      <c r="X142" s="817">
        <v>33.19</v>
      </c>
      <c r="Y142" s="817">
        <v>0.82972500000000005</v>
      </c>
      <c r="Z142" s="817">
        <v>7.1984000000000006E-2</v>
      </c>
    </row>
    <row r="143" spans="1:26" x14ac:dyDescent="0.2">
      <c r="A143" s="407"/>
      <c r="B143" s="407"/>
      <c r="C143" s="407"/>
      <c r="D143" s="408" t="s">
        <v>224</v>
      </c>
      <c r="E143" s="409"/>
      <c r="F143" s="410">
        <v>415.28800000000001</v>
      </c>
      <c r="G143" s="410">
        <v>38.018999999999998</v>
      </c>
      <c r="H143" s="409"/>
      <c r="I143" s="409"/>
      <c r="J143" s="411">
        <v>33.19</v>
      </c>
      <c r="K143" s="410">
        <v>3.6915</v>
      </c>
      <c r="L143" s="410">
        <v>7.1984000000000006E-2</v>
      </c>
    </row>
    <row r="144" spans="1:26" ht="20.399999999999999" x14ac:dyDescent="0.2">
      <c r="A144" s="412"/>
      <c r="B144" s="412"/>
      <c r="C144" s="412"/>
      <c r="D144" s="395" t="s">
        <v>714</v>
      </c>
      <c r="E144" s="412"/>
      <c r="F144" s="412"/>
      <c r="G144" s="412"/>
      <c r="H144" s="412"/>
      <c r="I144" s="412"/>
      <c r="J144" s="412"/>
      <c r="K144" s="412"/>
      <c r="L144" s="412"/>
    </row>
    <row r="145" spans="1:26" ht="20.399999999999999" x14ac:dyDescent="0.2">
      <c r="A145" s="412"/>
      <c r="B145" s="412"/>
      <c r="C145" s="412"/>
      <c r="D145" s="395" t="s">
        <v>1023</v>
      </c>
      <c r="E145" s="412"/>
      <c r="F145" s="412"/>
      <c r="G145" s="412"/>
      <c r="H145" s="412"/>
      <c r="I145" s="412"/>
      <c r="J145" s="412"/>
      <c r="K145" s="412"/>
      <c r="L145" s="412"/>
    </row>
    <row r="146" spans="1:26" ht="81.599999999999994" x14ac:dyDescent="0.2">
      <c r="A146" s="412"/>
      <c r="B146" s="412"/>
      <c r="C146" s="412"/>
      <c r="D146" s="395" t="s">
        <v>1024</v>
      </c>
      <c r="E146" s="412"/>
      <c r="F146" s="412"/>
      <c r="G146" s="412"/>
      <c r="H146" s="412"/>
      <c r="I146" s="412"/>
      <c r="J146" s="412"/>
      <c r="K146" s="412"/>
      <c r="L146" s="412"/>
    </row>
    <row r="147" spans="1:26" x14ac:dyDescent="0.2">
      <c r="A147" s="412"/>
      <c r="B147" s="412"/>
      <c r="C147" s="412"/>
      <c r="D147" s="413" t="s">
        <v>206</v>
      </c>
      <c r="E147" s="414" t="s">
        <v>1257</v>
      </c>
      <c r="F147" s="414"/>
      <c r="G147" s="414"/>
      <c r="H147" s="415">
        <v>411.57</v>
      </c>
      <c r="I147" s="412"/>
      <c r="J147" s="412"/>
      <c r="K147" s="412"/>
      <c r="L147" s="412"/>
    </row>
    <row r="148" spans="1:26" x14ac:dyDescent="0.2">
      <c r="A148" s="412"/>
      <c r="B148" s="412"/>
      <c r="C148" s="412"/>
      <c r="D148" s="413" t="s">
        <v>207</v>
      </c>
      <c r="E148" s="414" t="s">
        <v>1258</v>
      </c>
      <c r="F148" s="414"/>
      <c r="G148" s="414"/>
      <c r="H148" s="415">
        <v>237.44</v>
      </c>
      <c r="I148" s="412"/>
      <c r="J148" s="412"/>
      <c r="K148" s="412"/>
      <c r="L148" s="412"/>
    </row>
    <row r="149" spans="1:26" x14ac:dyDescent="0.2">
      <c r="A149" s="412"/>
      <c r="B149" s="412"/>
      <c r="C149" s="412"/>
      <c r="D149" s="416" t="s">
        <v>715</v>
      </c>
      <c r="E149" s="417"/>
      <c r="F149" s="417"/>
      <c r="G149" s="417"/>
      <c r="H149" s="418">
        <v>2307.9</v>
      </c>
      <c r="I149" s="412"/>
      <c r="J149" s="412"/>
      <c r="K149" s="412"/>
      <c r="L149" s="412"/>
    </row>
    <row r="150" spans="1:26" s="817" customFormat="1" x14ac:dyDescent="0.2">
      <c r="A150" s="813">
        <v>19</v>
      </c>
      <c r="B150" s="813">
        <v>187</v>
      </c>
      <c r="C150" s="813" t="s">
        <v>1368</v>
      </c>
      <c r="D150" s="813" t="s">
        <v>1586</v>
      </c>
      <c r="E150" s="814">
        <v>1.95E-2</v>
      </c>
      <c r="F150" s="815">
        <v>12470</v>
      </c>
      <c r="G150" s="815" t="s">
        <v>281</v>
      </c>
      <c r="H150" s="816">
        <v>1984.23</v>
      </c>
      <c r="I150" s="816" t="s">
        <v>281</v>
      </c>
      <c r="J150" s="816" t="s">
        <v>281</v>
      </c>
      <c r="K150" s="815" t="s">
        <v>281</v>
      </c>
      <c r="L150" s="815" t="s">
        <v>281</v>
      </c>
      <c r="M150" s="819">
        <v>0</v>
      </c>
      <c r="N150" s="819" t="s">
        <v>2323</v>
      </c>
      <c r="O150" s="819"/>
      <c r="T150" s="817">
        <v>1984.23</v>
      </c>
      <c r="V150" s="817" t="s">
        <v>281</v>
      </c>
      <c r="W150" s="817" t="s">
        <v>281</v>
      </c>
      <c r="X150" s="817" t="s">
        <v>281</v>
      </c>
      <c r="Y150" s="817" t="s">
        <v>281</v>
      </c>
      <c r="Z150" s="817" t="s">
        <v>281</v>
      </c>
    </row>
    <row r="151" spans="1:26" x14ac:dyDescent="0.2">
      <c r="A151" s="407"/>
      <c r="B151" s="407"/>
      <c r="C151" s="407"/>
      <c r="D151" s="408" t="s">
        <v>224</v>
      </c>
      <c r="E151" s="409"/>
      <c r="F151" s="410" t="s">
        <v>281</v>
      </c>
      <c r="G151" s="410" t="s">
        <v>281</v>
      </c>
      <c r="H151" s="409"/>
      <c r="I151" s="409"/>
      <c r="J151" s="411" t="s">
        <v>281</v>
      </c>
      <c r="K151" s="410" t="s">
        <v>281</v>
      </c>
      <c r="L151" s="410" t="s">
        <v>281</v>
      </c>
    </row>
    <row r="152" spans="1:26" x14ac:dyDescent="0.2">
      <c r="A152" s="412"/>
      <c r="B152" s="412"/>
      <c r="C152" s="412"/>
      <c r="D152" s="395" t="s">
        <v>718</v>
      </c>
      <c r="E152" s="412"/>
      <c r="F152" s="412"/>
      <c r="G152" s="412"/>
      <c r="H152" s="412"/>
      <c r="I152" s="412"/>
      <c r="J152" s="412"/>
      <c r="K152" s="412"/>
      <c r="L152" s="412"/>
    </row>
    <row r="153" spans="1:26" s="817" customFormat="1" ht="40.799999999999997" x14ac:dyDescent="0.2">
      <c r="A153" s="813">
        <v>20</v>
      </c>
      <c r="B153" s="813">
        <v>188</v>
      </c>
      <c r="C153" s="813" t="s">
        <v>1369</v>
      </c>
      <c r="D153" s="813" t="s">
        <v>1352</v>
      </c>
      <c r="E153" s="814">
        <v>0.02</v>
      </c>
      <c r="F153" s="815">
        <v>10579.250775</v>
      </c>
      <c r="G153" s="815">
        <v>6633.1568749999997</v>
      </c>
      <c r="H153" s="816">
        <v>3767.41</v>
      </c>
      <c r="I153" s="816">
        <v>1671.62</v>
      </c>
      <c r="J153" s="816">
        <v>1756.46</v>
      </c>
      <c r="K153" s="815">
        <v>220.67234999999999</v>
      </c>
      <c r="L153" s="815">
        <v>4.4134469999999997</v>
      </c>
      <c r="M153" s="819">
        <v>0</v>
      </c>
      <c r="N153" s="819" t="s">
        <v>2323</v>
      </c>
      <c r="O153" s="819"/>
      <c r="T153" s="817">
        <v>8088.04</v>
      </c>
      <c r="V153" s="817">
        <v>1671.62</v>
      </c>
      <c r="W153" s="817">
        <v>1756.46</v>
      </c>
      <c r="X153" s="817">
        <v>730.06</v>
      </c>
      <c r="Y153" s="817">
        <v>4.4134469999999997</v>
      </c>
      <c r="Z153" s="817">
        <v>1.2362500000000001</v>
      </c>
    </row>
    <row r="154" spans="1:26" x14ac:dyDescent="0.2">
      <c r="A154" s="407"/>
      <c r="B154" s="407"/>
      <c r="C154" s="407"/>
      <c r="D154" s="408" t="s">
        <v>847</v>
      </c>
      <c r="E154" s="409"/>
      <c r="F154" s="410">
        <v>1866.8939</v>
      </c>
      <c r="G154" s="410">
        <v>815.35</v>
      </c>
      <c r="H154" s="409"/>
      <c r="I154" s="409"/>
      <c r="J154" s="411">
        <v>730.06</v>
      </c>
      <c r="K154" s="410">
        <v>61.8125</v>
      </c>
      <c r="L154" s="410">
        <v>1.2362500000000001</v>
      </c>
    </row>
    <row r="155" spans="1:26" ht="20.399999999999999" x14ac:dyDescent="0.2">
      <c r="A155" s="412"/>
      <c r="B155" s="412"/>
      <c r="C155" s="412"/>
      <c r="D155" s="395" t="s">
        <v>714</v>
      </c>
      <c r="E155" s="412"/>
      <c r="F155" s="412"/>
      <c r="G155" s="412"/>
      <c r="H155" s="412"/>
      <c r="I155" s="412"/>
      <c r="J155" s="412"/>
      <c r="K155" s="412"/>
      <c r="L155" s="412"/>
    </row>
    <row r="156" spans="1:26" ht="20.399999999999999" x14ac:dyDescent="0.2">
      <c r="A156" s="412"/>
      <c r="B156" s="412"/>
      <c r="C156" s="412"/>
      <c r="D156" s="395" t="s">
        <v>978</v>
      </c>
      <c r="E156" s="412"/>
      <c r="F156" s="412"/>
      <c r="G156" s="412"/>
      <c r="H156" s="412"/>
      <c r="I156" s="412"/>
      <c r="J156" s="412"/>
      <c r="K156" s="412"/>
      <c r="L156" s="412"/>
    </row>
    <row r="157" spans="1:26" ht="132.6" x14ac:dyDescent="0.2">
      <c r="A157" s="412"/>
      <c r="B157" s="412"/>
      <c r="C157" s="412"/>
      <c r="D157" s="395" t="s">
        <v>979</v>
      </c>
      <c r="E157" s="412"/>
      <c r="F157" s="412"/>
      <c r="G157" s="412"/>
      <c r="H157" s="412"/>
      <c r="I157" s="412"/>
      <c r="J157" s="412"/>
      <c r="K157" s="412"/>
      <c r="L157" s="412"/>
    </row>
    <row r="158" spans="1:26" x14ac:dyDescent="0.2">
      <c r="A158" s="412"/>
      <c r="B158" s="412"/>
      <c r="C158" s="412"/>
      <c r="D158" s="413" t="s">
        <v>206</v>
      </c>
      <c r="E158" s="414" t="s">
        <v>1242</v>
      </c>
      <c r="F158" s="414"/>
      <c r="G158" s="414"/>
      <c r="H158" s="415">
        <v>2809.97</v>
      </c>
      <c r="I158" s="412"/>
      <c r="J158" s="412"/>
      <c r="K158" s="412"/>
      <c r="L158" s="412"/>
    </row>
    <row r="159" spans="1:26" x14ac:dyDescent="0.2">
      <c r="A159" s="412"/>
      <c r="B159" s="412"/>
      <c r="C159" s="412"/>
      <c r="D159" s="413" t="s">
        <v>207</v>
      </c>
      <c r="E159" s="414" t="s">
        <v>1243</v>
      </c>
      <c r="F159" s="414"/>
      <c r="G159" s="414"/>
      <c r="H159" s="415">
        <v>1510.66</v>
      </c>
      <c r="I159" s="412"/>
      <c r="J159" s="412"/>
      <c r="K159" s="412"/>
      <c r="L159" s="412"/>
    </row>
    <row r="160" spans="1:26" x14ac:dyDescent="0.2">
      <c r="A160" s="412"/>
      <c r="B160" s="412"/>
      <c r="C160" s="412"/>
      <c r="D160" s="416" t="s">
        <v>715</v>
      </c>
      <c r="E160" s="417"/>
      <c r="F160" s="417"/>
      <c r="G160" s="417"/>
      <c r="H160" s="418">
        <v>8088.04</v>
      </c>
      <c r="I160" s="412"/>
      <c r="J160" s="412"/>
      <c r="K160" s="412"/>
      <c r="L160" s="412"/>
    </row>
    <row r="161" spans="1:26" s="817" customFormat="1" ht="20.399999999999999" x14ac:dyDescent="0.2">
      <c r="A161" s="813">
        <v>21</v>
      </c>
      <c r="B161" s="813">
        <v>189</v>
      </c>
      <c r="C161" s="813" t="s">
        <v>1370</v>
      </c>
      <c r="D161" s="813" t="s">
        <v>1585</v>
      </c>
      <c r="E161" s="814">
        <v>2</v>
      </c>
      <c r="F161" s="815">
        <v>31.43</v>
      </c>
      <c r="G161" s="815" t="s">
        <v>281</v>
      </c>
      <c r="H161" s="816">
        <v>512.94000000000005</v>
      </c>
      <c r="I161" s="816" t="s">
        <v>281</v>
      </c>
      <c r="J161" s="816" t="s">
        <v>281</v>
      </c>
      <c r="K161" s="815" t="s">
        <v>281</v>
      </c>
      <c r="L161" s="815" t="s">
        <v>281</v>
      </c>
      <c r="M161" s="819">
        <v>0</v>
      </c>
      <c r="N161" s="819" t="s">
        <v>2323</v>
      </c>
      <c r="O161" s="819"/>
      <c r="T161" s="817">
        <v>512.94000000000005</v>
      </c>
      <c r="V161" s="817" t="s">
        <v>281</v>
      </c>
      <c r="W161" s="817" t="s">
        <v>281</v>
      </c>
      <c r="X161" s="817" t="s">
        <v>281</v>
      </c>
      <c r="Y161" s="817" t="s">
        <v>281</v>
      </c>
      <c r="Z161" s="817" t="s">
        <v>281</v>
      </c>
    </row>
    <row r="162" spans="1:26" x14ac:dyDescent="0.2">
      <c r="A162" s="407"/>
      <c r="B162" s="407"/>
      <c r="C162" s="407"/>
      <c r="D162" s="408" t="s">
        <v>735</v>
      </c>
      <c r="E162" s="409"/>
      <c r="F162" s="410" t="s">
        <v>281</v>
      </c>
      <c r="G162" s="410" t="s">
        <v>281</v>
      </c>
      <c r="H162" s="409"/>
      <c r="I162" s="409"/>
      <c r="J162" s="411" t="s">
        <v>281</v>
      </c>
      <c r="K162" s="410" t="s">
        <v>281</v>
      </c>
      <c r="L162" s="410" t="s">
        <v>281</v>
      </c>
    </row>
    <row r="163" spans="1:26" x14ac:dyDescent="0.2">
      <c r="A163" s="412"/>
      <c r="B163" s="412"/>
      <c r="C163" s="412"/>
      <c r="D163" s="395" t="s">
        <v>718</v>
      </c>
      <c r="E163" s="412"/>
      <c r="F163" s="412"/>
      <c r="G163" s="412"/>
      <c r="H163" s="412"/>
      <c r="I163" s="412"/>
      <c r="J163" s="412"/>
      <c r="K163" s="412"/>
      <c r="L163" s="412"/>
    </row>
    <row r="164" spans="1:26" s="817" customFormat="1" ht="40.799999999999997" x14ac:dyDescent="0.2">
      <c r="A164" s="813">
        <v>22</v>
      </c>
      <c r="B164" s="813">
        <v>190</v>
      </c>
      <c r="C164" s="813" t="s">
        <v>1369</v>
      </c>
      <c r="D164" s="813" t="s">
        <v>1353</v>
      </c>
      <c r="E164" s="814">
        <v>0.02</v>
      </c>
      <c r="F164" s="815">
        <v>10579.250775</v>
      </c>
      <c r="G164" s="815">
        <v>6633.1568749999997</v>
      </c>
      <c r="H164" s="816">
        <v>3767.41</v>
      </c>
      <c r="I164" s="816">
        <v>1671.62</v>
      </c>
      <c r="J164" s="816">
        <v>1756.46</v>
      </c>
      <c r="K164" s="815">
        <v>220.67234999999999</v>
      </c>
      <c r="L164" s="815">
        <v>4.4134469999999997</v>
      </c>
      <c r="M164" s="819">
        <v>0</v>
      </c>
      <c r="N164" s="819" t="s">
        <v>2323</v>
      </c>
      <c r="O164" s="819"/>
      <c r="T164" s="817">
        <v>8088.04</v>
      </c>
      <c r="V164" s="817">
        <v>1671.62</v>
      </c>
      <c r="W164" s="817">
        <v>1756.46</v>
      </c>
      <c r="X164" s="817">
        <v>730.06</v>
      </c>
      <c r="Y164" s="817">
        <v>4.4134469999999997</v>
      </c>
      <c r="Z164" s="817">
        <v>1.2362500000000001</v>
      </c>
    </row>
    <row r="165" spans="1:26" x14ac:dyDescent="0.2">
      <c r="A165" s="407"/>
      <c r="B165" s="407"/>
      <c r="C165" s="407"/>
      <c r="D165" s="408" t="s">
        <v>847</v>
      </c>
      <c r="E165" s="409"/>
      <c r="F165" s="410">
        <v>1866.8939</v>
      </c>
      <c r="G165" s="410">
        <v>815.35</v>
      </c>
      <c r="H165" s="409"/>
      <c r="I165" s="409"/>
      <c r="J165" s="411">
        <v>730.06</v>
      </c>
      <c r="K165" s="410">
        <v>61.8125</v>
      </c>
      <c r="L165" s="410">
        <v>1.2362500000000001</v>
      </c>
    </row>
    <row r="166" spans="1:26" ht="20.399999999999999" x14ac:dyDescent="0.2">
      <c r="A166" s="412"/>
      <c r="B166" s="412"/>
      <c r="C166" s="412"/>
      <c r="D166" s="395" t="s">
        <v>714</v>
      </c>
      <c r="E166" s="412"/>
      <c r="F166" s="412"/>
      <c r="G166" s="412"/>
      <c r="H166" s="412"/>
      <c r="I166" s="412"/>
      <c r="J166" s="412"/>
      <c r="K166" s="412"/>
      <c r="L166" s="412"/>
    </row>
    <row r="167" spans="1:26" ht="20.399999999999999" x14ac:dyDescent="0.2">
      <c r="A167" s="412"/>
      <c r="B167" s="412"/>
      <c r="C167" s="412"/>
      <c r="D167" s="395" t="s">
        <v>978</v>
      </c>
      <c r="E167" s="412"/>
      <c r="F167" s="412"/>
      <c r="G167" s="412"/>
      <c r="H167" s="412"/>
      <c r="I167" s="412"/>
      <c r="J167" s="412"/>
      <c r="K167" s="412"/>
      <c r="L167" s="412"/>
    </row>
    <row r="168" spans="1:26" ht="132.6" x14ac:dyDescent="0.2">
      <c r="A168" s="412"/>
      <c r="B168" s="412"/>
      <c r="C168" s="412"/>
      <c r="D168" s="395" t="s">
        <v>979</v>
      </c>
      <c r="E168" s="412"/>
      <c r="F168" s="412"/>
      <c r="G168" s="412"/>
      <c r="H168" s="412"/>
      <c r="I168" s="412"/>
      <c r="J168" s="412"/>
      <c r="K168" s="412"/>
      <c r="L168" s="412"/>
    </row>
    <row r="169" spans="1:26" x14ac:dyDescent="0.2">
      <c r="A169" s="412"/>
      <c r="B169" s="412"/>
      <c r="C169" s="412"/>
      <c r="D169" s="413" t="s">
        <v>206</v>
      </c>
      <c r="E169" s="414" t="s">
        <v>1242</v>
      </c>
      <c r="F169" s="414"/>
      <c r="G169" s="414"/>
      <c r="H169" s="415">
        <v>2809.97</v>
      </c>
      <c r="I169" s="412"/>
      <c r="J169" s="412"/>
      <c r="K169" s="412"/>
      <c r="L169" s="412"/>
    </row>
    <row r="170" spans="1:26" x14ac:dyDescent="0.2">
      <c r="A170" s="412"/>
      <c r="B170" s="412"/>
      <c r="C170" s="412"/>
      <c r="D170" s="413" t="s">
        <v>207</v>
      </c>
      <c r="E170" s="414" t="s">
        <v>1243</v>
      </c>
      <c r="F170" s="414"/>
      <c r="G170" s="414"/>
      <c r="H170" s="415">
        <v>1510.66</v>
      </c>
      <c r="I170" s="412"/>
      <c r="J170" s="412"/>
      <c r="K170" s="412"/>
      <c r="L170" s="412"/>
    </row>
    <row r="171" spans="1:26" x14ac:dyDescent="0.2">
      <c r="A171" s="412"/>
      <c r="B171" s="412"/>
      <c r="C171" s="412"/>
      <c r="D171" s="416" t="s">
        <v>715</v>
      </c>
      <c r="E171" s="417"/>
      <c r="F171" s="417"/>
      <c r="G171" s="417"/>
      <c r="H171" s="418">
        <v>8088.04</v>
      </c>
      <c r="I171" s="412"/>
      <c r="J171" s="412"/>
      <c r="K171" s="412"/>
      <c r="L171" s="412"/>
    </row>
    <row r="172" spans="1:26" s="817" customFormat="1" ht="20.399999999999999" x14ac:dyDescent="0.2">
      <c r="A172" s="813">
        <v>23</v>
      </c>
      <c r="B172" s="813">
        <v>191</v>
      </c>
      <c r="C172" s="813" t="s">
        <v>1371</v>
      </c>
      <c r="D172" s="813" t="s">
        <v>1584</v>
      </c>
      <c r="E172" s="814">
        <v>1</v>
      </c>
      <c r="F172" s="815">
        <v>873.72</v>
      </c>
      <c r="G172" s="815" t="s">
        <v>281</v>
      </c>
      <c r="H172" s="816">
        <v>7129.56</v>
      </c>
      <c r="I172" s="816" t="s">
        <v>281</v>
      </c>
      <c r="J172" s="816" t="s">
        <v>281</v>
      </c>
      <c r="K172" s="815" t="s">
        <v>281</v>
      </c>
      <c r="L172" s="815" t="s">
        <v>281</v>
      </c>
      <c r="M172" s="819">
        <v>0</v>
      </c>
      <c r="N172" s="819" t="s">
        <v>2323</v>
      </c>
      <c r="O172" s="819"/>
      <c r="T172" s="817">
        <v>7129.56</v>
      </c>
      <c r="V172" s="817" t="s">
        <v>281</v>
      </c>
      <c r="W172" s="817" t="s">
        <v>281</v>
      </c>
      <c r="X172" s="817" t="s">
        <v>281</v>
      </c>
      <c r="Y172" s="817" t="s">
        <v>281</v>
      </c>
      <c r="Z172" s="817" t="s">
        <v>281</v>
      </c>
    </row>
    <row r="173" spans="1:26" x14ac:dyDescent="0.2">
      <c r="A173" s="407"/>
      <c r="B173" s="407"/>
      <c r="C173" s="407"/>
      <c r="D173" s="408" t="s">
        <v>735</v>
      </c>
      <c r="E173" s="409"/>
      <c r="F173" s="410" t="s">
        <v>281</v>
      </c>
      <c r="G173" s="410" t="s">
        <v>281</v>
      </c>
      <c r="H173" s="409"/>
      <c r="I173" s="409"/>
      <c r="J173" s="411" t="s">
        <v>281</v>
      </c>
      <c r="K173" s="410" t="s">
        <v>281</v>
      </c>
      <c r="L173" s="410" t="s">
        <v>281</v>
      </c>
    </row>
    <row r="174" spans="1:26" x14ac:dyDescent="0.2">
      <c r="A174" s="412"/>
      <c r="B174" s="412"/>
      <c r="C174" s="412"/>
      <c r="D174" s="395" t="s">
        <v>718</v>
      </c>
      <c r="E174" s="412"/>
      <c r="F174" s="412"/>
      <c r="G174" s="412"/>
      <c r="H174" s="412"/>
      <c r="I174" s="412"/>
      <c r="J174" s="412"/>
      <c r="K174" s="412"/>
      <c r="L174" s="412"/>
    </row>
    <row r="175" spans="1:26" s="817" customFormat="1" ht="20.399999999999999" x14ac:dyDescent="0.2">
      <c r="A175" s="813">
        <v>24</v>
      </c>
      <c r="B175" s="813">
        <v>192</v>
      </c>
      <c r="C175" s="813" t="s">
        <v>1372</v>
      </c>
      <c r="D175" s="813" t="s">
        <v>1583</v>
      </c>
      <c r="E175" s="814">
        <v>1</v>
      </c>
      <c r="F175" s="815">
        <v>119.5</v>
      </c>
      <c r="G175" s="815" t="s">
        <v>281</v>
      </c>
      <c r="H175" s="816">
        <v>975.12</v>
      </c>
      <c r="I175" s="816" t="s">
        <v>281</v>
      </c>
      <c r="J175" s="816" t="s">
        <v>281</v>
      </c>
      <c r="K175" s="815" t="s">
        <v>281</v>
      </c>
      <c r="L175" s="815" t="s">
        <v>281</v>
      </c>
      <c r="M175" s="819">
        <v>0</v>
      </c>
      <c r="N175" s="819" t="s">
        <v>2323</v>
      </c>
      <c r="O175" s="819"/>
      <c r="T175" s="817">
        <v>975.12</v>
      </c>
      <c r="V175" s="817" t="s">
        <v>281</v>
      </c>
      <c r="W175" s="817" t="s">
        <v>281</v>
      </c>
      <c r="X175" s="817" t="s">
        <v>281</v>
      </c>
      <c r="Y175" s="817" t="s">
        <v>281</v>
      </c>
      <c r="Z175" s="817" t="s">
        <v>281</v>
      </c>
    </row>
    <row r="176" spans="1:26" x14ac:dyDescent="0.2">
      <c r="A176" s="407"/>
      <c r="B176" s="407"/>
      <c r="C176" s="407"/>
      <c r="D176" s="408" t="s">
        <v>735</v>
      </c>
      <c r="E176" s="409"/>
      <c r="F176" s="410" t="s">
        <v>281</v>
      </c>
      <c r="G176" s="410" t="s">
        <v>281</v>
      </c>
      <c r="H176" s="409"/>
      <c r="I176" s="409"/>
      <c r="J176" s="411" t="s">
        <v>281</v>
      </c>
      <c r="K176" s="410" t="s">
        <v>281</v>
      </c>
      <c r="L176" s="410" t="s">
        <v>281</v>
      </c>
    </row>
    <row r="177" spans="1:26" x14ac:dyDescent="0.2">
      <c r="A177" s="412"/>
      <c r="B177" s="412"/>
      <c r="C177" s="412"/>
      <c r="D177" s="395" t="s">
        <v>718</v>
      </c>
      <c r="E177" s="412"/>
      <c r="F177" s="412"/>
      <c r="G177" s="412"/>
      <c r="H177" s="412"/>
      <c r="I177" s="412"/>
      <c r="J177" s="412"/>
      <c r="K177" s="412"/>
      <c r="L177" s="412"/>
    </row>
    <row r="178" spans="1:26" s="817" customFormat="1" ht="30.6" x14ac:dyDescent="0.2">
      <c r="A178" s="813">
        <v>25</v>
      </c>
      <c r="B178" s="813">
        <v>193</v>
      </c>
      <c r="C178" s="813" t="s">
        <v>1373</v>
      </c>
      <c r="D178" s="813" t="s">
        <v>1354</v>
      </c>
      <c r="E178" s="814">
        <v>2</v>
      </c>
      <c r="F178" s="815">
        <v>21.164449999999999</v>
      </c>
      <c r="G178" s="815">
        <v>5.6637500000000003</v>
      </c>
      <c r="H178" s="816">
        <v>1499.1</v>
      </c>
      <c r="I178" s="816">
        <v>1340.48</v>
      </c>
      <c r="J178" s="816">
        <v>149.97999999999999</v>
      </c>
      <c r="K178" s="815">
        <v>1.732475</v>
      </c>
      <c r="L178" s="815">
        <v>3.46495</v>
      </c>
      <c r="M178" s="819">
        <v>0</v>
      </c>
      <c r="N178" s="819" t="s">
        <v>2323</v>
      </c>
      <c r="O178" s="819"/>
      <c r="T178" s="817">
        <v>4072.71</v>
      </c>
      <c r="V178" s="817">
        <v>1340.48</v>
      </c>
      <c r="W178" s="817">
        <v>149.97999999999999</v>
      </c>
      <c r="X178" s="817">
        <v>90.1</v>
      </c>
      <c r="Y178" s="817">
        <v>3.46495</v>
      </c>
      <c r="Z178" s="817">
        <v>0.17249999999999999</v>
      </c>
    </row>
    <row r="179" spans="1:26" x14ac:dyDescent="0.2">
      <c r="A179" s="407"/>
      <c r="B179" s="407"/>
      <c r="C179" s="407"/>
      <c r="D179" s="408" t="s">
        <v>735</v>
      </c>
      <c r="E179" s="409"/>
      <c r="F179" s="410">
        <v>14.970700000000001</v>
      </c>
      <c r="G179" s="410">
        <v>1.0062500000000001</v>
      </c>
      <c r="H179" s="409"/>
      <c r="I179" s="409"/>
      <c r="J179" s="411">
        <v>90.1</v>
      </c>
      <c r="K179" s="410">
        <v>8.6249999999999993E-2</v>
      </c>
      <c r="L179" s="410">
        <v>0.17249999999999999</v>
      </c>
    </row>
    <row r="180" spans="1:26" ht="20.399999999999999" x14ac:dyDescent="0.2">
      <c r="A180" s="412"/>
      <c r="B180" s="412"/>
      <c r="C180" s="412"/>
      <c r="D180" s="395" t="s">
        <v>714</v>
      </c>
      <c r="E180" s="412"/>
      <c r="F180" s="412"/>
      <c r="G180" s="412"/>
      <c r="H180" s="412"/>
      <c r="I180" s="412"/>
      <c r="J180" s="412"/>
      <c r="K180" s="412"/>
      <c r="L180" s="412"/>
    </row>
    <row r="181" spans="1:26" ht="20.399999999999999" x14ac:dyDescent="0.2">
      <c r="A181" s="412"/>
      <c r="B181" s="412"/>
      <c r="C181" s="412"/>
      <c r="D181" s="395" t="s">
        <v>978</v>
      </c>
      <c r="E181" s="412"/>
      <c r="F181" s="412"/>
      <c r="G181" s="412"/>
      <c r="H181" s="412"/>
      <c r="I181" s="412"/>
      <c r="J181" s="412"/>
      <c r="K181" s="412"/>
      <c r="L181" s="412"/>
    </row>
    <row r="182" spans="1:26" ht="132.6" x14ac:dyDescent="0.2">
      <c r="A182" s="412"/>
      <c r="B182" s="412"/>
      <c r="C182" s="412"/>
      <c r="D182" s="395" t="s">
        <v>979</v>
      </c>
      <c r="E182" s="412"/>
      <c r="F182" s="412"/>
      <c r="G182" s="412"/>
      <c r="H182" s="412"/>
      <c r="I182" s="412"/>
      <c r="J182" s="412"/>
      <c r="K182" s="412"/>
      <c r="L182" s="412"/>
    </row>
    <row r="183" spans="1:26" x14ac:dyDescent="0.2">
      <c r="A183" s="412"/>
      <c r="B183" s="412"/>
      <c r="C183" s="412"/>
      <c r="D183" s="413" t="s">
        <v>206</v>
      </c>
      <c r="E183" s="414" t="s">
        <v>1242</v>
      </c>
      <c r="F183" s="414"/>
      <c r="G183" s="414"/>
      <c r="H183" s="415">
        <v>1673.78</v>
      </c>
      <c r="I183" s="412"/>
      <c r="J183" s="412"/>
      <c r="K183" s="412"/>
      <c r="L183" s="412"/>
    </row>
    <row r="184" spans="1:26" x14ac:dyDescent="0.2">
      <c r="A184" s="412"/>
      <c r="B184" s="412"/>
      <c r="C184" s="412"/>
      <c r="D184" s="413" t="s">
        <v>207</v>
      </c>
      <c r="E184" s="414" t="s">
        <v>1243</v>
      </c>
      <c r="F184" s="414"/>
      <c r="G184" s="414"/>
      <c r="H184" s="415">
        <v>899.83</v>
      </c>
      <c r="I184" s="412"/>
      <c r="J184" s="412"/>
      <c r="K184" s="412"/>
      <c r="L184" s="412"/>
    </row>
    <row r="185" spans="1:26" x14ac:dyDescent="0.2">
      <c r="A185" s="412"/>
      <c r="B185" s="412"/>
      <c r="C185" s="412"/>
      <c r="D185" s="416" t="s">
        <v>715</v>
      </c>
      <c r="E185" s="417"/>
      <c r="F185" s="417"/>
      <c r="G185" s="417"/>
      <c r="H185" s="418">
        <v>4072.71</v>
      </c>
      <c r="I185" s="412"/>
      <c r="J185" s="412"/>
      <c r="K185" s="412"/>
      <c r="L185" s="412"/>
    </row>
    <row r="186" spans="1:26" s="817" customFormat="1" ht="20.399999999999999" x14ac:dyDescent="0.2">
      <c r="A186" s="813">
        <v>26</v>
      </c>
      <c r="B186" s="813">
        <v>194</v>
      </c>
      <c r="C186" s="813" t="s">
        <v>1374</v>
      </c>
      <c r="D186" s="813" t="s">
        <v>1582</v>
      </c>
      <c r="E186" s="814">
        <v>2</v>
      </c>
      <c r="F186" s="815">
        <v>596.04</v>
      </c>
      <c r="G186" s="815" t="s">
        <v>281</v>
      </c>
      <c r="H186" s="816">
        <v>9727.3799999999992</v>
      </c>
      <c r="I186" s="816" t="s">
        <v>281</v>
      </c>
      <c r="J186" s="816" t="s">
        <v>281</v>
      </c>
      <c r="K186" s="815" t="s">
        <v>281</v>
      </c>
      <c r="L186" s="815" t="s">
        <v>281</v>
      </c>
      <c r="M186" s="819">
        <v>0</v>
      </c>
      <c r="N186" s="819" t="s">
        <v>2323</v>
      </c>
      <c r="O186" s="819"/>
      <c r="T186" s="817">
        <v>9727.3799999999992</v>
      </c>
      <c r="V186" s="817" t="s">
        <v>281</v>
      </c>
      <c r="W186" s="817" t="s">
        <v>281</v>
      </c>
      <c r="X186" s="817" t="s">
        <v>281</v>
      </c>
      <c r="Y186" s="817" t="s">
        <v>281</v>
      </c>
      <c r="Z186" s="817" t="s">
        <v>281</v>
      </c>
    </row>
    <row r="187" spans="1:26" x14ac:dyDescent="0.2">
      <c r="A187" s="407"/>
      <c r="B187" s="407"/>
      <c r="C187" s="407"/>
      <c r="D187" s="408" t="s">
        <v>735</v>
      </c>
      <c r="E187" s="409"/>
      <c r="F187" s="410" t="s">
        <v>281</v>
      </c>
      <c r="G187" s="410" t="s">
        <v>281</v>
      </c>
      <c r="H187" s="409"/>
      <c r="I187" s="409"/>
      <c r="J187" s="411" t="s">
        <v>281</v>
      </c>
      <c r="K187" s="410" t="s">
        <v>281</v>
      </c>
      <c r="L187" s="410" t="s">
        <v>281</v>
      </c>
    </row>
    <row r="188" spans="1:26" x14ac:dyDescent="0.2">
      <c r="A188" s="412"/>
      <c r="B188" s="412"/>
      <c r="C188" s="412"/>
      <c r="D188" s="395" t="s">
        <v>718</v>
      </c>
      <c r="E188" s="412"/>
      <c r="F188" s="412"/>
      <c r="G188" s="412"/>
      <c r="H188" s="412"/>
      <c r="I188" s="412"/>
      <c r="J188" s="412"/>
      <c r="K188" s="412"/>
      <c r="L188" s="412"/>
    </row>
    <row r="189" spans="1:26" s="829" customFormat="1" ht="40.799999999999997" x14ac:dyDescent="0.2">
      <c r="A189" s="825">
        <v>27</v>
      </c>
      <c r="B189" s="825">
        <v>195</v>
      </c>
      <c r="C189" s="825" t="s">
        <v>1375</v>
      </c>
      <c r="D189" s="825" t="s">
        <v>2353</v>
      </c>
      <c r="E189" s="826">
        <v>4.2</v>
      </c>
      <c r="F189" s="827">
        <v>370.37015000000002</v>
      </c>
      <c r="G189" s="827">
        <v>314.64</v>
      </c>
      <c r="H189" s="828">
        <v>27975.66</v>
      </c>
      <c r="I189" s="828">
        <v>10479.17</v>
      </c>
      <c r="J189" s="828">
        <v>17496.490000000002</v>
      </c>
      <c r="K189" s="827">
        <v>6.53315</v>
      </c>
      <c r="L189" s="827">
        <v>27.439229999999998</v>
      </c>
      <c r="M189" s="830">
        <v>4.2</v>
      </c>
      <c r="N189" s="830" t="s">
        <v>2323</v>
      </c>
      <c r="O189" s="830" t="s">
        <v>2354</v>
      </c>
      <c r="T189" s="829">
        <v>53022.79</v>
      </c>
      <c r="V189" s="829">
        <v>10479.17</v>
      </c>
      <c r="W189" s="829">
        <v>17496.490000000002</v>
      </c>
      <c r="X189" s="829">
        <v>6524.99</v>
      </c>
      <c r="Y189" s="829">
        <v>27.439229999999998</v>
      </c>
      <c r="Z189" s="829">
        <v>14.49</v>
      </c>
    </row>
    <row r="190" spans="1:26" x14ac:dyDescent="0.2">
      <c r="A190" s="407"/>
      <c r="B190" s="407"/>
      <c r="C190" s="407"/>
      <c r="D190" s="408" t="s">
        <v>883</v>
      </c>
      <c r="E190" s="409"/>
      <c r="F190" s="410">
        <v>55.730150000000002</v>
      </c>
      <c r="G190" s="410">
        <v>34.701250000000002</v>
      </c>
      <c r="H190" s="409"/>
      <c r="I190" s="409"/>
      <c r="J190" s="411">
        <v>6524.99</v>
      </c>
      <c r="K190" s="410">
        <v>3.45</v>
      </c>
      <c r="L190" s="410">
        <v>14.49</v>
      </c>
    </row>
    <row r="191" spans="1:26" ht="20.399999999999999" x14ac:dyDescent="0.2">
      <c r="A191" s="412"/>
      <c r="B191" s="412"/>
      <c r="C191" s="412"/>
      <c r="D191" s="395" t="s">
        <v>714</v>
      </c>
      <c r="E191" s="412"/>
      <c r="F191" s="412"/>
      <c r="G191" s="412"/>
      <c r="H191" s="412"/>
      <c r="I191" s="412"/>
      <c r="J191" s="412"/>
      <c r="K191" s="412"/>
      <c r="L191" s="412"/>
    </row>
    <row r="192" spans="1:26" ht="20.399999999999999" x14ac:dyDescent="0.2">
      <c r="A192" s="412"/>
      <c r="B192" s="412"/>
      <c r="C192" s="412"/>
      <c r="D192" s="395" t="s">
        <v>978</v>
      </c>
      <c r="E192" s="412"/>
      <c r="F192" s="412"/>
      <c r="G192" s="412"/>
      <c r="H192" s="412"/>
      <c r="I192" s="412"/>
      <c r="J192" s="412"/>
      <c r="K192" s="412"/>
      <c r="L192" s="412"/>
    </row>
    <row r="193" spans="1:26" ht="132.6" x14ac:dyDescent="0.2">
      <c r="A193" s="412"/>
      <c r="B193" s="412"/>
      <c r="C193" s="412"/>
      <c r="D193" s="395" t="s">
        <v>979</v>
      </c>
      <c r="E193" s="412"/>
      <c r="F193" s="412"/>
      <c r="G193" s="412"/>
      <c r="H193" s="412"/>
      <c r="I193" s="412"/>
      <c r="J193" s="412"/>
      <c r="K193" s="412"/>
      <c r="L193" s="412"/>
    </row>
    <row r="194" spans="1:26" x14ac:dyDescent="0.2">
      <c r="A194" s="412"/>
      <c r="B194" s="412"/>
      <c r="C194" s="412"/>
      <c r="D194" s="413" t="s">
        <v>206</v>
      </c>
      <c r="E194" s="414" t="s">
        <v>1376</v>
      </c>
      <c r="F194" s="414"/>
      <c r="G194" s="414"/>
      <c r="H194" s="415">
        <v>16664.080000000002</v>
      </c>
      <c r="I194" s="412"/>
      <c r="J194" s="412"/>
      <c r="K194" s="412"/>
      <c r="L194" s="412"/>
    </row>
    <row r="195" spans="1:26" x14ac:dyDescent="0.2">
      <c r="A195" s="412"/>
      <c r="B195" s="412"/>
      <c r="C195" s="412"/>
      <c r="D195" s="413" t="s">
        <v>207</v>
      </c>
      <c r="E195" s="414" t="s">
        <v>1075</v>
      </c>
      <c r="F195" s="414"/>
      <c r="G195" s="414"/>
      <c r="H195" s="415">
        <v>8383.0499999999993</v>
      </c>
      <c r="I195" s="412"/>
      <c r="J195" s="412"/>
      <c r="K195" s="412"/>
      <c r="L195" s="412"/>
    </row>
    <row r="196" spans="1:26" x14ac:dyDescent="0.2">
      <c r="A196" s="412"/>
      <c r="B196" s="412"/>
      <c r="C196" s="412"/>
      <c r="D196" s="416" t="s">
        <v>715</v>
      </c>
      <c r="E196" s="417"/>
      <c r="F196" s="417"/>
      <c r="G196" s="417"/>
      <c r="H196" s="418">
        <v>53022.79</v>
      </c>
      <c r="I196" s="412"/>
      <c r="J196" s="412"/>
      <c r="K196" s="412"/>
      <c r="L196" s="412"/>
    </row>
    <row r="197" spans="1:26" s="817" customFormat="1" ht="51" x14ac:dyDescent="0.2">
      <c r="A197" s="870">
        <v>28</v>
      </c>
      <c r="B197" s="870">
        <v>196</v>
      </c>
      <c r="C197" s="870" t="s">
        <v>1377</v>
      </c>
      <c r="D197" s="870" t="s">
        <v>2355</v>
      </c>
      <c r="E197" s="871">
        <v>1</v>
      </c>
      <c r="F197" s="872">
        <v>445.568375</v>
      </c>
      <c r="G197" s="872">
        <v>109.551875</v>
      </c>
      <c r="H197" s="873">
        <v>6680.99</v>
      </c>
      <c r="I197" s="873">
        <v>3043.31</v>
      </c>
      <c r="J197" s="873">
        <v>1450.47</v>
      </c>
      <c r="K197" s="872">
        <v>7.5779249999999996</v>
      </c>
      <c r="L197" s="872">
        <v>7.5779249999999996</v>
      </c>
      <c r="M197" s="819">
        <v>0</v>
      </c>
      <c r="N197" s="819" t="s">
        <v>2323</v>
      </c>
      <c r="O197" s="819"/>
      <c r="T197" s="817">
        <v>12209.15</v>
      </c>
      <c r="V197" s="817">
        <v>3043.31</v>
      </c>
      <c r="W197" s="817">
        <v>1450.47</v>
      </c>
      <c r="X197" s="817">
        <v>29.6</v>
      </c>
      <c r="Y197" s="817">
        <v>7.5779249999999996</v>
      </c>
      <c r="Z197" s="817">
        <v>5.7500000000000002E-2</v>
      </c>
    </row>
    <row r="198" spans="1:26" x14ac:dyDescent="0.2">
      <c r="A198" s="407"/>
      <c r="B198" s="407"/>
      <c r="C198" s="407"/>
      <c r="D198" s="408" t="s">
        <v>1364</v>
      </c>
      <c r="E198" s="409"/>
      <c r="F198" s="410">
        <v>67.976500000000001</v>
      </c>
      <c r="G198" s="410">
        <v>0.66125</v>
      </c>
      <c r="H198" s="409"/>
      <c r="I198" s="409"/>
      <c r="J198" s="411">
        <v>29.6</v>
      </c>
      <c r="K198" s="410">
        <v>5.7500000000000002E-2</v>
      </c>
      <c r="L198" s="410">
        <v>5.7500000000000002E-2</v>
      </c>
    </row>
    <row r="199" spans="1:26" ht="20.399999999999999" x14ac:dyDescent="0.2">
      <c r="A199" s="412"/>
      <c r="B199" s="412"/>
      <c r="C199" s="412"/>
      <c r="D199" s="395" t="s">
        <v>714</v>
      </c>
      <c r="E199" s="412"/>
      <c r="F199" s="412"/>
      <c r="G199" s="412"/>
      <c r="H199" s="412"/>
      <c r="I199" s="412"/>
      <c r="J199" s="412"/>
      <c r="K199" s="412"/>
      <c r="L199" s="412"/>
    </row>
    <row r="200" spans="1:26" ht="20.399999999999999" x14ac:dyDescent="0.2">
      <c r="A200" s="412"/>
      <c r="B200" s="412"/>
      <c r="C200" s="412"/>
      <c r="D200" s="395" t="s">
        <v>978</v>
      </c>
      <c r="E200" s="412"/>
      <c r="F200" s="412"/>
      <c r="G200" s="412"/>
      <c r="H200" s="412"/>
      <c r="I200" s="412"/>
      <c r="J200" s="412"/>
      <c r="K200" s="412"/>
      <c r="L200" s="412"/>
    </row>
    <row r="201" spans="1:26" ht="132.6" x14ac:dyDescent="0.2">
      <c r="A201" s="412"/>
      <c r="B201" s="412"/>
      <c r="C201" s="412"/>
      <c r="D201" s="395" t="s">
        <v>979</v>
      </c>
      <c r="E201" s="412"/>
      <c r="F201" s="412"/>
      <c r="G201" s="412"/>
      <c r="H201" s="412"/>
      <c r="I201" s="412"/>
      <c r="J201" s="412"/>
      <c r="K201" s="412"/>
      <c r="L201" s="412"/>
    </row>
    <row r="202" spans="1:26" x14ac:dyDescent="0.2">
      <c r="A202" s="412"/>
      <c r="B202" s="412"/>
      <c r="C202" s="412"/>
      <c r="D202" s="413" t="s">
        <v>206</v>
      </c>
      <c r="E202" s="414" t="s">
        <v>1242</v>
      </c>
      <c r="F202" s="414"/>
      <c r="G202" s="414"/>
      <c r="H202" s="415">
        <v>3595.3</v>
      </c>
      <c r="I202" s="412"/>
      <c r="J202" s="412"/>
      <c r="K202" s="412"/>
      <c r="L202" s="412"/>
    </row>
    <row r="203" spans="1:26" x14ac:dyDescent="0.2">
      <c r="A203" s="412"/>
      <c r="B203" s="412"/>
      <c r="C203" s="412"/>
      <c r="D203" s="413" t="s">
        <v>207</v>
      </c>
      <c r="E203" s="414" t="s">
        <v>1243</v>
      </c>
      <c r="F203" s="414"/>
      <c r="G203" s="414"/>
      <c r="H203" s="415">
        <v>1932.86</v>
      </c>
      <c r="I203" s="412"/>
      <c r="J203" s="412"/>
      <c r="K203" s="412"/>
      <c r="L203" s="412"/>
    </row>
    <row r="204" spans="1:26" x14ac:dyDescent="0.2">
      <c r="A204" s="412"/>
      <c r="B204" s="412"/>
      <c r="C204" s="412"/>
      <c r="D204" s="416" t="s">
        <v>715</v>
      </c>
      <c r="E204" s="417"/>
      <c r="F204" s="417"/>
      <c r="G204" s="417"/>
      <c r="H204" s="418">
        <v>12209.15</v>
      </c>
      <c r="I204" s="412"/>
      <c r="J204" s="412"/>
      <c r="K204" s="412"/>
      <c r="L204" s="412"/>
    </row>
    <row r="205" spans="1:26" s="817" customFormat="1" ht="30.6" x14ac:dyDescent="0.2">
      <c r="A205" s="813">
        <v>29</v>
      </c>
      <c r="B205" s="813">
        <v>197</v>
      </c>
      <c r="C205" s="813" t="s">
        <v>1378</v>
      </c>
      <c r="D205" s="813" t="s">
        <v>1581</v>
      </c>
      <c r="E205" s="814">
        <v>2</v>
      </c>
      <c r="F205" s="815">
        <v>1434.54</v>
      </c>
      <c r="G205" s="815" t="s">
        <v>281</v>
      </c>
      <c r="H205" s="816">
        <v>23411.7</v>
      </c>
      <c r="I205" s="816" t="s">
        <v>281</v>
      </c>
      <c r="J205" s="816" t="s">
        <v>281</v>
      </c>
      <c r="K205" s="815" t="s">
        <v>281</v>
      </c>
      <c r="L205" s="815" t="s">
        <v>281</v>
      </c>
      <c r="M205" s="819">
        <v>0</v>
      </c>
      <c r="N205" s="819" t="s">
        <v>2323</v>
      </c>
      <c r="O205" s="819"/>
      <c r="T205" s="817">
        <v>23411.7</v>
      </c>
      <c r="V205" s="817" t="s">
        <v>281</v>
      </c>
      <c r="W205" s="817" t="s">
        <v>281</v>
      </c>
      <c r="X205" s="817" t="s">
        <v>281</v>
      </c>
      <c r="Y205" s="817" t="s">
        <v>281</v>
      </c>
      <c r="Z205" s="817" t="s">
        <v>281</v>
      </c>
    </row>
    <row r="206" spans="1:26" x14ac:dyDescent="0.2">
      <c r="A206" s="407"/>
      <c r="B206" s="407"/>
      <c r="C206" s="407"/>
      <c r="D206" s="408" t="s">
        <v>735</v>
      </c>
      <c r="E206" s="409"/>
      <c r="F206" s="410" t="s">
        <v>281</v>
      </c>
      <c r="G206" s="410" t="s">
        <v>281</v>
      </c>
      <c r="H206" s="409"/>
      <c r="I206" s="409"/>
      <c r="J206" s="411" t="s">
        <v>281</v>
      </c>
      <c r="K206" s="410" t="s">
        <v>281</v>
      </c>
      <c r="L206" s="410" t="s">
        <v>281</v>
      </c>
    </row>
    <row r="207" spans="1:26" x14ac:dyDescent="0.2">
      <c r="A207" s="412"/>
      <c r="B207" s="412"/>
      <c r="C207" s="412"/>
      <c r="D207" s="395" t="s">
        <v>718</v>
      </c>
      <c r="E207" s="412"/>
      <c r="F207" s="412"/>
      <c r="G207" s="412"/>
      <c r="H207" s="412"/>
      <c r="I207" s="412"/>
      <c r="J207" s="412"/>
      <c r="K207" s="412"/>
      <c r="L207" s="412"/>
    </row>
    <row r="208" spans="1:26" s="817" customFormat="1" ht="51" x14ac:dyDescent="0.2">
      <c r="A208" s="813">
        <v>30</v>
      </c>
      <c r="B208" s="813">
        <v>198</v>
      </c>
      <c r="C208" s="813" t="s">
        <v>1379</v>
      </c>
      <c r="D208" s="813" t="s">
        <v>1355</v>
      </c>
      <c r="E208" s="814">
        <v>0.18</v>
      </c>
      <c r="F208" s="815">
        <v>432.36172499999998</v>
      </c>
      <c r="G208" s="815">
        <v>102.9825</v>
      </c>
      <c r="H208" s="816">
        <v>2486.2600000000002</v>
      </c>
      <c r="I208" s="816">
        <v>2148.66</v>
      </c>
      <c r="J208" s="816">
        <v>245.43</v>
      </c>
      <c r="K208" s="815">
        <v>28.036999999999999</v>
      </c>
      <c r="L208" s="815">
        <v>5.0466600000000001</v>
      </c>
      <c r="M208" s="819">
        <v>0</v>
      </c>
      <c r="N208" s="819" t="s">
        <v>2323</v>
      </c>
      <c r="O208" s="819"/>
      <c r="T208" s="817">
        <v>6155.3</v>
      </c>
      <c r="V208" s="817">
        <v>2148.66</v>
      </c>
      <c r="W208" s="817">
        <v>245.43</v>
      </c>
      <c r="X208" s="817">
        <v>26.88</v>
      </c>
      <c r="Y208" s="817">
        <v>5.0466600000000001</v>
      </c>
      <c r="Z208" s="817">
        <v>5.1749999999999997E-2</v>
      </c>
    </row>
    <row r="209" spans="1:26" x14ac:dyDescent="0.2">
      <c r="A209" s="407"/>
      <c r="B209" s="407"/>
      <c r="C209" s="407"/>
      <c r="D209" s="408" t="s">
        <v>831</v>
      </c>
      <c r="E209" s="409"/>
      <c r="F209" s="410">
        <v>266.62922500000002</v>
      </c>
      <c r="G209" s="410">
        <v>3.335</v>
      </c>
      <c r="H209" s="409"/>
      <c r="I209" s="409"/>
      <c r="J209" s="411">
        <v>26.88</v>
      </c>
      <c r="K209" s="410">
        <v>0.28749999999999998</v>
      </c>
      <c r="L209" s="410">
        <v>5.1749999999999997E-2</v>
      </c>
    </row>
    <row r="210" spans="1:26" ht="20.399999999999999" x14ac:dyDescent="0.2">
      <c r="A210" s="412"/>
      <c r="B210" s="412"/>
      <c r="C210" s="412"/>
      <c r="D210" s="395" t="s">
        <v>714</v>
      </c>
      <c r="E210" s="412"/>
      <c r="F210" s="412"/>
      <c r="G210" s="412"/>
      <c r="H210" s="412"/>
      <c r="I210" s="412"/>
      <c r="J210" s="412"/>
      <c r="K210" s="412"/>
      <c r="L210" s="412"/>
    </row>
    <row r="211" spans="1:26" ht="20.399999999999999" x14ac:dyDescent="0.2">
      <c r="A211" s="412"/>
      <c r="B211" s="412"/>
      <c r="C211" s="412"/>
      <c r="D211" s="395" t="s">
        <v>978</v>
      </c>
      <c r="E211" s="412"/>
      <c r="F211" s="412"/>
      <c r="G211" s="412"/>
      <c r="H211" s="412"/>
      <c r="I211" s="412"/>
      <c r="J211" s="412"/>
      <c r="K211" s="412"/>
      <c r="L211" s="412"/>
    </row>
    <row r="212" spans="1:26" ht="132.6" x14ac:dyDescent="0.2">
      <c r="A212" s="412"/>
      <c r="B212" s="412"/>
      <c r="C212" s="412"/>
      <c r="D212" s="395" t="s">
        <v>979</v>
      </c>
      <c r="E212" s="412"/>
      <c r="F212" s="412"/>
      <c r="G212" s="412"/>
      <c r="H212" s="412"/>
      <c r="I212" s="412"/>
      <c r="J212" s="412"/>
      <c r="K212" s="412"/>
      <c r="L212" s="412"/>
    </row>
    <row r="213" spans="1:26" x14ac:dyDescent="0.2">
      <c r="A213" s="412"/>
      <c r="B213" s="412"/>
      <c r="C213" s="412"/>
      <c r="D213" s="413" t="s">
        <v>206</v>
      </c>
      <c r="E213" s="414" t="s">
        <v>750</v>
      </c>
      <c r="F213" s="414"/>
      <c r="G213" s="414"/>
      <c r="H213" s="415">
        <v>2393.09</v>
      </c>
      <c r="I213" s="412"/>
      <c r="J213" s="412"/>
      <c r="K213" s="412"/>
      <c r="L213" s="412"/>
    </row>
    <row r="214" spans="1:26" x14ac:dyDescent="0.2">
      <c r="A214" s="412"/>
      <c r="B214" s="412"/>
      <c r="C214" s="412"/>
      <c r="D214" s="413" t="s">
        <v>207</v>
      </c>
      <c r="E214" s="414" t="s">
        <v>1380</v>
      </c>
      <c r="F214" s="414"/>
      <c r="G214" s="414"/>
      <c r="H214" s="415">
        <v>1275.95</v>
      </c>
      <c r="I214" s="412"/>
      <c r="J214" s="412"/>
      <c r="K214" s="412"/>
      <c r="L214" s="412"/>
    </row>
    <row r="215" spans="1:26" x14ac:dyDescent="0.2">
      <c r="A215" s="412"/>
      <c r="B215" s="412"/>
      <c r="C215" s="412"/>
      <c r="D215" s="416" t="s">
        <v>715</v>
      </c>
      <c r="E215" s="417"/>
      <c r="F215" s="417"/>
      <c r="G215" s="417"/>
      <c r="H215" s="418">
        <v>6155.3</v>
      </c>
      <c r="I215" s="412"/>
      <c r="J215" s="412"/>
      <c r="K215" s="412"/>
      <c r="L215" s="412"/>
    </row>
    <row r="216" spans="1:26" s="817" customFormat="1" x14ac:dyDescent="0.2">
      <c r="A216" s="813">
        <v>31</v>
      </c>
      <c r="B216" s="813">
        <v>199</v>
      </c>
      <c r="C216" s="813" t="s">
        <v>1381</v>
      </c>
      <c r="D216" s="813" t="s">
        <v>1580</v>
      </c>
      <c r="E216" s="814">
        <v>4.3200000000000002E-2</v>
      </c>
      <c r="F216" s="815">
        <v>21597.69</v>
      </c>
      <c r="G216" s="815" t="s">
        <v>281</v>
      </c>
      <c r="H216" s="816">
        <v>7613.44</v>
      </c>
      <c r="I216" s="816" t="s">
        <v>281</v>
      </c>
      <c r="J216" s="816" t="s">
        <v>281</v>
      </c>
      <c r="K216" s="815" t="s">
        <v>281</v>
      </c>
      <c r="L216" s="815" t="s">
        <v>281</v>
      </c>
      <c r="M216" s="819">
        <v>0</v>
      </c>
      <c r="N216" s="819" t="s">
        <v>2323</v>
      </c>
      <c r="O216" s="819"/>
      <c r="T216" s="817">
        <v>7613.44</v>
      </c>
      <c r="V216" s="817" t="s">
        <v>281</v>
      </c>
      <c r="W216" s="817" t="s">
        <v>281</v>
      </c>
      <c r="X216" s="817" t="s">
        <v>281</v>
      </c>
      <c r="Y216" s="817" t="s">
        <v>281</v>
      </c>
      <c r="Z216" s="817" t="s">
        <v>281</v>
      </c>
    </row>
    <row r="217" spans="1:26" x14ac:dyDescent="0.2">
      <c r="A217" s="407"/>
      <c r="B217" s="407"/>
      <c r="C217" s="407"/>
      <c r="D217" s="408" t="s">
        <v>224</v>
      </c>
      <c r="E217" s="409"/>
      <c r="F217" s="410" t="s">
        <v>281</v>
      </c>
      <c r="G217" s="410" t="s">
        <v>281</v>
      </c>
      <c r="H217" s="409"/>
      <c r="I217" s="409"/>
      <c r="J217" s="411" t="s">
        <v>281</v>
      </c>
      <c r="K217" s="410" t="s">
        <v>281</v>
      </c>
      <c r="L217" s="410" t="s">
        <v>281</v>
      </c>
    </row>
    <row r="218" spans="1:26" x14ac:dyDescent="0.2">
      <c r="A218" s="412"/>
      <c r="B218" s="412"/>
      <c r="C218" s="412"/>
      <c r="D218" s="395" t="s">
        <v>718</v>
      </c>
      <c r="E218" s="412"/>
      <c r="F218" s="412"/>
      <c r="G218" s="412"/>
      <c r="H218" s="412"/>
      <c r="I218" s="412"/>
      <c r="J218" s="412"/>
      <c r="K218" s="412"/>
      <c r="L218" s="412"/>
    </row>
    <row r="219" spans="1:26" s="817" customFormat="1" x14ac:dyDescent="0.2">
      <c r="A219" s="813">
        <v>32</v>
      </c>
      <c r="B219" s="813">
        <v>200</v>
      </c>
      <c r="C219" s="813" t="s">
        <v>1382</v>
      </c>
      <c r="D219" s="813" t="s">
        <v>1617</v>
      </c>
      <c r="E219" s="814">
        <v>6.3800000000000003E-3</v>
      </c>
      <c r="F219" s="815">
        <v>11885.47</v>
      </c>
      <c r="G219" s="815" t="s">
        <v>281</v>
      </c>
      <c r="H219" s="816">
        <v>618.77</v>
      </c>
      <c r="I219" s="816" t="s">
        <v>281</v>
      </c>
      <c r="J219" s="816" t="s">
        <v>281</v>
      </c>
      <c r="K219" s="815" t="s">
        <v>281</v>
      </c>
      <c r="L219" s="815" t="s">
        <v>281</v>
      </c>
      <c r="M219" s="819">
        <v>0</v>
      </c>
      <c r="N219" s="819" t="s">
        <v>2323</v>
      </c>
      <c r="O219" s="819"/>
      <c r="T219" s="817">
        <v>618.77</v>
      </c>
      <c r="V219" s="817" t="s">
        <v>281</v>
      </c>
      <c r="W219" s="817" t="s">
        <v>281</v>
      </c>
      <c r="X219" s="817" t="s">
        <v>281</v>
      </c>
      <c r="Y219" s="817" t="s">
        <v>281</v>
      </c>
      <c r="Z219" s="817" t="s">
        <v>281</v>
      </c>
    </row>
    <row r="220" spans="1:26" x14ac:dyDescent="0.2">
      <c r="A220" s="407"/>
      <c r="B220" s="407"/>
      <c r="C220" s="407"/>
      <c r="D220" s="408" t="s">
        <v>224</v>
      </c>
      <c r="E220" s="409"/>
      <c r="F220" s="410" t="s">
        <v>281</v>
      </c>
      <c r="G220" s="410" t="s">
        <v>281</v>
      </c>
      <c r="H220" s="409"/>
      <c r="I220" s="409"/>
      <c r="J220" s="411" t="s">
        <v>281</v>
      </c>
      <c r="K220" s="410" t="s">
        <v>281</v>
      </c>
      <c r="L220" s="410" t="s">
        <v>281</v>
      </c>
    </row>
    <row r="221" spans="1:26" x14ac:dyDescent="0.2">
      <c r="A221" s="412"/>
      <c r="B221" s="412"/>
      <c r="C221" s="412"/>
      <c r="D221" s="395" t="s">
        <v>718</v>
      </c>
      <c r="E221" s="412"/>
      <c r="F221" s="412"/>
      <c r="G221" s="412"/>
      <c r="H221" s="412"/>
      <c r="I221" s="412"/>
      <c r="J221" s="412"/>
      <c r="K221" s="412"/>
      <c r="L221" s="412"/>
    </row>
    <row r="222" spans="1:26" x14ac:dyDescent="0.2">
      <c r="A222" s="1086" t="s">
        <v>1383</v>
      </c>
      <c r="B222" s="1086"/>
      <c r="C222" s="1086"/>
      <c r="D222" s="1086"/>
      <c r="E222" s="1086"/>
      <c r="F222" s="1086"/>
      <c r="G222" s="1086"/>
      <c r="H222" s="1086"/>
      <c r="I222" s="1086"/>
      <c r="J222" s="1086"/>
      <c r="K222" s="1086"/>
      <c r="L222" s="1086"/>
    </row>
    <row r="223" spans="1:26" ht="12.75" customHeight="1" x14ac:dyDescent="0.2">
      <c r="A223" s="1141" t="s">
        <v>774</v>
      </c>
      <c r="B223" s="1142"/>
      <c r="C223" s="1142"/>
      <c r="D223" s="1142"/>
      <c r="E223" s="1142"/>
      <c r="F223" s="1142"/>
      <c r="G223" s="1143"/>
      <c r="H223" s="423">
        <f>H228-H229-H230</f>
        <v>1099677.0900000001</v>
      </c>
      <c r="I223" s="419"/>
      <c r="J223" s="419"/>
      <c r="K223" s="419"/>
      <c r="L223" s="419"/>
    </row>
    <row r="224" spans="1:26" x14ac:dyDescent="0.2">
      <c r="A224" s="1085" t="s">
        <v>919</v>
      </c>
      <c r="B224" s="1085"/>
      <c r="C224" s="1085"/>
      <c r="D224" s="1085"/>
      <c r="E224" s="1085"/>
      <c r="F224" s="1085"/>
      <c r="G224" s="1085"/>
      <c r="H224" s="423">
        <v>949728.57</v>
      </c>
      <c r="I224" s="419"/>
      <c r="J224" s="419"/>
      <c r="K224" s="419"/>
      <c r="L224" s="419"/>
    </row>
    <row r="225" spans="1:15" x14ac:dyDescent="0.2">
      <c r="A225" s="1085" t="s">
        <v>776</v>
      </c>
      <c r="B225" s="1085"/>
      <c r="C225" s="1085"/>
      <c r="D225" s="1085"/>
      <c r="E225" s="1085"/>
      <c r="F225" s="1085"/>
      <c r="G225" s="1085"/>
      <c r="H225" s="423">
        <v>89046.74</v>
      </c>
      <c r="I225" s="419"/>
      <c r="J225" s="419"/>
      <c r="K225" s="419"/>
      <c r="L225" s="419"/>
    </row>
    <row r="226" spans="1:15" x14ac:dyDescent="0.2">
      <c r="A226" s="1085" t="s">
        <v>777</v>
      </c>
      <c r="B226" s="1085"/>
      <c r="C226" s="1085"/>
      <c r="D226" s="1085"/>
      <c r="E226" s="1085"/>
      <c r="F226" s="1085"/>
      <c r="G226" s="1085"/>
      <c r="H226" s="423">
        <v>30256.38</v>
      </c>
      <c r="I226" s="419"/>
      <c r="J226" s="419"/>
      <c r="K226" s="419"/>
      <c r="L226" s="419"/>
    </row>
    <row r="227" spans="1:15" x14ac:dyDescent="0.2">
      <c r="A227" s="1085" t="s">
        <v>778</v>
      </c>
      <c r="B227" s="1085"/>
      <c r="C227" s="1085"/>
      <c r="D227" s="1085"/>
      <c r="E227" s="1085"/>
      <c r="F227" s="1085"/>
      <c r="G227" s="1085"/>
      <c r="H227" s="423">
        <v>60901.78</v>
      </c>
      <c r="I227" s="419"/>
      <c r="J227" s="419"/>
      <c r="K227" s="419"/>
      <c r="L227" s="419"/>
    </row>
    <row r="228" spans="1:15" x14ac:dyDescent="0.2">
      <c r="A228" s="1085" t="s">
        <v>779</v>
      </c>
      <c r="B228" s="1085"/>
      <c r="C228" s="1085"/>
      <c r="D228" s="1085"/>
      <c r="E228" s="1085"/>
      <c r="F228" s="1085"/>
      <c r="G228" s="1085"/>
      <c r="H228" s="423">
        <v>1249483.06</v>
      </c>
      <c r="I228" s="419"/>
      <c r="J228" s="419"/>
      <c r="K228" s="419"/>
      <c r="L228" s="419"/>
    </row>
    <row r="229" spans="1:15" x14ac:dyDescent="0.2">
      <c r="A229" s="1085" t="s">
        <v>206</v>
      </c>
      <c r="B229" s="1085"/>
      <c r="C229" s="1085"/>
      <c r="D229" s="1085"/>
      <c r="E229" s="1085"/>
      <c r="F229" s="1085"/>
      <c r="G229" s="1085"/>
      <c r="H229" s="423">
        <v>99015.51</v>
      </c>
      <c r="I229" s="419"/>
      <c r="J229" s="419"/>
      <c r="K229" s="419"/>
      <c r="L229" s="419"/>
    </row>
    <row r="230" spans="1:15" x14ac:dyDescent="0.2">
      <c r="A230" s="1085" t="s">
        <v>207</v>
      </c>
      <c r="B230" s="1085"/>
      <c r="C230" s="1085"/>
      <c r="D230" s="1085"/>
      <c r="E230" s="1085"/>
      <c r="F230" s="1085"/>
      <c r="G230" s="1085"/>
      <c r="H230" s="423">
        <v>50790.46</v>
      </c>
      <c r="I230" s="419"/>
      <c r="J230" s="419"/>
      <c r="K230" s="419"/>
      <c r="L230" s="419"/>
    </row>
    <row r="231" spans="1:15" s="426" customFormat="1" x14ac:dyDescent="0.2">
      <c r="A231" s="1086" t="s">
        <v>73</v>
      </c>
      <c r="B231" s="1086"/>
      <c r="C231" s="1086"/>
      <c r="D231" s="1086"/>
      <c r="E231" s="1086"/>
      <c r="F231" s="1086"/>
      <c r="G231" s="1086"/>
      <c r="H231" s="424">
        <v>1249483.06</v>
      </c>
      <c r="I231" s="425"/>
      <c r="J231" s="425"/>
      <c r="K231" s="425"/>
      <c r="L231" s="425"/>
      <c r="M231" s="823"/>
      <c r="N231" s="823"/>
      <c r="O231" s="823"/>
    </row>
    <row r="232" spans="1:15" s="432" customFormat="1" x14ac:dyDescent="0.2">
      <c r="A232" s="1084" t="s">
        <v>784</v>
      </c>
      <c r="B232" s="1084"/>
      <c r="C232" s="1084"/>
      <c r="D232" s="1084"/>
      <c r="E232" s="1084"/>
      <c r="F232" s="1084"/>
      <c r="G232" s="1084"/>
      <c r="H232" s="382">
        <f>ROUND(H231*0.082,2)</f>
        <v>102457.61</v>
      </c>
      <c r="I232" s="383"/>
      <c r="J232" s="383"/>
      <c r="K232" s="383"/>
      <c r="L232" s="383"/>
      <c r="M232" s="631"/>
      <c r="N232" s="631"/>
      <c r="O232" s="631"/>
    </row>
    <row r="233" spans="1:15" s="386" customFormat="1" x14ac:dyDescent="0.2">
      <c r="A233" s="1083" t="s">
        <v>785</v>
      </c>
      <c r="B233" s="1083"/>
      <c r="C233" s="1083"/>
      <c r="D233" s="1083"/>
      <c r="E233" s="1083"/>
      <c r="F233" s="1083"/>
      <c r="G233" s="1083"/>
      <c r="H233" s="384">
        <f>H231+H232</f>
        <v>1351940.67</v>
      </c>
      <c r="I233" s="385"/>
      <c r="J233" s="385"/>
      <c r="K233" s="385"/>
      <c r="L233" s="385"/>
      <c r="M233" s="635"/>
      <c r="N233" s="635"/>
      <c r="O233" s="635"/>
    </row>
    <row r="234" spans="1:15" s="432" customFormat="1" x14ac:dyDescent="0.2">
      <c r="A234" s="1084" t="s">
        <v>786</v>
      </c>
      <c r="B234" s="1084"/>
      <c r="C234" s="1084"/>
      <c r="D234" s="1084"/>
      <c r="E234" s="1084"/>
      <c r="F234" s="1084"/>
      <c r="G234" s="1084"/>
      <c r="H234" s="382">
        <f>ROUND(H233*0.024,2)</f>
        <v>32446.58</v>
      </c>
      <c r="I234" s="383"/>
      <c r="J234" s="383"/>
      <c r="K234" s="383"/>
      <c r="L234" s="383"/>
      <c r="M234" s="631"/>
      <c r="N234" s="631"/>
      <c r="O234" s="631"/>
    </row>
    <row r="235" spans="1:15" s="389" customFormat="1" ht="12" x14ac:dyDescent="0.25">
      <c r="A235" s="1054" t="s">
        <v>787</v>
      </c>
      <c r="B235" s="1054"/>
      <c r="C235" s="1054"/>
      <c r="D235" s="1054"/>
      <c r="E235" s="1054"/>
      <c r="F235" s="1054"/>
      <c r="G235" s="1054"/>
      <c r="H235" s="387">
        <f>H233+H234</f>
        <v>1384387.25</v>
      </c>
      <c r="I235" s="388"/>
      <c r="J235" s="388"/>
      <c r="K235" s="388"/>
      <c r="L235" s="388"/>
      <c r="M235" s="636"/>
      <c r="N235" s="636"/>
      <c r="O235" s="636"/>
    </row>
    <row r="236" spans="1:15" s="389" customFormat="1" ht="12" x14ac:dyDescent="0.25">
      <c r="A236" s="1054" t="s">
        <v>1686</v>
      </c>
      <c r="B236" s="1054"/>
      <c r="C236" s="1054"/>
      <c r="D236" s="1054"/>
      <c r="E236" s="1054"/>
      <c r="F236" s="1054"/>
      <c r="G236" s="1054"/>
      <c r="H236" s="387">
        <f>ROUND(H235*1.0514,2)</f>
        <v>1455544.75</v>
      </c>
      <c r="I236" s="388"/>
      <c r="J236" s="388"/>
      <c r="K236" s="388"/>
      <c r="L236" s="388"/>
      <c r="M236" s="636"/>
      <c r="N236" s="636"/>
      <c r="O236" s="636"/>
    </row>
    <row r="237" spans="1:15" s="389" customFormat="1" ht="12" x14ac:dyDescent="0.25">
      <c r="A237" s="611"/>
      <c r="B237" s="611"/>
      <c r="C237" s="611"/>
      <c r="D237" s="611"/>
      <c r="E237" s="611"/>
      <c r="F237" s="611"/>
      <c r="G237" s="611"/>
      <c r="H237" s="612"/>
      <c r="I237" s="613"/>
      <c r="J237" s="613"/>
      <c r="K237" s="613"/>
      <c r="L237" s="613"/>
      <c r="M237" s="636"/>
      <c r="N237" s="636"/>
      <c r="O237" s="636"/>
    </row>
    <row r="238" spans="1:15" s="389" customFormat="1" ht="12" x14ac:dyDescent="0.25">
      <c r="A238" s="611"/>
      <c r="B238" s="611"/>
      <c r="C238" s="611"/>
      <c r="D238" s="611"/>
      <c r="E238" s="611"/>
      <c r="F238" s="611"/>
      <c r="G238" s="611"/>
      <c r="H238" s="612"/>
      <c r="I238" s="613"/>
      <c r="J238" s="613"/>
      <c r="K238" s="613"/>
      <c r="L238" s="613"/>
      <c r="M238" s="636"/>
      <c r="N238" s="636"/>
      <c r="O238" s="636"/>
    </row>
    <row r="239" spans="1:15" s="389" customFormat="1" ht="12" x14ac:dyDescent="0.25">
      <c r="A239" s="611"/>
      <c r="B239" s="611"/>
      <c r="C239" s="611"/>
      <c r="D239" s="611"/>
      <c r="E239" s="611"/>
      <c r="F239" s="611"/>
      <c r="G239" s="611"/>
      <c r="H239" s="612"/>
      <c r="I239" s="613"/>
      <c r="J239" s="613"/>
      <c r="K239" s="613"/>
      <c r="L239" s="613"/>
      <c r="M239" s="636"/>
      <c r="N239" s="636"/>
      <c r="O239" s="636"/>
    </row>
    <row r="240" spans="1:15" s="432" customFormat="1" x14ac:dyDescent="0.2">
      <c r="M240" s="631"/>
      <c r="N240" s="631"/>
      <c r="O240" s="631"/>
    </row>
    <row r="241" spans="3:15" s="432" customFormat="1" ht="24" x14ac:dyDescent="0.25">
      <c r="C241" s="428" t="s">
        <v>729</v>
      </c>
      <c r="D241" s="429" t="s">
        <v>824</v>
      </c>
      <c r="E241" s="427" t="s">
        <v>281</v>
      </c>
      <c r="F241" s="427"/>
      <c r="G241" s="389" t="s">
        <v>823</v>
      </c>
      <c r="M241" s="631"/>
      <c r="N241" s="631"/>
      <c r="O241" s="631"/>
    </row>
    <row r="242" spans="3:15" s="432" customFormat="1" ht="12" x14ac:dyDescent="0.25">
      <c r="C242" s="428"/>
      <c r="G242" s="389"/>
      <c r="M242" s="631"/>
      <c r="N242" s="631"/>
      <c r="O242" s="631"/>
    </row>
    <row r="243" spans="3:15" s="432" customFormat="1" ht="24" x14ac:dyDescent="0.25">
      <c r="C243" s="428" t="s">
        <v>730</v>
      </c>
      <c r="D243" s="429" t="s">
        <v>821</v>
      </c>
      <c r="E243" s="427" t="s">
        <v>281</v>
      </c>
      <c r="F243" s="427"/>
      <c r="G243" s="389" t="s">
        <v>822</v>
      </c>
      <c r="M243" s="631"/>
      <c r="N243" s="631"/>
      <c r="O243" s="631"/>
    </row>
    <row r="244" spans="3:15" s="432" customFormat="1" x14ac:dyDescent="0.2">
      <c r="M244" s="631"/>
      <c r="N244" s="631"/>
      <c r="O244" s="631"/>
    </row>
  </sheetData>
  <mergeCells count="76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A16:B16"/>
    <mergeCell ref="C16:I16"/>
    <mergeCell ref="C17:I17"/>
    <mergeCell ref="H18:J18"/>
    <mergeCell ref="K18:L18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C27:L27"/>
    <mergeCell ref="C28:L28"/>
    <mergeCell ref="F30:I30"/>
    <mergeCell ref="J30:K30"/>
    <mergeCell ref="F31:I31"/>
    <mergeCell ref="J31:K31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A40:L40"/>
    <mergeCell ref="F35:F36"/>
    <mergeCell ref="G35:G36"/>
    <mergeCell ref="H35:H37"/>
    <mergeCell ref="I35:I37"/>
    <mergeCell ref="J35:J36"/>
    <mergeCell ref="K35:L35"/>
    <mergeCell ref="K36:L36"/>
    <mergeCell ref="A223:G223"/>
    <mergeCell ref="A232:G232"/>
    <mergeCell ref="A233:G233"/>
    <mergeCell ref="A222:L222"/>
    <mergeCell ref="A224:G224"/>
    <mergeCell ref="A225:G225"/>
    <mergeCell ref="A226:G226"/>
    <mergeCell ref="A227:G227"/>
    <mergeCell ref="A228:G228"/>
    <mergeCell ref="A236:G236"/>
    <mergeCell ref="A234:G234"/>
    <mergeCell ref="A235:G235"/>
    <mergeCell ref="A229:G229"/>
    <mergeCell ref="A230:G230"/>
    <mergeCell ref="A231:G231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  <pageSetUpPr fitToPage="1"/>
  </sheetPr>
  <dimension ref="A1:AD416"/>
  <sheetViews>
    <sheetView view="pageBreakPreview" zoomScaleNormal="100" zoomScaleSheetLayoutView="100" workbookViewId="0">
      <pane ySplit="38" topLeftCell="A381" activePane="bottomLeft" state="frozen"/>
      <selection pane="bottomLeft" activeCell="M41" sqref="M41"/>
    </sheetView>
  </sheetViews>
  <sheetFormatPr defaultColWidth="9.109375" defaultRowHeight="10.199999999999999" outlineLevelRow="1" x14ac:dyDescent="0.2"/>
  <cols>
    <col min="1" max="1" width="6.33203125" style="435" customWidth="1"/>
    <col min="2" max="2" width="6.6640625" style="435" customWidth="1"/>
    <col min="3" max="3" width="15.6640625" style="435" customWidth="1"/>
    <col min="4" max="4" width="40.6640625" style="435" customWidth="1"/>
    <col min="5" max="12" width="12.6640625" style="435" customWidth="1"/>
    <col min="13" max="13" width="11.88671875" style="822" customWidth="1"/>
    <col min="14" max="14" width="27.109375" style="822" customWidth="1"/>
    <col min="15" max="15" width="21.109375" style="822" customWidth="1"/>
    <col min="16" max="16" width="19.5546875" style="832" customWidth="1"/>
    <col min="17" max="17" width="19.6640625" style="638" customWidth="1"/>
    <col min="18" max="19" width="9.109375" style="435"/>
    <col min="20" max="29" width="0" style="435" hidden="1" customWidth="1"/>
    <col min="30" max="30" width="118.6640625" style="435" hidden="1" customWidth="1"/>
    <col min="31" max="36" width="0" style="435" hidden="1" customWidth="1"/>
    <col min="37" max="16384" width="9.109375" style="435"/>
  </cols>
  <sheetData>
    <row r="1" spans="1:17" ht="11.25" hidden="1" customHeight="1" outlineLevel="1" x14ac:dyDescent="0.2">
      <c r="A1" s="1108"/>
      <c r="B1" s="1108"/>
      <c r="C1" s="1108"/>
      <c r="D1" s="1108"/>
      <c r="E1" s="396"/>
      <c r="F1" s="396"/>
      <c r="I1" s="1109" t="s">
        <v>680</v>
      </c>
      <c r="J1" s="1109"/>
      <c r="K1" s="1109"/>
      <c r="L1" s="1109"/>
    </row>
    <row r="2" spans="1:17" ht="11.25" hidden="1" customHeight="1" outlineLevel="1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7" ht="11.25" hidden="1" customHeight="1" outlineLevel="1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7" hidden="1" outlineLevel="1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7" hidden="1" outlineLevel="1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7" hidden="1" outlineLevel="1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7" hidden="1" outlineLevel="1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7" hidden="1" outlineLevel="1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434" t="s">
        <v>4</v>
      </c>
      <c r="K8" s="1101"/>
      <c r="L8" s="1102"/>
    </row>
    <row r="9" spans="1:17" hidden="1" outlineLevel="1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7" s="432" customFormat="1" hidden="1" outlineLevel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430" t="s">
        <v>4</v>
      </c>
      <c r="K10" s="1101"/>
      <c r="L10" s="1102"/>
      <c r="M10" s="631"/>
      <c r="N10" s="631"/>
      <c r="O10" s="631"/>
      <c r="P10" s="833"/>
      <c r="Q10" s="639"/>
    </row>
    <row r="11" spans="1:17" s="432" customFormat="1" hidden="1" outlineLevel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1"/>
      <c r="N11" s="631"/>
      <c r="O11" s="631"/>
      <c r="P11" s="833"/>
      <c r="Q11" s="639"/>
    </row>
    <row r="12" spans="1:17" s="432" customFormat="1" hidden="1" outlineLevel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430" t="s">
        <v>4</v>
      </c>
      <c r="K12" s="1064"/>
      <c r="L12" s="1065"/>
      <c r="M12" s="631"/>
      <c r="N12" s="631"/>
      <c r="O12" s="631"/>
      <c r="P12" s="833"/>
      <c r="Q12" s="639"/>
    </row>
    <row r="13" spans="1:17" s="432" customFormat="1" hidden="1" outlineLevel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1"/>
      <c r="N13" s="631"/>
      <c r="O13" s="631"/>
      <c r="P13" s="833"/>
      <c r="Q13" s="639"/>
    </row>
    <row r="14" spans="1:17" s="432" customFormat="1" hidden="1" outlineLevel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1"/>
      <c r="N14" s="631"/>
      <c r="O14" s="631"/>
      <c r="P14" s="833"/>
      <c r="Q14" s="639"/>
    </row>
    <row r="15" spans="1:17" hidden="1" outlineLevel="1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7" hidden="1" outlineLevel="1" x14ac:dyDescent="0.2">
      <c r="A16" s="1103" t="s">
        <v>686</v>
      </c>
      <c r="B16" s="1103"/>
      <c r="C16" s="1104" t="s">
        <v>1471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hidden="1" outlineLevel="1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hidden="1" customHeight="1" outlineLevel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hidden="1" customHeight="1" outlineLevel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hidden="1" outlineLevel="1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431" t="s">
        <v>10</v>
      </c>
      <c r="K20" s="1073">
        <v>45110</v>
      </c>
      <c r="L20" s="1074"/>
    </row>
    <row r="21" spans="1:12" hidden="1" outlineLevel="1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hidden="1" outlineLevel="1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hidden="1" customHeight="1" outlineLevel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hidden="1" outlineLevel="1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433" t="s">
        <v>16</v>
      </c>
      <c r="L24" s="359"/>
    </row>
    <row r="25" spans="1:12" hidden="1" outlineLevel="1" x14ac:dyDescent="0.2">
      <c r="A25" s="398"/>
      <c r="B25" s="398"/>
      <c r="C25" s="398"/>
      <c r="D25" s="398"/>
      <c r="E25" s="398"/>
      <c r="F25" s="398"/>
      <c r="G25" s="398"/>
      <c r="H25" s="431">
        <v>14</v>
      </c>
      <c r="I25" s="365">
        <v>45230</v>
      </c>
      <c r="J25" s="365">
        <v>45200</v>
      </c>
      <c r="K25" s="366">
        <v>45230</v>
      </c>
      <c r="L25" s="359"/>
    </row>
    <row r="26" spans="1:12" hidden="1" outlineLevel="1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hidden="1" outlineLevel="1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hidden="1" outlineLevel="1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hidden="1" outlineLevel="1" x14ac:dyDescent="0.2">
      <c r="A29" s="398"/>
      <c r="B29" s="398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1:12" hidden="1" outlineLevel="1" x14ac:dyDescent="0.2">
      <c r="A30" s="398"/>
      <c r="B30" s="398"/>
      <c r="C30" s="436"/>
      <c r="D30" s="436"/>
      <c r="E30" s="436"/>
      <c r="F30" s="1090" t="s">
        <v>692</v>
      </c>
      <c r="G30" s="1090"/>
      <c r="H30" s="1090"/>
      <c r="I30" s="1090"/>
      <c r="J30" s="1091">
        <v>5770.87</v>
      </c>
      <c r="K30" s="1092"/>
      <c r="L30" s="398" t="s">
        <v>693</v>
      </c>
    </row>
    <row r="31" spans="1:12" hidden="1" outlineLevel="1" x14ac:dyDescent="0.2">
      <c r="A31" s="398"/>
      <c r="B31" s="398"/>
      <c r="C31" s="436"/>
      <c r="D31" s="436"/>
      <c r="E31" s="436"/>
      <c r="F31" s="1090" t="s">
        <v>694</v>
      </c>
      <c r="G31" s="1090"/>
      <c r="H31" s="1090"/>
      <c r="I31" s="1090"/>
      <c r="J31" s="1091">
        <v>1247.46</v>
      </c>
      <c r="K31" s="1092"/>
      <c r="L31" s="398" t="s">
        <v>695</v>
      </c>
    </row>
    <row r="32" spans="1:12" hidden="1" outlineLevel="1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505.13</v>
      </c>
      <c r="K32" s="1092"/>
      <c r="L32" s="398" t="s">
        <v>693</v>
      </c>
    </row>
    <row r="33" spans="1:26" hidden="1" outlineLevel="1" x14ac:dyDescent="0.2"/>
    <row r="34" spans="1:26" collapsed="1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  <c r="M37" s="637" t="s">
        <v>1688</v>
      </c>
      <c r="N37" s="637" t="s">
        <v>1701</v>
      </c>
      <c r="O37" s="637" t="s">
        <v>1690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ht="10.199999999999999" customHeight="1" x14ac:dyDescent="0.2">
      <c r="A40" s="821" t="s">
        <v>1027</v>
      </c>
      <c r="B40" s="821"/>
      <c r="C40" s="821"/>
      <c r="D40" s="821"/>
      <c r="E40" s="821"/>
      <c r="F40" s="821"/>
      <c r="G40" s="821"/>
      <c r="H40" s="821"/>
      <c r="I40" s="821"/>
      <c r="J40" s="821"/>
      <c r="K40" s="821"/>
      <c r="L40" s="821"/>
    </row>
    <row r="41" spans="1:26" s="790" customFormat="1" ht="51" x14ac:dyDescent="0.2">
      <c r="A41" s="784">
        <v>1</v>
      </c>
      <c r="B41" s="784">
        <v>1</v>
      </c>
      <c r="C41" s="784" t="s">
        <v>904</v>
      </c>
      <c r="D41" s="784" t="s">
        <v>1233</v>
      </c>
      <c r="E41" s="785">
        <v>0.91420000000000001</v>
      </c>
      <c r="F41" s="786">
        <v>4462.2574999999997</v>
      </c>
      <c r="G41" s="786">
        <v>4356.4156249999996</v>
      </c>
      <c r="H41" s="787">
        <v>56916.800000000003</v>
      </c>
      <c r="I41" s="787">
        <v>4154.34</v>
      </c>
      <c r="J41" s="787">
        <v>52730.09</v>
      </c>
      <c r="K41" s="786">
        <v>13.013400000000001</v>
      </c>
      <c r="L41" s="786">
        <v>11.896850000000001</v>
      </c>
      <c r="M41" s="789">
        <f>1822.25/1000</f>
        <v>1.8222499999999999</v>
      </c>
      <c r="N41" s="789" t="s">
        <v>2299</v>
      </c>
      <c r="O41" s="789"/>
      <c r="P41" s="834"/>
      <c r="Q41" s="841">
        <f>M41-E41</f>
        <v>0.91</v>
      </c>
      <c r="T41" s="790">
        <v>92071.59</v>
      </c>
      <c r="V41" s="790">
        <v>4154.34</v>
      </c>
      <c r="W41" s="790">
        <v>52730.09</v>
      </c>
      <c r="X41" s="790">
        <v>22660.91</v>
      </c>
      <c r="Y41" s="790">
        <v>11.896850000000001</v>
      </c>
      <c r="Z41" s="790">
        <v>37.493056000000003</v>
      </c>
    </row>
    <row r="42" spans="1:26" x14ac:dyDescent="0.2">
      <c r="A42" s="407"/>
      <c r="B42" s="407"/>
      <c r="C42" s="407"/>
      <c r="D42" s="408" t="s">
        <v>763</v>
      </c>
      <c r="E42" s="409"/>
      <c r="F42" s="410">
        <v>101.501875</v>
      </c>
      <c r="G42" s="410">
        <v>553.66750000000002</v>
      </c>
      <c r="H42" s="409"/>
      <c r="I42" s="409"/>
      <c r="J42" s="411">
        <v>22660.91</v>
      </c>
      <c r="K42" s="410">
        <v>41.011875000000003</v>
      </c>
      <c r="L42" s="410">
        <v>37.493056000000003</v>
      </c>
      <c r="P42" s="834"/>
      <c r="Q42" s="841"/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  <c r="P43" s="834"/>
      <c r="Q43" s="841"/>
    </row>
    <row r="44" spans="1:26" ht="20.399999999999999" x14ac:dyDescent="0.2">
      <c r="A44" s="412"/>
      <c r="B44" s="412"/>
      <c r="C44" s="412"/>
      <c r="D44" s="395" t="s">
        <v>978</v>
      </c>
      <c r="E44" s="412"/>
      <c r="F44" s="412"/>
      <c r="G44" s="412"/>
      <c r="H44" s="412"/>
      <c r="I44" s="412"/>
      <c r="J44" s="412"/>
      <c r="K44" s="412"/>
      <c r="L44" s="412"/>
      <c r="P44" s="834"/>
      <c r="Q44" s="841"/>
    </row>
    <row r="45" spans="1:26" ht="132.6" x14ac:dyDescent="0.2">
      <c r="A45" s="412"/>
      <c r="B45" s="412"/>
      <c r="C45" s="412"/>
      <c r="D45" s="395" t="s">
        <v>979</v>
      </c>
      <c r="E45" s="412"/>
      <c r="F45" s="412"/>
      <c r="G45" s="412"/>
      <c r="H45" s="412"/>
      <c r="I45" s="412"/>
      <c r="J45" s="412"/>
      <c r="K45" s="412"/>
      <c r="L45" s="412"/>
      <c r="P45" s="834"/>
      <c r="Q45" s="841"/>
    </row>
    <row r="46" spans="1:26" x14ac:dyDescent="0.2">
      <c r="A46" s="412"/>
      <c r="B46" s="412"/>
      <c r="C46" s="412"/>
      <c r="D46" s="413" t="s">
        <v>206</v>
      </c>
      <c r="E46" s="414" t="s">
        <v>764</v>
      </c>
      <c r="F46" s="414"/>
      <c r="G46" s="414"/>
      <c r="H46" s="415">
        <v>24670.03</v>
      </c>
      <c r="I46" s="412"/>
      <c r="J46" s="412"/>
      <c r="K46" s="412"/>
      <c r="L46" s="412"/>
      <c r="P46" s="834"/>
      <c r="Q46" s="841"/>
    </row>
    <row r="47" spans="1:26" x14ac:dyDescent="0.2">
      <c r="A47" s="412"/>
      <c r="B47" s="412"/>
      <c r="C47" s="412"/>
      <c r="D47" s="413" t="s">
        <v>207</v>
      </c>
      <c r="E47" s="414" t="s">
        <v>972</v>
      </c>
      <c r="F47" s="414"/>
      <c r="G47" s="414"/>
      <c r="H47" s="415">
        <v>10484.76</v>
      </c>
      <c r="I47" s="412"/>
      <c r="J47" s="412"/>
      <c r="K47" s="412"/>
      <c r="L47" s="412"/>
      <c r="P47" s="834"/>
      <c r="Q47" s="841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92071.59</v>
      </c>
      <c r="I48" s="412"/>
      <c r="J48" s="412"/>
      <c r="K48" s="412"/>
      <c r="L48" s="412"/>
      <c r="P48" s="834"/>
      <c r="Q48" s="841"/>
    </row>
    <row r="49" spans="1:26" s="790" customFormat="1" ht="40.799999999999997" x14ac:dyDescent="0.2">
      <c r="A49" s="784">
        <v>2</v>
      </c>
      <c r="B49" s="784">
        <v>2</v>
      </c>
      <c r="C49" s="784" t="s">
        <v>1028</v>
      </c>
      <c r="D49" s="784" t="s">
        <v>1019</v>
      </c>
      <c r="E49" s="785">
        <v>0.39200000000000002</v>
      </c>
      <c r="F49" s="786">
        <v>1906.3044</v>
      </c>
      <c r="G49" s="786" t="s">
        <v>281</v>
      </c>
      <c r="H49" s="787">
        <v>33455.339999999997</v>
      </c>
      <c r="I49" s="787">
        <v>33455.339999999997</v>
      </c>
      <c r="J49" s="787" t="s">
        <v>281</v>
      </c>
      <c r="K49" s="786">
        <v>244.398</v>
      </c>
      <c r="L49" s="786">
        <v>95.804016000000004</v>
      </c>
      <c r="M49" s="789">
        <f>56.36/100</f>
        <v>0.56359999999999999</v>
      </c>
      <c r="N49" s="789" t="s">
        <v>2299</v>
      </c>
      <c r="O49" s="789"/>
      <c r="P49" s="834"/>
      <c r="Q49" s="841">
        <f>M49-E49</f>
        <v>0.17</v>
      </c>
      <c r="T49" s="790">
        <v>74605.41</v>
      </c>
      <c r="V49" s="790">
        <v>33455.339999999997</v>
      </c>
      <c r="W49" s="790" t="s">
        <v>281</v>
      </c>
      <c r="X49" s="790" t="s">
        <v>281</v>
      </c>
      <c r="Y49" s="790">
        <v>95.804016000000004</v>
      </c>
      <c r="Z49" s="790" t="s">
        <v>281</v>
      </c>
    </row>
    <row r="50" spans="1:26" x14ac:dyDescent="0.2">
      <c r="A50" s="407"/>
      <c r="B50" s="407"/>
      <c r="C50" s="407"/>
      <c r="D50" s="408" t="s">
        <v>901</v>
      </c>
      <c r="E50" s="409"/>
      <c r="F50" s="410">
        <v>1906.3044</v>
      </c>
      <c r="G50" s="410" t="s">
        <v>281</v>
      </c>
      <c r="H50" s="409"/>
      <c r="I50" s="409"/>
      <c r="J50" s="411" t="s">
        <v>281</v>
      </c>
      <c r="K50" s="410" t="s">
        <v>281</v>
      </c>
      <c r="L50" s="410" t="s">
        <v>281</v>
      </c>
      <c r="P50" s="834"/>
      <c r="Q50" s="841"/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  <c r="P51" s="834"/>
      <c r="Q51" s="841"/>
    </row>
    <row r="52" spans="1:26" ht="30.6" x14ac:dyDescent="0.2">
      <c r="A52" s="412"/>
      <c r="B52" s="412"/>
      <c r="C52" s="412"/>
      <c r="D52" s="395" t="s">
        <v>975</v>
      </c>
      <c r="E52" s="412"/>
      <c r="F52" s="412"/>
      <c r="G52" s="412"/>
      <c r="H52" s="412"/>
      <c r="I52" s="412"/>
      <c r="J52" s="412"/>
      <c r="K52" s="412"/>
      <c r="L52" s="412"/>
      <c r="P52" s="834"/>
      <c r="Q52" s="841"/>
    </row>
    <row r="53" spans="1:26" ht="163.19999999999999" x14ac:dyDescent="0.2">
      <c r="A53" s="412"/>
      <c r="B53" s="412"/>
      <c r="C53" s="412"/>
      <c r="D53" s="395" t="s">
        <v>976</v>
      </c>
      <c r="E53" s="412"/>
      <c r="F53" s="412"/>
      <c r="G53" s="412"/>
      <c r="H53" s="412"/>
      <c r="I53" s="412"/>
      <c r="J53" s="412"/>
      <c r="K53" s="412"/>
      <c r="L53" s="412"/>
      <c r="P53" s="834"/>
      <c r="Q53" s="841"/>
    </row>
    <row r="54" spans="1:26" x14ac:dyDescent="0.2">
      <c r="A54" s="412"/>
      <c r="B54" s="412"/>
      <c r="C54" s="412"/>
      <c r="D54" s="413" t="s">
        <v>206</v>
      </c>
      <c r="E54" s="414" t="s">
        <v>770</v>
      </c>
      <c r="F54" s="414"/>
      <c r="G54" s="414"/>
      <c r="H54" s="415">
        <v>29775.25</v>
      </c>
      <c r="I54" s="412"/>
      <c r="J54" s="412"/>
      <c r="K54" s="412"/>
      <c r="L54" s="412"/>
      <c r="P54" s="834"/>
      <c r="Q54" s="841"/>
    </row>
    <row r="55" spans="1:26" x14ac:dyDescent="0.2">
      <c r="A55" s="412"/>
      <c r="B55" s="412"/>
      <c r="C55" s="412"/>
      <c r="D55" s="413" t="s">
        <v>207</v>
      </c>
      <c r="E55" s="414" t="s">
        <v>977</v>
      </c>
      <c r="F55" s="414"/>
      <c r="G55" s="414"/>
      <c r="H55" s="415">
        <v>11374.82</v>
      </c>
      <c r="I55" s="412"/>
      <c r="J55" s="412"/>
      <c r="K55" s="412"/>
      <c r="L55" s="412"/>
      <c r="P55" s="834"/>
      <c r="Q55" s="841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74605.41</v>
      </c>
      <c r="I56" s="412"/>
      <c r="J56" s="412"/>
      <c r="K56" s="412"/>
      <c r="L56" s="412"/>
      <c r="P56" s="834"/>
      <c r="Q56" s="841"/>
    </row>
    <row r="57" spans="1:26" s="817" customFormat="1" ht="40.799999999999997" x14ac:dyDescent="0.2">
      <c r="A57" s="813">
        <v>3</v>
      </c>
      <c r="B57" s="813">
        <v>3</v>
      </c>
      <c r="C57" s="813" t="s">
        <v>1412</v>
      </c>
      <c r="D57" s="813" t="s">
        <v>1386</v>
      </c>
      <c r="E57" s="814">
        <v>15.568</v>
      </c>
      <c r="F57" s="815">
        <v>459.13092499999999</v>
      </c>
      <c r="G57" s="815">
        <v>88.736874999999998</v>
      </c>
      <c r="H57" s="816">
        <v>232510.41</v>
      </c>
      <c r="I57" s="816">
        <v>204426.83</v>
      </c>
      <c r="J57" s="816">
        <v>18290.53</v>
      </c>
      <c r="K57" s="815">
        <v>34.384999999999998</v>
      </c>
      <c r="L57" s="815">
        <v>535.30568000000005</v>
      </c>
      <c r="M57" s="819">
        <v>0</v>
      </c>
      <c r="N57" s="819" t="s">
        <v>2300</v>
      </c>
      <c r="O57" s="819"/>
      <c r="P57" s="834"/>
      <c r="Q57" s="841"/>
      <c r="T57" s="817">
        <v>496749.13</v>
      </c>
      <c r="V57" s="817">
        <v>204426.83</v>
      </c>
      <c r="W57" s="817">
        <v>18290.53</v>
      </c>
      <c r="X57" s="817">
        <v>8927</v>
      </c>
      <c r="Y57" s="817">
        <v>535.30568000000005</v>
      </c>
      <c r="Z57" s="817">
        <v>16.112880000000001</v>
      </c>
    </row>
    <row r="58" spans="1:26" x14ac:dyDescent="0.2">
      <c r="A58" s="407"/>
      <c r="B58" s="407"/>
      <c r="C58" s="407"/>
      <c r="D58" s="408" t="s">
        <v>831</v>
      </c>
      <c r="E58" s="409"/>
      <c r="F58" s="410">
        <v>293.30405000000002</v>
      </c>
      <c r="G58" s="410">
        <v>12.808125</v>
      </c>
      <c r="H58" s="409"/>
      <c r="I58" s="409"/>
      <c r="J58" s="411">
        <v>8927</v>
      </c>
      <c r="K58" s="410">
        <v>1.0349999999999999</v>
      </c>
      <c r="L58" s="410">
        <v>16.112880000000001</v>
      </c>
      <c r="P58" s="834"/>
      <c r="Q58" s="841"/>
    </row>
    <row r="59" spans="1:26" ht="20.399999999999999" x14ac:dyDescent="0.2">
      <c r="A59" s="412"/>
      <c r="B59" s="412"/>
      <c r="C59" s="412"/>
      <c r="D59" s="395" t="s">
        <v>714</v>
      </c>
      <c r="E59" s="412"/>
      <c r="F59" s="412"/>
      <c r="G59" s="412"/>
      <c r="H59" s="412"/>
      <c r="I59" s="412"/>
      <c r="J59" s="412"/>
      <c r="K59" s="412"/>
      <c r="L59" s="412"/>
      <c r="P59" s="834"/>
      <c r="Q59" s="841"/>
    </row>
    <row r="60" spans="1:26" ht="20.399999999999999" x14ac:dyDescent="0.2">
      <c r="A60" s="412"/>
      <c r="B60" s="412"/>
      <c r="C60" s="412"/>
      <c r="D60" s="395" t="s">
        <v>978</v>
      </c>
      <c r="E60" s="412"/>
      <c r="F60" s="412"/>
      <c r="G60" s="412"/>
      <c r="H60" s="412"/>
      <c r="I60" s="412"/>
      <c r="J60" s="412"/>
      <c r="K60" s="412"/>
      <c r="L60" s="412"/>
      <c r="P60" s="834"/>
      <c r="Q60" s="841"/>
    </row>
    <row r="61" spans="1:26" ht="132.6" x14ac:dyDescent="0.2">
      <c r="A61" s="412"/>
      <c r="B61" s="412"/>
      <c r="C61" s="412"/>
      <c r="D61" s="395" t="s">
        <v>979</v>
      </c>
      <c r="E61" s="412"/>
      <c r="F61" s="412"/>
      <c r="G61" s="412"/>
      <c r="H61" s="412"/>
      <c r="I61" s="412"/>
      <c r="J61" s="412"/>
      <c r="K61" s="412"/>
      <c r="L61" s="412"/>
      <c r="P61" s="834"/>
      <c r="Q61" s="841"/>
    </row>
    <row r="62" spans="1:26" x14ac:dyDescent="0.2">
      <c r="A62" s="412"/>
      <c r="B62" s="412"/>
      <c r="C62" s="412"/>
      <c r="D62" s="413" t="s">
        <v>206</v>
      </c>
      <c r="E62" s="414" t="s">
        <v>770</v>
      </c>
      <c r="F62" s="414"/>
      <c r="G62" s="414"/>
      <c r="H62" s="415">
        <v>189884.91</v>
      </c>
      <c r="I62" s="412"/>
      <c r="J62" s="412"/>
      <c r="K62" s="412"/>
      <c r="L62" s="412"/>
      <c r="P62" s="834"/>
      <c r="Q62" s="841"/>
    </row>
    <row r="63" spans="1:26" x14ac:dyDescent="0.2">
      <c r="A63" s="412"/>
      <c r="B63" s="412"/>
      <c r="C63" s="412"/>
      <c r="D63" s="413" t="s">
        <v>207</v>
      </c>
      <c r="E63" s="414" t="s">
        <v>1240</v>
      </c>
      <c r="F63" s="414"/>
      <c r="G63" s="414"/>
      <c r="H63" s="415">
        <v>74353.81</v>
      </c>
      <c r="I63" s="412"/>
      <c r="J63" s="412"/>
      <c r="K63" s="412"/>
      <c r="L63" s="412"/>
      <c r="P63" s="834"/>
      <c r="Q63" s="841"/>
    </row>
    <row r="64" spans="1:26" x14ac:dyDescent="0.2">
      <c r="A64" s="412"/>
      <c r="B64" s="412"/>
      <c r="C64" s="412"/>
      <c r="D64" s="416" t="s">
        <v>715</v>
      </c>
      <c r="E64" s="417"/>
      <c r="F64" s="417"/>
      <c r="G64" s="417"/>
      <c r="H64" s="418">
        <v>496749.13</v>
      </c>
      <c r="I64" s="412"/>
      <c r="J64" s="412"/>
      <c r="K64" s="412"/>
      <c r="L64" s="412"/>
      <c r="P64" s="834"/>
      <c r="Q64" s="841"/>
    </row>
    <row r="65" spans="1:26" s="790" customFormat="1" ht="51" x14ac:dyDescent="0.2">
      <c r="A65" s="784">
        <v>4</v>
      </c>
      <c r="B65" s="784">
        <v>4</v>
      </c>
      <c r="C65" s="784" t="s">
        <v>910</v>
      </c>
      <c r="D65" s="784" t="s">
        <v>1020</v>
      </c>
      <c r="E65" s="785">
        <v>0.39200000000000002</v>
      </c>
      <c r="F65" s="786">
        <v>531.24824999999998</v>
      </c>
      <c r="G65" s="786" t="s">
        <v>281</v>
      </c>
      <c r="H65" s="787">
        <v>9323.32</v>
      </c>
      <c r="I65" s="787">
        <v>9323.32</v>
      </c>
      <c r="J65" s="787" t="s">
        <v>281</v>
      </c>
      <c r="K65" s="786">
        <v>70.833100000000002</v>
      </c>
      <c r="L65" s="786">
        <v>27.766575</v>
      </c>
      <c r="M65" s="789">
        <f>M49</f>
        <v>0.56359999999999999</v>
      </c>
      <c r="N65" s="789" t="s">
        <v>2310</v>
      </c>
      <c r="O65" s="819"/>
      <c r="P65" s="834"/>
      <c r="Q65" s="841">
        <f>M65-E65</f>
        <v>0.17</v>
      </c>
      <c r="T65" s="790">
        <v>20791</v>
      </c>
      <c r="V65" s="790">
        <v>9323.32</v>
      </c>
      <c r="W65" s="790" t="s">
        <v>281</v>
      </c>
      <c r="X65" s="790" t="s">
        <v>281</v>
      </c>
      <c r="Y65" s="790">
        <v>27.766575</v>
      </c>
      <c r="Z65" s="790" t="s">
        <v>281</v>
      </c>
    </row>
    <row r="66" spans="1:26" x14ac:dyDescent="0.2">
      <c r="A66" s="407"/>
      <c r="B66" s="407"/>
      <c r="C66" s="407"/>
      <c r="D66" s="408" t="s">
        <v>901</v>
      </c>
      <c r="E66" s="409"/>
      <c r="F66" s="410">
        <v>531.24824999999998</v>
      </c>
      <c r="G66" s="410" t="s">
        <v>281</v>
      </c>
      <c r="H66" s="409"/>
      <c r="I66" s="409"/>
      <c r="J66" s="411" t="s">
        <v>281</v>
      </c>
      <c r="K66" s="410" t="s">
        <v>281</v>
      </c>
      <c r="L66" s="410" t="s">
        <v>281</v>
      </c>
      <c r="P66" s="834"/>
      <c r="Q66" s="841"/>
    </row>
    <row r="67" spans="1:26" ht="20.399999999999999" x14ac:dyDescent="0.2">
      <c r="A67" s="412"/>
      <c r="B67" s="412"/>
      <c r="C67" s="412"/>
      <c r="D67" s="395" t="s">
        <v>714</v>
      </c>
      <c r="E67" s="412"/>
      <c r="F67" s="412"/>
      <c r="G67" s="412"/>
      <c r="H67" s="412"/>
      <c r="I67" s="412"/>
      <c r="J67" s="412"/>
      <c r="K67" s="412"/>
      <c r="L67" s="412"/>
      <c r="P67" s="834"/>
      <c r="Q67" s="841"/>
    </row>
    <row r="68" spans="1:26" ht="20.399999999999999" x14ac:dyDescent="0.2">
      <c r="A68" s="412"/>
      <c r="B68" s="412"/>
      <c r="C68" s="412"/>
      <c r="D68" s="395" t="s">
        <v>978</v>
      </c>
      <c r="E68" s="412"/>
      <c r="F68" s="412"/>
      <c r="G68" s="412"/>
      <c r="H68" s="412"/>
      <c r="I68" s="412"/>
      <c r="J68" s="412"/>
      <c r="K68" s="412"/>
      <c r="L68" s="412"/>
      <c r="P68" s="834"/>
      <c r="Q68" s="841"/>
    </row>
    <row r="69" spans="1:26" ht="132.6" x14ac:dyDescent="0.2">
      <c r="A69" s="412"/>
      <c r="B69" s="412"/>
      <c r="C69" s="412"/>
      <c r="D69" s="395" t="s">
        <v>979</v>
      </c>
      <c r="E69" s="412"/>
      <c r="F69" s="412"/>
      <c r="G69" s="412"/>
      <c r="H69" s="412"/>
      <c r="I69" s="412"/>
      <c r="J69" s="412"/>
      <c r="K69" s="412"/>
      <c r="L69" s="412"/>
      <c r="P69" s="834"/>
      <c r="Q69" s="841"/>
    </row>
    <row r="70" spans="1:26" x14ac:dyDescent="0.2">
      <c r="A70" s="412"/>
      <c r="B70" s="412"/>
      <c r="C70" s="412"/>
      <c r="D70" s="413" t="s">
        <v>206</v>
      </c>
      <c r="E70" s="414" t="s">
        <v>770</v>
      </c>
      <c r="F70" s="414"/>
      <c r="G70" s="414"/>
      <c r="H70" s="415">
        <v>8297.75</v>
      </c>
      <c r="I70" s="412"/>
      <c r="J70" s="412"/>
      <c r="K70" s="412"/>
      <c r="L70" s="412"/>
      <c r="P70" s="834"/>
      <c r="Q70" s="841"/>
    </row>
    <row r="71" spans="1:26" x14ac:dyDescent="0.2">
      <c r="A71" s="412"/>
      <c r="B71" s="412"/>
      <c r="C71" s="412"/>
      <c r="D71" s="413" t="s">
        <v>207</v>
      </c>
      <c r="E71" s="414" t="s">
        <v>977</v>
      </c>
      <c r="F71" s="414"/>
      <c r="G71" s="414"/>
      <c r="H71" s="415">
        <v>3169.93</v>
      </c>
      <c r="I71" s="412"/>
      <c r="J71" s="412"/>
      <c r="K71" s="412"/>
      <c r="L71" s="412"/>
      <c r="P71" s="834"/>
      <c r="Q71" s="841"/>
    </row>
    <row r="72" spans="1:26" x14ac:dyDescent="0.2">
      <c r="A72" s="412"/>
      <c r="B72" s="412"/>
      <c r="C72" s="412"/>
      <c r="D72" s="416" t="s">
        <v>715</v>
      </c>
      <c r="E72" s="417"/>
      <c r="F72" s="417"/>
      <c r="G72" s="417"/>
      <c r="H72" s="418">
        <v>20791</v>
      </c>
      <c r="I72" s="412"/>
      <c r="J72" s="412"/>
      <c r="K72" s="412"/>
      <c r="L72" s="412"/>
      <c r="P72" s="834"/>
      <c r="Q72" s="841"/>
    </row>
    <row r="73" spans="1:26" s="817" customFormat="1" ht="30.6" x14ac:dyDescent="0.2">
      <c r="A73" s="813">
        <v>5</v>
      </c>
      <c r="B73" s="813">
        <v>5</v>
      </c>
      <c r="C73" s="813" t="s">
        <v>744</v>
      </c>
      <c r="D73" s="813" t="s">
        <v>1035</v>
      </c>
      <c r="E73" s="814">
        <v>953.65200000000004</v>
      </c>
      <c r="F73" s="815">
        <v>162.38</v>
      </c>
      <c r="G73" s="815" t="s">
        <v>281</v>
      </c>
      <c r="H73" s="816">
        <v>1263607.97</v>
      </c>
      <c r="I73" s="816" t="s">
        <v>281</v>
      </c>
      <c r="J73" s="816" t="s">
        <v>281</v>
      </c>
      <c r="K73" s="815" t="s">
        <v>281</v>
      </c>
      <c r="L73" s="815" t="s">
        <v>281</v>
      </c>
      <c r="M73" s="819">
        <f>(M41*1000+M49*100)</f>
        <v>1878.61</v>
      </c>
      <c r="N73" s="819" t="s">
        <v>2301</v>
      </c>
      <c r="O73" s="819" t="s">
        <v>2303</v>
      </c>
      <c r="P73" s="834"/>
      <c r="Q73" s="841">
        <f>M73-E73</f>
        <v>924.96</v>
      </c>
      <c r="T73" s="817">
        <v>1263607.97</v>
      </c>
      <c r="V73" s="817" t="s">
        <v>281</v>
      </c>
      <c r="W73" s="817" t="s">
        <v>281</v>
      </c>
      <c r="X73" s="817" t="s">
        <v>281</v>
      </c>
      <c r="Y73" s="817" t="s">
        <v>281</v>
      </c>
      <c r="Z73" s="817" t="s">
        <v>281</v>
      </c>
    </row>
    <row r="74" spans="1:26" x14ac:dyDescent="0.2">
      <c r="A74" s="407"/>
      <c r="B74" s="407"/>
      <c r="C74" s="407"/>
      <c r="D74" s="408" t="s">
        <v>745</v>
      </c>
      <c r="E74" s="409"/>
      <c r="F74" s="410" t="s">
        <v>281</v>
      </c>
      <c r="G74" s="410" t="s">
        <v>281</v>
      </c>
      <c r="H74" s="409"/>
      <c r="I74" s="409"/>
      <c r="J74" s="411" t="s">
        <v>281</v>
      </c>
      <c r="K74" s="410" t="s">
        <v>281</v>
      </c>
      <c r="L74" s="410" t="s">
        <v>281</v>
      </c>
      <c r="P74" s="834"/>
      <c r="Q74" s="841"/>
    </row>
    <row r="75" spans="1:26" x14ac:dyDescent="0.2">
      <c r="A75" s="412"/>
      <c r="B75" s="412"/>
      <c r="C75" s="412"/>
      <c r="D75" s="395" t="s">
        <v>718</v>
      </c>
      <c r="E75" s="412"/>
      <c r="F75" s="412"/>
      <c r="G75" s="412"/>
      <c r="H75" s="412"/>
      <c r="I75" s="412"/>
      <c r="J75" s="412"/>
      <c r="K75" s="412"/>
      <c r="L75" s="412"/>
      <c r="P75" s="834"/>
      <c r="Q75" s="841"/>
    </row>
    <row r="76" spans="1:26" s="790" customFormat="1" ht="51" x14ac:dyDescent="0.2">
      <c r="A76" s="784">
        <v>6</v>
      </c>
      <c r="B76" s="784">
        <v>6</v>
      </c>
      <c r="C76" s="784" t="s">
        <v>980</v>
      </c>
      <c r="D76" s="784" t="s">
        <v>967</v>
      </c>
      <c r="E76" s="785">
        <v>0.84021000000000001</v>
      </c>
      <c r="F76" s="786">
        <v>590.72625000000005</v>
      </c>
      <c r="G76" s="786">
        <v>590.72625000000005</v>
      </c>
      <c r="H76" s="787">
        <v>6571.47</v>
      </c>
      <c r="I76" s="787" t="s">
        <v>281</v>
      </c>
      <c r="J76" s="787">
        <v>6571.47</v>
      </c>
      <c r="K76" s="786" t="s">
        <v>281</v>
      </c>
      <c r="L76" s="786" t="s">
        <v>281</v>
      </c>
      <c r="M76" s="789">
        <f>1643/1000</f>
        <v>1.643</v>
      </c>
      <c r="N76" s="789" t="s">
        <v>2307</v>
      </c>
      <c r="O76" s="789">
        <v>1643</v>
      </c>
      <c r="P76" s="834"/>
      <c r="Q76" s="841">
        <f>M76-E76</f>
        <v>0.8</v>
      </c>
      <c r="T76" s="790">
        <v>12254.03</v>
      </c>
      <c r="V76" s="790" t="s">
        <v>281</v>
      </c>
      <c r="W76" s="790">
        <v>6571.47</v>
      </c>
      <c r="X76" s="790">
        <v>4334.5200000000004</v>
      </c>
      <c r="Y76" s="790" t="s">
        <v>281</v>
      </c>
      <c r="Z76" s="790">
        <v>8.3459109999999992</v>
      </c>
    </row>
    <row r="77" spans="1:26" x14ac:dyDescent="0.2">
      <c r="A77" s="407"/>
      <c r="B77" s="407"/>
      <c r="C77" s="407"/>
      <c r="D77" s="408" t="s">
        <v>763</v>
      </c>
      <c r="E77" s="409"/>
      <c r="F77" s="410" t="s">
        <v>281</v>
      </c>
      <c r="G77" s="410">
        <v>115.23</v>
      </c>
      <c r="H77" s="409"/>
      <c r="I77" s="409"/>
      <c r="J77" s="411">
        <v>4334.5200000000004</v>
      </c>
      <c r="K77" s="410">
        <v>9.9331250000000004</v>
      </c>
      <c r="L77" s="410">
        <v>8.3459109999999992</v>
      </c>
      <c r="P77" s="834"/>
      <c r="Q77" s="841"/>
    </row>
    <row r="78" spans="1:26" ht="20.399999999999999" x14ac:dyDescent="0.2">
      <c r="A78" s="412"/>
      <c r="B78" s="412"/>
      <c r="C78" s="412"/>
      <c r="D78" s="395" t="s">
        <v>714</v>
      </c>
      <c r="E78" s="412"/>
      <c r="F78" s="412"/>
      <c r="G78" s="412"/>
      <c r="H78" s="412"/>
      <c r="I78" s="412"/>
      <c r="J78" s="412"/>
      <c r="K78" s="412"/>
      <c r="L78" s="412"/>
      <c r="P78" s="834"/>
      <c r="Q78" s="841"/>
    </row>
    <row r="79" spans="1:26" ht="20.399999999999999" x14ac:dyDescent="0.2">
      <c r="A79" s="412"/>
      <c r="B79" s="412"/>
      <c r="C79" s="412"/>
      <c r="D79" s="395" t="s">
        <v>978</v>
      </c>
      <c r="E79" s="412"/>
      <c r="F79" s="412"/>
      <c r="G79" s="412"/>
      <c r="H79" s="412"/>
      <c r="I79" s="412"/>
      <c r="J79" s="412"/>
      <c r="K79" s="412"/>
      <c r="L79" s="412"/>
      <c r="P79" s="834"/>
      <c r="Q79" s="841"/>
    </row>
    <row r="80" spans="1:26" ht="132.6" x14ac:dyDescent="0.2">
      <c r="A80" s="412"/>
      <c r="B80" s="412"/>
      <c r="C80" s="412"/>
      <c r="D80" s="395" t="s">
        <v>979</v>
      </c>
      <c r="E80" s="412"/>
      <c r="F80" s="412"/>
      <c r="G80" s="412"/>
      <c r="H80" s="412"/>
      <c r="I80" s="412"/>
      <c r="J80" s="412"/>
      <c r="K80" s="412"/>
      <c r="L80" s="412"/>
      <c r="P80" s="834"/>
      <c r="Q80" s="841"/>
    </row>
    <row r="81" spans="1:26" x14ac:dyDescent="0.2">
      <c r="A81" s="412"/>
      <c r="B81" s="412"/>
      <c r="C81" s="412"/>
      <c r="D81" s="413" t="s">
        <v>206</v>
      </c>
      <c r="E81" s="414" t="s">
        <v>764</v>
      </c>
      <c r="F81" s="414"/>
      <c r="G81" s="414"/>
      <c r="H81" s="415">
        <v>3987.76</v>
      </c>
      <c r="I81" s="412"/>
      <c r="J81" s="412"/>
      <c r="K81" s="412"/>
      <c r="L81" s="412"/>
      <c r="P81" s="834"/>
      <c r="Q81" s="841"/>
    </row>
    <row r="82" spans="1:26" x14ac:dyDescent="0.2">
      <c r="A82" s="412"/>
      <c r="B82" s="412"/>
      <c r="C82" s="412"/>
      <c r="D82" s="413" t="s">
        <v>207</v>
      </c>
      <c r="E82" s="414" t="s">
        <v>972</v>
      </c>
      <c r="F82" s="414"/>
      <c r="G82" s="414"/>
      <c r="H82" s="415">
        <v>1694.8</v>
      </c>
      <c r="I82" s="412"/>
      <c r="J82" s="412"/>
      <c r="K82" s="412"/>
      <c r="L82" s="412"/>
      <c r="P82" s="834"/>
      <c r="Q82" s="841"/>
    </row>
    <row r="83" spans="1:26" x14ac:dyDescent="0.2">
      <c r="A83" s="412"/>
      <c r="B83" s="412"/>
      <c r="C83" s="412"/>
      <c r="D83" s="416" t="s">
        <v>715</v>
      </c>
      <c r="E83" s="417"/>
      <c r="F83" s="417"/>
      <c r="G83" s="417"/>
      <c r="H83" s="418">
        <v>12254.03</v>
      </c>
      <c r="I83" s="412"/>
      <c r="J83" s="412"/>
      <c r="K83" s="412"/>
      <c r="L83" s="412"/>
      <c r="P83" s="834"/>
      <c r="Q83" s="841"/>
    </row>
    <row r="84" spans="1:26" s="790" customFormat="1" ht="40.799999999999997" x14ac:dyDescent="0.2">
      <c r="A84" s="784">
        <v>7</v>
      </c>
      <c r="B84" s="784">
        <v>7</v>
      </c>
      <c r="C84" s="784" t="s">
        <v>1117</v>
      </c>
      <c r="D84" s="784" t="s">
        <v>1230</v>
      </c>
      <c r="E84" s="785">
        <v>0.74178999999999995</v>
      </c>
      <c r="F84" s="786">
        <v>877.80937500000005</v>
      </c>
      <c r="G84" s="786" t="s">
        <v>281</v>
      </c>
      <c r="H84" s="787">
        <v>29152</v>
      </c>
      <c r="I84" s="787">
        <v>29152</v>
      </c>
      <c r="J84" s="787" t="s">
        <v>281</v>
      </c>
      <c r="K84" s="786">
        <v>117.04125000000001</v>
      </c>
      <c r="L84" s="786">
        <v>86.820029000000005</v>
      </c>
      <c r="M84" s="789">
        <f>(51.72+38.78+101.22+16.6+23.93)/100</f>
        <v>2.3224999999999998</v>
      </c>
      <c r="N84" s="789" t="s">
        <v>2312</v>
      </c>
      <c r="O84" s="789" t="s">
        <v>2311</v>
      </c>
      <c r="P84" s="834"/>
      <c r="Q84" s="841">
        <f>M84-E84</f>
        <v>1.58</v>
      </c>
      <c r="T84" s="790">
        <v>65008.959999999999</v>
      </c>
      <c r="V84" s="790">
        <v>29152</v>
      </c>
      <c r="W84" s="790" t="s">
        <v>281</v>
      </c>
      <c r="X84" s="790" t="s">
        <v>281</v>
      </c>
      <c r="Y84" s="790">
        <v>86.820029000000005</v>
      </c>
      <c r="Z84" s="790" t="s">
        <v>281</v>
      </c>
    </row>
    <row r="85" spans="1:26" x14ac:dyDescent="0.2">
      <c r="A85" s="407"/>
      <c r="B85" s="407"/>
      <c r="C85" s="407"/>
      <c r="D85" s="408" t="s">
        <v>901</v>
      </c>
      <c r="E85" s="409"/>
      <c r="F85" s="410">
        <v>877.80937500000005</v>
      </c>
      <c r="G85" s="410" t="s">
        <v>281</v>
      </c>
      <c r="H85" s="409"/>
      <c r="I85" s="409"/>
      <c r="J85" s="411" t="s">
        <v>281</v>
      </c>
      <c r="K85" s="410" t="s">
        <v>281</v>
      </c>
      <c r="L85" s="410" t="s">
        <v>281</v>
      </c>
      <c r="P85" s="834"/>
      <c r="Q85" s="841"/>
    </row>
    <row r="86" spans="1:26" ht="20.399999999999999" x14ac:dyDescent="0.2">
      <c r="A86" s="412"/>
      <c r="B86" s="412"/>
      <c r="C86" s="412"/>
      <c r="D86" s="395" t="s">
        <v>714</v>
      </c>
      <c r="E86" s="412"/>
      <c r="F86" s="412"/>
      <c r="G86" s="412"/>
      <c r="H86" s="412"/>
      <c r="I86" s="412"/>
      <c r="J86" s="412"/>
      <c r="K86" s="412"/>
      <c r="L86" s="412"/>
      <c r="P86" s="834"/>
      <c r="Q86" s="841"/>
    </row>
    <row r="87" spans="1:26" ht="20.399999999999999" x14ac:dyDescent="0.2">
      <c r="A87" s="412"/>
      <c r="B87" s="412"/>
      <c r="C87" s="412"/>
      <c r="D87" s="395" t="s">
        <v>978</v>
      </c>
      <c r="E87" s="412"/>
      <c r="F87" s="412"/>
      <c r="G87" s="412"/>
      <c r="H87" s="412"/>
      <c r="I87" s="412"/>
      <c r="J87" s="412"/>
      <c r="K87" s="412"/>
      <c r="L87" s="412"/>
      <c r="P87" s="834"/>
      <c r="Q87" s="841"/>
    </row>
    <row r="88" spans="1:26" ht="132.6" x14ac:dyDescent="0.2">
      <c r="A88" s="412"/>
      <c r="B88" s="412"/>
      <c r="C88" s="412"/>
      <c r="D88" s="395" t="s">
        <v>979</v>
      </c>
      <c r="E88" s="412"/>
      <c r="F88" s="412"/>
      <c r="G88" s="412"/>
      <c r="H88" s="412"/>
      <c r="I88" s="412"/>
      <c r="J88" s="412"/>
      <c r="K88" s="412"/>
      <c r="L88" s="412"/>
      <c r="P88" s="834"/>
      <c r="Q88" s="841"/>
    </row>
    <row r="89" spans="1:26" x14ac:dyDescent="0.2">
      <c r="A89" s="412"/>
      <c r="B89" s="412"/>
      <c r="C89" s="412"/>
      <c r="D89" s="413" t="s">
        <v>206</v>
      </c>
      <c r="E89" s="414" t="s">
        <v>770</v>
      </c>
      <c r="F89" s="414"/>
      <c r="G89" s="414"/>
      <c r="H89" s="415">
        <v>25945.279999999999</v>
      </c>
      <c r="I89" s="412"/>
      <c r="J89" s="412"/>
      <c r="K89" s="412"/>
      <c r="L89" s="412"/>
      <c r="P89" s="834"/>
      <c r="Q89" s="841"/>
    </row>
    <row r="90" spans="1:26" x14ac:dyDescent="0.2">
      <c r="A90" s="412"/>
      <c r="B90" s="412"/>
      <c r="C90" s="412"/>
      <c r="D90" s="413" t="s">
        <v>207</v>
      </c>
      <c r="E90" s="414" t="s">
        <v>977</v>
      </c>
      <c r="F90" s="414"/>
      <c r="G90" s="414"/>
      <c r="H90" s="415">
        <v>9911.68</v>
      </c>
      <c r="I90" s="412"/>
      <c r="J90" s="412"/>
      <c r="K90" s="412"/>
      <c r="L90" s="412"/>
      <c r="P90" s="834"/>
      <c r="Q90" s="841"/>
    </row>
    <row r="91" spans="1:26" x14ac:dyDescent="0.2">
      <c r="A91" s="412"/>
      <c r="B91" s="412"/>
      <c r="C91" s="412"/>
      <c r="D91" s="416" t="s">
        <v>715</v>
      </c>
      <c r="E91" s="417"/>
      <c r="F91" s="417"/>
      <c r="G91" s="417"/>
      <c r="H91" s="418">
        <v>65008.959999999999</v>
      </c>
      <c r="I91" s="412"/>
      <c r="J91" s="412"/>
      <c r="K91" s="412"/>
      <c r="L91" s="412"/>
      <c r="P91" s="834"/>
      <c r="Q91" s="841"/>
    </row>
    <row r="92" spans="1:26" s="790" customFormat="1" ht="40.799999999999997" x14ac:dyDescent="0.2">
      <c r="A92" s="784">
        <v>8</v>
      </c>
      <c r="B92" s="784">
        <v>8</v>
      </c>
      <c r="C92" s="784" t="s">
        <v>1241</v>
      </c>
      <c r="D92" s="784" t="s">
        <v>1229</v>
      </c>
      <c r="E92" s="785">
        <v>3.92</v>
      </c>
      <c r="F92" s="786">
        <v>151.603925</v>
      </c>
      <c r="G92" s="786">
        <v>41.4</v>
      </c>
      <c r="H92" s="787">
        <v>21489.32</v>
      </c>
      <c r="I92" s="787">
        <v>19340.61</v>
      </c>
      <c r="J92" s="787">
        <v>2148.71</v>
      </c>
      <c r="K92" s="786">
        <v>13.4895</v>
      </c>
      <c r="L92" s="786">
        <v>52.878839999999997</v>
      </c>
      <c r="M92" s="789">
        <f>29.34/10</f>
        <v>2.9340000000000002</v>
      </c>
      <c r="N92" s="789" t="s">
        <v>2302</v>
      </c>
      <c r="O92" s="789"/>
      <c r="P92" s="834"/>
      <c r="Q92" s="841">
        <f>M92-E92</f>
        <v>-0.99</v>
      </c>
      <c r="T92" s="790">
        <v>57744.480000000003</v>
      </c>
      <c r="V92" s="790">
        <v>19340.61</v>
      </c>
      <c r="W92" s="790">
        <v>2148.71</v>
      </c>
      <c r="X92" s="790">
        <v>812.34</v>
      </c>
      <c r="Y92" s="790">
        <v>52.878839999999997</v>
      </c>
      <c r="Z92" s="790">
        <v>1.8031999999999999</v>
      </c>
    </row>
    <row r="93" spans="1:26" x14ac:dyDescent="0.2">
      <c r="A93" s="407"/>
      <c r="B93" s="407"/>
      <c r="C93" s="407"/>
      <c r="D93" s="408" t="s">
        <v>1239</v>
      </c>
      <c r="E93" s="409"/>
      <c r="F93" s="410">
        <v>110.203925</v>
      </c>
      <c r="G93" s="410">
        <v>4.6287500000000001</v>
      </c>
      <c r="H93" s="409"/>
      <c r="I93" s="409"/>
      <c r="J93" s="411">
        <v>812.34</v>
      </c>
      <c r="K93" s="410">
        <v>0.46</v>
      </c>
      <c r="L93" s="410">
        <v>1.8031999999999999</v>
      </c>
      <c r="P93" s="834"/>
      <c r="Q93" s="841"/>
    </row>
    <row r="94" spans="1:26" ht="20.399999999999999" x14ac:dyDescent="0.2">
      <c r="A94" s="412"/>
      <c r="B94" s="412"/>
      <c r="C94" s="412"/>
      <c r="D94" s="395" t="s">
        <v>714</v>
      </c>
      <c r="E94" s="412"/>
      <c r="F94" s="412"/>
      <c r="G94" s="412"/>
      <c r="H94" s="412"/>
      <c r="I94" s="412"/>
      <c r="J94" s="412"/>
      <c r="K94" s="412"/>
      <c r="L94" s="412"/>
      <c r="P94" s="834"/>
      <c r="Q94" s="841"/>
    </row>
    <row r="95" spans="1:26" ht="20.399999999999999" x14ac:dyDescent="0.2">
      <c r="A95" s="412"/>
      <c r="B95" s="412"/>
      <c r="C95" s="412"/>
      <c r="D95" s="395" t="s">
        <v>978</v>
      </c>
      <c r="E95" s="412"/>
      <c r="F95" s="412"/>
      <c r="G95" s="412"/>
      <c r="H95" s="412"/>
      <c r="I95" s="412"/>
      <c r="J95" s="412"/>
      <c r="K95" s="412"/>
      <c r="L95" s="412"/>
      <c r="P95" s="834"/>
      <c r="Q95" s="841"/>
    </row>
    <row r="96" spans="1:26" ht="132.6" x14ac:dyDescent="0.2">
      <c r="A96" s="412"/>
      <c r="B96" s="412"/>
      <c r="C96" s="412"/>
      <c r="D96" s="395" t="s">
        <v>979</v>
      </c>
      <c r="E96" s="412"/>
      <c r="F96" s="412"/>
      <c r="G96" s="412"/>
      <c r="H96" s="412"/>
      <c r="I96" s="412"/>
      <c r="J96" s="412"/>
      <c r="K96" s="412"/>
      <c r="L96" s="412"/>
      <c r="P96" s="834"/>
      <c r="Q96" s="841"/>
    </row>
    <row r="97" spans="1:26" x14ac:dyDescent="0.2">
      <c r="A97" s="412"/>
      <c r="B97" s="412"/>
      <c r="C97" s="412"/>
      <c r="D97" s="413" t="s">
        <v>206</v>
      </c>
      <c r="E97" s="414" t="s">
        <v>1242</v>
      </c>
      <c r="F97" s="414"/>
      <c r="G97" s="414"/>
      <c r="H97" s="415">
        <v>23578.95</v>
      </c>
      <c r="I97" s="412"/>
      <c r="J97" s="412"/>
      <c r="K97" s="412"/>
      <c r="L97" s="412"/>
      <c r="P97" s="834"/>
      <c r="Q97" s="841"/>
    </row>
    <row r="98" spans="1:26" x14ac:dyDescent="0.2">
      <c r="A98" s="412"/>
      <c r="B98" s="412"/>
      <c r="C98" s="412"/>
      <c r="D98" s="413" t="s">
        <v>207</v>
      </c>
      <c r="E98" s="414" t="s">
        <v>1243</v>
      </c>
      <c r="F98" s="414"/>
      <c r="G98" s="414"/>
      <c r="H98" s="415">
        <v>12676.21</v>
      </c>
      <c r="I98" s="412"/>
      <c r="J98" s="412"/>
      <c r="K98" s="412"/>
      <c r="L98" s="412"/>
      <c r="P98" s="834"/>
      <c r="Q98" s="841"/>
    </row>
    <row r="99" spans="1:26" x14ac:dyDescent="0.2">
      <c r="A99" s="412"/>
      <c r="B99" s="412"/>
      <c r="C99" s="412"/>
      <c r="D99" s="416" t="s">
        <v>715</v>
      </c>
      <c r="E99" s="417"/>
      <c r="F99" s="417"/>
      <c r="G99" s="417"/>
      <c r="H99" s="418">
        <v>57744.480000000003</v>
      </c>
      <c r="I99" s="412"/>
      <c r="J99" s="412"/>
      <c r="K99" s="412"/>
      <c r="L99" s="412"/>
      <c r="P99" s="834"/>
      <c r="Q99" s="841"/>
    </row>
    <row r="100" spans="1:26" s="790" customFormat="1" ht="30.6" x14ac:dyDescent="0.2">
      <c r="A100" s="784">
        <v>9</v>
      </c>
      <c r="B100" s="784">
        <v>9</v>
      </c>
      <c r="C100" s="784" t="s">
        <v>766</v>
      </c>
      <c r="D100" s="784" t="s">
        <v>1043</v>
      </c>
      <c r="E100" s="785">
        <v>1048.9478999999999</v>
      </c>
      <c r="F100" s="786">
        <v>101.17976</v>
      </c>
      <c r="G100" s="786" t="s">
        <v>281</v>
      </c>
      <c r="H100" s="787">
        <v>866042.85</v>
      </c>
      <c r="I100" s="787" t="s">
        <v>281</v>
      </c>
      <c r="J100" s="787" t="s">
        <v>281</v>
      </c>
      <c r="K100" s="786" t="s">
        <v>281</v>
      </c>
      <c r="L100" s="786" t="s">
        <v>281</v>
      </c>
      <c r="M100" s="789">
        <f>(M84+M92)*1.1</f>
        <v>5.7821499999999997</v>
      </c>
      <c r="N100" s="789" t="s">
        <v>2314</v>
      </c>
      <c r="O100" s="789"/>
      <c r="P100" s="834"/>
      <c r="Q100" s="841">
        <f>M100-E100</f>
        <v>-1043.17</v>
      </c>
      <c r="T100" s="790">
        <v>866042.85</v>
      </c>
      <c r="V100" s="790" t="s">
        <v>281</v>
      </c>
      <c r="W100" s="790" t="s">
        <v>281</v>
      </c>
      <c r="X100" s="790" t="s">
        <v>281</v>
      </c>
      <c r="Y100" s="790" t="s">
        <v>281</v>
      </c>
      <c r="Z100" s="790" t="s">
        <v>281</v>
      </c>
    </row>
    <row r="101" spans="1:26" x14ac:dyDescent="0.2">
      <c r="A101" s="407"/>
      <c r="B101" s="407"/>
      <c r="C101" s="407"/>
      <c r="D101" s="408" t="s">
        <v>745</v>
      </c>
      <c r="E101" s="409"/>
      <c r="F101" s="410" t="s">
        <v>281</v>
      </c>
      <c r="G101" s="410" t="s">
        <v>281</v>
      </c>
      <c r="H101" s="409"/>
      <c r="I101" s="409"/>
      <c r="J101" s="411" t="s">
        <v>281</v>
      </c>
      <c r="K101" s="410" t="s">
        <v>281</v>
      </c>
      <c r="L101" s="410" t="s">
        <v>281</v>
      </c>
      <c r="P101" s="834"/>
      <c r="Q101" s="841"/>
    </row>
    <row r="102" spans="1:26" x14ac:dyDescent="0.2">
      <c r="A102" s="412"/>
      <c r="B102" s="412"/>
      <c r="C102" s="412"/>
      <c r="D102" s="395" t="s">
        <v>718</v>
      </c>
      <c r="E102" s="412"/>
      <c r="F102" s="412"/>
      <c r="G102" s="412"/>
      <c r="H102" s="412"/>
      <c r="I102" s="412"/>
      <c r="J102" s="412"/>
      <c r="K102" s="412"/>
      <c r="L102" s="412"/>
      <c r="P102" s="834"/>
      <c r="Q102" s="841"/>
    </row>
    <row r="103" spans="1:26" x14ac:dyDescent="0.2">
      <c r="A103" s="412"/>
      <c r="B103" s="412"/>
      <c r="C103" s="412"/>
      <c r="D103" s="395" t="s">
        <v>1064</v>
      </c>
      <c r="E103" s="412"/>
      <c r="F103" s="412"/>
      <c r="G103" s="412"/>
      <c r="H103" s="412"/>
      <c r="I103" s="412"/>
      <c r="J103" s="412"/>
      <c r="K103" s="412"/>
      <c r="L103" s="412"/>
      <c r="P103" s="834"/>
      <c r="Q103" s="841"/>
    </row>
    <row r="104" spans="1:26" x14ac:dyDescent="0.2">
      <c r="A104" s="412"/>
      <c r="B104" s="412"/>
      <c r="C104" s="412"/>
      <c r="D104" s="395" t="s">
        <v>1065</v>
      </c>
      <c r="E104" s="412"/>
      <c r="F104" s="412"/>
      <c r="G104" s="412"/>
      <c r="H104" s="412"/>
      <c r="I104" s="412"/>
      <c r="J104" s="412"/>
      <c r="K104" s="412"/>
      <c r="L104" s="412"/>
      <c r="P104" s="834"/>
      <c r="Q104" s="841"/>
    </row>
    <row r="105" spans="1:26" x14ac:dyDescent="0.2">
      <c r="A105" s="412"/>
      <c r="B105" s="412"/>
      <c r="C105" s="412"/>
      <c r="D105" s="412"/>
      <c r="E105" s="412"/>
      <c r="F105" s="412"/>
      <c r="G105" s="412"/>
      <c r="H105" s="412"/>
      <c r="I105" s="412"/>
      <c r="J105" s="412"/>
      <c r="K105" s="412"/>
      <c r="L105" s="412"/>
      <c r="P105" s="834"/>
      <c r="Q105" s="841"/>
    </row>
    <row r="106" spans="1:26" ht="10.199999999999999" customHeight="1" x14ac:dyDescent="0.2">
      <c r="A106" s="821" t="s">
        <v>1021</v>
      </c>
      <c r="B106" s="821"/>
      <c r="C106" s="821"/>
      <c r="D106" s="821"/>
      <c r="E106" s="821"/>
      <c r="F106" s="821"/>
      <c r="G106" s="821"/>
      <c r="H106" s="821"/>
      <c r="I106" s="821"/>
      <c r="J106" s="821"/>
      <c r="K106" s="821"/>
      <c r="L106" s="821"/>
      <c r="P106" s="834"/>
      <c r="Q106" s="841"/>
    </row>
    <row r="107" spans="1:26" s="817" customFormat="1" ht="40.799999999999997" x14ac:dyDescent="0.2">
      <c r="A107" s="813">
        <v>10</v>
      </c>
      <c r="B107" s="813">
        <v>10</v>
      </c>
      <c r="C107" s="813" t="s">
        <v>1413</v>
      </c>
      <c r="D107" s="813" t="s">
        <v>1387</v>
      </c>
      <c r="E107" s="814">
        <v>2.1840000000000002</v>
      </c>
      <c r="F107" s="815">
        <v>2540.4488999999999</v>
      </c>
      <c r="G107" s="815">
        <v>2272.1837999999998</v>
      </c>
      <c r="H107" s="816">
        <v>91933.16</v>
      </c>
      <c r="I107" s="816">
        <v>26230.34</v>
      </c>
      <c r="J107" s="816">
        <v>65702.820000000007</v>
      </c>
      <c r="K107" s="815">
        <v>28.8765</v>
      </c>
      <c r="L107" s="815">
        <v>63.066276000000002</v>
      </c>
      <c r="M107" s="819">
        <v>0</v>
      </c>
      <c r="N107" s="819" t="s">
        <v>2300</v>
      </c>
      <c r="O107" s="819"/>
      <c r="P107" s="834"/>
      <c r="Q107" s="841"/>
      <c r="T107" s="817">
        <v>174530.74</v>
      </c>
      <c r="V107" s="817">
        <v>26230.34</v>
      </c>
      <c r="W107" s="817">
        <v>65702.820000000007</v>
      </c>
      <c r="X107" s="817">
        <v>19682.71</v>
      </c>
      <c r="Y107" s="817">
        <v>63.066276000000002</v>
      </c>
      <c r="Z107" s="817">
        <v>31.239280999999998</v>
      </c>
    </row>
    <row r="108" spans="1:26" x14ac:dyDescent="0.2">
      <c r="A108" s="407"/>
      <c r="B108" s="407"/>
      <c r="C108" s="407"/>
      <c r="D108" s="408" t="s">
        <v>747</v>
      </c>
      <c r="E108" s="409"/>
      <c r="F108" s="410">
        <v>268.26510000000002</v>
      </c>
      <c r="G108" s="410">
        <v>201.3006</v>
      </c>
      <c r="H108" s="409"/>
      <c r="I108" s="409"/>
      <c r="J108" s="411">
        <v>19682.71</v>
      </c>
      <c r="K108" s="410">
        <v>14.303699999999999</v>
      </c>
      <c r="L108" s="410">
        <v>31.239280999999998</v>
      </c>
      <c r="P108" s="834"/>
      <c r="Q108" s="841"/>
    </row>
    <row r="109" spans="1:26" ht="20.399999999999999" x14ac:dyDescent="0.2">
      <c r="A109" s="412"/>
      <c r="B109" s="412"/>
      <c r="C109" s="412"/>
      <c r="D109" s="395" t="s">
        <v>714</v>
      </c>
      <c r="E109" s="412"/>
      <c r="F109" s="412"/>
      <c r="G109" s="412"/>
      <c r="H109" s="412"/>
      <c r="I109" s="412"/>
      <c r="J109" s="412"/>
      <c r="K109" s="412"/>
      <c r="L109" s="412"/>
      <c r="P109" s="834"/>
      <c r="Q109" s="841"/>
    </row>
    <row r="110" spans="1:26" ht="30.6" x14ac:dyDescent="0.2">
      <c r="A110" s="412"/>
      <c r="B110" s="412"/>
      <c r="C110" s="412"/>
      <c r="D110" s="395" t="s">
        <v>1414</v>
      </c>
      <c r="E110" s="412"/>
      <c r="F110" s="412"/>
      <c r="G110" s="412"/>
      <c r="H110" s="412"/>
      <c r="I110" s="412"/>
      <c r="J110" s="412"/>
      <c r="K110" s="412"/>
      <c r="L110" s="412"/>
      <c r="P110" s="834"/>
      <c r="Q110" s="841"/>
    </row>
    <row r="111" spans="1:26" ht="102" x14ac:dyDescent="0.2">
      <c r="A111" s="412"/>
      <c r="B111" s="412"/>
      <c r="C111" s="412"/>
      <c r="D111" s="395" t="s">
        <v>1415</v>
      </c>
      <c r="E111" s="412"/>
      <c r="F111" s="412"/>
      <c r="G111" s="412"/>
      <c r="H111" s="412"/>
      <c r="I111" s="412"/>
      <c r="J111" s="412"/>
      <c r="K111" s="412"/>
      <c r="L111" s="412"/>
      <c r="P111" s="834"/>
      <c r="Q111" s="841"/>
    </row>
    <row r="112" spans="1:26" x14ac:dyDescent="0.2">
      <c r="A112" s="412"/>
      <c r="B112" s="412"/>
      <c r="C112" s="412"/>
      <c r="D112" s="413" t="s">
        <v>206</v>
      </c>
      <c r="E112" s="414" t="s">
        <v>1242</v>
      </c>
      <c r="F112" s="414"/>
      <c r="G112" s="414"/>
      <c r="H112" s="415">
        <v>53718.27</v>
      </c>
      <c r="I112" s="412"/>
      <c r="J112" s="412"/>
      <c r="K112" s="412"/>
      <c r="L112" s="412"/>
      <c r="P112" s="834"/>
      <c r="Q112" s="841"/>
    </row>
    <row r="113" spans="1:26" x14ac:dyDescent="0.2">
      <c r="A113" s="412"/>
      <c r="B113" s="412"/>
      <c r="C113" s="412"/>
      <c r="D113" s="413" t="s">
        <v>207</v>
      </c>
      <c r="E113" s="414" t="s">
        <v>1243</v>
      </c>
      <c r="F113" s="414"/>
      <c r="G113" s="414"/>
      <c r="H113" s="415">
        <v>28879.31</v>
      </c>
      <c r="I113" s="412"/>
      <c r="J113" s="412"/>
      <c r="K113" s="412"/>
      <c r="L113" s="412"/>
      <c r="P113" s="834"/>
      <c r="Q113" s="841"/>
    </row>
    <row r="114" spans="1:26" x14ac:dyDescent="0.2">
      <c r="A114" s="412"/>
      <c r="B114" s="412"/>
      <c r="C114" s="412"/>
      <c r="D114" s="416" t="s">
        <v>715</v>
      </c>
      <c r="E114" s="417"/>
      <c r="F114" s="417"/>
      <c r="G114" s="417"/>
      <c r="H114" s="418">
        <v>174530.74</v>
      </c>
      <c r="I114" s="412"/>
      <c r="J114" s="412"/>
      <c r="K114" s="412"/>
      <c r="L114" s="412"/>
      <c r="P114" s="834"/>
      <c r="Q114" s="841"/>
    </row>
    <row r="115" spans="1:26" s="817" customFormat="1" ht="40.799999999999997" x14ac:dyDescent="0.2">
      <c r="A115" s="813">
        <v>11</v>
      </c>
      <c r="B115" s="813">
        <v>11</v>
      </c>
      <c r="C115" s="813" t="s">
        <v>1416</v>
      </c>
      <c r="D115" s="813" t="s">
        <v>1388</v>
      </c>
      <c r="E115" s="814">
        <v>2.1840000000000002</v>
      </c>
      <c r="F115" s="815">
        <v>417.43619999999999</v>
      </c>
      <c r="G115" s="815">
        <v>304.71089999999998</v>
      </c>
      <c r="H115" s="816">
        <v>19833.07</v>
      </c>
      <c r="I115" s="816">
        <v>11022.01</v>
      </c>
      <c r="J115" s="816">
        <v>8811.06</v>
      </c>
      <c r="K115" s="815">
        <v>11.9922</v>
      </c>
      <c r="L115" s="815">
        <v>26.190964999999998</v>
      </c>
      <c r="M115" s="819">
        <v>0</v>
      </c>
      <c r="N115" s="819" t="s">
        <v>2300</v>
      </c>
      <c r="O115" s="819"/>
      <c r="P115" s="834"/>
      <c r="Q115" s="841"/>
      <c r="T115" s="817">
        <v>44839.4</v>
      </c>
      <c r="V115" s="817">
        <v>11022.01</v>
      </c>
      <c r="W115" s="817">
        <v>8811.06</v>
      </c>
      <c r="X115" s="817">
        <v>2878.12</v>
      </c>
      <c r="Y115" s="817">
        <v>26.190964999999998</v>
      </c>
      <c r="Z115" s="817">
        <v>5.0332460000000001</v>
      </c>
    </row>
    <row r="116" spans="1:26" x14ac:dyDescent="0.2">
      <c r="A116" s="407"/>
      <c r="B116" s="407"/>
      <c r="C116" s="407"/>
      <c r="D116" s="408" t="s">
        <v>747</v>
      </c>
      <c r="E116" s="409"/>
      <c r="F116" s="410">
        <v>112.7253</v>
      </c>
      <c r="G116" s="410">
        <v>29.435400000000001</v>
      </c>
      <c r="H116" s="409"/>
      <c r="I116" s="409"/>
      <c r="J116" s="411">
        <v>2878.12</v>
      </c>
      <c r="K116" s="410">
        <v>2.3046000000000002</v>
      </c>
      <c r="L116" s="410">
        <v>5.0332460000000001</v>
      </c>
      <c r="P116" s="834"/>
      <c r="Q116" s="841"/>
    </row>
    <row r="117" spans="1:26" ht="20.399999999999999" x14ac:dyDescent="0.2">
      <c r="A117" s="412"/>
      <c r="B117" s="412"/>
      <c r="C117" s="412"/>
      <c r="D117" s="395" t="s">
        <v>714</v>
      </c>
      <c r="E117" s="412"/>
      <c r="F117" s="412"/>
      <c r="G117" s="412"/>
      <c r="H117" s="412"/>
      <c r="I117" s="412"/>
      <c r="J117" s="412"/>
      <c r="K117" s="412"/>
      <c r="L117" s="412"/>
      <c r="P117" s="834"/>
      <c r="Q117" s="841"/>
    </row>
    <row r="118" spans="1:26" ht="30.6" x14ac:dyDescent="0.2">
      <c r="A118" s="412"/>
      <c r="B118" s="412"/>
      <c r="C118" s="412"/>
      <c r="D118" s="395" t="s">
        <v>1414</v>
      </c>
      <c r="E118" s="412"/>
      <c r="F118" s="412"/>
      <c r="G118" s="412"/>
      <c r="H118" s="412"/>
      <c r="I118" s="412"/>
      <c r="J118" s="412"/>
      <c r="K118" s="412"/>
      <c r="L118" s="412"/>
      <c r="P118" s="834"/>
      <c r="Q118" s="841"/>
    </row>
    <row r="119" spans="1:26" ht="102" x14ac:dyDescent="0.2">
      <c r="A119" s="412"/>
      <c r="B119" s="412"/>
      <c r="C119" s="412"/>
      <c r="D119" s="395" t="s">
        <v>1415</v>
      </c>
      <c r="E119" s="412"/>
      <c r="F119" s="412"/>
      <c r="G119" s="412"/>
      <c r="H119" s="412"/>
      <c r="I119" s="412"/>
      <c r="J119" s="412"/>
      <c r="K119" s="412"/>
      <c r="L119" s="412"/>
      <c r="P119" s="834"/>
      <c r="Q119" s="841"/>
    </row>
    <row r="120" spans="1:26" x14ac:dyDescent="0.2">
      <c r="A120" s="412"/>
      <c r="B120" s="412"/>
      <c r="C120" s="412"/>
      <c r="D120" s="413" t="s">
        <v>206</v>
      </c>
      <c r="E120" s="414" t="s">
        <v>1242</v>
      </c>
      <c r="F120" s="414"/>
      <c r="G120" s="414"/>
      <c r="H120" s="415">
        <v>16263.15</v>
      </c>
      <c r="I120" s="412"/>
      <c r="J120" s="412"/>
      <c r="K120" s="412"/>
      <c r="L120" s="412"/>
      <c r="P120" s="834"/>
      <c r="Q120" s="841"/>
    </row>
    <row r="121" spans="1:26" x14ac:dyDescent="0.2">
      <c r="A121" s="412"/>
      <c r="B121" s="412"/>
      <c r="C121" s="412"/>
      <c r="D121" s="413" t="s">
        <v>207</v>
      </c>
      <c r="E121" s="414" t="s">
        <v>1243</v>
      </c>
      <c r="F121" s="414"/>
      <c r="G121" s="414"/>
      <c r="H121" s="415">
        <v>8743.18</v>
      </c>
      <c r="I121" s="412"/>
      <c r="J121" s="412"/>
      <c r="K121" s="412"/>
      <c r="L121" s="412"/>
      <c r="P121" s="834"/>
      <c r="Q121" s="841"/>
    </row>
    <row r="122" spans="1:26" x14ac:dyDescent="0.2">
      <c r="A122" s="412"/>
      <c r="B122" s="412"/>
      <c r="C122" s="412"/>
      <c r="D122" s="416" t="s">
        <v>715</v>
      </c>
      <c r="E122" s="417"/>
      <c r="F122" s="417"/>
      <c r="G122" s="417"/>
      <c r="H122" s="418">
        <v>44839.4</v>
      </c>
      <c r="I122" s="412"/>
      <c r="J122" s="412"/>
      <c r="K122" s="412"/>
      <c r="L122" s="412"/>
      <c r="P122" s="834"/>
      <c r="Q122" s="841"/>
    </row>
    <row r="123" spans="1:26" s="817" customFormat="1" ht="20.399999999999999" x14ac:dyDescent="0.2">
      <c r="A123" s="813">
        <v>12</v>
      </c>
      <c r="B123" s="813">
        <v>12</v>
      </c>
      <c r="C123" s="813" t="s">
        <v>868</v>
      </c>
      <c r="D123" s="813" t="s">
        <v>1417</v>
      </c>
      <c r="E123" s="814">
        <v>4.1020000000000003</v>
      </c>
      <c r="F123" s="815">
        <v>22.33</v>
      </c>
      <c r="G123" s="815" t="s">
        <v>281</v>
      </c>
      <c r="H123" s="816">
        <v>1212.76</v>
      </c>
      <c r="I123" s="816" t="s">
        <v>281</v>
      </c>
      <c r="J123" s="816" t="s">
        <v>281</v>
      </c>
      <c r="K123" s="815" t="s">
        <v>281</v>
      </c>
      <c r="L123" s="815" t="s">
        <v>281</v>
      </c>
      <c r="M123" s="819">
        <v>0</v>
      </c>
      <c r="N123" s="819" t="s">
        <v>2300</v>
      </c>
      <c r="O123" s="819"/>
      <c r="P123" s="834"/>
      <c r="Q123" s="841"/>
      <c r="T123" s="817">
        <v>1212.76</v>
      </c>
      <c r="V123" s="817" t="s">
        <v>281</v>
      </c>
      <c r="W123" s="817" t="s">
        <v>281</v>
      </c>
      <c r="X123" s="817" t="s">
        <v>281</v>
      </c>
      <c r="Y123" s="817" t="s">
        <v>281</v>
      </c>
      <c r="Z123" s="817" t="s">
        <v>281</v>
      </c>
    </row>
    <row r="124" spans="1:26" x14ac:dyDescent="0.2">
      <c r="A124" s="407"/>
      <c r="B124" s="407"/>
      <c r="C124" s="407"/>
      <c r="D124" s="408" t="s">
        <v>743</v>
      </c>
      <c r="E124" s="409"/>
      <c r="F124" s="410" t="s">
        <v>281</v>
      </c>
      <c r="G124" s="410" t="s">
        <v>281</v>
      </c>
      <c r="H124" s="409"/>
      <c r="I124" s="409"/>
      <c r="J124" s="411" t="s">
        <v>281</v>
      </c>
      <c r="K124" s="410" t="s">
        <v>281</v>
      </c>
      <c r="L124" s="410" t="s">
        <v>281</v>
      </c>
      <c r="P124" s="834"/>
      <c r="Q124" s="841"/>
    </row>
    <row r="125" spans="1:26" x14ac:dyDescent="0.2">
      <c r="A125" s="412"/>
      <c r="B125" s="412"/>
      <c r="C125" s="412"/>
      <c r="D125" s="395" t="s">
        <v>716</v>
      </c>
      <c r="E125" s="412"/>
      <c r="F125" s="412"/>
      <c r="G125" s="412"/>
      <c r="H125" s="412"/>
      <c r="I125" s="412"/>
      <c r="J125" s="412"/>
      <c r="K125" s="412"/>
      <c r="L125" s="412"/>
      <c r="P125" s="834"/>
      <c r="Q125" s="841"/>
    </row>
    <row r="126" spans="1:26" x14ac:dyDescent="0.2">
      <c r="A126" s="412"/>
      <c r="B126" s="412"/>
      <c r="C126" s="412"/>
      <c r="D126" s="416" t="s">
        <v>715</v>
      </c>
      <c r="E126" s="417"/>
      <c r="F126" s="417"/>
      <c r="G126" s="417"/>
      <c r="H126" s="418">
        <v>1212.76</v>
      </c>
      <c r="I126" s="412"/>
      <c r="J126" s="412"/>
      <c r="K126" s="412"/>
      <c r="L126" s="412"/>
      <c r="P126" s="834"/>
      <c r="Q126" s="841"/>
    </row>
    <row r="127" spans="1:26" s="817" customFormat="1" ht="30.6" x14ac:dyDescent="0.2">
      <c r="A127" s="813">
        <v>13</v>
      </c>
      <c r="B127" s="813">
        <v>13</v>
      </c>
      <c r="C127" s="813" t="s">
        <v>851</v>
      </c>
      <c r="D127" s="813" t="s">
        <v>852</v>
      </c>
      <c r="E127" s="814">
        <v>4.1020000000000003</v>
      </c>
      <c r="F127" s="815">
        <v>8.7899999999999991</v>
      </c>
      <c r="G127" s="815" t="s">
        <v>281</v>
      </c>
      <c r="H127" s="816">
        <v>294.24</v>
      </c>
      <c r="I127" s="816" t="s">
        <v>281</v>
      </c>
      <c r="J127" s="816" t="s">
        <v>281</v>
      </c>
      <c r="K127" s="815" t="s">
        <v>281</v>
      </c>
      <c r="L127" s="815" t="s">
        <v>281</v>
      </c>
      <c r="M127" s="819">
        <v>0</v>
      </c>
      <c r="N127" s="819" t="s">
        <v>2300</v>
      </c>
      <c r="O127" s="819"/>
      <c r="P127" s="834"/>
      <c r="Q127" s="841"/>
      <c r="T127" s="817">
        <v>294.24</v>
      </c>
      <c r="V127" s="817" t="s">
        <v>281</v>
      </c>
      <c r="W127" s="817" t="s">
        <v>281</v>
      </c>
      <c r="X127" s="817" t="s">
        <v>281</v>
      </c>
      <c r="Y127" s="817" t="s">
        <v>281</v>
      </c>
      <c r="Z127" s="817" t="s">
        <v>281</v>
      </c>
    </row>
    <row r="128" spans="1:26" x14ac:dyDescent="0.2">
      <c r="A128" s="407"/>
      <c r="B128" s="407"/>
      <c r="C128" s="407"/>
      <c r="D128" s="408" t="s">
        <v>743</v>
      </c>
      <c r="E128" s="409"/>
      <c r="F128" s="410" t="s">
        <v>281</v>
      </c>
      <c r="G128" s="410" t="s">
        <v>281</v>
      </c>
      <c r="H128" s="409"/>
      <c r="I128" s="409"/>
      <c r="J128" s="411" t="s">
        <v>281</v>
      </c>
      <c r="K128" s="410" t="s">
        <v>281</v>
      </c>
      <c r="L128" s="410" t="s">
        <v>281</v>
      </c>
      <c r="P128" s="834"/>
      <c r="Q128" s="841"/>
    </row>
    <row r="129" spans="1:26" ht="20.399999999999999" x14ac:dyDescent="0.2">
      <c r="A129" s="412"/>
      <c r="B129" s="412"/>
      <c r="C129" s="412"/>
      <c r="D129" s="395" t="s">
        <v>714</v>
      </c>
      <c r="E129" s="412"/>
      <c r="F129" s="412"/>
      <c r="G129" s="412"/>
      <c r="H129" s="412"/>
      <c r="I129" s="412"/>
      <c r="J129" s="412"/>
      <c r="K129" s="412"/>
      <c r="L129" s="412"/>
      <c r="P129" s="834"/>
      <c r="Q129" s="841"/>
    </row>
    <row r="130" spans="1:26" x14ac:dyDescent="0.2">
      <c r="A130" s="412"/>
      <c r="B130" s="412"/>
      <c r="C130" s="412"/>
      <c r="D130" s="416" t="s">
        <v>715</v>
      </c>
      <c r="E130" s="417"/>
      <c r="F130" s="417"/>
      <c r="G130" s="417"/>
      <c r="H130" s="418">
        <v>294.24</v>
      </c>
      <c r="I130" s="412"/>
      <c r="J130" s="412"/>
      <c r="K130" s="412"/>
      <c r="L130" s="412"/>
      <c r="P130" s="834"/>
      <c r="Q130" s="841"/>
    </row>
    <row r="131" spans="1:26" s="817" customFormat="1" ht="20.399999999999999" x14ac:dyDescent="0.2">
      <c r="A131" s="813">
        <v>14</v>
      </c>
      <c r="B131" s="813">
        <v>14</v>
      </c>
      <c r="C131" s="813" t="s">
        <v>872</v>
      </c>
      <c r="D131" s="813" t="s">
        <v>873</v>
      </c>
      <c r="E131" s="814">
        <v>4.1020000000000003</v>
      </c>
      <c r="F131" s="815">
        <v>22.33</v>
      </c>
      <c r="G131" s="815" t="s">
        <v>281</v>
      </c>
      <c r="H131" s="816">
        <v>1212.76</v>
      </c>
      <c r="I131" s="816" t="s">
        <v>281</v>
      </c>
      <c r="J131" s="816" t="s">
        <v>281</v>
      </c>
      <c r="K131" s="815" t="s">
        <v>281</v>
      </c>
      <c r="L131" s="815" t="s">
        <v>281</v>
      </c>
      <c r="M131" s="819">
        <v>0</v>
      </c>
      <c r="N131" s="819" t="s">
        <v>2300</v>
      </c>
      <c r="O131" s="819"/>
      <c r="P131" s="834"/>
      <c r="Q131" s="841"/>
      <c r="T131" s="817">
        <v>1212.76</v>
      </c>
      <c r="V131" s="817" t="s">
        <v>281</v>
      </c>
      <c r="W131" s="817" t="s">
        <v>281</v>
      </c>
      <c r="X131" s="817" t="s">
        <v>281</v>
      </c>
      <c r="Y131" s="817" t="s">
        <v>281</v>
      </c>
      <c r="Z131" s="817" t="s">
        <v>281</v>
      </c>
    </row>
    <row r="132" spans="1:26" x14ac:dyDescent="0.2">
      <c r="A132" s="407"/>
      <c r="B132" s="407"/>
      <c r="C132" s="407"/>
      <c r="D132" s="408" t="s">
        <v>743</v>
      </c>
      <c r="E132" s="409"/>
      <c r="F132" s="410" t="s">
        <v>281</v>
      </c>
      <c r="G132" s="410" t="s">
        <v>281</v>
      </c>
      <c r="H132" s="409"/>
      <c r="I132" s="409"/>
      <c r="J132" s="411" t="s">
        <v>281</v>
      </c>
      <c r="K132" s="410" t="s">
        <v>281</v>
      </c>
      <c r="L132" s="410" t="s">
        <v>281</v>
      </c>
      <c r="P132" s="834"/>
      <c r="Q132" s="841"/>
    </row>
    <row r="133" spans="1:26" x14ac:dyDescent="0.2">
      <c r="A133" s="412"/>
      <c r="B133" s="412"/>
      <c r="C133" s="412"/>
      <c r="D133" s="395" t="s">
        <v>716</v>
      </c>
      <c r="E133" s="412"/>
      <c r="F133" s="412"/>
      <c r="G133" s="412"/>
      <c r="H133" s="412"/>
      <c r="I133" s="412"/>
      <c r="J133" s="412"/>
      <c r="K133" s="412"/>
      <c r="L133" s="412"/>
      <c r="P133" s="834"/>
      <c r="Q133" s="841"/>
    </row>
    <row r="134" spans="1:26" x14ac:dyDescent="0.2">
      <c r="A134" s="419"/>
      <c r="B134" s="419"/>
      <c r="C134" s="419"/>
      <c r="D134" s="420" t="s">
        <v>715</v>
      </c>
      <c r="E134" s="421"/>
      <c r="F134" s="421"/>
      <c r="G134" s="421"/>
      <c r="H134" s="422">
        <v>1212.76</v>
      </c>
      <c r="I134" s="419"/>
      <c r="J134" s="419"/>
      <c r="K134" s="419"/>
      <c r="L134" s="419"/>
      <c r="P134" s="834"/>
      <c r="Q134" s="841"/>
    </row>
    <row r="135" spans="1:26" x14ac:dyDescent="0.2">
      <c r="P135" s="834"/>
      <c r="Q135" s="841"/>
    </row>
    <row r="136" spans="1:26" ht="10.199999999999999" customHeight="1" x14ac:dyDescent="0.2">
      <c r="A136" s="821" t="s">
        <v>1418</v>
      </c>
      <c r="B136" s="821"/>
      <c r="C136" s="821"/>
      <c r="D136" s="821"/>
      <c r="E136" s="821"/>
      <c r="F136" s="821"/>
      <c r="G136" s="821"/>
      <c r="H136" s="821"/>
      <c r="I136" s="821"/>
      <c r="J136" s="821"/>
      <c r="K136" s="821"/>
      <c r="L136" s="821"/>
      <c r="P136" s="834"/>
      <c r="Q136" s="841"/>
    </row>
    <row r="137" spans="1:26" s="817" customFormat="1" ht="40.799999999999997" x14ac:dyDescent="0.2">
      <c r="A137" s="813">
        <v>15</v>
      </c>
      <c r="B137" s="813">
        <v>15</v>
      </c>
      <c r="C137" s="813" t="s">
        <v>1247</v>
      </c>
      <c r="D137" s="813" t="s">
        <v>1227</v>
      </c>
      <c r="E137" s="814">
        <v>2.1000000000000001E-2</v>
      </c>
      <c r="F137" s="815">
        <v>2281.150075</v>
      </c>
      <c r="G137" s="815">
        <v>1730.505625</v>
      </c>
      <c r="H137" s="816">
        <v>930.17</v>
      </c>
      <c r="I137" s="816">
        <v>433.71</v>
      </c>
      <c r="J137" s="816">
        <v>481.15</v>
      </c>
      <c r="K137" s="815">
        <v>47.953850000000003</v>
      </c>
      <c r="L137" s="815">
        <v>1.007031</v>
      </c>
      <c r="M137" s="819">
        <v>0</v>
      </c>
      <c r="N137" s="819" t="s">
        <v>2300</v>
      </c>
      <c r="O137" s="819"/>
      <c r="P137" s="834"/>
      <c r="Q137" s="841"/>
      <c r="T137" s="817">
        <v>1955.43</v>
      </c>
      <c r="V137" s="817">
        <v>433.71</v>
      </c>
      <c r="W137" s="817">
        <v>481.15</v>
      </c>
      <c r="X137" s="817">
        <v>136.19999999999999</v>
      </c>
      <c r="Y137" s="817">
        <v>1.007031</v>
      </c>
      <c r="Z137" s="817">
        <v>0.211313</v>
      </c>
    </row>
    <row r="138" spans="1:26" x14ac:dyDescent="0.2">
      <c r="A138" s="407"/>
      <c r="B138" s="407"/>
      <c r="C138" s="407"/>
      <c r="D138" s="408" t="s">
        <v>747</v>
      </c>
      <c r="E138" s="409"/>
      <c r="F138" s="410">
        <v>461.31445000000002</v>
      </c>
      <c r="G138" s="410">
        <v>144.87125</v>
      </c>
      <c r="H138" s="409"/>
      <c r="I138" s="409"/>
      <c r="J138" s="411">
        <v>136.19999999999999</v>
      </c>
      <c r="K138" s="410">
        <v>10.0625</v>
      </c>
      <c r="L138" s="410">
        <v>0.211313</v>
      </c>
      <c r="P138" s="834"/>
      <c r="Q138" s="841"/>
    </row>
    <row r="139" spans="1:26" ht="20.399999999999999" x14ac:dyDescent="0.2">
      <c r="A139" s="412"/>
      <c r="B139" s="412"/>
      <c r="C139" s="412"/>
      <c r="D139" s="395" t="s">
        <v>714</v>
      </c>
      <c r="E139" s="412"/>
      <c r="F139" s="412"/>
      <c r="G139" s="412"/>
      <c r="H139" s="412"/>
      <c r="I139" s="412"/>
      <c r="J139" s="412"/>
      <c r="K139" s="412"/>
      <c r="L139" s="412"/>
      <c r="P139" s="834"/>
      <c r="Q139" s="841"/>
    </row>
    <row r="140" spans="1:26" ht="20.399999999999999" x14ac:dyDescent="0.2">
      <c r="A140" s="412"/>
      <c r="B140" s="412"/>
      <c r="C140" s="412"/>
      <c r="D140" s="395" t="s">
        <v>978</v>
      </c>
      <c r="E140" s="412"/>
      <c r="F140" s="412"/>
      <c r="G140" s="412"/>
      <c r="H140" s="412"/>
      <c r="I140" s="412"/>
      <c r="J140" s="412"/>
      <c r="K140" s="412"/>
      <c r="L140" s="412"/>
      <c r="P140" s="834"/>
      <c r="Q140" s="841"/>
    </row>
    <row r="141" spans="1:26" ht="132.6" x14ac:dyDescent="0.2">
      <c r="A141" s="412"/>
      <c r="B141" s="412"/>
      <c r="C141" s="412"/>
      <c r="D141" s="395" t="s">
        <v>979</v>
      </c>
      <c r="E141" s="412"/>
      <c r="F141" s="412"/>
      <c r="G141" s="412"/>
      <c r="H141" s="412"/>
      <c r="I141" s="412"/>
      <c r="J141" s="412"/>
      <c r="K141" s="412"/>
      <c r="L141" s="412"/>
      <c r="P141" s="834"/>
      <c r="Q141" s="841"/>
    </row>
    <row r="142" spans="1:26" x14ac:dyDescent="0.2">
      <c r="A142" s="412"/>
      <c r="B142" s="412"/>
      <c r="C142" s="412"/>
      <c r="D142" s="413" t="s">
        <v>206</v>
      </c>
      <c r="E142" s="414" t="s">
        <v>1242</v>
      </c>
      <c r="F142" s="414"/>
      <c r="G142" s="414"/>
      <c r="H142" s="415">
        <v>666.79</v>
      </c>
      <c r="I142" s="412"/>
      <c r="J142" s="412"/>
      <c r="K142" s="412"/>
      <c r="L142" s="412"/>
      <c r="P142" s="834"/>
      <c r="Q142" s="841"/>
    </row>
    <row r="143" spans="1:26" x14ac:dyDescent="0.2">
      <c r="A143" s="412"/>
      <c r="B143" s="412"/>
      <c r="C143" s="412"/>
      <c r="D143" s="413" t="s">
        <v>207</v>
      </c>
      <c r="E143" s="414" t="s">
        <v>1243</v>
      </c>
      <c r="F143" s="414"/>
      <c r="G143" s="414"/>
      <c r="H143" s="415">
        <v>358.47</v>
      </c>
      <c r="I143" s="412"/>
      <c r="J143" s="412"/>
      <c r="K143" s="412"/>
      <c r="L143" s="412"/>
      <c r="P143" s="834"/>
      <c r="Q143" s="841"/>
    </row>
    <row r="144" spans="1:26" x14ac:dyDescent="0.2">
      <c r="A144" s="412"/>
      <c r="B144" s="412"/>
      <c r="C144" s="412"/>
      <c r="D144" s="416" t="s">
        <v>715</v>
      </c>
      <c r="E144" s="417"/>
      <c r="F144" s="417"/>
      <c r="G144" s="417"/>
      <c r="H144" s="418">
        <v>1955.43</v>
      </c>
      <c r="I144" s="412"/>
      <c r="J144" s="412"/>
      <c r="K144" s="412"/>
      <c r="L144" s="412"/>
      <c r="P144" s="834"/>
      <c r="Q144" s="841"/>
    </row>
    <row r="145" spans="1:26" s="817" customFormat="1" ht="40.799999999999997" x14ac:dyDescent="0.2">
      <c r="A145" s="813">
        <v>16</v>
      </c>
      <c r="B145" s="813">
        <v>16</v>
      </c>
      <c r="C145" s="813" t="s">
        <v>1419</v>
      </c>
      <c r="D145" s="813" t="s">
        <v>1609</v>
      </c>
      <c r="E145" s="814">
        <v>2.121</v>
      </c>
      <c r="F145" s="815">
        <v>209.76</v>
      </c>
      <c r="G145" s="815" t="s">
        <v>281</v>
      </c>
      <c r="H145" s="816">
        <v>3630.39</v>
      </c>
      <c r="I145" s="816" t="s">
        <v>281</v>
      </c>
      <c r="J145" s="816" t="s">
        <v>281</v>
      </c>
      <c r="K145" s="815" t="s">
        <v>281</v>
      </c>
      <c r="L145" s="815" t="s">
        <v>281</v>
      </c>
      <c r="M145" s="819">
        <v>0</v>
      </c>
      <c r="N145" s="819" t="s">
        <v>2300</v>
      </c>
      <c r="O145" s="819"/>
      <c r="P145" s="834"/>
      <c r="Q145" s="841"/>
      <c r="T145" s="817">
        <v>3630.39</v>
      </c>
      <c r="V145" s="817" t="s">
        <v>281</v>
      </c>
      <c r="W145" s="817" t="s">
        <v>281</v>
      </c>
      <c r="X145" s="817" t="s">
        <v>281</v>
      </c>
      <c r="Y145" s="817" t="s">
        <v>281</v>
      </c>
      <c r="Z145" s="817" t="s">
        <v>281</v>
      </c>
    </row>
    <row r="146" spans="1:26" x14ac:dyDescent="0.2">
      <c r="A146" s="407"/>
      <c r="B146" s="407"/>
      <c r="C146" s="407"/>
      <c r="D146" s="408" t="s">
        <v>883</v>
      </c>
      <c r="E146" s="409"/>
      <c r="F146" s="410" t="s">
        <v>281</v>
      </c>
      <c r="G146" s="410" t="s">
        <v>281</v>
      </c>
      <c r="H146" s="409"/>
      <c r="I146" s="409"/>
      <c r="J146" s="411" t="s">
        <v>281</v>
      </c>
      <c r="K146" s="410" t="s">
        <v>281</v>
      </c>
      <c r="L146" s="410" t="s">
        <v>281</v>
      </c>
      <c r="P146" s="834"/>
      <c r="Q146" s="841"/>
    </row>
    <row r="147" spans="1:26" x14ac:dyDescent="0.2">
      <c r="A147" s="412"/>
      <c r="B147" s="412"/>
      <c r="C147" s="412"/>
      <c r="D147" s="395" t="s">
        <v>718</v>
      </c>
      <c r="E147" s="412"/>
      <c r="F147" s="412"/>
      <c r="G147" s="412"/>
      <c r="H147" s="412"/>
      <c r="I147" s="412"/>
      <c r="J147" s="412"/>
      <c r="K147" s="412"/>
      <c r="L147" s="412"/>
      <c r="P147" s="834"/>
      <c r="Q147" s="841"/>
    </row>
    <row r="148" spans="1:26" s="790" customFormat="1" ht="51" x14ac:dyDescent="0.2">
      <c r="A148" s="784">
        <v>17</v>
      </c>
      <c r="B148" s="784">
        <v>17</v>
      </c>
      <c r="C148" s="784" t="s">
        <v>1420</v>
      </c>
      <c r="D148" s="784" t="s">
        <v>1389</v>
      </c>
      <c r="E148" s="785">
        <v>2.0999999999999999E-3</v>
      </c>
      <c r="F148" s="786">
        <v>74913.929025000005</v>
      </c>
      <c r="G148" s="786">
        <v>37057.298125000001</v>
      </c>
      <c r="H148" s="787">
        <v>1727.53</v>
      </c>
      <c r="I148" s="787">
        <v>59.29</v>
      </c>
      <c r="J148" s="787">
        <v>1030.3399999999999</v>
      </c>
      <c r="K148" s="786">
        <v>62.686500000000002</v>
      </c>
      <c r="L148" s="786">
        <v>0.13164200000000001</v>
      </c>
      <c r="M148" s="789">
        <f>(8+12)/1000</f>
        <v>0.02</v>
      </c>
      <c r="N148" s="789" t="s">
        <v>2320</v>
      </c>
      <c r="O148" s="789" t="s">
        <v>2319</v>
      </c>
      <c r="P148" s="834"/>
      <c r="Q148" s="841">
        <f>M148-E148</f>
        <v>0.02</v>
      </c>
      <c r="T148" s="790">
        <v>2302.17</v>
      </c>
      <c r="V148" s="790">
        <v>59.29</v>
      </c>
      <c r="W148" s="790">
        <v>1030.3399999999999</v>
      </c>
      <c r="X148" s="790">
        <v>260.13</v>
      </c>
      <c r="Y148" s="790">
        <v>0.13164200000000001</v>
      </c>
      <c r="Z148" s="790">
        <v>0.412935</v>
      </c>
    </row>
    <row r="149" spans="1:26" x14ac:dyDescent="0.2">
      <c r="A149" s="407"/>
      <c r="B149" s="407"/>
      <c r="C149" s="407"/>
      <c r="D149" s="408" t="s">
        <v>1245</v>
      </c>
      <c r="E149" s="409"/>
      <c r="F149" s="410">
        <v>630.62090000000001</v>
      </c>
      <c r="G149" s="410">
        <v>2766.8856249999999</v>
      </c>
      <c r="H149" s="409"/>
      <c r="I149" s="409"/>
      <c r="J149" s="411">
        <v>260.13</v>
      </c>
      <c r="K149" s="410">
        <v>196.635625</v>
      </c>
      <c r="L149" s="410">
        <v>0.412935</v>
      </c>
      <c r="P149" s="834"/>
      <c r="Q149" s="841"/>
    </row>
    <row r="150" spans="1:26" ht="20.399999999999999" x14ac:dyDescent="0.2">
      <c r="A150" s="412"/>
      <c r="B150" s="412"/>
      <c r="C150" s="412"/>
      <c r="D150" s="395" t="s">
        <v>714</v>
      </c>
      <c r="E150" s="412"/>
      <c r="F150" s="412"/>
      <c r="G150" s="412"/>
      <c r="H150" s="412"/>
      <c r="I150" s="412"/>
      <c r="J150" s="412"/>
      <c r="K150" s="412"/>
      <c r="L150" s="412"/>
      <c r="P150" s="834"/>
      <c r="Q150" s="841"/>
    </row>
    <row r="151" spans="1:26" ht="20.399999999999999" x14ac:dyDescent="0.2">
      <c r="A151" s="412"/>
      <c r="B151" s="412"/>
      <c r="C151" s="412"/>
      <c r="D151" s="395" t="s">
        <v>978</v>
      </c>
      <c r="E151" s="412"/>
      <c r="F151" s="412"/>
      <c r="G151" s="412"/>
      <c r="H151" s="412"/>
      <c r="I151" s="412"/>
      <c r="J151" s="412"/>
      <c r="K151" s="412"/>
      <c r="L151" s="412"/>
      <c r="P151" s="834"/>
      <c r="Q151" s="841"/>
    </row>
    <row r="152" spans="1:26" ht="132.6" x14ac:dyDescent="0.2">
      <c r="A152" s="412"/>
      <c r="B152" s="412"/>
      <c r="C152" s="412"/>
      <c r="D152" s="395" t="s">
        <v>979</v>
      </c>
      <c r="E152" s="412"/>
      <c r="F152" s="412"/>
      <c r="G152" s="412"/>
      <c r="H152" s="412"/>
      <c r="I152" s="412"/>
      <c r="J152" s="412"/>
      <c r="K152" s="412"/>
      <c r="L152" s="412"/>
      <c r="P152" s="834"/>
      <c r="Q152" s="841"/>
    </row>
    <row r="153" spans="1:26" x14ac:dyDescent="0.2">
      <c r="A153" s="412"/>
      <c r="B153" s="412"/>
      <c r="C153" s="412"/>
      <c r="D153" s="413" t="s">
        <v>206</v>
      </c>
      <c r="E153" s="414" t="s">
        <v>1242</v>
      </c>
      <c r="F153" s="414"/>
      <c r="G153" s="414"/>
      <c r="H153" s="415">
        <v>373.72</v>
      </c>
      <c r="I153" s="412"/>
      <c r="J153" s="412"/>
      <c r="K153" s="412"/>
      <c r="L153" s="412"/>
      <c r="P153" s="834"/>
      <c r="Q153" s="841"/>
    </row>
    <row r="154" spans="1:26" x14ac:dyDescent="0.2">
      <c r="A154" s="412"/>
      <c r="B154" s="412"/>
      <c r="C154" s="412"/>
      <c r="D154" s="413" t="s">
        <v>207</v>
      </c>
      <c r="E154" s="414" t="s">
        <v>1243</v>
      </c>
      <c r="F154" s="414"/>
      <c r="G154" s="414"/>
      <c r="H154" s="415">
        <v>200.92</v>
      </c>
      <c r="I154" s="412"/>
      <c r="J154" s="412"/>
      <c r="K154" s="412"/>
      <c r="L154" s="412"/>
      <c r="P154" s="834"/>
      <c r="Q154" s="841"/>
    </row>
    <row r="155" spans="1:26" x14ac:dyDescent="0.2">
      <c r="A155" s="412"/>
      <c r="B155" s="412"/>
      <c r="C155" s="412"/>
      <c r="D155" s="416" t="s">
        <v>715</v>
      </c>
      <c r="E155" s="417"/>
      <c r="F155" s="417"/>
      <c r="G155" s="417"/>
      <c r="H155" s="418">
        <v>2302.17</v>
      </c>
      <c r="I155" s="412"/>
      <c r="J155" s="412"/>
      <c r="K155" s="412"/>
      <c r="L155" s="412"/>
      <c r="P155" s="834"/>
      <c r="Q155" s="841"/>
    </row>
    <row r="156" spans="1:26" s="790" customFormat="1" ht="30.6" x14ac:dyDescent="0.2">
      <c r="A156" s="784">
        <v>18</v>
      </c>
      <c r="B156" s="784">
        <v>18</v>
      </c>
      <c r="C156" s="784" t="s">
        <v>1421</v>
      </c>
      <c r="D156" s="784" t="s">
        <v>1608</v>
      </c>
      <c r="E156" s="785">
        <v>2.31</v>
      </c>
      <c r="F156" s="786">
        <v>20.57</v>
      </c>
      <c r="G156" s="786" t="s">
        <v>281</v>
      </c>
      <c r="H156" s="787">
        <v>387.73</v>
      </c>
      <c r="I156" s="787" t="s">
        <v>281</v>
      </c>
      <c r="J156" s="787" t="s">
        <v>281</v>
      </c>
      <c r="K156" s="786" t="s">
        <v>281</v>
      </c>
      <c r="L156" s="786" t="s">
        <v>281</v>
      </c>
      <c r="M156" s="789">
        <f>8+12</f>
        <v>20</v>
      </c>
      <c r="N156" s="789" t="s">
        <v>2320</v>
      </c>
      <c r="O156" s="789" t="s">
        <v>2319</v>
      </c>
      <c r="P156" s="834"/>
      <c r="Q156" s="841">
        <f>M156-E156</f>
        <v>17.690000000000001</v>
      </c>
      <c r="T156" s="790">
        <v>387.73</v>
      </c>
      <c r="V156" s="790" t="s">
        <v>281</v>
      </c>
      <c r="W156" s="790" t="s">
        <v>281</v>
      </c>
      <c r="X156" s="790" t="s">
        <v>281</v>
      </c>
      <c r="Y156" s="790" t="s">
        <v>281</v>
      </c>
      <c r="Z156" s="790" t="s">
        <v>281</v>
      </c>
    </row>
    <row r="157" spans="1:26" x14ac:dyDescent="0.2">
      <c r="A157" s="407"/>
      <c r="B157" s="407"/>
      <c r="C157" s="407"/>
      <c r="D157" s="408" t="s">
        <v>898</v>
      </c>
      <c r="E157" s="409"/>
      <c r="F157" s="410" t="s">
        <v>281</v>
      </c>
      <c r="G157" s="410" t="s">
        <v>281</v>
      </c>
      <c r="H157" s="409"/>
      <c r="I157" s="409"/>
      <c r="J157" s="411" t="s">
        <v>281</v>
      </c>
      <c r="K157" s="410" t="s">
        <v>281</v>
      </c>
      <c r="L157" s="410" t="s">
        <v>281</v>
      </c>
      <c r="P157" s="834"/>
      <c r="Q157" s="841"/>
    </row>
    <row r="158" spans="1:26" x14ac:dyDescent="0.2">
      <c r="A158" s="412"/>
      <c r="B158" s="412"/>
      <c r="C158" s="412"/>
      <c r="D158" s="395" t="s">
        <v>718</v>
      </c>
      <c r="E158" s="412"/>
      <c r="F158" s="412"/>
      <c r="G158" s="412"/>
      <c r="H158" s="412"/>
      <c r="I158" s="412"/>
      <c r="J158" s="412"/>
      <c r="K158" s="412"/>
      <c r="L158" s="412"/>
      <c r="P158" s="834"/>
      <c r="Q158" s="841"/>
    </row>
    <row r="159" spans="1:26" s="790" customFormat="1" ht="51" x14ac:dyDescent="0.2">
      <c r="A159" s="784">
        <v>19</v>
      </c>
      <c r="B159" s="784">
        <v>19</v>
      </c>
      <c r="C159" s="784" t="s">
        <v>1422</v>
      </c>
      <c r="D159" s="784" t="s">
        <v>1390</v>
      </c>
      <c r="E159" s="785">
        <v>0.57540000000000002</v>
      </c>
      <c r="F159" s="786">
        <v>221.70677499999999</v>
      </c>
      <c r="G159" s="786">
        <v>184.02875</v>
      </c>
      <c r="H159" s="787">
        <v>2372.6</v>
      </c>
      <c r="I159" s="787">
        <v>970.61</v>
      </c>
      <c r="J159" s="787">
        <v>1401.99</v>
      </c>
      <c r="K159" s="786">
        <v>4.4171500000000004</v>
      </c>
      <c r="L159" s="786">
        <v>2.5416280000000002</v>
      </c>
      <c r="M159" s="789">
        <f>(24.48+35.28)/100</f>
        <v>0.59760000000000002</v>
      </c>
      <c r="N159" s="789" t="s">
        <v>2304</v>
      </c>
      <c r="O159" s="789" t="s">
        <v>2305</v>
      </c>
      <c r="P159" s="834"/>
      <c r="Q159" s="841">
        <f>M159-E159</f>
        <v>0.02</v>
      </c>
      <c r="T159" s="790">
        <v>4886.1899999999996</v>
      </c>
      <c r="V159" s="790">
        <v>970.61</v>
      </c>
      <c r="W159" s="790">
        <v>1401.99</v>
      </c>
      <c r="X159" s="790">
        <v>426.6</v>
      </c>
      <c r="Y159" s="790">
        <v>2.5416280000000002</v>
      </c>
      <c r="Z159" s="790">
        <v>0.66171000000000002</v>
      </c>
    </row>
    <row r="160" spans="1:26" x14ac:dyDescent="0.2">
      <c r="A160" s="407"/>
      <c r="B160" s="407"/>
      <c r="C160" s="407"/>
      <c r="D160" s="408" t="s">
        <v>747</v>
      </c>
      <c r="E160" s="409"/>
      <c r="F160" s="410">
        <v>37.678024999999998</v>
      </c>
      <c r="G160" s="410">
        <v>16.559999999999999</v>
      </c>
      <c r="H160" s="409"/>
      <c r="I160" s="409"/>
      <c r="J160" s="411">
        <v>426.6</v>
      </c>
      <c r="K160" s="410">
        <v>1.1499999999999999</v>
      </c>
      <c r="L160" s="410">
        <v>0.66171000000000002</v>
      </c>
      <c r="P160" s="834"/>
      <c r="Q160" s="841"/>
    </row>
    <row r="161" spans="1:26" ht="20.399999999999999" x14ac:dyDescent="0.2">
      <c r="A161" s="412"/>
      <c r="B161" s="412"/>
      <c r="C161" s="412"/>
      <c r="D161" s="395" t="s">
        <v>714</v>
      </c>
      <c r="E161" s="412"/>
      <c r="F161" s="412"/>
      <c r="G161" s="412"/>
      <c r="H161" s="412"/>
      <c r="I161" s="412"/>
      <c r="J161" s="412"/>
      <c r="K161" s="412"/>
      <c r="L161" s="412"/>
      <c r="P161" s="834"/>
      <c r="Q161" s="841"/>
    </row>
    <row r="162" spans="1:26" ht="20.399999999999999" x14ac:dyDescent="0.2">
      <c r="A162" s="412"/>
      <c r="B162" s="412"/>
      <c r="C162" s="412"/>
      <c r="D162" s="395" t="s">
        <v>978</v>
      </c>
      <c r="E162" s="412"/>
      <c r="F162" s="412"/>
      <c r="G162" s="412"/>
      <c r="H162" s="412"/>
      <c r="I162" s="412"/>
      <c r="J162" s="412"/>
      <c r="K162" s="412"/>
      <c r="L162" s="412"/>
      <c r="P162" s="834"/>
      <c r="Q162" s="841"/>
    </row>
    <row r="163" spans="1:26" ht="132.6" x14ac:dyDescent="0.2">
      <c r="A163" s="412"/>
      <c r="B163" s="412"/>
      <c r="C163" s="412"/>
      <c r="D163" s="395" t="s">
        <v>979</v>
      </c>
      <c r="E163" s="412"/>
      <c r="F163" s="412"/>
      <c r="G163" s="412"/>
      <c r="H163" s="412"/>
      <c r="I163" s="412"/>
      <c r="J163" s="412"/>
      <c r="K163" s="412"/>
      <c r="L163" s="412"/>
      <c r="P163" s="834"/>
      <c r="Q163" s="841"/>
    </row>
    <row r="164" spans="1:26" x14ac:dyDescent="0.2">
      <c r="A164" s="412"/>
      <c r="B164" s="412"/>
      <c r="C164" s="412"/>
      <c r="D164" s="413" t="s">
        <v>206</v>
      </c>
      <c r="E164" s="414" t="s">
        <v>1242</v>
      </c>
      <c r="F164" s="414"/>
      <c r="G164" s="414"/>
      <c r="H164" s="415">
        <v>1634.74</v>
      </c>
      <c r="I164" s="412"/>
      <c r="J164" s="412"/>
      <c r="K164" s="412"/>
      <c r="L164" s="412"/>
      <c r="P164" s="834"/>
      <c r="Q164" s="841"/>
    </row>
    <row r="165" spans="1:26" x14ac:dyDescent="0.2">
      <c r="A165" s="412"/>
      <c r="B165" s="412"/>
      <c r="C165" s="412"/>
      <c r="D165" s="413" t="s">
        <v>207</v>
      </c>
      <c r="E165" s="414" t="s">
        <v>1243</v>
      </c>
      <c r="F165" s="414"/>
      <c r="G165" s="414"/>
      <c r="H165" s="415">
        <v>878.85</v>
      </c>
      <c r="I165" s="412"/>
      <c r="J165" s="412"/>
      <c r="K165" s="412"/>
      <c r="L165" s="412"/>
      <c r="P165" s="834"/>
      <c r="Q165" s="841"/>
    </row>
    <row r="166" spans="1:26" x14ac:dyDescent="0.2">
      <c r="A166" s="412"/>
      <c r="B166" s="412"/>
      <c r="C166" s="412"/>
      <c r="D166" s="416" t="s">
        <v>715</v>
      </c>
      <c r="E166" s="417"/>
      <c r="F166" s="417"/>
      <c r="G166" s="417"/>
      <c r="H166" s="418">
        <v>4886.1899999999996</v>
      </c>
      <c r="I166" s="412"/>
      <c r="J166" s="412"/>
      <c r="K166" s="412"/>
      <c r="L166" s="412"/>
      <c r="P166" s="834"/>
      <c r="Q166" s="841"/>
    </row>
    <row r="167" spans="1:26" s="790" customFormat="1" ht="40.799999999999997" x14ac:dyDescent="0.2">
      <c r="A167" s="784">
        <v>20</v>
      </c>
      <c r="B167" s="784">
        <v>20</v>
      </c>
      <c r="C167" s="784" t="s">
        <v>1423</v>
      </c>
      <c r="D167" s="784" t="s">
        <v>1607</v>
      </c>
      <c r="E167" s="785">
        <v>58.690800000000003</v>
      </c>
      <c r="F167" s="786">
        <v>1558.18</v>
      </c>
      <c r="G167" s="786" t="s">
        <v>281</v>
      </c>
      <c r="H167" s="787">
        <v>746238.85</v>
      </c>
      <c r="I167" s="787" t="s">
        <v>281</v>
      </c>
      <c r="J167" s="787" t="s">
        <v>281</v>
      </c>
      <c r="K167" s="786" t="s">
        <v>281</v>
      </c>
      <c r="L167" s="786" t="s">
        <v>281</v>
      </c>
      <c r="M167" s="789">
        <f>59.76*1.02</f>
        <v>60.955199999999998</v>
      </c>
      <c r="N167" s="789"/>
      <c r="O167" s="789" t="s">
        <v>2306</v>
      </c>
      <c r="P167" s="834"/>
      <c r="Q167" s="841">
        <f>M167-E167</f>
        <v>2.2599999999999998</v>
      </c>
      <c r="T167" s="790">
        <v>746238.85</v>
      </c>
      <c r="V167" s="790" t="s">
        <v>281</v>
      </c>
      <c r="W167" s="790" t="s">
        <v>281</v>
      </c>
      <c r="X167" s="790" t="s">
        <v>281</v>
      </c>
      <c r="Y167" s="790" t="s">
        <v>281</v>
      </c>
      <c r="Z167" s="790" t="s">
        <v>281</v>
      </c>
    </row>
    <row r="168" spans="1:26" x14ac:dyDescent="0.2">
      <c r="A168" s="407"/>
      <c r="B168" s="407"/>
      <c r="C168" s="407"/>
      <c r="D168" s="408" t="s">
        <v>883</v>
      </c>
      <c r="E168" s="409"/>
      <c r="F168" s="410" t="s">
        <v>281</v>
      </c>
      <c r="G168" s="410" t="s">
        <v>281</v>
      </c>
      <c r="H168" s="409"/>
      <c r="I168" s="409"/>
      <c r="J168" s="411" t="s">
        <v>281</v>
      </c>
      <c r="K168" s="410" t="s">
        <v>281</v>
      </c>
      <c r="L168" s="410" t="s">
        <v>281</v>
      </c>
      <c r="P168" s="834"/>
      <c r="Q168" s="841"/>
    </row>
    <row r="169" spans="1:26" x14ac:dyDescent="0.2">
      <c r="A169" s="412"/>
      <c r="B169" s="412"/>
      <c r="C169" s="412"/>
      <c r="D169" s="395" t="s">
        <v>718</v>
      </c>
      <c r="E169" s="412"/>
      <c r="F169" s="412"/>
      <c r="G169" s="412"/>
      <c r="H169" s="412"/>
      <c r="I169" s="412"/>
      <c r="J169" s="412"/>
      <c r="K169" s="412"/>
      <c r="L169" s="412"/>
      <c r="P169" s="834"/>
      <c r="Q169" s="841"/>
    </row>
    <row r="170" spans="1:26" s="817" customFormat="1" ht="61.2" x14ac:dyDescent="0.2">
      <c r="A170" s="813">
        <v>21</v>
      </c>
      <c r="B170" s="813">
        <v>21</v>
      </c>
      <c r="C170" s="813" t="s">
        <v>1424</v>
      </c>
      <c r="D170" s="813" t="s">
        <v>1391</v>
      </c>
      <c r="E170" s="814">
        <v>11</v>
      </c>
      <c r="F170" s="815">
        <v>72.667850000000001</v>
      </c>
      <c r="G170" s="815">
        <v>46.560625000000002</v>
      </c>
      <c r="H170" s="816">
        <v>16798.98</v>
      </c>
      <c r="I170" s="816">
        <v>9385.09</v>
      </c>
      <c r="J170" s="816">
        <v>6781.06</v>
      </c>
      <c r="K170" s="815">
        <v>2.0763250000000002</v>
      </c>
      <c r="L170" s="815">
        <v>22.839575</v>
      </c>
      <c r="M170" s="819">
        <v>0</v>
      </c>
      <c r="N170" s="819" t="s">
        <v>2300</v>
      </c>
      <c r="O170" s="819"/>
      <c r="P170" s="834"/>
      <c r="Q170" s="841"/>
      <c r="T170" s="817">
        <v>36064.36</v>
      </c>
      <c r="V170" s="817">
        <v>9385.09</v>
      </c>
      <c r="W170" s="817">
        <v>6781.06</v>
      </c>
      <c r="X170" s="817">
        <v>1323.85</v>
      </c>
      <c r="Y170" s="817">
        <v>22.839575</v>
      </c>
      <c r="Z170" s="817">
        <v>2.055625</v>
      </c>
    </row>
    <row r="171" spans="1:26" x14ac:dyDescent="0.2">
      <c r="A171" s="407"/>
      <c r="B171" s="407"/>
      <c r="C171" s="407"/>
      <c r="D171" s="408" t="s">
        <v>1425</v>
      </c>
      <c r="E171" s="409"/>
      <c r="F171" s="410">
        <v>19.057224999999999</v>
      </c>
      <c r="G171" s="410">
        <v>2.6881249999999999</v>
      </c>
      <c r="H171" s="409"/>
      <c r="I171" s="409"/>
      <c r="J171" s="411">
        <v>1323.85</v>
      </c>
      <c r="K171" s="410">
        <v>0.18687500000000001</v>
      </c>
      <c r="L171" s="410">
        <v>2.055625</v>
      </c>
      <c r="P171" s="834"/>
      <c r="Q171" s="841"/>
    </row>
    <row r="172" spans="1:26" ht="20.399999999999999" x14ac:dyDescent="0.2">
      <c r="A172" s="412"/>
      <c r="B172" s="412"/>
      <c r="C172" s="412"/>
      <c r="D172" s="395" t="s">
        <v>714</v>
      </c>
      <c r="E172" s="412"/>
      <c r="F172" s="412"/>
      <c r="G172" s="412"/>
      <c r="H172" s="412"/>
      <c r="I172" s="412"/>
      <c r="J172" s="412"/>
      <c r="K172" s="412"/>
      <c r="L172" s="412"/>
      <c r="P172" s="834"/>
      <c r="Q172" s="841"/>
    </row>
    <row r="173" spans="1:26" ht="20.399999999999999" x14ac:dyDescent="0.2">
      <c r="A173" s="412"/>
      <c r="B173" s="412"/>
      <c r="C173" s="412"/>
      <c r="D173" s="395" t="s">
        <v>978</v>
      </c>
      <c r="E173" s="412"/>
      <c r="F173" s="412"/>
      <c r="G173" s="412"/>
      <c r="H173" s="412"/>
      <c r="I173" s="412"/>
      <c r="J173" s="412"/>
      <c r="K173" s="412"/>
      <c r="L173" s="412"/>
      <c r="P173" s="834"/>
      <c r="Q173" s="841"/>
    </row>
    <row r="174" spans="1:26" ht="132.6" x14ac:dyDescent="0.2">
      <c r="A174" s="412"/>
      <c r="B174" s="412"/>
      <c r="C174" s="412"/>
      <c r="D174" s="395" t="s">
        <v>979</v>
      </c>
      <c r="E174" s="412"/>
      <c r="F174" s="412"/>
      <c r="G174" s="412"/>
      <c r="H174" s="412"/>
      <c r="I174" s="412"/>
      <c r="J174" s="412"/>
      <c r="K174" s="412"/>
      <c r="L174" s="412"/>
      <c r="P174" s="834"/>
      <c r="Q174" s="841"/>
    </row>
    <row r="175" spans="1:26" x14ac:dyDescent="0.2">
      <c r="A175" s="412"/>
      <c r="B175" s="412"/>
      <c r="C175" s="412"/>
      <c r="D175" s="413" t="s">
        <v>206</v>
      </c>
      <c r="E175" s="414" t="s">
        <v>1242</v>
      </c>
      <c r="F175" s="414"/>
      <c r="G175" s="414"/>
      <c r="H175" s="415">
        <v>12529.46</v>
      </c>
      <c r="I175" s="412"/>
      <c r="J175" s="412"/>
      <c r="K175" s="412"/>
      <c r="L175" s="412"/>
      <c r="P175" s="834"/>
      <c r="Q175" s="841"/>
    </row>
    <row r="176" spans="1:26" x14ac:dyDescent="0.2">
      <c r="A176" s="412"/>
      <c r="B176" s="412"/>
      <c r="C176" s="412"/>
      <c r="D176" s="413" t="s">
        <v>207</v>
      </c>
      <c r="E176" s="414" t="s">
        <v>1243</v>
      </c>
      <c r="F176" s="414"/>
      <c r="G176" s="414"/>
      <c r="H176" s="415">
        <v>6735.92</v>
      </c>
      <c r="I176" s="412"/>
      <c r="J176" s="412"/>
      <c r="K176" s="412"/>
      <c r="L176" s="412"/>
      <c r="P176" s="834"/>
      <c r="Q176" s="841"/>
    </row>
    <row r="177" spans="1:26" x14ac:dyDescent="0.2">
      <c r="A177" s="412"/>
      <c r="B177" s="412"/>
      <c r="C177" s="412"/>
      <c r="D177" s="416" t="s">
        <v>715</v>
      </c>
      <c r="E177" s="417"/>
      <c r="F177" s="417"/>
      <c r="G177" s="417"/>
      <c r="H177" s="418">
        <v>36064.36</v>
      </c>
      <c r="I177" s="412"/>
      <c r="J177" s="412"/>
      <c r="K177" s="412"/>
      <c r="L177" s="412"/>
      <c r="P177" s="834"/>
      <c r="Q177" s="841"/>
    </row>
    <row r="178" spans="1:26" s="817" customFormat="1" ht="20.399999999999999" x14ac:dyDescent="0.2">
      <c r="A178" s="813">
        <v>22</v>
      </c>
      <c r="B178" s="813">
        <v>22</v>
      </c>
      <c r="C178" s="813" t="s">
        <v>1426</v>
      </c>
      <c r="D178" s="813" t="s">
        <v>1606</v>
      </c>
      <c r="E178" s="814">
        <v>11</v>
      </c>
      <c r="F178" s="815">
        <v>1500.56</v>
      </c>
      <c r="G178" s="815" t="s">
        <v>281</v>
      </c>
      <c r="H178" s="816">
        <v>134690.26999999999</v>
      </c>
      <c r="I178" s="816" t="s">
        <v>281</v>
      </c>
      <c r="J178" s="816" t="s">
        <v>281</v>
      </c>
      <c r="K178" s="815" t="s">
        <v>281</v>
      </c>
      <c r="L178" s="815" t="s">
        <v>281</v>
      </c>
      <c r="M178" s="819">
        <v>0</v>
      </c>
      <c r="N178" s="819" t="s">
        <v>2300</v>
      </c>
      <c r="O178" s="819"/>
      <c r="P178" s="834"/>
      <c r="Q178" s="841"/>
      <c r="T178" s="817">
        <v>134690.26999999999</v>
      </c>
      <c r="V178" s="817" t="s">
        <v>281</v>
      </c>
      <c r="W178" s="817" t="s">
        <v>281</v>
      </c>
      <c r="X178" s="817" t="s">
        <v>281</v>
      </c>
      <c r="Y178" s="817" t="s">
        <v>281</v>
      </c>
      <c r="Z178" s="817" t="s">
        <v>281</v>
      </c>
    </row>
    <row r="179" spans="1:26" x14ac:dyDescent="0.2">
      <c r="A179" s="407"/>
      <c r="B179" s="407"/>
      <c r="C179" s="407"/>
      <c r="D179" s="408" t="s">
        <v>735</v>
      </c>
      <c r="E179" s="409"/>
      <c r="F179" s="410" t="s">
        <v>281</v>
      </c>
      <c r="G179" s="410" t="s">
        <v>281</v>
      </c>
      <c r="H179" s="409"/>
      <c r="I179" s="409"/>
      <c r="J179" s="411" t="s">
        <v>281</v>
      </c>
      <c r="K179" s="410" t="s">
        <v>281</v>
      </c>
      <c r="L179" s="410" t="s">
        <v>281</v>
      </c>
      <c r="P179" s="834"/>
      <c r="Q179" s="841"/>
    </row>
    <row r="180" spans="1:26" x14ac:dyDescent="0.2">
      <c r="A180" s="412"/>
      <c r="B180" s="412"/>
      <c r="C180" s="412"/>
      <c r="D180" s="395" t="s">
        <v>718</v>
      </c>
      <c r="E180" s="412"/>
      <c r="F180" s="412"/>
      <c r="G180" s="412"/>
      <c r="H180" s="412"/>
      <c r="I180" s="412"/>
      <c r="J180" s="412"/>
      <c r="K180" s="412"/>
      <c r="L180" s="412"/>
      <c r="P180" s="834"/>
      <c r="Q180" s="841"/>
    </row>
    <row r="181" spans="1:26" s="790" customFormat="1" ht="40.799999999999997" x14ac:dyDescent="0.2">
      <c r="A181" s="784">
        <v>23</v>
      </c>
      <c r="B181" s="784">
        <v>23</v>
      </c>
      <c r="C181" s="784" t="s">
        <v>1330</v>
      </c>
      <c r="D181" s="784" t="s">
        <v>1317</v>
      </c>
      <c r="E181" s="785">
        <v>0.59640000000000004</v>
      </c>
      <c r="F181" s="786">
        <v>1686.7662250000001</v>
      </c>
      <c r="G181" s="786">
        <v>112.72875000000001</v>
      </c>
      <c r="H181" s="787">
        <v>29667.51</v>
      </c>
      <c r="I181" s="787">
        <v>25823.91</v>
      </c>
      <c r="J181" s="787">
        <v>890.14</v>
      </c>
      <c r="K181" s="786">
        <v>100.53645</v>
      </c>
      <c r="L181" s="786">
        <v>59.959938999999999</v>
      </c>
      <c r="M181" s="789">
        <f>(24.48+35.28)/100</f>
        <v>0.59760000000000002</v>
      </c>
      <c r="N181" s="789" t="s">
        <v>2304</v>
      </c>
      <c r="O181" s="789" t="s">
        <v>2305</v>
      </c>
      <c r="P181" s="834"/>
      <c r="Q181" s="841">
        <f>M181-E181</f>
        <v>0</v>
      </c>
      <c r="T181" s="790">
        <v>76162</v>
      </c>
      <c r="V181" s="790">
        <v>25823.91</v>
      </c>
      <c r="W181" s="790">
        <v>890.14</v>
      </c>
      <c r="X181" s="790">
        <v>20.72</v>
      </c>
      <c r="Y181" s="790">
        <v>59.959938999999999</v>
      </c>
      <c r="Z181" s="790">
        <v>3.4292999999999997E-2</v>
      </c>
    </row>
    <row r="182" spans="1:26" x14ac:dyDescent="0.2">
      <c r="A182" s="407"/>
      <c r="B182" s="407"/>
      <c r="C182" s="407"/>
      <c r="D182" s="408" t="s">
        <v>1255</v>
      </c>
      <c r="E182" s="409"/>
      <c r="F182" s="410">
        <v>967.15747499999998</v>
      </c>
      <c r="G182" s="410">
        <v>0.77625</v>
      </c>
      <c r="H182" s="409"/>
      <c r="I182" s="409"/>
      <c r="J182" s="411">
        <v>20.72</v>
      </c>
      <c r="K182" s="410">
        <v>5.7500000000000002E-2</v>
      </c>
      <c r="L182" s="410">
        <v>3.4292999999999997E-2</v>
      </c>
      <c r="P182" s="834"/>
      <c r="Q182" s="841"/>
    </row>
    <row r="183" spans="1:26" ht="20.399999999999999" x14ac:dyDescent="0.2">
      <c r="A183" s="412"/>
      <c r="B183" s="412"/>
      <c r="C183" s="412"/>
      <c r="D183" s="395" t="s">
        <v>714</v>
      </c>
      <c r="E183" s="412"/>
      <c r="F183" s="412"/>
      <c r="G183" s="412"/>
      <c r="H183" s="412"/>
      <c r="I183" s="412"/>
      <c r="J183" s="412"/>
      <c r="K183" s="412"/>
      <c r="L183" s="412"/>
      <c r="P183" s="834"/>
      <c r="Q183" s="841"/>
    </row>
    <row r="184" spans="1:26" ht="20.399999999999999" x14ac:dyDescent="0.2">
      <c r="A184" s="412"/>
      <c r="B184" s="412"/>
      <c r="C184" s="412"/>
      <c r="D184" s="395" t="s">
        <v>978</v>
      </c>
      <c r="E184" s="412"/>
      <c r="F184" s="412"/>
      <c r="G184" s="412"/>
      <c r="H184" s="412"/>
      <c r="I184" s="412"/>
      <c r="J184" s="412"/>
      <c r="K184" s="412"/>
      <c r="L184" s="412"/>
      <c r="P184" s="834"/>
      <c r="Q184" s="841"/>
    </row>
    <row r="185" spans="1:26" ht="132.6" x14ac:dyDescent="0.2">
      <c r="A185" s="412"/>
      <c r="B185" s="412"/>
      <c r="C185" s="412"/>
      <c r="D185" s="395" t="s">
        <v>979</v>
      </c>
      <c r="E185" s="412"/>
      <c r="F185" s="412"/>
      <c r="G185" s="412"/>
      <c r="H185" s="412"/>
      <c r="I185" s="412"/>
      <c r="J185" s="412"/>
      <c r="K185" s="412"/>
      <c r="L185" s="412"/>
      <c r="P185" s="834"/>
      <c r="Q185" s="841"/>
    </row>
    <row r="186" spans="1:26" x14ac:dyDescent="0.2">
      <c r="A186" s="412"/>
      <c r="B186" s="412"/>
      <c r="C186" s="412"/>
      <c r="D186" s="413" t="s">
        <v>206</v>
      </c>
      <c r="E186" s="414" t="s">
        <v>1242</v>
      </c>
      <c r="F186" s="414"/>
      <c r="G186" s="414"/>
      <c r="H186" s="415">
        <v>30238.22</v>
      </c>
      <c r="I186" s="412"/>
      <c r="J186" s="412"/>
      <c r="K186" s="412"/>
      <c r="L186" s="412"/>
      <c r="P186" s="834"/>
      <c r="Q186" s="841"/>
    </row>
    <row r="187" spans="1:26" x14ac:dyDescent="0.2">
      <c r="A187" s="412"/>
      <c r="B187" s="412"/>
      <c r="C187" s="412"/>
      <c r="D187" s="413" t="s">
        <v>207</v>
      </c>
      <c r="E187" s="414" t="s">
        <v>1243</v>
      </c>
      <c r="F187" s="414"/>
      <c r="G187" s="414"/>
      <c r="H187" s="415">
        <v>16256.27</v>
      </c>
      <c r="I187" s="412"/>
      <c r="J187" s="412"/>
      <c r="K187" s="412"/>
      <c r="L187" s="412"/>
      <c r="P187" s="834"/>
      <c r="Q187" s="841"/>
    </row>
    <row r="188" spans="1:26" x14ac:dyDescent="0.2">
      <c r="A188" s="412"/>
      <c r="B188" s="412"/>
      <c r="C188" s="412"/>
      <c r="D188" s="416" t="s">
        <v>715</v>
      </c>
      <c r="E188" s="417"/>
      <c r="F188" s="417"/>
      <c r="G188" s="417"/>
      <c r="H188" s="418">
        <v>76162</v>
      </c>
      <c r="I188" s="412"/>
      <c r="J188" s="412"/>
      <c r="K188" s="412"/>
      <c r="L188" s="412"/>
      <c r="P188" s="834"/>
      <c r="Q188" s="841"/>
    </row>
    <row r="189" spans="1:26" s="829" customFormat="1" ht="40.799999999999997" x14ac:dyDescent="0.2">
      <c r="A189" s="825">
        <v>24</v>
      </c>
      <c r="B189" s="825">
        <v>24</v>
      </c>
      <c r="C189" s="825" t="s">
        <v>1427</v>
      </c>
      <c r="D189" s="825" t="s">
        <v>2321</v>
      </c>
      <c r="E189" s="826">
        <v>23</v>
      </c>
      <c r="F189" s="827">
        <v>9.3103999999999996</v>
      </c>
      <c r="G189" s="827">
        <v>7.2737499999999997</v>
      </c>
      <c r="H189" s="828">
        <v>4312.04</v>
      </c>
      <c r="I189" s="828">
        <v>2097.14</v>
      </c>
      <c r="J189" s="828">
        <v>2214.9</v>
      </c>
      <c r="K189" s="827">
        <v>0.21160000000000001</v>
      </c>
      <c r="L189" s="827">
        <v>4.8667999999999996</v>
      </c>
      <c r="M189" s="830">
        <f>6*2+4</f>
        <v>16</v>
      </c>
      <c r="N189" s="830" t="s">
        <v>2304</v>
      </c>
      <c r="O189" s="830" t="s">
        <v>2322</v>
      </c>
      <c r="P189" s="834"/>
      <c r="Q189" s="841">
        <f>M189-E189</f>
        <v>-7</v>
      </c>
      <c r="T189" s="829">
        <v>8084.79</v>
      </c>
      <c r="V189" s="829">
        <v>2097.14</v>
      </c>
      <c r="W189" s="829">
        <v>2214.9</v>
      </c>
      <c r="X189" s="829" t="s">
        <v>281</v>
      </c>
      <c r="Y189" s="829">
        <v>4.8667999999999996</v>
      </c>
      <c r="Z189" s="829" t="s">
        <v>281</v>
      </c>
    </row>
    <row r="190" spans="1:26" x14ac:dyDescent="0.2">
      <c r="A190" s="407"/>
      <c r="B190" s="407"/>
      <c r="C190" s="407"/>
      <c r="D190" s="408" t="s">
        <v>735</v>
      </c>
      <c r="E190" s="409"/>
      <c r="F190" s="410">
        <v>2.0366499999999998</v>
      </c>
      <c r="G190" s="410" t="s">
        <v>281</v>
      </c>
      <c r="H190" s="409"/>
      <c r="I190" s="409"/>
      <c r="J190" s="411" t="s">
        <v>281</v>
      </c>
      <c r="K190" s="410" t="s">
        <v>281</v>
      </c>
      <c r="L190" s="410" t="s">
        <v>281</v>
      </c>
      <c r="P190" s="834"/>
      <c r="Q190" s="841"/>
    </row>
    <row r="191" spans="1:26" ht="20.399999999999999" x14ac:dyDescent="0.2">
      <c r="A191" s="412"/>
      <c r="B191" s="412"/>
      <c r="C191" s="412"/>
      <c r="D191" s="395" t="s">
        <v>714</v>
      </c>
      <c r="E191" s="412"/>
      <c r="F191" s="412"/>
      <c r="G191" s="412"/>
      <c r="H191" s="412"/>
      <c r="I191" s="412"/>
      <c r="J191" s="412"/>
      <c r="K191" s="412"/>
      <c r="L191" s="412"/>
      <c r="P191" s="834"/>
      <c r="Q191" s="841"/>
    </row>
    <row r="192" spans="1:26" ht="20.399999999999999" x14ac:dyDescent="0.2">
      <c r="A192" s="412"/>
      <c r="B192" s="412"/>
      <c r="C192" s="412"/>
      <c r="D192" s="395" t="s">
        <v>978</v>
      </c>
      <c r="E192" s="412"/>
      <c r="F192" s="412"/>
      <c r="G192" s="412"/>
      <c r="H192" s="412"/>
      <c r="I192" s="412"/>
      <c r="J192" s="412"/>
      <c r="K192" s="412"/>
      <c r="L192" s="412"/>
      <c r="P192" s="834"/>
      <c r="Q192" s="841"/>
    </row>
    <row r="193" spans="1:26" ht="132.6" x14ac:dyDescent="0.2">
      <c r="A193" s="412"/>
      <c r="B193" s="412"/>
      <c r="C193" s="412"/>
      <c r="D193" s="395" t="s">
        <v>979</v>
      </c>
      <c r="E193" s="412"/>
      <c r="F193" s="412"/>
      <c r="G193" s="412"/>
      <c r="H193" s="412"/>
      <c r="I193" s="412"/>
      <c r="J193" s="412"/>
      <c r="K193" s="412"/>
      <c r="L193" s="412"/>
      <c r="P193" s="834"/>
      <c r="Q193" s="841"/>
    </row>
    <row r="194" spans="1:26" x14ac:dyDescent="0.2">
      <c r="A194" s="412"/>
      <c r="B194" s="412"/>
      <c r="C194" s="412"/>
      <c r="D194" s="413" t="s">
        <v>206</v>
      </c>
      <c r="E194" s="414" t="s">
        <v>1242</v>
      </c>
      <c r="F194" s="414"/>
      <c r="G194" s="414"/>
      <c r="H194" s="415">
        <v>2453.65</v>
      </c>
      <c r="I194" s="412"/>
      <c r="J194" s="412"/>
      <c r="K194" s="412"/>
      <c r="L194" s="412"/>
      <c r="P194" s="834"/>
      <c r="Q194" s="841"/>
    </row>
    <row r="195" spans="1:26" x14ac:dyDescent="0.2">
      <c r="A195" s="412"/>
      <c r="B195" s="412"/>
      <c r="C195" s="412"/>
      <c r="D195" s="413" t="s">
        <v>207</v>
      </c>
      <c r="E195" s="414" t="s">
        <v>1243</v>
      </c>
      <c r="F195" s="414"/>
      <c r="G195" s="414"/>
      <c r="H195" s="415">
        <v>1319.1</v>
      </c>
      <c r="I195" s="412"/>
      <c r="J195" s="412"/>
      <c r="K195" s="412"/>
      <c r="L195" s="412"/>
      <c r="P195" s="834"/>
      <c r="Q195" s="841"/>
    </row>
    <row r="196" spans="1:26" x14ac:dyDescent="0.2">
      <c r="A196" s="412"/>
      <c r="B196" s="412"/>
      <c r="C196" s="412"/>
      <c r="D196" s="416" t="s">
        <v>715</v>
      </c>
      <c r="E196" s="417"/>
      <c r="F196" s="417"/>
      <c r="G196" s="417"/>
      <c r="H196" s="418">
        <v>8084.79</v>
      </c>
      <c r="I196" s="412"/>
      <c r="J196" s="412"/>
      <c r="K196" s="412"/>
      <c r="L196" s="412"/>
      <c r="P196" s="834"/>
      <c r="Q196" s="841"/>
    </row>
    <row r="197" spans="1:26" s="817" customFormat="1" ht="40.799999999999997" x14ac:dyDescent="0.2">
      <c r="A197" s="813">
        <v>25</v>
      </c>
      <c r="B197" s="813">
        <v>25</v>
      </c>
      <c r="C197" s="813" t="s">
        <v>1428</v>
      </c>
      <c r="D197" s="813" t="s">
        <v>1605</v>
      </c>
      <c r="E197" s="814">
        <v>12.32</v>
      </c>
      <c r="F197" s="815">
        <v>334.1</v>
      </c>
      <c r="G197" s="815" t="s">
        <v>281</v>
      </c>
      <c r="H197" s="816">
        <v>33587.519999999997</v>
      </c>
      <c r="I197" s="816" t="s">
        <v>281</v>
      </c>
      <c r="J197" s="816" t="s">
        <v>281</v>
      </c>
      <c r="K197" s="815" t="s">
        <v>281</v>
      </c>
      <c r="L197" s="815" t="s">
        <v>281</v>
      </c>
      <c r="M197" s="819">
        <v>0</v>
      </c>
      <c r="N197" s="819" t="s">
        <v>2300</v>
      </c>
      <c r="O197" s="819"/>
      <c r="P197" s="834"/>
      <c r="Q197" s="841"/>
      <c r="T197" s="817">
        <v>33587.519999999997</v>
      </c>
      <c r="V197" s="817" t="s">
        <v>281</v>
      </c>
      <c r="W197" s="817" t="s">
        <v>281</v>
      </c>
      <c r="X197" s="817" t="s">
        <v>281</v>
      </c>
      <c r="Y197" s="817" t="s">
        <v>281</v>
      </c>
      <c r="Z197" s="817" t="s">
        <v>281</v>
      </c>
    </row>
    <row r="198" spans="1:26" x14ac:dyDescent="0.2">
      <c r="A198" s="407"/>
      <c r="B198" s="407"/>
      <c r="C198" s="407"/>
      <c r="D198" s="408" t="s">
        <v>883</v>
      </c>
      <c r="E198" s="409"/>
      <c r="F198" s="410" t="s">
        <v>281</v>
      </c>
      <c r="G198" s="410" t="s">
        <v>281</v>
      </c>
      <c r="H198" s="409"/>
      <c r="I198" s="409"/>
      <c r="J198" s="411" t="s">
        <v>281</v>
      </c>
      <c r="K198" s="410" t="s">
        <v>281</v>
      </c>
      <c r="L198" s="410" t="s">
        <v>281</v>
      </c>
      <c r="P198" s="834"/>
      <c r="Q198" s="841"/>
    </row>
    <row r="199" spans="1:26" x14ac:dyDescent="0.2">
      <c r="A199" s="412"/>
      <c r="B199" s="412"/>
      <c r="C199" s="412"/>
      <c r="D199" s="395" t="s">
        <v>718</v>
      </c>
      <c r="E199" s="412"/>
      <c r="F199" s="412"/>
      <c r="G199" s="412"/>
      <c r="H199" s="412"/>
      <c r="I199" s="412"/>
      <c r="J199" s="412"/>
      <c r="K199" s="412"/>
      <c r="L199" s="412"/>
      <c r="P199" s="834"/>
      <c r="Q199" s="841"/>
    </row>
    <row r="200" spans="1:26" s="790" customFormat="1" ht="40.799999999999997" x14ac:dyDescent="0.2">
      <c r="A200" s="784">
        <v>26</v>
      </c>
      <c r="B200" s="784">
        <v>26</v>
      </c>
      <c r="C200" s="784" t="s">
        <v>1429</v>
      </c>
      <c r="D200" s="784" t="s">
        <v>1392</v>
      </c>
      <c r="E200" s="785">
        <v>2</v>
      </c>
      <c r="F200" s="786">
        <v>198.29499999999999</v>
      </c>
      <c r="G200" s="786">
        <v>31.725625000000001</v>
      </c>
      <c r="H200" s="787">
        <v>5470.96</v>
      </c>
      <c r="I200" s="787">
        <v>2338.7199999999998</v>
      </c>
      <c r="J200" s="787">
        <v>840.1</v>
      </c>
      <c r="K200" s="786">
        <v>2.9888499999999998</v>
      </c>
      <c r="L200" s="786">
        <v>5.9776999999999996</v>
      </c>
      <c r="M200" s="789">
        <v>2</v>
      </c>
      <c r="N200" s="789" t="s">
        <v>2317</v>
      </c>
      <c r="O200" s="789" t="s">
        <v>2318</v>
      </c>
      <c r="P200" s="834"/>
      <c r="Q200" s="841">
        <f>M200-E200</f>
        <v>0</v>
      </c>
      <c r="T200" s="790">
        <v>9678.31</v>
      </c>
      <c r="V200" s="790">
        <v>2338.7199999999998</v>
      </c>
      <c r="W200" s="790">
        <v>840.1</v>
      </c>
      <c r="X200" s="790" t="s">
        <v>281</v>
      </c>
      <c r="Y200" s="790">
        <v>5.9776999999999996</v>
      </c>
      <c r="Z200" s="790" t="s">
        <v>281</v>
      </c>
    </row>
    <row r="201" spans="1:26" x14ac:dyDescent="0.2">
      <c r="A201" s="407"/>
      <c r="B201" s="407"/>
      <c r="C201" s="407"/>
      <c r="D201" s="408" t="s">
        <v>1364</v>
      </c>
      <c r="E201" s="409"/>
      <c r="F201" s="410">
        <v>26.119375000000002</v>
      </c>
      <c r="G201" s="410" t="s">
        <v>281</v>
      </c>
      <c r="H201" s="409"/>
      <c r="I201" s="409"/>
      <c r="J201" s="411" t="s">
        <v>281</v>
      </c>
      <c r="K201" s="410" t="s">
        <v>281</v>
      </c>
      <c r="L201" s="410" t="s">
        <v>281</v>
      </c>
      <c r="P201" s="834"/>
      <c r="Q201" s="841"/>
    </row>
    <row r="202" spans="1:26" ht="20.399999999999999" x14ac:dyDescent="0.2">
      <c r="A202" s="412"/>
      <c r="B202" s="412"/>
      <c r="C202" s="412"/>
      <c r="D202" s="395" t="s">
        <v>714</v>
      </c>
      <c r="E202" s="412"/>
      <c r="F202" s="412"/>
      <c r="G202" s="412"/>
      <c r="H202" s="412"/>
      <c r="I202" s="412"/>
      <c r="J202" s="412"/>
      <c r="K202" s="412"/>
      <c r="L202" s="412"/>
      <c r="P202" s="834"/>
      <c r="Q202" s="841"/>
    </row>
    <row r="203" spans="1:26" ht="20.399999999999999" x14ac:dyDescent="0.2">
      <c r="A203" s="412"/>
      <c r="B203" s="412"/>
      <c r="C203" s="412"/>
      <c r="D203" s="395" t="s">
        <v>978</v>
      </c>
      <c r="E203" s="412"/>
      <c r="F203" s="412"/>
      <c r="G203" s="412"/>
      <c r="H203" s="412"/>
      <c r="I203" s="412"/>
      <c r="J203" s="412"/>
      <c r="K203" s="412"/>
      <c r="L203" s="412"/>
      <c r="P203" s="834"/>
      <c r="Q203" s="841"/>
    </row>
    <row r="204" spans="1:26" ht="132.6" x14ac:dyDescent="0.2">
      <c r="A204" s="412"/>
      <c r="B204" s="412"/>
      <c r="C204" s="412"/>
      <c r="D204" s="395" t="s">
        <v>979</v>
      </c>
      <c r="E204" s="412"/>
      <c r="F204" s="412"/>
      <c r="G204" s="412"/>
      <c r="H204" s="412"/>
      <c r="I204" s="412"/>
      <c r="J204" s="412"/>
      <c r="K204" s="412"/>
      <c r="L204" s="412"/>
      <c r="P204" s="834"/>
      <c r="Q204" s="841"/>
    </row>
    <row r="205" spans="1:26" x14ac:dyDescent="0.2">
      <c r="A205" s="412"/>
      <c r="B205" s="412"/>
      <c r="C205" s="412"/>
      <c r="D205" s="413" t="s">
        <v>206</v>
      </c>
      <c r="E205" s="414" t="s">
        <v>1242</v>
      </c>
      <c r="F205" s="414"/>
      <c r="G205" s="414"/>
      <c r="H205" s="415">
        <v>2736.3</v>
      </c>
      <c r="I205" s="412"/>
      <c r="J205" s="412"/>
      <c r="K205" s="412"/>
      <c r="L205" s="412"/>
      <c r="P205" s="834"/>
      <c r="Q205" s="841"/>
    </row>
    <row r="206" spans="1:26" x14ac:dyDescent="0.2">
      <c r="A206" s="412"/>
      <c r="B206" s="412"/>
      <c r="C206" s="412"/>
      <c r="D206" s="413" t="s">
        <v>207</v>
      </c>
      <c r="E206" s="414" t="s">
        <v>1243</v>
      </c>
      <c r="F206" s="414"/>
      <c r="G206" s="414"/>
      <c r="H206" s="415">
        <v>1471.05</v>
      </c>
      <c r="I206" s="412"/>
      <c r="J206" s="412"/>
      <c r="K206" s="412"/>
      <c r="L206" s="412"/>
      <c r="P206" s="834"/>
      <c r="Q206" s="841"/>
    </row>
    <row r="207" spans="1:26" x14ac:dyDescent="0.2">
      <c r="A207" s="412"/>
      <c r="B207" s="412"/>
      <c r="C207" s="412"/>
      <c r="D207" s="416" t="s">
        <v>715</v>
      </c>
      <c r="E207" s="417"/>
      <c r="F207" s="417"/>
      <c r="G207" s="417"/>
      <c r="H207" s="418">
        <v>9678.31</v>
      </c>
      <c r="I207" s="412"/>
      <c r="J207" s="412"/>
      <c r="K207" s="412"/>
      <c r="L207" s="412"/>
      <c r="P207" s="834"/>
      <c r="Q207" s="841"/>
    </row>
    <row r="208" spans="1:26" s="790" customFormat="1" x14ac:dyDescent="0.2">
      <c r="A208" s="784">
        <v>27</v>
      </c>
      <c r="B208" s="784">
        <v>27</v>
      </c>
      <c r="C208" s="784" t="s">
        <v>1430</v>
      </c>
      <c r="D208" s="784" t="s">
        <v>1604</v>
      </c>
      <c r="E208" s="785">
        <v>-2.1981099E-2</v>
      </c>
      <c r="F208" s="786">
        <v>1383.1</v>
      </c>
      <c r="G208" s="786" t="s">
        <v>281</v>
      </c>
      <c r="H208" s="787">
        <v>-248.08</v>
      </c>
      <c r="I208" s="787" t="s">
        <v>281</v>
      </c>
      <c r="J208" s="787" t="s">
        <v>281</v>
      </c>
      <c r="K208" s="786" t="s">
        <v>281</v>
      </c>
      <c r="L208" s="786" t="s">
        <v>281</v>
      </c>
      <c r="M208" s="789"/>
      <c r="N208" s="789"/>
      <c r="O208" s="789"/>
      <c r="P208" s="834"/>
      <c r="Q208" s="841"/>
      <c r="T208" s="790">
        <v>-248.08</v>
      </c>
      <c r="V208" s="790" t="s">
        <v>281</v>
      </c>
      <c r="W208" s="790" t="s">
        <v>281</v>
      </c>
      <c r="X208" s="790" t="s">
        <v>281</v>
      </c>
      <c r="Y208" s="790" t="s">
        <v>281</v>
      </c>
      <c r="Z208" s="790" t="s">
        <v>281</v>
      </c>
    </row>
    <row r="209" spans="1:26" x14ac:dyDescent="0.2">
      <c r="A209" s="407"/>
      <c r="B209" s="407"/>
      <c r="C209" s="407"/>
      <c r="D209" s="408" t="s">
        <v>224</v>
      </c>
      <c r="E209" s="409"/>
      <c r="F209" s="410" t="s">
        <v>281</v>
      </c>
      <c r="G209" s="410" t="s">
        <v>281</v>
      </c>
      <c r="H209" s="409"/>
      <c r="I209" s="409"/>
      <c r="J209" s="411" t="s">
        <v>281</v>
      </c>
      <c r="K209" s="410" t="s">
        <v>281</v>
      </c>
      <c r="L209" s="410" t="s">
        <v>281</v>
      </c>
      <c r="P209" s="834"/>
      <c r="Q209" s="841"/>
    </row>
    <row r="210" spans="1:26" x14ac:dyDescent="0.2">
      <c r="A210" s="412"/>
      <c r="B210" s="412"/>
      <c r="C210" s="412"/>
      <c r="D210" s="395" t="s">
        <v>718</v>
      </c>
      <c r="E210" s="412"/>
      <c r="F210" s="412"/>
      <c r="G210" s="412"/>
      <c r="H210" s="412"/>
      <c r="I210" s="412"/>
      <c r="J210" s="412"/>
      <c r="K210" s="412"/>
      <c r="L210" s="412"/>
      <c r="P210" s="834"/>
      <c r="Q210" s="841"/>
    </row>
    <row r="211" spans="1:26" s="790" customFormat="1" ht="20.399999999999999" x14ac:dyDescent="0.2">
      <c r="A211" s="784">
        <v>28</v>
      </c>
      <c r="B211" s="784">
        <v>28</v>
      </c>
      <c r="C211" s="784" t="s">
        <v>1431</v>
      </c>
      <c r="D211" s="784" t="s">
        <v>1432</v>
      </c>
      <c r="E211" s="785">
        <v>0.13333999999999999</v>
      </c>
      <c r="F211" s="786">
        <v>843.39</v>
      </c>
      <c r="G211" s="786" t="s">
        <v>281</v>
      </c>
      <c r="H211" s="787">
        <v>917.65</v>
      </c>
      <c r="I211" s="787" t="s">
        <v>281</v>
      </c>
      <c r="J211" s="787" t="s">
        <v>281</v>
      </c>
      <c r="K211" s="786" t="s">
        <v>281</v>
      </c>
      <c r="L211" s="786" t="s">
        <v>281</v>
      </c>
      <c r="M211" s="789">
        <v>1.2E-2</v>
      </c>
      <c r="N211" s="789" t="s">
        <v>2317</v>
      </c>
      <c r="O211" s="789"/>
      <c r="P211" s="834"/>
      <c r="Q211" s="841">
        <f>M211-E211</f>
        <v>-0.12</v>
      </c>
      <c r="T211" s="790">
        <v>917.65</v>
      </c>
      <c r="V211" s="790" t="s">
        <v>281</v>
      </c>
      <c r="W211" s="790" t="s">
        <v>281</v>
      </c>
      <c r="X211" s="790" t="s">
        <v>281</v>
      </c>
      <c r="Y211" s="790" t="s">
        <v>281</v>
      </c>
      <c r="Z211" s="790" t="s">
        <v>281</v>
      </c>
    </row>
    <row r="212" spans="1:26" x14ac:dyDescent="0.2">
      <c r="A212" s="407"/>
      <c r="B212" s="407"/>
      <c r="C212" s="407"/>
      <c r="D212" s="408" t="s">
        <v>745</v>
      </c>
      <c r="E212" s="409"/>
      <c r="F212" s="410" t="s">
        <v>281</v>
      </c>
      <c r="G212" s="410" t="s">
        <v>281</v>
      </c>
      <c r="H212" s="409"/>
      <c r="I212" s="409"/>
      <c r="J212" s="411" t="s">
        <v>281</v>
      </c>
      <c r="K212" s="410" t="s">
        <v>281</v>
      </c>
      <c r="L212" s="410" t="s">
        <v>281</v>
      </c>
      <c r="P212" s="834"/>
      <c r="Q212" s="841"/>
    </row>
    <row r="213" spans="1:26" x14ac:dyDescent="0.2">
      <c r="A213" s="412"/>
      <c r="B213" s="412"/>
      <c r="C213" s="412"/>
      <c r="D213" s="395" t="s">
        <v>718</v>
      </c>
      <c r="E213" s="412"/>
      <c r="F213" s="412"/>
      <c r="G213" s="412"/>
      <c r="H213" s="412"/>
      <c r="I213" s="412"/>
      <c r="J213" s="412"/>
      <c r="K213" s="412"/>
      <c r="L213" s="412"/>
      <c r="P213" s="834"/>
      <c r="Q213" s="841"/>
    </row>
    <row r="214" spans="1:26" s="817" customFormat="1" ht="51" x14ac:dyDescent="0.2">
      <c r="A214" s="813">
        <v>29</v>
      </c>
      <c r="B214" s="813">
        <v>29</v>
      </c>
      <c r="C214" s="813" t="s">
        <v>1433</v>
      </c>
      <c r="D214" s="813" t="s">
        <v>1393</v>
      </c>
      <c r="E214" s="814">
        <v>1</v>
      </c>
      <c r="F214" s="815">
        <v>2540.6313749999999</v>
      </c>
      <c r="G214" s="815">
        <v>835.79124999999999</v>
      </c>
      <c r="H214" s="816">
        <v>34004.67</v>
      </c>
      <c r="I214" s="816">
        <v>11039.39</v>
      </c>
      <c r="J214" s="816">
        <v>11065.88</v>
      </c>
      <c r="K214" s="815">
        <v>22.852799999999998</v>
      </c>
      <c r="L214" s="815">
        <v>22.852799999999998</v>
      </c>
      <c r="M214" s="819">
        <v>0</v>
      </c>
      <c r="N214" s="819" t="s">
        <v>2308</v>
      </c>
      <c r="O214" s="819"/>
      <c r="P214" s="834"/>
      <c r="Q214" s="841"/>
      <c r="T214" s="817">
        <v>60767.22</v>
      </c>
      <c r="V214" s="817">
        <v>11039.39</v>
      </c>
      <c r="W214" s="817">
        <v>11065.88</v>
      </c>
      <c r="X214" s="817">
        <v>3836.96</v>
      </c>
      <c r="Y214" s="817">
        <v>22.852799999999998</v>
      </c>
      <c r="Z214" s="817">
        <v>6.3968749999999996</v>
      </c>
    </row>
    <row r="215" spans="1:26" x14ac:dyDescent="0.2">
      <c r="A215" s="407"/>
      <c r="B215" s="407"/>
      <c r="C215" s="407"/>
      <c r="D215" s="408" t="s">
        <v>735</v>
      </c>
      <c r="E215" s="409"/>
      <c r="F215" s="410">
        <v>246.58012500000001</v>
      </c>
      <c r="G215" s="410">
        <v>85.703749999999999</v>
      </c>
      <c r="H215" s="409"/>
      <c r="I215" s="409"/>
      <c r="J215" s="411">
        <v>3836.96</v>
      </c>
      <c r="K215" s="410">
        <v>6.3968749999999996</v>
      </c>
      <c r="L215" s="410">
        <v>6.3968749999999996</v>
      </c>
      <c r="P215" s="834"/>
      <c r="Q215" s="841"/>
    </row>
    <row r="216" spans="1:26" ht="20.399999999999999" x14ac:dyDescent="0.2">
      <c r="A216" s="412"/>
      <c r="B216" s="412"/>
      <c r="C216" s="412"/>
      <c r="D216" s="395" t="s">
        <v>714</v>
      </c>
      <c r="E216" s="412"/>
      <c r="F216" s="412"/>
      <c r="G216" s="412"/>
      <c r="H216" s="412"/>
      <c r="I216" s="412"/>
      <c r="J216" s="412"/>
      <c r="K216" s="412"/>
      <c r="L216" s="412"/>
      <c r="P216" s="834"/>
      <c r="Q216" s="841"/>
    </row>
    <row r="217" spans="1:26" ht="20.399999999999999" x14ac:dyDescent="0.2">
      <c r="A217" s="412"/>
      <c r="B217" s="412"/>
      <c r="C217" s="412"/>
      <c r="D217" s="395" t="s">
        <v>978</v>
      </c>
      <c r="E217" s="412"/>
      <c r="F217" s="412"/>
      <c r="G217" s="412"/>
      <c r="H217" s="412"/>
      <c r="I217" s="412"/>
      <c r="J217" s="412"/>
      <c r="K217" s="412"/>
      <c r="L217" s="412"/>
      <c r="P217" s="834"/>
      <c r="Q217" s="841"/>
    </row>
    <row r="218" spans="1:26" ht="132.6" x14ac:dyDescent="0.2">
      <c r="A218" s="412"/>
      <c r="B218" s="412"/>
      <c r="C218" s="412"/>
      <c r="D218" s="395" t="s">
        <v>979</v>
      </c>
      <c r="E218" s="412"/>
      <c r="F218" s="412"/>
      <c r="G218" s="412"/>
      <c r="H218" s="412"/>
      <c r="I218" s="412"/>
      <c r="J218" s="412"/>
      <c r="K218" s="412"/>
      <c r="L218" s="412"/>
      <c r="P218" s="834"/>
      <c r="Q218" s="841"/>
    </row>
    <row r="219" spans="1:26" x14ac:dyDescent="0.2">
      <c r="A219" s="412"/>
      <c r="B219" s="412"/>
      <c r="C219" s="412"/>
      <c r="D219" s="413" t="s">
        <v>206</v>
      </c>
      <c r="E219" s="414" t="s">
        <v>1242</v>
      </c>
      <c r="F219" s="414"/>
      <c r="G219" s="414"/>
      <c r="H219" s="415">
        <v>17405.330000000002</v>
      </c>
      <c r="I219" s="412"/>
      <c r="J219" s="412"/>
      <c r="K219" s="412"/>
      <c r="L219" s="412"/>
      <c r="P219" s="834"/>
      <c r="Q219" s="841"/>
    </row>
    <row r="220" spans="1:26" x14ac:dyDescent="0.2">
      <c r="A220" s="412"/>
      <c r="B220" s="412"/>
      <c r="C220" s="412"/>
      <c r="D220" s="413" t="s">
        <v>207</v>
      </c>
      <c r="E220" s="414" t="s">
        <v>1243</v>
      </c>
      <c r="F220" s="414"/>
      <c r="G220" s="414"/>
      <c r="H220" s="415">
        <v>9357.2199999999993</v>
      </c>
      <c r="I220" s="412"/>
      <c r="J220" s="412"/>
      <c r="K220" s="412"/>
      <c r="L220" s="412"/>
      <c r="P220" s="834"/>
      <c r="Q220" s="841"/>
    </row>
    <row r="221" spans="1:26" x14ac:dyDescent="0.2">
      <c r="A221" s="412"/>
      <c r="B221" s="412"/>
      <c r="C221" s="412"/>
      <c r="D221" s="416" t="s">
        <v>715</v>
      </c>
      <c r="E221" s="417"/>
      <c r="F221" s="417"/>
      <c r="G221" s="417"/>
      <c r="H221" s="418">
        <v>60767.22</v>
      </c>
      <c r="I221" s="412"/>
      <c r="J221" s="412"/>
      <c r="K221" s="412"/>
      <c r="L221" s="412"/>
      <c r="P221" s="834"/>
      <c r="Q221" s="841"/>
    </row>
    <row r="222" spans="1:26" s="817" customFormat="1" ht="30.6" x14ac:dyDescent="0.2">
      <c r="A222" s="813">
        <v>30</v>
      </c>
      <c r="B222" s="813">
        <v>30</v>
      </c>
      <c r="C222" s="813" t="s">
        <v>1434</v>
      </c>
      <c r="D222" s="813" t="s">
        <v>1603</v>
      </c>
      <c r="E222" s="814">
        <v>1</v>
      </c>
      <c r="F222" s="815">
        <v>5422.19</v>
      </c>
      <c r="G222" s="815" t="s">
        <v>281</v>
      </c>
      <c r="H222" s="816">
        <v>44245.07</v>
      </c>
      <c r="I222" s="816" t="s">
        <v>281</v>
      </c>
      <c r="J222" s="816" t="s">
        <v>281</v>
      </c>
      <c r="K222" s="815" t="s">
        <v>281</v>
      </c>
      <c r="L222" s="815" t="s">
        <v>281</v>
      </c>
      <c r="M222" s="819">
        <v>0</v>
      </c>
      <c r="N222" s="819" t="s">
        <v>2308</v>
      </c>
      <c r="O222" s="819"/>
      <c r="P222" s="834"/>
      <c r="Q222" s="841"/>
      <c r="T222" s="817">
        <v>44245.07</v>
      </c>
      <c r="V222" s="817" t="s">
        <v>281</v>
      </c>
      <c r="W222" s="817" t="s">
        <v>281</v>
      </c>
      <c r="X222" s="817" t="s">
        <v>281</v>
      </c>
      <c r="Y222" s="817" t="s">
        <v>281</v>
      </c>
      <c r="Z222" s="817" t="s">
        <v>281</v>
      </c>
    </row>
    <row r="223" spans="1:26" x14ac:dyDescent="0.2">
      <c r="A223" s="407"/>
      <c r="B223" s="407"/>
      <c r="C223" s="407"/>
      <c r="D223" s="408" t="s">
        <v>735</v>
      </c>
      <c r="E223" s="409"/>
      <c r="F223" s="410" t="s">
        <v>281</v>
      </c>
      <c r="G223" s="410" t="s">
        <v>281</v>
      </c>
      <c r="H223" s="409"/>
      <c r="I223" s="409"/>
      <c r="J223" s="411" t="s">
        <v>281</v>
      </c>
      <c r="K223" s="410" t="s">
        <v>281</v>
      </c>
      <c r="L223" s="410" t="s">
        <v>281</v>
      </c>
      <c r="P223" s="834"/>
      <c r="Q223" s="841"/>
    </row>
    <row r="224" spans="1:26" x14ac:dyDescent="0.2">
      <c r="A224" s="412"/>
      <c r="B224" s="412"/>
      <c r="C224" s="412"/>
      <c r="D224" s="395" t="s">
        <v>718</v>
      </c>
      <c r="E224" s="412"/>
      <c r="F224" s="412"/>
      <c r="G224" s="412"/>
      <c r="H224" s="412"/>
      <c r="I224" s="412"/>
      <c r="J224" s="412"/>
      <c r="K224" s="412"/>
      <c r="L224" s="412"/>
      <c r="P224" s="834"/>
      <c r="Q224" s="841"/>
    </row>
    <row r="225" spans="1:26" s="790" customFormat="1" ht="51" x14ac:dyDescent="0.2">
      <c r="A225" s="784">
        <v>31</v>
      </c>
      <c r="B225" s="784">
        <v>31</v>
      </c>
      <c r="C225" s="784" t="s">
        <v>1435</v>
      </c>
      <c r="D225" s="784" t="s">
        <v>1394</v>
      </c>
      <c r="E225" s="785">
        <v>3.0303</v>
      </c>
      <c r="F225" s="786">
        <v>196.94325000000001</v>
      </c>
      <c r="G225" s="786">
        <v>170.22874999999999</v>
      </c>
      <c r="H225" s="787">
        <v>10454.049999999999</v>
      </c>
      <c r="I225" s="787">
        <v>3624.27</v>
      </c>
      <c r="J225" s="787">
        <v>6829.78</v>
      </c>
      <c r="K225" s="786">
        <v>3.0152999999999999</v>
      </c>
      <c r="L225" s="786">
        <v>9.1372640000000001</v>
      </c>
      <c r="M225" s="789">
        <f>359.22/100</f>
        <v>3.5922000000000001</v>
      </c>
      <c r="N225" s="789" t="s">
        <v>2315</v>
      </c>
      <c r="O225" s="789"/>
      <c r="P225" s="834"/>
      <c r="Q225" s="841">
        <f>M225-E225</f>
        <v>0.56000000000000005</v>
      </c>
      <c r="T225" s="790">
        <v>20714.07</v>
      </c>
      <c r="V225" s="790">
        <v>3624.27</v>
      </c>
      <c r="W225" s="790">
        <v>6829.78</v>
      </c>
      <c r="X225" s="790">
        <v>2078.91</v>
      </c>
      <c r="Y225" s="790">
        <v>9.1372640000000001</v>
      </c>
      <c r="Z225" s="790">
        <v>3.2234820000000002</v>
      </c>
    </row>
    <row r="226" spans="1:26" x14ac:dyDescent="0.2">
      <c r="A226" s="407"/>
      <c r="B226" s="407"/>
      <c r="C226" s="407"/>
      <c r="D226" s="408" t="s">
        <v>747</v>
      </c>
      <c r="E226" s="409"/>
      <c r="F226" s="410">
        <v>26.714500000000001</v>
      </c>
      <c r="G226" s="410">
        <v>15.32375</v>
      </c>
      <c r="H226" s="409"/>
      <c r="I226" s="409"/>
      <c r="J226" s="411">
        <v>2078.91</v>
      </c>
      <c r="K226" s="410">
        <v>1.06375</v>
      </c>
      <c r="L226" s="410">
        <v>3.2234820000000002</v>
      </c>
      <c r="P226" s="834"/>
      <c r="Q226" s="841"/>
    </row>
    <row r="227" spans="1:26" ht="20.399999999999999" x14ac:dyDescent="0.2">
      <c r="A227" s="412"/>
      <c r="B227" s="412"/>
      <c r="C227" s="412"/>
      <c r="D227" s="395" t="s">
        <v>714</v>
      </c>
      <c r="E227" s="412"/>
      <c r="F227" s="412"/>
      <c r="G227" s="412"/>
      <c r="H227" s="412"/>
      <c r="I227" s="412"/>
      <c r="J227" s="412"/>
      <c r="K227" s="412"/>
      <c r="L227" s="412"/>
      <c r="P227" s="834"/>
      <c r="Q227" s="841"/>
    </row>
    <row r="228" spans="1:26" ht="20.399999999999999" x14ac:dyDescent="0.2">
      <c r="A228" s="412"/>
      <c r="B228" s="412"/>
      <c r="C228" s="412"/>
      <c r="D228" s="395" t="s">
        <v>978</v>
      </c>
      <c r="E228" s="412"/>
      <c r="F228" s="412"/>
      <c r="G228" s="412"/>
      <c r="H228" s="412"/>
      <c r="I228" s="412"/>
      <c r="J228" s="412"/>
      <c r="K228" s="412"/>
      <c r="L228" s="412"/>
      <c r="P228" s="834"/>
      <c r="Q228" s="841"/>
    </row>
    <row r="229" spans="1:26" ht="132.6" x14ac:dyDescent="0.2">
      <c r="A229" s="412"/>
      <c r="B229" s="412"/>
      <c r="C229" s="412"/>
      <c r="D229" s="395" t="s">
        <v>979</v>
      </c>
      <c r="E229" s="412"/>
      <c r="F229" s="412"/>
      <c r="G229" s="412"/>
      <c r="H229" s="412"/>
      <c r="I229" s="412"/>
      <c r="J229" s="412"/>
      <c r="K229" s="412"/>
      <c r="L229" s="412"/>
      <c r="P229" s="834"/>
      <c r="Q229" s="841"/>
    </row>
    <row r="230" spans="1:26" x14ac:dyDescent="0.2">
      <c r="A230" s="412"/>
      <c r="B230" s="412"/>
      <c r="C230" s="412"/>
      <c r="D230" s="413" t="s">
        <v>206</v>
      </c>
      <c r="E230" s="414" t="s">
        <v>1242</v>
      </c>
      <c r="F230" s="414"/>
      <c r="G230" s="414"/>
      <c r="H230" s="415">
        <v>6672.72</v>
      </c>
      <c r="I230" s="412"/>
      <c r="J230" s="412"/>
      <c r="K230" s="412"/>
      <c r="L230" s="412"/>
      <c r="P230" s="834"/>
      <c r="Q230" s="841"/>
    </row>
    <row r="231" spans="1:26" x14ac:dyDescent="0.2">
      <c r="A231" s="412"/>
      <c r="B231" s="412"/>
      <c r="C231" s="412"/>
      <c r="D231" s="413" t="s">
        <v>207</v>
      </c>
      <c r="E231" s="414" t="s">
        <v>1243</v>
      </c>
      <c r="F231" s="414"/>
      <c r="G231" s="414"/>
      <c r="H231" s="415">
        <v>3587.3</v>
      </c>
      <c r="I231" s="412"/>
      <c r="J231" s="412"/>
      <c r="K231" s="412"/>
      <c r="L231" s="412"/>
      <c r="P231" s="834"/>
      <c r="Q231" s="841"/>
    </row>
    <row r="232" spans="1:26" x14ac:dyDescent="0.2">
      <c r="A232" s="412"/>
      <c r="B232" s="412"/>
      <c r="C232" s="412"/>
      <c r="D232" s="416" t="s">
        <v>715</v>
      </c>
      <c r="E232" s="417"/>
      <c r="F232" s="417"/>
      <c r="G232" s="417"/>
      <c r="H232" s="418">
        <v>20714.07</v>
      </c>
      <c r="I232" s="412"/>
      <c r="J232" s="412"/>
      <c r="K232" s="412"/>
      <c r="L232" s="412"/>
      <c r="P232" s="834"/>
      <c r="Q232" s="841"/>
    </row>
    <row r="233" spans="1:26" s="790" customFormat="1" ht="40.799999999999997" x14ac:dyDescent="0.2">
      <c r="A233" s="784">
        <v>32</v>
      </c>
      <c r="B233" s="784">
        <v>32</v>
      </c>
      <c r="C233" s="784" t="s">
        <v>1436</v>
      </c>
      <c r="D233" s="784" t="s">
        <v>1602</v>
      </c>
      <c r="E233" s="785">
        <v>309.09199999999998</v>
      </c>
      <c r="F233" s="786">
        <v>404.4</v>
      </c>
      <c r="G233" s="786" t="s">
        <v>281</v>
      </c>
      <c r="H233" s="787">
        <v>1019972.69</v>
      </c>
      <c r="I233" s="787" t="s">
        <v>281</v>
      </c>
      <c r="J233" s="787" t="s">
        <v>281</v>
      </c>
      <c r="K233" s="786" t="s">
        <v>281</v>
      </c>
      <c r="L233" s="786" t="s">
        <v>281</v>
      </c>
      <c r="M233" s="789">
        <f>30*12</f>
        <v>360</v>
      </c>
      <c r="N233" s="789" t="s">
        <v>2316</v>
      </c>
      <c r="O233" s="789"/>
      <c r="P233" s="834"/>
      <c r="Q233" s="841">
        <f>M233-E233</f>
        <v>50.91</v>
      </c>
      <c r="T233" s="790">
        <v>1019972.69</v>
      </c>
      <c r="V233" s="790" t="s">
        <v>281</v>
      </c>
      <c r="W233" s="790" t="s">
        <v>281</v>
      </c>
      <c r="X233" s="790" t="s">
        <v>281</v>
      </c>
      <c r="Y233" s="790" t="s">
        <v>281</v>
      </c>
      <c r="Z233" s="790" t="s">
        <v>281</v>
      </c>
    </row>
    <row r="234" spans="1:26" x14ac:dyDescent="0.2">
      <c r="A234" s="407"/>
      <c r="B234" s="407"/>
      <c r="C234" s="407"/>
      <c r="D234" s="408" t="s">
        <v>883</v>
      </c>
      <c r="E234" s="409"/>
      <c r="F234" s="410" t="s">
        <v>281</v>
      </c>
      <c r="G234" s="410" t="s">
        <v>281</v>
      </c>
      <c r="H234" s="409"/>
      <c r="I234" s="409"/>
      <c r="J234" s="411" t="s">
        <v>281</v>
      </c>
      <c r="K234" s="410" t="s">
        <v>281</v>
      </c>
      <c r="L234" s="410" t="s">
        <v>281</v>
      </c>
      <c r="P234" s="834"/>
      <c r="Q234" s="841"/>
    </row>
    <row r="235" spans="1:26" x14ac:dyDescent="0.2">
      <c r="A235" s="412"/>
      <c r="B235" s="412"/>
      <c r="C235" s="412"/>
      <c r="D235" s="395" t="s">
        <v>718</v>
      </c>
      <c r="E235" s="412"/>
      <c r="F235" s="412"/>
      <c r="G235" s="412"/>
      <c r="H235" s="412"/>
      <c r="I235" s="412"/>
      <c r="J235" s="412"/>
      <c r="K235" s="412"/>
      <c r="L235" s="412"/>
      <c r="P235" s="834"/>
      <c r="Q235" s="841"/>
    </row>
    <row r="236" spans="1:26" s="817" customFormat="1" ht="71.400000000000006" x14ac:dyDescent="0.2">
      <c r="A236" s="813">
        <v>33</v>
      </c>
      <c r="B236" s="813">
        <v>33</v>
      </c>
      <c r="C236" s="813" t="s">
        <v>1437</v>
      </c>
      <c r="D236" s="813" t="s">
        <v>1395</v>
      </c>
      <c r="E236" s="814">
        <v>3</v>
      </c>
      <c r="F236" s="815">
        <v>46.497075000000002</v>
      </c>
      <c r="G236" s="815">
        <v>15.625624999999999</v>
      </c>
      <c r="H236" s="816">
        <v>3993.78</v>
      </c>
      <c r="I236" s="816">
        <v>3200.79</v>
      </c>
      <c r="J236" s="816">
        <v>620.64</v>
      </c>
      <c r="K236" s="815">
        <v>2.5656500000000002</v>
      </c>
      <c r="L236" s="815">
        <v>7.6969500000000002</v>
      </c>
      <c r="M236" s="819">
        <v>0</v>
      </c>
      <c r="N236" s="819" t="s">
        <v>2308</v>
      </c>
      <c r="O236" s="819"/>
      <c r="P236" s="834"/>
      <c r="Q236" s="841"/>
      <c r="T236" s="817">
        <v>9752</v>
      </c>
      <c r="V236" s="817">
        <v>3200.79</v>
      </c>
      <c r="W236" s="817">
        <v>620.64</v>
      </c>
      <c r="X236" s="817" t="s">
        <v>281</v>
      </c>
      <c r="Y236" s="817">
        <v>7.6969500000000002</v>
      </c>
      <c r="Z236" s="817" t="s">
        <v>281</v>
      </c>
    </row>
    <row r="237" spans="1:26" x14ac:dyDescent="0.2">
      <c r="A237" s="407"/>
      <c r="B237" s="407"/>
      <c r="C237" s="407"/>
      <c r="D237" s="408" t="s">
        <v>735</v>
      </c>
      <c r="E237" s="409"/>
      <c r="F237" s="410">
        <v>23.83145</v>
      </c>
      <c r="G237" s="410" t="s">
        <v>281</v>
      </c>
      <c r="H237" s="409"/>
      <c r="I237" s="409"/>
      <c r="J237" s="411" t="s">
        <v>281</v>
      </c>
      <c r="K237" s="410" t="s">
        <v>281</v>
      </c>
      <c r="L237" s="410" t="s">
        <v>281</v>
      </c>
      <c r="P237" s="834"/>
      <c r="Q237" s="841"/>
    </row>
    <row r="238" spans="1:26" ht="20.399999999999999" x14ac:dyDescent="0.2">
      <c r="A238" s="412"/>
      <c r="B238" s="412"/>
      <c r="C238" s="412"/>
      <c r="D238" s="395" t="s">
        <v>714</v>
      </c>
      <c r="E238" s="412"/>
      <c r="F238" s="412"/>
      <c r="G238" s="412"/>
      <c r="H238" s="412"/>
      <c r="I238" s="412"/>
      <c r="J238" s="412"/>
      <c r="K238" s="412"/>
      <c r="L238" s="412"/>
      <c r="P238" s="834"/>
      <c r="Q238" s="841"/>
    </row>
    <row r="239" spans="1:26" ht="20.399999999999999" x14ac:dyDescent="0.2">
      <c r="A239" s="412"/>
      <c r="B239" s="412"/>
      <c r="C239" s="412"/>
      <c r="D239" s="395" t="s">
        <v>978</v>
      </c>
      <c r="E239" s="412"/>
      <c r="F239" s="412"/>
      <c r="G239" s="412"/>
      <c r="H239" s="412"/>
      <c r="I239" s="412"/>
      <c r="J239" s="412"/>
      <c r="K239" s="412"/>
      <c r="L239" s="412"/>
      <c r="P239" s="834"/>
      <c r="Q239" s="841"/>
    </row>
    <row r="240" spans="1:26" ht="132.6" x14ac:dyDescent="0.2">
      <c r="A240" s="412"/>
      <c r="B240" s="412"/>
      <c r="C240" s="412"/>
      <c r="D240" s="395" t="s">
        <v>979</v>
      </c>
      <c r="E240" s="412"/>
      <c r="F240" s="412"/>
      <c r="G240" s="412"/>
      <c r="H240" s="412"/>
      <c r="I240" s="412"/>
      <c r="J240" s="412"/>
      <c r="K240" s="412"/>
      <c r="L240" s="412"/>
      <c r="P240" s="834"/>
      <c r="Q240" s="841"/>
    </row>
    <row r="241" spans="1:26" x14ac:dyDescent="0.2">
      <c r="A241" s="412"/>
      <c r="B241" s="412"/>
      <c r="C241" s="412"/>
      <c r="D241" s="413" t="s">
        <v>206</v>
      </c>
      <c r="E241" s="414" t="s">
        <v>1242</v>
      </c>
      <c r="F241" s="414"/>
      <c r="G241" s="414"/>
      <c r="H241" s="415">
        <v>3744.92</v>
      </c>
      <c r="I241" s="412"/>
      <c r="J241" s="412"/>
      <c r="K241" s="412"/>
      <c r="L241" s="412"/>
      <c r="P241" s="834"/>
      <c r="Q241" s="841"/>
    </row>
    <row r="242" spans="1:26" x14ac:dyDescent="0.2">
      <c r="A242" s="412"/>
      <c r="B242" s="412"/>
      <c r="C242" s="412"/>
      <c r="D242" s="413" t="s">
        <v>207</v>
      </c>
      <c r="E242" s="414" t="s">
        <v>1243</v>
      </c>
      <c r="F242" s="414"/>
      <c r="G242" s="414"/>
      <c r="H242" s="415">
        <v>2013.3</v>
      </c>
      <c r="I242" s="412"/>
      <c r="J242" s="412"/>
      <c r="K242" s="412"/>
      <c r="L242" s="412"/>
      <c r="P242" s="834"/>
      <c r="Q242" s="841"/>
    </row>
    <row r="243" spans="1:26" x14ac:dyDescent="0.2">
      <c r="A243" s="412"/>
      <c r="B243" s="412"/>
      <c r="C243" s="412"/>
      <c r="D243" s="416" t="s">
        <v>715</v>
      </c>
      <c r="E243" s="417"/>
      <c r="F243" s="417"/>
      <c r="G243" s="417"/>
      <c r="H243" s="418">
        <v>9752</v>
      </c>
      <c r="I243" s="412"/>
      <c r="J243" s="412"/>
      <c r="K243" s="412"/>
      <c r="L243" s="412"/>
      <c r="P243" s="834"/>
      <c r="Q243" s="841"/>
    </row>
    <row r="244" spans="1:26" s="817" customFormat="1" ht="20.399999999999999" x14ac:dyDescent="0.2">
      <c r="A244" s="813">
        <v>34</v>
      </c>
      <c r="B244" s="813">
        <v>34</v>
      </c>
      <c r="C244" s="813" t="s">
        <v>1438</v>
      </c>
      <c r="D244" s="813" t="s">
        <v>1601</v>
      </c>
      <c r="E244" s="814">
        <v>1</v>
      </c>
      <c r="F244" s="815">
        <v>1356.1</v>
      </c>
      <c r="G244" s="815" t="s">
        <v>281</v>
      </c>
      <c r="H244" s="816">
        <v>11065.78</v>
      </c>
      <c r="I244" s="816" t="s">
        <v>281</v>
      </c>
      <c r="J244" s="816" t="s">
        <v>281</v>
      </c>
      <c r="K244" s="815" t="s">
        <v>281</v>
      </c>
      <c r="L244" s="815" t="s">
        <v>281</v>
      </c>
      <c r="M244" s="819">
        <v>0</v>
      </c>
      <c r="N244" s="819" t="s">
        <v>2308</v>
      </c>
      <c r="O244" s="819"/>
      <c r="P244" s="834"/>
      <c r="Q244" s="841"/>
      <c r="T244" s="817">
        <v>11065.78</v>
      </c>
      <c r="V244" s="817" t="s">
        <v>281</v>
      </c>
      <c r="W244" s="817" t="s">
        <v>281</v>
      </c>
      <c r="X244" s="817" t="s">
        <v>281</v>
      </c>
      <c r="Y244" s="817" t="s">
        <v>281</v>
      </c>
      <c r="Z244" s="817" t="s">
        <v>281</v>
      </c>
    </row>
    <row r="245" spans="1:26" x14ac:dyDescent="0.2">
      <c r="A245" s="407"/>
      <c r="B245" s="407"/>
      <c r="C245" s="407"/>
      <c r="D245" s="408" t="s">
        <v>735</v>
      </c>
      <c r="E245" s="409"/>
      <c r="F245" s="410" t="s">
        <v>281</v>
      </c>
      <c r="G245" s="410" t="s">
        <v>281</v>
      </c>
      <c r="H245" s="409"/>
      <c r="I245" s="409"/>
      <c r="J245" s="411" t="s">
        <v>281</v>
      </c>
      <c r="K245" s="410" t="s">
        <v>281</v>
      </c>
      <c r="L245" s="410" t="s">
        <v>281</v>
      </c>
      <c r="P245" s="834"/>
      <c r="Q245" s="841"/>
    </row>
    <row r="246" spans="1:26" x14ac:dyDescent="0.2">
      <c r="A246" s="412"/>
      <c r="B246" s="412"/>
      <c r="C246" s="412"/>
      <c r="D246" s="395" t="s">
        <v>718</v>
      </c>
      <c r="E246" s="412"/>
      <c r="F246" s="412"/>
      <c r="G246" s="412"/>
      <c r="H246" s="412"/>
      <c r="I246" s="412"/>
      <c r="J246" s="412"/>
      <c r="K246" s="412"/>
      <c r="L246" s="412"/>
      <c r="P246" s="834"/>
      <c r="Q246" s="841"/>
    </row>
    <row r="247" spans="1:26" s="817" customFormat="1" ht="20.399999999999999" x14ac:dyDescent="0.2">
      <c r="A247" s="813">
        <v>35</v>
      </c>
      <c r="B247" s="813">
        <v>35</v>
      </c>
      <c r="C247" s="813" t="s">
        <v>1439</v>
      </c>
      <c r="D247" s="813" t="s">
        <v>1600</v>
      </c>
      <c r="E247" s="814">
        <v>2</v>
      </c>
      <c r="F247" s="815">
        <v>1315.4</v>
      </c>
      <c r="G247" s="815" t="s">
        <v>281</v>
      </c>
      <c r="H247" s="816">
        <v>21467.32</v>
      </c>
      <c r="I247" s="816" t="s">
        <v>281</v>
      </c>
      <c r="J247" s="816" t="s">
        <v>281</v>
      </c>
      <c r="K247" s="815" t="s">
        <v>281</v>
      </c>
      <c r="L247" s="815" t="s">
        <v>281</v>
      </c>
      <c r="M247" s="819">
        <v>0</v>
      </c>
      <c r="N247" s="819" t="s">
        <v>2308</v>
      </c>
      <c r="O247" s="819"/>
      <c r="P247" s="834"/>
      <c r="Q247" s="841"/>
      <c r="T247" s="817">
        <v>21467.32</v>
      </c>
      <c r="V247" s="817" t="s">
        <v>281</v>
      </c>
      <c r="W247" s="817" t="s">
        <v>281</v>
      </c>
      <c r="X247" s="817" t="s">
        <v>281</v>
      </c>
      <c r="Y247" s="817" t="s">
        <v>281</v>
      </c>
      <c r="Z247" s="817" t="s">
        <v>281</v>
      </c>
    </row>
    <row r="248" spans="1:26" x14ac:dyDescent="0.2">
      <c r="A248" s="407"/>
      <c r="B248" s="407"/>
      <c r="C248" s="407"/>
      <c r="D248" s="408" t="s">
        <v>735</v>
      </c>
      <c r="E248" s="409"/>
      <c r="F248" s="410" t="s">
        <v>281</v>
      </c>
      <c r="G248" s="410" t="s">
        <v>281</v>
      </c>
      <c r="H248" s="409"/>
      <c r="I248" s="409"/>
      <c r="J248" s="411" t="s">
        <v>281</v>
      </c>
      <c r="K248" s="410" t="s">
        <v>281</v>
      </c>
      <c r="L248" s="410" t="s">
        <v>281</v>
      </c>
      <c r="P248" s="834"/>
      <c r="Q248" s="841"/>
    </row>
    <row r="249" spans="1:26" x14ac:dyDescent="0.2">
      <c r="A249" s="412"/>
      <c r="B249" s="412"/>
      <c r="C249" s="412"/>
      <c r="D249" s="395" t="s">
        <v>718</v>
      </c>
      <c r="E249" s="412"/>
      <c r="F249" s="412"/>
      <c r="G249" s="412"/>
      <c r="H249" s="412"/>
      <c r="I249" s="412"/>
      <c r="J249" s="412"/>
      <c r="K249" s="412"/>
      <c r="L249" s="412"/>
      <c r="P249" s="834"/>
      <c r="Q249" s="841"/>
    </row>
    <row r="250" spans="1:26" s="817" customFormat="1" ht="20.399999999999999" x14ac:dyDescent="0.2">
      <c r="A250" s="813">
        <v>36</v>
      </c>
      <c r="B250" s="813">
        <v>36</v>
      </c>
      <c r="C250" s="813" t="s">
        <v>1440</v>
      </c>
      <c r="D250" s="813" t="s">
        <v>1598</v>
      </c>
      <c r="E250" s="814">
        <v>6</v>
      </c>
      <c r="F250" s="815">
        <v>388.44</v>
      </c>
      <c r="G250" s="815" t="s">
        <v>281</v>
      </c>
      <c r="H250" s="816">
        <v>19018.02</v>
      </c>
      <c r="I250" s="816" t="s">
        <v>281</v>
      </c>
      <c r="J250" s="816" t="s">
        <v>281</v>
      </c>
      <c r="K250" s="815" t="s">
        <v>281</v>
      </c>
      <c r="L250" s="815" t="s">
        <v>281</v>
      </c>
      <c r="M250" s="819">
        <v>0</v>
      </c>
      <c r="N250" s="819" t="s">
        <v>2308</v>
      </c>
      <c r="O250" s="819"/>
      <c r="P250" s="834"/>
      <c r="Q250" s="841"/>
      <c r="T250" s="817">
        <v>19018.02</v>
      </c>
      <c r="V250" s="817" t="s">
        <v>281</v>
      </c>
      <c r="W250" s="817" t="s">
        <v>281</v>
      </c>
      <c r="X250" s="817" t="s">
        <v>281</v>
      </c>
      <c r="Y250" s="817" t="s">
        <v>281</v>
      </c>
      <c r="Z250" s="817" t="s">
        <v>281</v>
      </c>
    </row>
    <row r="251" spans="1:26" x14ac:dyDescent="0.2">
      <c r="A251" s="407"/>
      <c r="B251" s="407"/>
      <c r="C251" s="407"/>
      <c r="D251" s="408" t="s">
        <v>735</v>
      </c>
      <c r="E251" s="409"/>
      <c r="F251" s="410" t="s">
        <v>281</v>
      </c>
      <c r="G251" s="410" t="s">
        <v>281</v>
      </c>
      <c r="H251" s="409"/>
      <c r="I251" s="409"/>
      <c r="J251" s="411" t="s">
        <v>281</v>
      </c>
      <c r="K251" s="410" t="s">
        <v>281</v>
      </c>
      <c r="L251" s="410" t="s">
        <v>281</v>
      </c>
      <c r="P251" s="834"/>
      <c r="Q251" s="841"/>
    </row>
    <row r="252" spans="1:26" x14ac:dyDescent="0.2">
      <c r="A252" s="412"/>
      <c r="B252" s="412"/>
      <c r="C252" s="412"/>
      <c r="D252" s="395" t="s">
        <v>718</v>
      </c>
      <c r="E252" s="412"/>
      <c r="F252" s="412"/>
      <c r="G252" s="412"/>
      <c r="H252" s="412"/>
      <c r="I252" s="412"/>
      <c r="J252" s="412"/>
      <c r="K252" s="412"/>
      <c r="L252" s="412"/>
      <c r="P252" s="834"/>
      <c r="Q252" s="841"/>
    </row>
    <row r="253" spans="1:26" s="817" customFormat="1" ht="51" x14ac:dyDescent="0.2">
      <c r="A253" s="813">
        <v>37</v>
      </c>
      <c r="B253" s="813">
        <v>37</v>
      </c>
      <c r="C253" s="813" t="s">
        <v>1441</v>
      </c>
      <c r="D253" s="813" t="s">
        <v>1396</v>
      </c>
      <c r="E253" s="814">
        <v>1</v>
      </c>
      <c r="F253" s="815">
        <v>33.586874999999999</v>
      </c>
      <c r="G253" s="815">
        <v>10.364375000000001</v>
      </c>
      <c r="H253" s="816">
        <v>956.13</v>
      </c>
      <c r="I253" s="816">
        <v>769.71</v>
      </c>
      <c r="J253" s="816">
        <v>137.22</v>
      </c>
      <c r="K253" s="815">
        <v>1.732475</v>
      </c>
      <c r="L253" s="815">
        <v>1.732475</v>
      </c>
      <c r="M253" s="819">
        <v>0</v>
      </c>
      <c r="N253" s="819" t="s">
        <v>2308</v>
      </c>
      <c r="O253" s="819"/>
      <c r="P253" s="834"/>
      <c r="Q253" s="841"/>
      <c r="T253" s="817">
        <v>2340.84</v>
      </c>
      <c r="V253" s="817">
        <v>769.71</v>
      </c>
      <c r="W253" s="817">
        <v>137.22</v>
      </c>
      <c r="X253" s="817" t="s">
        <v>281</v>
      </c>
      <c r="Y253" s="817">
        <v>1.732475</v>
      </c>
      <c r="Z253" s="817" t="s">
        <v>281</v>
      </c>
    </row>
    <row r="254" spans="1:26" x14ac:dyDescent="0.2">
      <c r="A254" s="407"/>
      <c r="B254" s="407"/>
      <c r="C254" s="407"/>
      <c r="D254" s="408" t="s">
        <v>735</v>
      </c>
      <c r="E254" s="409"/>
      <c r="F254" s="410">
        <v>17.192499999999999</v>
      </c>
      <c r="G254" s="410" t="s">
        <v>281</v>
      </c>
      <c r="H254" s="409"/>
      <c r="I254" s="409"/>
      <c r="J254" s="411" t="s">
        <v>281</v>
      </c>
      <c r="K254" s="410" t="s">
        <v>281</v>
      </c>
      <c r="L254" s="410" t="s">
        <v>281</v>
      </c>
      <c r="P254" s="834"/>
      <c r="Q254" s="841"/>
    </row>
    <row r="255" spans="1:26" ht="20.399999999999999" x14ac:dyDescent="0.2">
      <c r="A255" s="412"/>
      <c r="B255" s="412"/>
      <c r="C255" s="412"/>
      <c r="D255" s="395" t="s">
        <v>714</v>
      </c>
      <c r="E255" s="412"/>
      <c r="F255" s="412"/>
      <c r="G255" s="412"/>
      <c r="H255" s="412"/>
      <c r="I255" s="412"/>
      <c r="J255" s="412"/>
      <c r="K255" s="412"/>
      <c r="L255" s="412"/>
      <c r="P255" s="834"/>
      <c r="Q255" s="841"/>
    </row>
    <row r="256" spans="1:26" ht="20.399999999999999" x14ac:dyDescent="0.2">
      <c r="A256" s="412"/>
      <c r="B256" s="412"/>
      <c r="C256" s="412"/>
      <c r="D256" s="395" t="s">
        <v>978</v>
      </c>
      <c r="E256" s="412"/>
      <c r="F256" s="412"/>
      <c r="G256" s="412"/>
      <c r="H256" s="412"/>
      <c r="I256" s="412"/>
      <c r="J256" s="412"/>
      <c r="K256" s="412"/>
      <c r="L256" s="412"/>
      <c r="P256" s="834"/>
      <c r="Q256" s="841"/>
    </row>
    <row r="257" spans="1:26" ht="132.6" x14ac:dyDescent="0.2">
      <c r="A257" s="412"/>
      <c r="B257" s="412"/>
      <c r="C257" s="412"/>
      <c r="D257" s="395" t="s">
        <v>979</v>
      </c>
      <c r="E257" s="412"/>
      <c r="F257" s="412"/>
      <c r="G257" s="412"/>
      <c r="H257" s="412"/>
      <c r="I257" s="412"/>
      <c r="J257" s="412"/>
      <c r="K257" s="412"/>
      <c r="L257" s="412"/>
      <c r="P257" s="834"/>
      <c r="Q257" s="841"/>
    </row>
    <row r="258" spans="1:26" x14ac:dyDescent="0.2">
      <c r="A258" s="412"/>
      <c r="B258" s="412"/>
      <c r="C258" s="412"/>
      <c r="D258" s="413" t="s">
        <v>206</v>
      </c>
      <c r="E258" s="414" t="s">
        <v>1242</v>
      </c>
      <c r="F258" s="414"/>
      <c r="G258" s="414"/>
      <c r="H258" s="415">
        <v>900.56</v>
      </c>
      <c r="I258" s="412"/>
      <c r="J258" s="412"/>
      <c r="K258" s="412"/>
      <c r="L258" s="412"/>
      <c r="P258" s="834"/>
      <c r="Q258" s="841"/>
    </row>
    <row r="259" spans="1:26" x14ac:dyDescent="0.2">
      <c r="A259" s="412"/>
      <c r="B259" s="412"/>
      <c r="C259" s="412"/>
      <c r="D259" s="413" t="s">
        <v>207</v>
      </c>
      <c r="E259" s="414" t="s">
        <v>1243</v>
      </c>
      <c r="F259" s="414"/>
      <c r="G259" s="414"/>
      <c r="H259" s="415">
        <v>484.15</v>
      </c>
      <c r="I259" s="412"/>
      <c r="J259" s="412"/>
      <c r="K259" s="412"/>
      <c r="L259" s="412"/>
      <c r="P259" s="834"/>
      <c r="Q259" s="841"/>
    </row>
    <row r="260" spans="1:26" x14ac:dyDescent="0.2">
      <c r="A260" s="412"/>
      <c r="B260" s="412"/>
      <c r="C260" s="412"/>
      <c r="D260" s="416" t="s">
        <v>715</v>
      </c>
      <c r="E260" s="417"/>
      <c r="F260" s="417"/>
      <c r="G260" s="417"/>
      <c r="H260" s="418">
        <v>2340.84</v>
      </c>
      <c r="I260" s="412"/>
      <c r="J260" s="412"/>
      <c r="K260" s="412"/>
      <c r="L260" s="412"/>
      <c r="P260" s="834"/>
      <c r="Q260" s="841"/>
    </row>
    <row r="261" spans="1:26" s="817" customFormat="1" ht="30.6" x14ac:dyDescent="0.2">
      <c r="A261" s="813">
        <v>38</v>
      </c>
      <c r="B261" s="813">
        <v>38</v>
      </c>
      <c r="C261" s="813" t="s">
        <v>1442</v>
      </c>
      <c r="D261" s="813" t="s">
        <v>1599</v>
      </c>
      <c r="E261" s="814">
        <v>1</v>
      </c>
      <c r="F261" s="815">
        <v>1245.8</v>
      </c>
      <c r="G261" s="815" t="s">
        <v>281</v>
      </c>
      <c r="H261" s="816">
        <v>10165.73</v>
      </c>
      <c r="I261" s="816" t="s">
        <v>281</v>
      </c>
      <c r="J261" s="816" t="s">
        <v>281</v>
      </c>
      <c r="K261" s="815" t="s">
        <v>281</v>
      </c>
      <c r="L261" s="815" t="s">
        <v>281</v>
      </c>
      <c r="M261" s="819">
        <v>0</v>
      </c>
      <c r="N261" s="819" t="s">
        <v>2308</v>
      </c>
      <c r="O261" s="819"/>
      <c r="P261" s="834"/>
      <c r="Q261" s="841"/>
      <c r="T261" s="817">
        <v>10165.73</v>
      </c>
      <c r="V261" s="817" t="s">
        <v>281</v>
      </c>
      <c r="W261" s="817" t="s">
        <v>281</v>
      </c>
      <c r="X261" s="817" t="s">
        <v>281</v>
      </c>
      <c r="Y261" s="817" t="s">
        <v>281</v>
      </c>
      <c r="Z261" s="817" t="s">
        <v>281</v>
      </c>
    </row>
    <row r="262" spans="1:26" x14ac:dyDescent="0.2">
      <c r="A262" s="407"/>
      <c r="B262" s="407"/>
      <c r="C262" s="407"/>
      <c r="D262" s="408" t="s">
        <v>735</v>
      </c>
      <c r="E262" s="409"/>
      <c r="F262" s="410" t="s">
        <v>281</v>
      </c>
      <c r="G262" s="410" t="s">
        <v>281</v>
      </c>
      <c r="H262" s="409"/>
      <c r="I262" s="409"/>
      <c r="J262" s="411" t="s">
        <v>281</v>
      </c>
      <c r="K262" s="410" t="s">
        <v>281</v>
      </c>
      <c r="L262" s="410" t="s">
        <v>281</v>
      </c>
      <c r="P262" s="834"/>
      <c r="Q262" s="841"/>
    </row>
    <row r="263" spans="1:26" x14ac:dyDescent="0.2">
      <c r="A263" s="412"/>
      <c r="B263" s="412"/>
      <c r="C263" s="412"/>
      <c r="D263" s="395" t="s">
        <v>718</v>
      </c>
      <c r="E263" s="412"/>
      <c r="F263" s="412"/>
      <c r="G263" s="412"/>
      <c r="H263" s="412"/>
      <c r="I263" s="412"/>
      <c r="J263" s="412"/>
      <c r="K263" s="412"/>
      <c r="L263" s="412"/>
      <c r="P263" s="834"/>
      <c r="Q263" s="841"/>
    </row>
    <row r="264" spans="1:26" s="817" customFormat="1" ht="20.399999999999999" x14ac:dyDescent="0.2">
      <c r="A264" s="813">
        <v>39</v>
      </c>
      <c r="B264" s="813">
        <v>39</v>
      </c>
      <c r="C264" s="813" t="s">
        <v>1440</v>
      </c>
      <c r="D264" s="813" t="s">
        <v>1598</v>
      </c>
      <c r="E264" s="814">
        <v>1</v>
      </c>
      <c r="F264" s="815">
        <v>388.44</v>
      </c>
      <c r="G264" s="815" t="s">
        <v>281</v>
      </c>
      <c r="H264" s="816">
        <v>3169.67</v>
      </c>
      <c r="I264" s="816" t="s">
        <v>281</v>
      </c>
      <c r="J264" s="816" t="s">
        <v>281</v>
      </c>
      <c r="K264" s="815" t="s">
        <v>281</v>
      </c>
      <c r="L264" s="815" t="s">
        <v>281</v>
      </c>
      <c r="M264" s="819">
        <v>0</v>
      </c>
      <c r="N264" s="819" t="s">
        <v>2308</v>
      </c>
      <c r="O264" s="819"/>
      <c r="P264" s="834"/>
      <c r="Q264" s="841"/>
      <c r="T264" s="817">
        <v>3169.67</v>
      </c>
      <c r="V264" s="817" t="s">
        <v>281</v>
      </c>
      <c r="W264" s="817" t="s">
        <v>281</v>
      </c>
      <c r="X264" s="817" t="s">
        <v>281</v>
      </c>
      <c r="Y264" s="817" t="s">
        <v>281</v>
      </c>
      <c r="Z264" s="817" t="s">
        <v>281</v>
      </c>
    </row>
    <row r="265" spans="1:26" x14ac:dyDescent="0.2">
      <c r="A265" s="407"/>
      <c r="B265" s="407"/>
      <c r="C265" s="407"/>
      <c r="D265" s="408" t="s">
        <v>735</v>
      </c>
      <c r="E265" s="409"/>
      <c r="F265" s="410" t="s">
        <v>281</v>
      </c>
      <c r="G265" s="410" t="s">
        <v>281</v>
      </c>
      <c r="H265" s="409"/>
      <c r="I265" s="409"/>
      <c r="J265" s="411" t="s">
        <v>281</v>
      </c>
      <c r="K265" s="410" t="s">
        <v>281</v>
      </c>
      <c r="L265" s="410" t="s">
        <v>281</v>
      </c>
      <c r="P265" s="834"/>
      <c r="Q265" s="841"/>
    </row>
    <row r="266" spans="1:26" x14ac:dyDescent="0.2">
      <c r="A266" s="412"/>
      <c r="B266" s="412"/>
      <c r="C266" s="412"/>
      <c r="D266" s="395" t="s">
        <v>718</v>
      </c>
      <c r="E266" s="412"/>
      <c r="F266" s="412"/>
      <c r="G266" s="412"/>
      <c r="H266" s="412"/>
      <c r="I266" s="412"/>
      <c r="J266" s="412"/>
      <c r="K266" s="412"/>
      <c r="L266" s="412"/>
      <c r="P266" s="834"/>
      <c r="Q266" s="841"/>
    </row>
    <row r="267" spans="1:26" s="790" customFormat="1" ht="61.2" x14ac:dyDescent="0.2">
      <c r="A267" s="784">
        <v>40</v>
      </c>
      <c r="B267" s="784">
        <v>40</v>
      </c>
      <c r="C267" s="784" t="s">
        <v>1443</v>
      </c>
      <c r="D267" s="784" t="s">
        <v>1397</v>
      </c>
      <c r="E267" s="785">
        <v>44</v>
      </c>
      <c r="F267" s="786">
        <v>24.774100000000001</v>
      </c>
      <c r="G267" s="786">
        <v>8.0787499999999994</v>
      </c>
      <c r="H267" s="787">
        <v>31279.599999999999</v>
      </c>
      <c r="I267" s="787">
        <v>25165.8</v>
      </c>
      <c r="J267" s="787">
        <v>4706.24</v>
      </c>
      <c r="K267" s="786">
        <v>1.3754</v>
      </c>
      <c r="L267" s="786">
        <v>60.517600000000002</v>
      </c>
      <c r="M267" s="789">
        <v>31</v>
      </c>
      <c r="N267" s="789" t="s">
        <v>2315</v>
      </c>
      <c r="O267" s="789"/>
      <c r="P267" s="834"/>
      <c r="Q267" s="841">
        <f>M267-E267</f>
        <v>-13</v>
      </c>
      <c r="T267" s="790">
        <v>76552.88</v>
      </c>
      <c r="V267" s="790">
        <v>25165.8</v>
      </c>
      <c r="W267" s="790">
        <v>4706.24</v>
      </c>
      <c r="X267" s="790" t="s">
        <v>281</v>
      </c>
      <c r="Y267" s="790">
        <v>60.517600000000002</v>
      </c>
      <c r="Z267" s="790" t="s">
        <v>281</v>
      </c>
    </row>
    <row r="268" spans="1:26" x14ac:dyDescent="0.2">
      <c r="A268" s="407"/>
      <c r="B268" s="407"/>
      <c r="C268" s="407"/>
      <c r="D268" s="408" t="s">
        <v>1425</v>
      </c>
      <c r="E268" s="409"/>
      <c r="F268" s="410">
        <v>12.77535</v>
      </c>
      <c r="G268" s="410" t="s">
        <v>281</v>
      </c>
      <c r="H268" s="409"/>
      <c r="I268" s="409"/>
      <c r="J268" s="411" t="s">
        <v>281</v>
      </c>
      <c r="K268" s="410" t="s">
        <v>281</v>
      </c>
      <c r="L268" s="410" t="s">
        <v>281</v>
      </c>
      <c r="P268" s="834"/>
      <c r="Q268" s="841"/>
    </row>
    <row r="269" spans="1:26" ht="20.399999999999999" x14ac:dyDescent="0.2">
      <c r="A269" s="412"/>
      <c r="B269" s="412"/>
      <c r="C269" s="412"/>
      <c r="D269" s="395" t="s">
        <v>714</v>
      </c>
      <c r="E269" s="412"/>
      <c r="F269" s="412"/>
      <c r="G269" s="412"/>
      <c r="H269" s="412"/>
      <c r="I269" s="412"/>
      <c r="J269" s="412"/>
      <c r="K269" s="412"/>
      <c r="L269" s="412"/>
      <c r="P269" s="834"/>
      <c r="Q269" s="841"/>
    </row>
    <row r="270" spans="1:26" ht="20.399999999999999" x14ac:dyDescent="0.2">
      <c r="A270" s="412"/>
      <c r="B270" s="412"/>
      <c r="C270" s="412"/>
      <c r="D270" s="395" t="s">
        <v>978</v>
      </c>
      <c r="E270" s="412"/>
      <c r="F270" s="412"/>
      <c r="G270" s="412"/>
      <c r="H270" s="412"/>
      <c r="I270" s="412"/>
      <c r="J270" s="412"/>
      <c r="K270" s="412"/>
      <c r="L270" s="412"/>
      <c r="P270" s="834"/>
      <c r="Q270" s="841"/>
    </row>
    <row r="271" spans="1:26" ht="132.6" x14ac:dyDescent="0.2">
      <c r="A271" s="412"/>
      <c r="B271" s="412"/>
      <c r="C271" s="412"/>
      <c r="D271" s="395" t="s">
        <v>979</v>
      </c>
      <c r="E271" s="412"/>
      <c r="F271" s="412"/>
      <c r="G271" s="412"/>
      <c r="H271" s="412"/>
      <c r="I271" s="412"/>
      <c r="J271" s="412"/>
      <c r="K271" s="412"/>
      <c r="L271" s="412"/>
      <c r="P271" s="834"/>
      <c r="Q271" s="841"/>
    </row>
    <row r="272" spans="1:26" x14ac:dyDescent="0.2">
      <c r="A272" s="412"/>
      <c r="B272" s="412"/>
      <c r="C272" s="412"/>
      <c r="D272" s="413" t="s">
        <v>206</v>
      </c>
      <c r="E272" s="414" t="s">
        <v>1242</v>
      </c>
      <c r="F272" s="414"/>
      <c r="G272" s="414"/>
      <c r="H272" s="415">
        <v>29443.99</v>
      </c>
      <c r="I272" s="412"/>
      <c r="J272" s="412"/>
      <c r="K272" s="412"/>
      <c r="L272" s="412"/>
      <c r="P272" s="834"/>
      <c r="Q272" s="841"/>
    </row>
    <row r="273" spans="1:26" x14ac:dyDescent="0.2">
      <c r="A273" s="412"/>
      <c r="B273" s="412"/>
      <c r="C273" s="412"/>
      <c r="D273" s="413" t="s">
        <v>207</v>
      </c>
      <c r="E273" s="414" t="s">
        <v>1243</v>
      </c>
      <c r="F273" s="414"/>
      <c r="G273" s="414"/>
      <c r="H273" s="415">
        <v>15829.29</v>
      </c>
      <c r="I273" s="412"/>
      <c r="J273" s="412"/>
      <c r="K273" s="412"/>
      <c r="L273" s="412"/>
      <c r="P273" s="834"/>
      <c r="Q273" s="841"/>
    </row>
    <row r="274" spans="1:26" x14ac:dyDescent="0.2">
      <c r="A274" s="412"/>
      <c r="B274" s="412"/>
      <c r="C274" s="412"/>
      <c r="D274" s="416" t="s">
        <v>715</v>
      </c>
      <c r="E274" s="417"/>
      <c r="F274" s="417"/>
      <c r="G274" s="417"/>
      <c r="H274" s="418">
        <v>76552.88</v>
      </c>
      <c r="I274" s="412"/>
      <c r="J274" s="412"/>
      <c r="K274" s="412"/>
      <c r="L274" s="412"/>
      <c r="P274" s="834"/>
      <c r="Q274" s="841"/>
    </row>
    <row r="275" spans="1:26" s="790" customFormat="1" ht="20.399999999999999" x14ac:dyDescent="0.2">
      <c r="A275" s="784">
        <v>41</v>
      </c>
      <c r="B275" s="784">
        <v>41</v>
      </c>
      <c r="C275" s="784" t="s">
        <v>1440</v>
      </c>
      <c r="D275" s="784" t="s">
        <v>1598</v>
      </c>
      <c r="E275" s="785">
        <v>44</v>
      </c>
      <c r="F275" s="786">
        <v>388.44</v>
      </c>
      <c r="G275" s="786" t="s">
        <v>281</v>
      </c>
      <c r="H275" s="787">
        <v>139465.48000000001</v>
      </c>
      <c r="I275" s="787" t="s">
        <v>281</v>
      </c>
      <c r="J275" s="787" t="s">
        <v>281</v>
      </c>
      <c r="K275" s="786" t="s">
        <v>281</v>
      </c>
      <c r="L275" s="786" t="s">
        <v>281</v>
      </c>
      <c r="M275" s="789">
        <v>31</v>
      </c>
      <c r="N275" s="789" t="s">
        <v>2315</v>
      </c>
      <c r="O275" s="789"/>
      <c r="P275" s="834"/>
      <c r="Q275" s="841">
        <f>M275-E275</f>
        <v>-13</v>
      </c>
      <c r="T275" s="790">
        <v>139465.48000000001</v>
      </c>
      <c r="V275" s="790" t="s">
        <v>281</v>
      </c>
      <c r="W275" s="790" t="s">
        <v>281</v>
      </c>
      <c r="X275" s="790" t="s">
        <v>281</v>
      </c>
      <c r="Y275" s="790" t="s">
        <v>281</v>
      </c>
      <c r="Z275" s="790" t="s">
        <v>281</v>
      </c>
    </row>
    <row r="276" spans="1:26" x14ac:dyDescent="0.2">
      <c r="A276" s="407"/>
      <c r="B276" s="407"/>
      <c r="C276" s="407"/>
      <c r="D276" s="408" t="s">
        <v>735</v>
      </c>
      <c r="E276" s="409"/>
      <c r="F276" s="410" t="s">
        <v>281</v>
      </c>
      <c r="G276" s="410" t="s">
        <v>281</v>
      </c>
      <c r="H276" s="409"/>
      <c r="I276" s="409"/>
      <c r="J276" s="411" t="s">
        <v>281</v>
      </c>
      <c r="K276" s="410" t="s">
        <v>281</v>
      </c>
      <c r="L276" s="410" t="s">
        <v>281</v>
      </c>
      <c r="P276" s="834"/>
      <c r="Q276" s="841"/>
    </row>
    <row r="277" spans="1:26" x14ac:dyDescent="0.2">
      <c r="A277" s="412"/>
      <c r="B277" s="412"/>
      <c r="C277" s="412"/>
      <c r="D277" s="395" t="s">
        <v>718</v>
      </c>
      <c r="E277" s="412"/>
      <c r="F277" s="412"/>
      <c r="G277" s="412"/>
      <c r="H277" s="412"/>
      <c r="I277" s="412"/>
      <c r="J277" s="412"/>
      <c r="K277" s="412"/>
      <c r="L277" s="412"/>
      <c r="P277" s="834"/>
      <c r="Q277" s="841"/>
    </row>
    <row r="278" spans="1:26" s="790" customFormat="1" ht="30.6" x14ac:dyDescent="0.2">
      <c r="A278" s="784">
        <v>42</v>
      </c>
      <c r="B278" s="784">
        <v>42</v>
      </c>
      <c r="C278" s="784" t="s">
        <v>1444</v>
      </c>
      <c r="D278" s="784" t="s">
        <v>1398</v>
      </c>
      <c r="E278" s="785">
        <v>2.9952999999999999</v>
      </c>
      <c r="F278" s="786">
        <v>6.0140000000000002</v>
      </c>
      <c r="G278" s="786">
        <v>1.5065</v>
      </c>
      <c r="H278" s="787">
        <v>655.44</v>
      </c>
      <c r="I278" s="787">
        <v>593.73</v>
      </c>
      <c r="J278" s="787">
        <v>59.76</v>
      </c>
      <c r="K278" s="786">
        <v>0.55200000000000005</v>
      </c>
      <c r="L278" s="786">
        <v>1.6534059999999999</v>
      </c>
      <c r="M278" s="789">
        <f>300/100</f>
        <v>3</v>
      </c>
      <c r="N278" s="789" t="s">
        <v>2313</v>
      </c>
      <c r="O278" s="789"/>
      <c r="P278" s="834"/>
      <c r="Q278" s="841">
        <f>M278-E278</f>
        <v>0</v>
      </c>
      <c r="T278" s="790">
        <v>1586.64</v>
      </c>
      <c r="V278" s="790">
        <v>593.73</v>
      </c>
      <c r="W278" s="790">
        <v>59.76</v>
      </c>
      <c r="X278" s="790">
        <v>35.46</v>
      </c>
      <c r="Y278" s="790">
        <v>1.6534059999999999</v>
      </c>
      <c r="Z278" s="790">
        <v>6.8891999999999995E-2</v>
      </c>
    </row>
    <row r="279" spans="1:26" x14ac:dyDescent="0.2">
      <c r="A279" s="407"/>
      <c r="B279" s="407"/>
      <c r="C279" s="407"/>
      <c r="D279" s="408" t="s">
        <v>747</v>
      </c>
      <c r="E279" s="409"/>
      <c r="F279" s="410">
        <v>4.4275000000000002</v>
      </c>
      <c r="G279" s="410">
        <v>0.26450000000000001</v>
      </c>
      <c r="H279" s="409"/>
      <c r="I279" s="409"/>
      <c r="J279" s="411">
        <v>35.46</v>
      </c>
      <c r="K279" s="410">
        <v>2.3E-2</v>
      </c>
      <c r="L279" s="410">
        <v>6.8891999999999995E-2</v>
      </c>
      <c r="P279" s="834"/>
      <c r="Q279" s="841"/>
    </row>
    <row r="280" spans="1:26" ht="20.399999999999999" x14ac:dyDescent="0.2">
      <c r="A280" s="412"/>
      <c r="B280" s="412"/>
      <c r="C280" s="412"/>
      <c r="D280" s="395" t="s">
        <v>714</v>
      </c>
      <c r="E280" s="412"/>
      <c r="F280" s="412"/>
      <c r="G280" s="412"/>
      <c r="H280" s="412"/>
      <c r="I280" s="412"/>
      <c r="J280" s="412"/>
      <c r="K280" s="412"/>
      <c r="L280" s="412"/>
      <c r="P280" s="834"/>
      <c r="Q280" s="841"/>
    </row>
    <row r="281" spans="1:26" ht="20.399999999999999" x14ac:dyDescent="0.2">
      <c r="A281" s="412"/>
      <c r="B281" s="412"/>
      <c r="C281" s="412"/>
      <c r="D281" s="395" t="s">
        <v>1023</v>
      </c>
      <c r="E281" s="412"/>
      <c r="F281" s="412"/>
      <c r="G281" s="412"/>
      <c r="H281" s="412"/>
      <c r="I281" s="412"/>
      <c r="J281" s="412"/>
      <c r="K281" s="412"/>
      <c r="L281" s="412"/>
      <c r="P281" s="834"/>
      <c r="Q281" s="841"/>
    </row>
    <row r="282" spans="1:26" ht="81.599999999999994" x14ac:dyDescent="0.2">
      <c r="A282" s="412"/>
      <c r="B282" s="412"/>
      <c r="C282" s="412"/>
      <c r="D282" s="395" t="s">
        <v>1024</v>
      </c>
      <c r="E282" s="412"/>
      <c r="F282" s="412"/>
      <c r="G282" s="412"/>
      <c r="H282" s="412"/>
      <c r="I282" s="412"/>
      <c r="J282" s="412"/>
      <c r="K282" s="412"/>
      <c r="L282" s="412"/>
      <c r="P282" s="834"/>
      <c r="Q282" s="841"/>
    </row>
    <row r="283" spans="1:26" x14ac:dyDescent="0.2">
      <c r="A283" s="412"/>
      <c r="B283" s="412"/>
      <c r="C283" s="412"/>
      <c r="D283" s="413" t="s">
        <v>206</v>
      </c>
      <c r="E283" s="414" t="s">
        <v>953</v>
      </c>
      <c r="F283" s="414"/>
      <c r="G283" s="414"/>
      <c r="H283" s="415">
        <v>610.30999999999995</v>
      </c>
      <c r="I283" s="412"/>
      <c r="J283" s="412"/>
      <c r="K283" s="412"/>
      <c r="L283" s="412"/>
      <c r="P283" s="834"/>
      <c r="Q283" s="841"/>
    </row>
    <row r="284" spans="1:26" x14ac:dyDescent="0.2">
      <c r="A284" s="412"/>
      <c r="B284" s="412"/>
      <c r="C284" s="412"/>
      <c r="D284" s="413" t="s">
        <v>207</v>
      </c>
      <c r="E284" s="414" t="s">
        <v>954</v>
      </c>
      <c r="F284" s="414"/>
      <c r="G284" s="414"/>
      <c r="H284" s="415">
        <v>320.89</v>
      </c>
      <c r="I284" s="412"/>
      <c r="J284" s="412"/>
      <c r="K284" s="412"/>
      <c r="L284" s="412"/>
      <c r="P284" s="834"/>
      <c r="Q284" s="841"/>
    </row>
    <row r="285" spans="1:26" x14ac:dyDescent="0.2">
      <c r="A285" s="412"/>
      <c r="B285" s="412"/>
      <c r="C285" s="412"/>
      <c r="D285" s="416" t="s">
        <v>715</v>
      </c>
      <c r="E285" s="417"/>
      <c r="F285" s="417"/>
      <c r="G285" s="417"/>
      <c r="H285" s="418">
        <v>1586.64</v>
      </c>
      <c r="I285" s="412"/>
      <c r="J285" s="412"/>
      <c r="K285" s="412"/>
      <c r="L285" s="412"/>
      <c r="P285" s="834"/>
      <c r="Q285" s="841"/>
    </row>
    <row r="286" spans="1:26" s="790" customFormat="1" ht="20.399999999999999" x14ac:dyDescent="0.2">
      <c r="A286" s="784">
        <v>43</v>
      </c>
      <c r="B286" s="784">
        <v>43</v>
      </c>
      <c r="C286" s="784" t="s">
        <v>1445</v>
      </c>
      <c r="D286" s="784" t="s">
        <v>1597</v>
      </c>
      <c r="E286" s="785">
        <v>2.9952999999999999</v>
      </c>
      <c r="F286" s="786">
        <v>26</v>
      </c>
      <c r="G286" s="786" t="s">
        <v>281</v>
      </c>
      <c r="H286" s="787">
        <v>635.48</v>
      </c>
      <c r="I286" s="787" t="s">
        <v>281</v>
      </c>
      <c r="J286" s="787" t="s">
        <v>281</v>
      </c>
      <c r="K286" s="786" t="s">
        <v>281</v>
      </c>
      <c r="L286" s="786" t="s">
        <v>281</v>
      </c>
      <c r="M286" s="789">
        <f>M278</f>
        <v>3</v>
      </c>
      <c r="N286" s="789" t="s">
        <v>2313</v>
      </c>
      <c r="O286" s="789"/>
      <c r="P286" s="834"/>
      <c r="Q286" s="841">
        <f>M286-E286</f>
        <v>0</v>
      </c>
      <c r="T286" s="790">
        <v>635.48</v>
      </c>
      <c r="V286" s="790" t="s">
        <v>281</v>
      </c>
      <c r="W286" s="790" t="s">
        <v>281</v>
      </c>
      <c r="X286" s="790" t="s">
        <v>281</v>
      </c>
      <c r="Y286" s="790" t="s">
        <v>281</v>
      </c>
      <c r="Z286" s="790" t="s">
        <v>281</v>
      </c>
    </row>
    <row r="287" spans="1:26" x14ac:dyDescent="0.2">
      <c r="A287" s="407"/>
      <c r="B287" s="407"/>
      <c r="C287" s="407"/>
      <c r="D287" s="408" t="s">
        <v>747</v>
      </c>
      <c r="E287" s="409"/>
      <c r="F287" s="410" t="s">
        <v>281</v>
      </c>
      <c r="G287" s="410" t="s">
        <v>281</v>
      </c>
      <c r="H287" s="409"/>
      <c r="I287" s="409"/>
      <c r="J287" s="411" t="s">
        <v>281</v>
      </c>
      <c r="K287" s="410" t="s">
        <v>281</v>
      </c>
      <c r="L287" s="410" t="s">
        <v>281</v>
      </c>
      <c r="P287" s="834"/>
      <c r="Q287" s="841"/>
    </row>
    <row r="288" spans="1:26" x14ac:dyDescent="0.2">
      <c r="A288" s="412"/>
      <c r="B288" s="412"/>
      <c r="C288" s="412"/>
      <c r="D288" s="395" t="s">
        <v>718</v>
      </c>
      <c r="E288" s="412"/>
      <c r="F288" s="412"/>
      <c r="G288" s="412"/>
      <c r="H288" s="412"/>
      <c r="I288" s="412"/>
      <c r="J288" s="412"/>
      <c r="K288" s="412"/>
      <c r="L288" s="412"/>
      <c r="P288" s="834"/>
      <c r="Q288" s="841"/>
    </row>
    <row r="289" spans="1:26" s="817" customFormat="1" ht="40.799999999999997" x14ac:dyDescent="0.2">
      <c r="A289" s="813">
        <v>44</v>
      </c>
      <c r="B289" s="813">
        <v>44</v>
      </c>
      <c r="C289" s="813" t="s">
        <v>1446</v>
      </c>
      <c r="D289" s="813" t="s">
        <v>1399</v>
      </c>
      <c r="E289" s="814">
        <v>2</v>
      </c>
      <c r="F289" s="815">
        <v>111.289175</v>
      </c>
      <c r="G289" s="815">
        <v>67.979375000000005</v>
      </c>
      <c r="H289" s="816">
        <v>3909.08</v>
      </c>
      <c r="I289" s="816">
        <v>1714.68</v>
      </c>
      <c r="J289" s="816">
        <v>1800.1</v>
      </c>
      <c r="K289" s="815">
        <v>2.0366499999999998</v>
      </c>
      <c r="L289" s="815">
        <v>4.0732999999999997</v>
      </c>
      <c r="M289" s="819">
        <v>0</v>
      </c>
      <c r="N289" s="819" t="s">
        <v>2308</v>
      </c>
      <c r="O289" s="819"/>
      <c r="P289" s="834"/>
      <c r="Q289" s="841"/>
      <c r="T289" s="817">
        <v>8394.7099999999991</v>
      </c>
      <c r="V289" s="817">
        <v>1714.68</v>
      </c>
      <c r="W289" s="817">
        <v>1800.1</v>
      </c>
      <c r="X289" s="817">
        <v>778.72</v>
      </c>
      <c r="Y289" s="817">
        <v>4.0732999999999997</v>
      </c>
      <c r="Z289" s="817">
        <v>1.38</v>
      </c>
    </row>
    <row r="290" spans="1:26" x14ac:dyDescent="0.2">
      <c r="A290" s="407"/>
      <c r="B290" s="407"/>
      <c r="C290" s="407"/>
      <c r="D290" s="408" t="s">
        <v>1447</v>
      </c>
      <c r="E290" s="409"/>
      <c r="F290" s="410">
        <v>19.149799999999999</v>
      </c>
      <c r="G290" s="410">
        <v>8.6968750000000004</v>
      </c>
      <c r="H290" s="409"/>
      <c r="I290" s="409"/>
      <c r="J290" s="411">
        <v>778.72</v>
      </c>
      <c r="K290" s="410">
        <v>0.69</v>
      </c>
      <c r="L290" s="410">
        <v>1.38</v>
      </c>
      <c r="P290" s="834"/>
      <c r="Q290" s="841"/>
    </row>
    <row r="291" spans="1:26" ht="20.399999999999999" x14ac:dyDescent="0.2">
      <c r="A291" s="412"/>
      <c r="B291" s="412"/>
      <c r="C291" s="412"/>
      <c r="D291" s="395" t="s">
        <v>714</v>
      </c>
      <c r="E291" s="412"/>
      <c r="F291" s="412"/>
      <c r="G291" s="412"/>
      <c r="H291" s="412"/>
      <c r="I291" s="412"/>
      <c r="J291" s="412"/>
      <c r="K291" s="412"/>
      <c r="L291" s="412"/>
      <c r="P291" s="834"/>
      <c r="Q291" s="841"/>
    </row>
    <row r="292" spans="1:26" ht="20.399999999999999" x14ac:dyDescent="0.2">
      <c r="A292" s="412"/>
      <c r="B292" s="412"/>
      <c r="C292" s="412"/>
      <c r="D292" s="395" t="s">
        <v>978</v>
      </c>
      <c r="E292" s="412"/>
      <c r="F292" s="412"/>
      <c r="G292" s="412"/>
      <c r="H292" s="412"/>
      <c r="I292" s="412"/>
      <c r="J292" s="412"/>
      <c r="K292" s="412"/>
      <c r="L292" s="412"/>
      <c r="P292" s="834"/>
      <c r="Q292" s="841"/>
    </row>
    <row r="293" spans="1:26" ht="132.6" x14ac:dyDescent="0.2">
      <c r="A293" s="412"/>
      <c r="B293" s="412"/>
      <c r="C293" s="412"/>
      <c r="D293" s="395" t="s">
        <v>979</v>
      </c>
      <c r="E293" s="412"/>
      <c r="F293" s="412"/>
      <c r="G293" s="412"/>
      <c r="H293" s="412"/>
      <c r="I293" s="412"/>
      <c r="J293" s="412"/>
      <c r="K293" s="412"/>
      <c r="L293" s="412"/>
      <c r="P293" s="834"/>
      <c r="Q293" s="841"/>
    </row>
    <row r="294" spans="1:26" x14ac:dyDescent="0.2">
      <c r="A294" s="412"/>
      <c r="B294" s="412"/>
      <c r="C294" s="412"/>
      <c r="D294" s="413" t="s">
        <v>206</v>
      </c>
      <c r="E294" s="414" t="s">
        <v>1242</v>
      </c>
      <c r="F294" s="414"/>
      <c r="G294" s="414"/>
      <c r="H294" s="415">
        <v>2917.28</v>
      </c>
      <c r="I294" s="412"/>
      <c r="J294" s="412"/>
      <c r="K294" s="412"/>
      <c r="L294" s="412"/>
      <c r="P294" s="834"/>
      <c r="Q294" s="841"/>
    </row>
    <row r="295" spans="1:26" x14ac:dyDescent="0.2">
      <c r="A295" s="412"/>
      <c r="B295" s="412"/>
      <c r="C295" s="412"/>
      <c r="D295" s="413" t="s">
        <v>207</v>
      </c>
      <c r="E295" s="414" t="s">
        <v>1243</v>
      </c>
      <c r="F295" s="414"/>
      <c r="G295" s="414"/>
      <c r="H295" s="415">
        <v>1568.35</v>
      </c>
      <c r="I295" s="412"/>
      <c r="J295" s="412"/>
      <c r="K295" s="412"/>
      <c r="L295" s="412"/>
      <c r="P295" s="834"/>
      <c r="Q295" s="841"/>
    </row>
    <row r="296" spans="1:26" x14ac:dyDescent="0.2">
      <c r="A296" s="412"/>
      <c r="B296" s="412"/>
      <c r="C296" s="412"/>
      <c r="D296" s="416" t="s">
        <v>715</v>
      </c>
      <c r="E296" s="417"/>
      <c r="F296" s="417"/>
      <c r="G296" s="417"/>
      <c r="H296" s="418">
        <v>8394.7099999999991</v>
      </c>
      <c r="I296" s="412"/>
      <c r="J296" s="412"/>
      <c r="K296" s="412"/>
      <c r="L296" s="412"/>
      <c r="P296" s="834"/>
      <c r="Q296" s="841"/>
    </row>
    <row r="297" spans="1:26" s="817" customFormat="1" x14ac:dyDescent="0.2">
      <c r="A297" s="813">
        <v>45</v>
      </c>
      <c r="B297" s="813">
        <v>45</v>
      </c>
      <c r="C297" s="813" t="s">
        <v>1448</v>
      </c>
      <c r="D297" s="813" t="s">
        <v>1596</v>
      </c>
      <c r="E297" s="814">
        <v>2</v>
      </c>
      <c r="F297" s="815">
        <v>205.97</v>
      </c>
      <c r="G297" s="815" t="s">
        <v>281</v>
      </c>
      <c r="H297" s="816">
        <v>3361.44</v>
      </c>
      <c r="I297" s="816" t="s">
        <v>281</v>
      </c>
      <c r="J297" s="816" t="s">
        <v>281</v>
      </c>
      <c r="K297" s="815" t="s">
        <v>281</v>
      </c>
      <c r="L297" s="815" t="s">
        <v>281</v>
      </c>
      <c r="M297" s="819">
        <v>0</v>
      </c>
      <c r="N297" s="819" t="s">
        <v>2308</v>
      </c>
      <c r="O297" s="819"/>
      <c r="P297" s="834"/>
      <c r="Q297" s="841"/>
      <c r="T297" s="817">
        <v>3361.44</v>
      </c>
      <c r="V297" s="817" t="s">
        <v>281</v>
      </c>
      <c r="W297" s="817" t="s">
        <v>281</v>
      </c>
      <c r="X297" s="817" t="s">
        <v>281</v>
      </c>
      <c r="Y297" s="817" t="s">
        <v>281</v>
      </c>
      <c r="Z297" s="817" t="s">
        <v>281</v>
      </c>
    </row>
    <row r="298" spans="1:26" x14ac:dyDescent="0.2">
      <c r="A298" s="407"/>
      <c r="B298" s="407"/>
      <c r="C298" s="407"/>
      <c r="D298" s="408" t="s">
        <v>735</v>
      </c>
      <c r="E298" s="409"/>
      <c r="F298" s="410" t="s">
        <v>281</v>
      </c>
      <c r="G298" s="410" t="s">
        <v>281</v>
      </c>
      <c r="H298" s="409"/>
      <c r="I298" s="409"/>
      <c r="J298" s="411" t="s">
        <v>281</v>
      </c>
      <c r="K298" s="410" t="s">
        <v>281</v>
      </c>
      <c r="L298" s="410" t="s">
        <v>281</v>
      </c>
      <c r="P298" s="834"/>
      <c r="Q298" s="841"/>
    </row>
    <row r="299" spans="1:26" x14ac:dyDescent="0.2">
      <c r="A299" s="412"/>
      <c r="B299" s="412"/>
      <c r="C299" s="412"/>
      <c r="D299" s="395" t="s">
        <v>718</v>
      </c>
      <c r="E299" s="412"/>
      <c r="F299" s="412"/>
      <c r="G299" s="412"/>
      <c r="H299" s="412"/>
      <c r="I299" s="412"/>
      <c r="J299" s="412"/>
      <c r="K299" s="412"/>
      <c r="L299" s="412"/>
      <c r="P299" s="834"/>
      <c r="Q299" s="841"/>
    </row>
    <row r="300" spans="1:26" s="817" customFormat="1" x14ac:dyDescent="0.2">
      <c r="A300" s="813">
        <v>46</v>
      </c>
      <c r="B300" s="813">
        <v>46</v>
      </c>
      <c r="C300" s="813" t="s">
        <v>1449</v>
      </c>
      <c r="D300" s="813" t="s">
        <v>1595</v>
      </c>
      <c r="E300" s="814">
        <v>2</v>
      </c>
      <c r="F300" s="815">
        <v>20</v>
      </c>
      <c r="G300" s="815" t="s">
        <v>281</v>
      </c>
      <c r="H300" s="816">
        <v>326.39999999999998</v>
      </c>
      <c r="I300" s="816" t="s">
        <v>281</v>
      </c>
      <c r="J300" s="816" t="s">
        <v>281</v>
      </c>
      <c r="K300" s="815" t="s">
        <v>281</v>
      </c>
      <c r="L300" s="815" t="s">
        <v>281</v>
      </c>
      <c r="M300" s="819">
        <v>0</v>
      </c>
      <c r="N300" s="819" t="s">
        <v>2308</v>
      </c>
      <c r="O300" s="819"/>
      <c r="P300" s="834"/>
      <c r="Q300" s="841"/>
      <c r="T300" s="817">
        <v>326.39999999999998</v>
      </c>
      <c r="V300" s="817" t="s">
        <v>281</v>
      </c>
      <c r="W300" s="817" t="s">
        <v>281</v>
      </c>
      <c r="X300" s="817" t="s">
        <v>281</v>
      </c>
      <c r="Y300" s="817" t="s">
        <v>281</v>
      </c>
      <c r="Z300" s="817" t="s">
        <v>281</v>
      </c>
    </row>
    <row r="301" spans="1:26" x14ac:dyDescent="0.2">
      <c r="A301" s="407"/>
      <c r="B301" s="407"/>
      <c r="C301" s="407"/>
      <c r="D301" s="408" t="s">
        <v>735</v>
      </c>
      <c r="E301" s="409"/>
      <c r="F301" s="410" t="s">
        <v>281</v>
      </c>
      <c r="G301" s="410" t="s">
        <v>281</v>
      </c>
      <c r="H301" s="409"/>
      <c r="I301" s="409"/>
      <c r="J301" s="411" t="s">
        <v>281</v>
      </c>
      <c r="K301" s="410" t="s">
        <v>281</v>
      </c>
      <c r="L301" s="410" t="s">
        <v>281</v>
      </c>
      <c r="P301" s="834"/>
      <c r="Q301" s="841"/>
    </row>
    <row r="302" spans="1:26" x14ac:dyDescent="0.2">
      <c r="A302" s="412"/>
      <c r="B302" s="412"/>
      <c r="C302" s="412"/>
      <c r="D302" s="395" t="s">
        <v>718</v>
      </c>
      <c r="E302" s="412"/>
      <c r="F302" s="412"/>
      <c r="G302" s="412"/>
      <c r="H302" s="412"/>
      <c r="I302" s="412"/>
      <c r="J302" s="412"/>
      <c r="K302" s="412"/>
      <c r="L302" s="412"/>
      <c r="P302" s="834"/>
      <c r="Q302" s="841"/>
    </row>
    <row r="303" spans="1:26" s="817" customFormat="1" x14ac:dyDescent="0.2">
      <c r="A303" s="813">
        <v>47</v>
      </c>
      <c r="B303" s="813">
        <v>47</v>
      </c>
      <c r="C303" s="813" t="s">
        <v>1450</v>
      </c>
      <c r="D303" s="813" t="s">
        <v>1594</v>
      </c>
      <c r="E303" s="814">
        <v>2</v>
      </c>
      <c r="F303" s="815">
        <v>95</v>
      </c>
      <c r="G303" s="815" t="s">
        <v>281</v>
      </c>
      <c r="H303" s="816">
        <v>1550.4</v>
      </c>
      <c r="I303" s="816" t="s">
        <v>281</v>
      </c>
      <c r="J303" s="816" t="s">
        <v>281</v>
      </c>
      <c r="K303" s="815" t="s">
        <v>281</v>
      </c>
      <c r="L303" s="815" t="s">
        <v>281</v>
      </c>
      <c r="M303" s="819">
        <v>0</v>
      </c>
      <c r="N303" s="819" t="s">
        <v>2308</v>
      </c>
      <c r="O303" s="819"/>
      <c r="P303" s="834"/>
      <c r="Q303" s="841"/>
      <c r="T303" s="817">
        <v>1550.4</v>
      </c>
      <c r="V303" s="817" t="s">
        <v>281</v>
      </c>
      <c r="W303" s="817" t="s">
        <v>281</v>
      </c>
      <c r="X303" s="817" t="s">
        <v>281</v>
      </c>
      <c r="Y303" s="817" t="s">
        <v>281</v>
      </c>
      <c r="Z303" s="817" t="s">
        <v>281</v>
      </c>
    </row>
    <row r="304" spans="1:26" x14ac:dyDescent="0.2">
      <c r="A304" s="407"/>
      <c r="B304" s="407"/>
      <c r="C304" s="407"/>
      <c r="D304" s="408" t="s">
        <v>1179</v>
      </c>
      <c r="E304" s="409"/>
      <c r="F304" s="410" t="s">
        <v>281</v>
      </c>
      <c r="G304" s="410" t="s">
        <v>281</v>
      </c>
      <c r="H304" s="409"/>
      <c r="I304" s="409"/>
      <c r="J304" s="411" t="s">
        <v>281</v>
      </c>
      <c r="K304" s="410" t="s">
        <v>281</v>
      </c>
      <c r="L304" s="410" t="s">
        <v>281</v>
      </c>
      <c r="P304" s="834"/>
      <c r="Q304" s="841"/>
    </row>
    <row r="305" spans="1:26" x14ac:dyDescent="0.2">
      <c r="A305" s="412"/>
      <c r="B305" s="412"/>
      <c r="C305" s="412"/>
      <c r="D305" s="395" t="s">
        <v>718</v>
      </c>
      <c r="E305" s="412"/>
      <c r="F305" s="412"/>
      <c r="G305" s="412"/>
      <c r="H305" s="412"/>
      <c r="I305" s="412"/>
      <c r="J305" s="412"/>
      <c r="K305" s="412"/>
      <c r="L305" s="412"/>
      <c r="P305" s="834"/>
      <c r="Q305" s="841"/>
    </row>
    <row r="306" spans="1:26" s="817" customFormat="1" ht="30.6" x14ac:dyDescent="0.2">
      <c r="A306" s="813">
        <v>48</v>
      </c>
      <c r="B306" s="813">
        <v>48</v>
      </c>
      <c r="C306" s="813" t="s">
        <v>1073</v>
      </c>
      <c r="D306" s="813" t="s">
        <v>1400</v>
      </c>
      <c r="E306" s="814">
        <v>5.6699999999999997E-3</v>
      </c>
      <c r="F306" s="815">
        <v>4553.0737499999996</v>
      </c>
      <c r="G306" s="815">
        <v>2251.2112499999998</v>
      </c>
      <c r="H306" s="816">
        <v>564.57000000000005</v>
      </c>
      <c r="I306" s="816">
        <v>353.5</v>
      </c>
      <c r="J306" s="816">
        <v>169</v>
      </c>
      <c r="K306" s="815">
        <v>178.53749999999999</v>
      </c>
      <c r="L306" s="815">
        <v>1.012308</v>
      </c>
      <c r="M306" s="819">
        <v>0</v>
      </c>
      <c r="N306" s="819" t="s">
        <v>2308</v>
      </c>
      <c r="O306" s="819"/>
      <c r="P306" s="834"/>
      <c r="Q306" s="841"/>
      <c r="T306" s="817">
        <v>1234.3399999999999</v>
      </c>
      <c r="V306" s="817">
        <v>353.5</v>
      </c>
      <c r="W306" s="817">
        <v>169</v>
      </c>
      <c r="X306" s="817">
        <v>89.18</v>
      </c>
      <c r="Y306" s="817">
        <v>1.012308</v>
      </c>
      <c r="Z306" s="817">
        <v>0.14768899999999999</v>
      </c>
    </row>
    <row r="307" spans="1:26" x14ac:dyDescent="0.2">
      <c r="A307" s="407"/>
      <c r="B307" s="407"/>
      <c r="C307" s="407"/>
      <c r="D307" s="408" t="s">
        <v>901</v>
      </c>
      <c r="E307" s="409"/>
      <c r="F307" s="410">
        <v>1392.5925</v>
      </c>
      <c r="G307" s="410">
        <v>351.31062500000002</v>
      </c>
      <c r="H307" s="409"/>
      <c r="I307" s="409"/>
      <c r="J307" s="411">
        <v>89.18</v>
      </c>
      <c r="K307" s="410">
        <v>26.047499999999999</v>
      </c>
      <c r="L307" s="410">
        <v>0.14768899999999999</v>
      </c>
      <c r="P307" s="834"/>
      <c r="Q307" s="841"/>
    </row>
    <row r="308" spans="1:26" ht="20.399999999999999" x14ac:dyDescent="0.2">
      <c r="A308" s="412"/>
      <c r="B308" s="412"/>
      <c r="C308" s="412"/>
      <c r="D308" s="395" t="s">
        <v>714</v>
      </c>
      <c r="E308" s="412"/>
      <c r="F308" s="412"/>
      <c r="G308" s="412"/>
      <c r="H308" s="412"/>
      <c r="I308" s="412"/>
      <c r="J308" s="412"/>
      <c r="K308" s="412"/>
      <c r="L308" s="412"/>
      <c r="P308" s="834"/>
      <c r="Q308" s="841"/>
    </row>
    <row r="309" spans="1:26" ht="20.399999999999999" x14ac:dyDescent="0.2">
      <c r="A309" s="412"/>
      <c r="B309" s="412"/>
      <c r="C309" s="412"/>
      <c r="D309" s="395" t="s">
        <v>978</v>
      </c>
      <c r="E309" s="412"/>
      <c r="F309" s="412"/>
      <c r="G309" s="412"/>
      <c r="H309" s="412"/>
      <c r="I309" s="412"/>
      <c r="J309" s="412"/>
      <c r="K309" s="412"/>
      <c r="L309" s="412"/>
      <c r="P309" s="834"/>
      <c r="Q309" s="841"/>
    </row>
    <row r="310" spans="1:26" ht="132.6" x14ac:dyDescent="0.2">
      <c r="A310" s="412"/>
      <c r="B310" s="412"/>
      <c r="C310" s="412"/>
      <c r="D310" s="395" t="s">
        <v>979</v>
      </c>
      <c r="E310" s="412"/>
      <c r="F310" s="412"/>
      <c r="G310" s="412"/>
      <c r="H310" s="412"/>
      <c r="I310" s="412"/>
      <c r="J310" s="412"/>
      <c r="K310" s="412"/>
      <c r="L310" s="412"/>
      <c r="P310" s="834"/>
      <c r="Q310" s="841"/>
    </row>
    <row r="311" spans="1:26" x14ac:dyDescent="0.2">
      <c r="A311" s="412"/>
      <c r="B311" s="412"/>
      <c r="C311" s="412"/>
      <c r="D311" s="413" t="s">
        <v>206</v>
      </c>
      <c r="E311" s="414" t="s">
        <v>738</v>
      </c>
      <c r="F311" s="414"/>
      <c r="G311" s="414"/>
      <c r="H311" s="415">
        <v>451.53</v>
      </c>
      <c r="I311" s="412"/>
      <c r="J311" s="412"/>
      <c r="K311" s="412"/>
      <c r="L311" s="412"/>
      <c r="P311" s="834"/>
      <c r="Q311" s="841"/>
    </row>
    <row r="312" spans="1:26" x14ac:dyDescent="0.2">
      <c r="A312" s="412"/>
      <c r="B312" s="412"/>
      <c r="C312" s="412"/>
      <c r="D312" s="413" t="s">
        <v>207</v>
      </c>
      <c r="E312" s="414" t="s">
        <v>1075</v>
      </c>
      <c r="F312" s="414"/>
      <c r="G312" s="414"/>
      <c r="H312" s="415">
        <v>218.24</v>
      </c>
      <c r="I312" s="412"/>
      <c r="J312" s="412"/>
      <c r="K312" s="412"/>
      <c r="L312" s="412"/>
      <c r="P312" s="834"/>
      <c r="Q312" s="841"/>
    </row>
    <row r="313" spans="1:26" x14ac:dyDescent="0.2">
      <c r="A313" s="412"/>
      <c r="B313" s="412"/>
      <c r="C313" s="412"/>
      <c r="D313" s="416" t="s">
        <v>715</v>
      </c>
      <c r="E313" s="417"/>
      <c r="F313" s="417"/>
      <c r="G313" s="417"/>
      <c r="H313" s="418">
        <v>1234.3399999999999</v>
      </c>
      <c r="I313" s="412"/>
      <c r="J313" s="412"/>
      <c r="K313" s="412"/>
      <c r="L313" s="412"/>
      <c r="P313" s="834"/>
      <c r="Q313" s="841"/>
    </row>
    <row r="314" spans="1:26" s="817" customFormat="1" ht="40.799999999999997" x14ac:dyDescent="0.2">
      <c r="A314" s="813">
        <v>49</v>
      </c>
      <c r="B314" s="813">
        <v>49</v>
      </c>
      <c r="C314" s="813" t="s">
        <v>1451</v>
      </c>
      <c r="D314" s="813" t="s">
        <v>1593</v>
      </c>
      <c r="E314" s="814">
        <v>0.57833999999999997</v>
      </c>
      <c r="F314" s="815">
        <v>775.98</v>
      </c>
      <c r="G314" s="815" t="s">
        <v>281</v>
      </c>
      <c r="H314" s="816">
        <v>3662.05</v>
      </c>
      <c r="I314" s="816" t="s">
        <v>281</v>
      </c>
      <c r="J314" s="816" t="s">
        <v>281</v>
      </c>
      <c r="K314" s="815" t="s">
        <v>281</v>
      </c>
      <c r="L314" s="815" t="s">
        <v>281</v>
      </c>
      <c r="M314" s="819">
        <v>0</v>
      </c>
      <c r="N314" s="819" t="s">
        <v>2308</v>
      </c>
      <c r="O314" s="819"/>
      <c r="P314" s="834"/>
      <c r="Q314" s="841"/>
      <c r="T314" s="817">
        <v>3662.05</v>
      </c>
      <c r="V314" s="817" t="s">
        <v>281</v>
      </c>
      <c r="W314" s="817" t="s">
        <v>281</v>
      </c>
      <c r="X314" s="817" t="s">
        <v>281</v>
      </c>
      <c r="Y314" s="817" t="s">
        <v>281</v>
      </c>
      <c r="Z314" s="817" t="s">
        <v>281</v>
      </c>
    </row>
    <row r="315" spans="1:26" x14ac:dyDescent="0.2">
      <c r="A315" s="407"/>
      <c r="B315" s="407"/>
      <c r="C315" s="407"/>
      <c r="D315" s="408" t="s">
        <v>745</v>
      </c>
      <c r="E315" s="409"/>
      <c r="F315" s="410" t="s">
        <v>281</v>
      </c>
      <c r="G315" s="410" t="s">
        <v>281</v>
      </c>
      <c r="H315" s="409"/>
      <c r="I315" s="409"/>
      <c r="J315" s="411" t="s">
        <v>281</v>
      </c>
      <c r="K315" s="410" t="s">
        <v>281</v>
      </c>
      <c r="L315" s="410" t="s">
        <v>281</v>
      </c>
      <c r="P315" s="834"/>
      <c r="Q315" s="841"/>
    </row>
    <row r="316" spans="1:26" x14ac:dyDescent="0.2">
      <c r="A316" s="412"/>
      <c r="B316" s="412"/>
      <c r="C316" s="412"/>
      <c r="D316" s="395" t="s">
        <v>718</v>
      </c>
      <c r="E316" s="412"/>
      <c r="F316" s="412"/>
      <c r="G316" s="412"/>
      <c r="H316" s="412"/>
      <c r="I316" s="412"/>
      <c r="J316" s="412"/>
      <c r="K316" s="412"/>
      <c r="L316" s="412"/>
      <c r="P316" s="834"/>
      <c r="Q316" s="841"/>
    </row>
    <row r="317" spans="1:26" s="817" customFormat="1" ht="51" x14ac:dyDescent="0.2">
      <c r="A317" s="813">
        <v>50</v>
      </c>
      <c r="B317" s="813">
        <v>50</v>
      </c>
      <c r="C317" s="813" t="s">
        <v>1452</v>
      </c>
      <c r="D317" s="813" t="s">
        <v>1401</v>
      </c>
      <c r="E317" s="814">
        <v>2</v>
      </c>
      <c r="F317" s="815">
        <v>8.317475</v>
      </c>
      <c r="G317" s="815">
        <v>2.5587499999999999</v>
      </c>
      <c r="H317" s="816">
        <v>530.67999999999995</v>
      </c>
      <c r="I317" s="816">
        <v>451.16</v>
      </c>
      <c r="J317" s="816">
        <v>67.760000000000005</v>
      </c>
      <c r="K317" s="815">
        <v>0.51577499999999998</v>
      </c>
      <c r="L317" s="815">
        <v>1.03155</v>
      </c>
      <c r="M317" s="819">
        <v>0</v>
      </c>
      <c r="N317" s="819" t="s">
        <v>2308</v>
      </c>
      <c r="O317" s="819"/>
      <c r="P317" s="834"/>
      <c r="Q317" s="841"/>
      <c r="T317" s="817">
        <v>1342.32</v>
      </c>
      <c r="V317" s="817">
        <v>451.16</v>
      </c>
      <c r="W317" s="817">
        <v>67.760000000000005</v>
      </c>
      <c r="X317" s="817" t="s">
        <v>281</v>
      </c>
      <c r="Y317" s="817">
        <v>1.03155</v>
      </c>
      <c r="Z317" s="817" t="s">
        <v>281</v>
      </c>
    </row>
    <row r="318" spans="1:26" x14ac:dyDescent="0.2">
      <c r="A318" s="407"/>
      <c r="B318" s="407"/>
      <c r="C318" s="407"/>
      <c r="D318" s="408" t="s">
        <v>735</v>
      </c>
      <c r="E318" s="409"/>
      <c r="F318" s="410">
        <v>5.0387250000000003</v>
      </c>
      <c r="G318" s="410" t="s">
        <v>281</v>
      </c>
      <c r="H318" s="409"/>
      <c r="I318" s="409"/>
      <c r="J318" s="411" t="s">
        <v>281</v>
      </c>
      <c r="K318" s="410" t="s">
        <v>281</v>
      </c>
      <c r="L318" s="410" t="s">
        <v>281</v>
      </c>
      <c r="P318" s="834"/>
      <c r="Q318" s="841"/>
    </row>
    <row r="319" spans="1:26" ht="20.399999999999999" x14ac:dyDescent="0.2">
      <c r="A319" s="412"/>
      <c r="B319" s="412"/>
      <c r="C319" s="412"/>
      <c r="D319" s="395" t="s">
        <v>714</v>
      </c>
      <c r="E319" s="412"/>
      <c r="F319" s="412"/>
      <c r="G319" s="412"/>
      <c r="H319" s="412"/>
      <c r="I319" s="412"/>
      <c r="J319" s="412"/>
      <c r="K319" s="412"/>
      <c r="L319" s="412"/>
      <c r="P319" s="834"/>
      <c r="Q319" s="841"/>
    </row>
    <row r="320" spans="1:26" ht="20.399999999999999" x14ac:dyDescent="0.2">
      <c r="A320" s="412"/>
      <c r="B320" s="412"/>
      <c r="C320" s="412"/>
      <c r="D320" s="395" t="s">
        <v>978</v>
      </c>
      <c r="E320" s="412"/>
      <c r="F320" s="412"/>
      <c r="G320" s="412"/>
      <c r="H320" s="412"/>
      <c r="I320" s="412"/>
      <c r="J320" s="412"/>
      <c r="K320" s="412"/>
      <c r="L320" s="412"/>
      <c r="P320" s="834"/>
      <c r="Q320" s="841"/>
    </row>
    <row r="321" spans="1:26" ht="132.6" x14ac:dyDescent="0.2">
      <c r="A321" s="412"/>
      <c r="B321" s="412"/>
      <c r="C321" s="412"/>
      <c r="D321" s="395" t="s">
        <v>979</v>
      </c>
      <c r="E321" s="412"/>
      <c r="F321" s="412"/>
      <c r="G321" s="412"/>
      <c r="H321" s="412"/>
      <c r="I321" s="412"/>
      <c r="J321" s="412"/>
      <c r="K321" s="412"/>
      <c r="L321" s="412"/>
      <c r="P321" s="834"/>
      <c r="Q321" s="841"/>
    </row>
    <row r="322" spans="1:26" x14ac:dyDescent="0.2">
      <c r="A322" s="412"/>
      <c r="B322" s="412"/>
      <c r="C322" s="412"/>
      <c r="D322" s="413" t="s">
        <v>206</v>
      </c>
      <c r="E322" s="414" t="s">
        <v>1242</v>
      </c>
      <c r="F322" s="414"/>
      <c r="G322" s="414"/>
      <c r="H322" s="415">
        <v>527.86</v>
      </c>
      <c r="I322" s="412"/>
      <c r="J322" s="412"/>
      <c r="K322" s="412"/>
      <c r="L322" s="412"/>
      <c r="P322" s="834"/>
      <c r="Q322" s="841"/>
    </row>
    <row r="323" spans="1:26" x14ac:dyDescent="0.2">
      <c r="A323" s="412"/>
      <c r="B323" s="412"/>
      <c r="C323" s="412"/>
      <c r="D323" s="413" t="s">
        <v>207</v>
      </c>
      <c r="E323" s="414" t="s">
        <v>1243</v>
      </c>
      <c r="F323" s="414"/>
      <c r="G323" s="414"/>
      <c r="H323" s="415">
        <v>283.77999999999997</v>
      </c>
      <c r="I323" s="412"/>
      <c r="J323" s="412"/>
      <c r="K323" s="412"/>
      <c r="L323" s="412"/>
      <c r="P323" s="834"/>
      <c r="Q323" s="841"/>
    </row>
    <row r="324" spans="1:26" x14ac:dyDescent="0.2">
      <c r="A324" s="412"/>
      <c r="B324" s="412"/>
      <c r="C324" s="412"/>
      <c r="D324" s="416" t="s">
        <v>715</v>
      </c>
      <c r="E324" s="417"/>
      <c r="F324" s="417"/>
      <c r="G324" s="417"/>
      <c r="H324" s="418">
        <v>1342.32</v>
      </c>
      <c r="I324" s="412"/>
      <c r="J324" s="412"/>
      <c r="K324" s="412"/>
      <c r="L324" s="412"/>
      <c r="P324" s="834"/>
      <c r="Q324" s="841"/>
    </row>
    <row r="325" spans="1:26" s="817" customFormat="1" ht="30.6" x14ac:dyDescent="0.2">
      <c r="A325" s="813">
        <v>51</v>
      </c>
      <c r="B325" s="813">
        <v>51</v>
      </c>
      <c r="C325" s="813" t="s">
        <v>1453</v>
      </c>
      <c r="D325" s="813" t="s">
        <v>1592</v>
      </c>
      <c r="E325" s="814">
        <v>2</v>
      </c>
      <c r="F325" s="815">
        <v>68.75</v>
      </c>
      <c r="G325" s="815" t="s">
        <v>281</v>
      </c>
      <c r="H325" s="816">
        <v>1122</v>
      </c>
      <c r="I325" s="816" t="s">
        <v>281</v>
      </c>
      <c r="J325" s="816" t="s">
        <v>281</v>
      </c>
      <c r="K325" s="815" t="s">
        <v>281</v>
      </c>
      <c r="L325" s="815" t="s">
        <v>281</v>
      </c>
      <c r="M325" s="819">
        <v>0</v>
      </c>
      <c r="N325" s="819" t="s">
        <v>2308</v>
      </c>
      <c r="O325" s="819"/>
      <c r="P325" s="834"/>
      <c r="Q325" s="841"/>
      <c r="T325" s="817">
        <v>1122</v>
      </c>
      <c r="V325" s="817" t="s">
        <v>281</v>
      </c>
      <c r="W325" s="817" t="s">
        <v>281</v>
      </c>
      <c r="X325" s="817" t="s">
        <v>281</v>
      </c>
      <c r="Y325" s="817" t="s">
        <v>281</v>
      </c>
      <c r="Z325" s="817" t="s">
        <v>281</v>
      </c>
    </row>
    <row r="326" spans="1:26" x14ac:dyDescent="0.2">
      <c r="A326" s="407"/>
      <c r="B326" s="407"/>
      <c r="C326" s="407"/>
      <c r="D326" s="408" t="s">
        <v>735</v>
      </c>
      <c r="E326" s="409"/>
      <c r="F326" s="410" t="s">
        <v>281</v>
      </c>
      <c r="G326" s="410" t="s">
        <v>281</v>
      </c>
      <c r="H326" s="409"/>
      <c r="I326" s="409"/>
      <c r="J326" s="411" t="s">
        <v>281</v>
      </c>
      <c r="K326" s="410" t="s">
        <v>281</v>
      </c>
      <c r="L326" s="410" t="s">
        <v>281</v>
      </c>
      <c r="P326" s="834"/>
      <c r="Q326" s="841"/>
    </row>
    <row r="327" spans="1:26" x14ac:dyDescent="0.2">
      <c r="A327" s="412"/>
      <c r="B327" s="412"/>
      <c r="C327" s="412"/>
      <c r="D327" s="395" t="s">
        <v>718</v>
      </c>
      <c r="E327" s="412"/>
      <c r="F327" s="412"/>
      <c r="G327" s="412"/>
      <c r="H327" s="412"/>
      <c r="I327" s="412"/>
      <c r="J327" s="412"/>
      <c r="K327" s="412"/>
      <c r="L327" s="412"/>
      <c r="P327" s="834"/>
      <c r="Q327" s="841"/>
    </row>
    <row r="328" spans="1:26" s="817" customFormat="1" ht="51" x14ac:dyDescent="0.2">
      <c r="A328" s="813">
        <v>52</v>
      </c>
      <c r="B328" s="813">
        <v>52</v>
      </c>
      <c r="C328" s="813" t="s">
        <v>1454</v>
      </c>
      <c r="D328" s="813" t="s">
        <v>1402</v>
      </c>
      <c r="E328" s="814">
        <v>2</v>
      </c>
      <c r="F328" s="815">
        <v>212</v>
      </c>
      <c r="G328" s="815" t="s">
        <v>281</v>
      </c>
      <c r="H328" s="816">
        <v>3459.84</v>
      </c>
      <c r="I328" s="816" t="s">
        <v>281</v>
      </c>
      <c r="J328" s="816" t="s">
        <v>281</v>
      </c>
      <c r="K328" s="815" t="s">
        <v>281</v>
      </c>
      <c r="L328" s="815" t="s">
        <v>281</v>
      </c>
      <c r="M328" s="819">
        <v>0</v>
      </c>
      <c r="N328" s="819" t="s">
        <v>2308</v>
      </c>
      <c r="O328" s="819"/>
      <c r="P328" s="834"/>
      <c r="Q328" s="841"/>
      <c r="T328" s="817">
        <v>3459.84</v>
      </c>
      <c r="V328" s="817" t="s">
        <v>281</v>
      </c>
      <c r="W328" s="817" t="s">
        <v>281</v>
      </c>
      <c r="X328" s="817" t="s">
        <v>281</v>
      </c>
      <c r="Y328" s="817" t="s">
        <v>281</v>
      </c>
      <c r="Z328" s="817" t="s">
        <v>281</v>
      </c>
    </row>
    <row r="329" spans="1:26" x14ac:dyDescent="0.2">
      <c r="A329" s="407"/>
      <c r="B329" s="407"/>
      <c r="C329" s="407"/>
      <c r="D329" s="408" t="s">
        <v>735</v>
      </c>
      <c r="E329" s="409"/>
      <c r="F329" s="410" t="s">
        <v>281</v>
      </c>
      <c r="G329" s="410" t="s">
        <v>281</v>
      </c>
      <c r="H329" s="409"/>
      <c r="I329" s="409"/>
      <c r="J329" s="411" t="s">
        <v>281</v>
      </c>
      <c r="K329" s="410" t="s">
        <v>281</v>
      </c>
      <c r="L329" s="410" t="s">
        <v>281</v>
      </c>
      <c r="P329" s="834"/>
      <c r="Q329" s="841"/>
    </row>
    <row r="330" spans="1:26" x14ac:dyDescent="0.2">
      <c r="A330" s="412"/>
      <c r="B330" s="412"/>
      <c r="C330" s="412"/>
      <c r="D330" s="395" t="s">
        <v>718</v>
      </c>
      <c r="E330" s="412"/>
      <c r="F330" s="412"/>
      <c r="G330" s="412"/>
      <c r="H330" s="412"/>
      <c r="I330" s="412"/>
      <c r="J330" s="412"/>
      <c r="K330" s="412"/>
      <c r="L330" s="412"/>
      <c r="P330" s="834"/>
      <c r="Q330" s="841"/>
    </row>
    <row r="331" spans="1:26" s="817" customFormat="1" ht="51" x14ac:dyDescent="0.2">
      <c r="A331" s="813">
        <v>53</v>
      </c>
      <c r="B331" s="813">
        <v>53</v>
      </c>
      <c r="C331" s="813" t="s">
        <v>1455</v>
      </c>
      <c r="D331" s="813" t="s">
        <v>1403</v>
      </c>
      <c r="E331" s="814">
        <v>2</v>
      </c>
      <c r="F331" s="815">
        <v>15.3094</v>
      </c>
      <c r="G331" s="815">
        <v>0.60375000000000001</v>
      </c>
      <c r="H331" s="816">
        <v>1218.5</v>
      </c>
      <c r="I331" s="816">
        <v>1177.06</v>
      </c>
      <c r="J331" s="816">
        <v>15.98</v>
      </c>
      <c r="K331" s="815">
        <v>1.2696000000000001</v>
      </c>
      <c r="L331" s="815">
        <v>2.5392000000000001</v>
      </c>
      <c r="M331" s="819">
        <v>0</v>
      </c>
      <c r="N331" s="819" t="s">
        <v>2308</v>
      </c>
      <c r="O331" s="819"/>
      <c r="P331" s="834"/>
      <c r="Q331" s="841"/>
      <c r="T331" s="817">
        <v>3336.03</v>
      </c>
      <c r="V331" s="817">
        <v>1177.06</v>
      </c>
      <c r="W331" s="817">
        <v>15.98</v>
      </c>
      <c r="X331" s="817" t="s">
        <v>281</v>
      </c>
      <c r="Y331" s="817">
        <v>2.5392000000000001</v>
      </c>
      <c r="Z331" s="817" t="s">
        <v>281</v>
      </c>
    </row>
    <row r="332" spans="1:26" x14ac:dyDescent="0.2">
      <c r="A332" s="407"/>
      <c r="B332" s="407"/>
      <c r="C332" s="407"/>
      <c r="D332" s="408" t="s">
        <v>1425</v>
      </c>
      <c r="E332" s="409"/>
      <c r="F332" s="410">
        <v>13.14565</v>
      </c>
      <c r="G332" s="410" t="s">
        <v>281</v>
      </c>
      <c r="H332" s="409"/>
      <c r="I332" s="409"/>
      <c r="J332" s="411" t="s">
        <v>281</v>
      </c>
      <c r="K332" s="410" t="s">
        <v>281</v>
      </c>
      <c r="L332" s="410" t="s">
        <v>281</v>
      </c>
      <c r="P332" s="834"/>
      <c r="Q332" s="841"/>
    </row>
    <row r="333" spans="1:26" ht="20.399999999999999" x14ac:dyDescent="0.2">
      <c r="A333" s="412"/>
      <c r="B333" s="412"/>
      <c r="C333" s="412"/>
      <c r="D333" s="395" t="s">
        <v>714</v>
      </c>
      <c r="E333" s="412"/>
      <c r="F333" s="412"/>
      <c r="G333" s="412"/>
      <c r="H333" s="412"/>
      <c r="I333" s="412"/>
      <c r="J333" s="412"/>
      <c r="K333" s="412"/>
      <c r="L333" s="412"/>
      <c r="P333" s="834"/>
      <c r="Q333" s="841"/>
    </row>
    <row r="334" spans="1:26" ht="20.399999999999999" x14ac:dyDescent="0.2">
      <c r="A334" s="412"/>
      <c r="B334" s="412"/>
      <c r="C334" s="412"/>
      <c r="D334" s="395" t="s">
        <v>978</v>
      </c>
      <c r="E334" s="412"/>
      <c r="F334" s="412"/>
      <c r="G334" s="412"/>
      <c r="H334" s="412"/>
      <c r="I334" s="412"/>
      <c r="J334" s="412"/>
      <c r="K334" s="412"/>
      <c r="L334" s="412"/>
      <c r="P334" s="834"/>
      <c r="Q334" s="841"/>
    </row>
    <row r="335" spans="1:26" ht="132.6" x14ac:dyDescent="0.2">
      <c r="A335" s="412"/>
      <c r="B335" s="412"/>
      <c r="C335" s="412"/>
      <c r="D335" s="395" t="s">
        <v>979</v>
      </c>
      <c r="E335" s="412"/>
      <c r="F335" s="412"/>
      <c r="G335" s="412"/>
      <c r="H335" s="412"/>
      <c r="I335" s="412"/>
      <c r="J335" s="412"/>
      <c r="K335" s="412"/>
      <c r="L335" s="412"/>
      <c r="P335" s="834"/>
      <c r="Q335" s="841"/>
    </row>
    <row r="336" spans="1:26" x14ac:dyDescent="0.2">
      <c r="A336" s="412"/>
      <c r="B336" s="412"/>
      <c r="C336" s="412"/>
      <c r="D336" s="413" t="s">
        <v>206</v>
      </c>
      <c r="E336" s="414" t="s">
        <v>1242</v>
      </c>
      <c r="F336" s="414"/>
      <c r="G336" s="414"/>
      <c r="H336" s="415">
        <v>1377.16</v>
      </c>
      <c r="I336" s="412"/>
      <c r="J336" s="412"/>
      <c r="K336" s="412"/>
      <c r="L336" s="412"/>
      <c r="P336" s="834"/>
      <c r="Q336" s="841"/>
    </row>
    <row r="337" spans="1:26" x14ac:dyDescent="0.2">
      <c r="A337" s="412"/>
      <c r="B337" s="412"/>
      <c r="C337" s="412"/>
      <c r="D337" s="413" t="s">
        <v>207</v>
      </c>
      <c r="E337" s="414" t="s">
        <v>1243</v>
      </c>
      <c r="F337" s="414"/>
      <c r="G337" s="414"/>
      <c r="H337" s="415">
        <v>740.37</v>
      </c>
      <c r="I337" s="412"/>
      <c r="J337" s="412"/>
      <c r="K337" s="412"/>
      <c r="L337" s="412"/>
      <c r="P337" s="834"/>
      <c r="Q337" s="841"/>
    </row>
    <row r="338" spans="1:26" x14ac:dyDescent="0.2">
      <c r="A338" s="412"/>
      <c r="B338" s="412"/>
      <c r="C338" s="412"/>
      <c r="D338" s="416" t="s">
        <v>715</v>
      </c>
      <c r="E338" s="417"/>
      <c r="F338" s="417"/>
      <c r="G338" s="417"/>
      <c r="H338" s="418">
        <v>3336.03</v>
      </c>
      <c r="I338" s="412"/>
      <c r="J338" s="412"/>
      <c r="K338" s="412"/>
      <c r="L338" s="412"/>
      <c r="P338" s="834"/>
      <c r="Q338" s="841"/>
    </row>
    <row r="339" spans="1:26" s="817" customFormat="1" ht="51" x14ac:dyDescent="0.2">
      <c r="A339" s="813">
        <v>54</v>
      </c>
      <c r="B339" s="813">
        <v>54</v>
      </c>
      <c r="C339" s="813" t="s">
        <v>1456</v>
      </c>
      <c r="D339" s="813" t="s">
        <v>1404</v>
      </c>
      <c r="E339" s="814">
        <v>2</v>
      </c>
      <c r="F339" s="815">
        <v>864.37</v>
      </c>
      <c r="G339" s="815" t="s">
        <v>281</v>
      </c>
      <c r="H339" s="816">
        <v>14106.52</v>
      </c>
      <c r="I339" s="816" t="s">
        <v>281</v>
      </c>
      <c r="J339" s="816" t="s">
        <v>281</v>
      </c>
      <c r="K339" s="815" t="s">
        <v>281</v>
      </c>
      <c r="L339" s="815" t="s">
        <v>281</v>
      </c>
      <c r="M339" s="819">
        <v>0</v>
      </c>
      <c r="N339" s="819" t="s">
        <v>2308</v>
      </c>
      <c r="O339" s="819"/>
      <c r="P339" s="834"/>
      <c r="Q339" s="841"/>
      <c r="T339" s="817">
        <v>14106.52</v>
      </c>
      <c r="V339" s="817" t="s">
        <v>281</v>
      </c>
      <c r="W339" s="817" t="s">
        <v>281</v>
      </c>
      <c r="X339" s="817" t="s">
        <v>281</v>
      </c>
      <c r="Y339" s="817" t="s">
        <v>281</v>
      </c>
      <c r="Z339" s="817" t="s">
        <v>281</v>
      </c>
    </row>
    <row r="340" spans="1:26" x14ac:dyDescent="0.2">
      <c r="A340" s="407"/>
      <c r="B340" s="407"/>
      <c r="C340" s="407"/>
      <c r="D340" s="408" t="s">
        <v>735</v>
      </c>
      <c r="E340" s="409"/>
      <c r="F340" s="410" t="s">
        <v>281</v>
      </c>
      <c r="G340" s="410" t="s">
        <v>281</v>
      </c>
      <c r="H340" s="409"/>
      <c r="I340" s="409"/>
      <c r="J340" s="411" t="s">
        <v>281</v>
      </c>
      <c r="K340" s="410" t="s">
        <v>281</v>
      </c>
      <c r="L340" s="410" t="s">
        <v>281</v>
      </c>
      <c r="P340" s="834"/>
      <c r="Q340" s="841"/>
    </row>
    <row r="341" spans="1:26" x14ac:dyDescent="0.2">
      <c r="A341" s="412"/>
      <c r="B341" s="412"/>
      <c r="C341" s="412"/>
      <c r="D341" s="395" t="s">
        <v>718</v>
      </c>
      <c r="E341" s="412"/>
      <c r="F341" s="412"/>
      <c r="G341" s="412"/>
      <c r="H341" s="412"/>
      <c r="I341" s="412"/>
      <c r="J341" s="412"/>
      <c r="K341" s="412"/>
      <c r="L341" s="412"/>
      <c r="P341" s="834"/>
      <c r="Q341" s="841"/>
    </row>
    <row r="342" spans="1:26" s="817" customFormat="1" ht="20.399999999999999" x14ac:dyDescent="0.2">
      <c r="A342" s="813">
        <v>55</v>
      </c>
      <c r="B342" s="813">
        <v>55</v>
      </c>
      <c r="C342" s="813" t="s">
        <v>1457</v>
      </c>
      <c r="D342" s="813" t="s">
        <v>1405</v>
      </c>
      <c r="E342" s="814">
        <v>0.04</v>
      </c>
      <c r="F342" s="815">
        <v>17019.47</v>
      </c>
      <c r="G342" s="815">
        <v>12275.68</v>
      </c>
      <c r="H342" s="816">
        <v>13359.63</v>
      </c>
      <c r="I342" s="816">
        <v>6493.62</v>
      </c>
      <c r="J342" s="816">
        <v>6501.2</v>
      </c>
      <c r="K342" s="815">
        <v>395</v>
      </c>
      <c r="L342" s="815">
        <v>15.8</v>
      </c>
      <c r="M342" s="819">
        <v>0</v>
      </c>
      <c r="N342" s="819" t="s">
        <v>2308</v>
      </c>
      <c r="O342" s="819"/>
      <c r="P342" s="834"/>
      <c r="Q342" s="841"/>
      <c r="T342" s="817">
        <v>29039.7</v>
      </c>
      <c r="V342" s="817">
        <v>6493.62</v>
      </c>
      <c r="W342" s="817">
        <v>6501.2</v>
      </c>
      <c r="X342" s="817">
        <v>2620.0500000000002</v>
      </c>
      <c r="Y342" s="817">
        <v>15.8</v>
      </c>
      <c r="Z342" s="817">
        <v>4.4028</v>
      </c>
    </row>
    <row r="343" spans="1:26" x14ac:dyDescent="0.2">
      <c r="A343" s="407"/>
      <c r="B343" s="407"/>
      <c r="C343" s="407"/>
      <c r="D343" s="408" t="s">
        <v>847</v>
      </c>
      <c r="E343" s="409"/>
      <c r="F343" s="410">
        <v>3626.1</v>
      </c>
      <c r="G343" s="410">
        <v>1463.06</v>
      </c>
      <c r="H343" s="409"/>
      <c r="I343" s="409"/>
      <c r="J343" s="411">
        <v>2620.0500000000002</v>
      </c>
      <c r="K343" s="410">
        <v>110.07</v>
      </c>
      <c r="L343" s="410">
        <v>4.4028</v>
      </c>
      <c r="P343" s="834"/>
      <c r="Q343" s="841"/>
    </row>
    <row r="344" spans="1:26" ht="20.399999999999999" x14ac:dyDescent="0.2">
      <c r="A344" s="412"/>
      <c r="B344" s="412"/>
      <c r="C344" s="412"/>
      <c r="D344" s="395" t="s">
        <v>714</v>
      </c>
      <c r="E344" s="412"/>
      <c r="F344" s="412"/>
      <c r="G344" s="412"/>
      <c r="H344" s="412"/>
      <c r="I344" s="412"/>
      <c r="J344" s="412"/>
      <c r="K344" s="412"/>
      <c r="L344" s="412"/>
      <c r="P344" s="834"/>
      <c r="Q344" s="841"/>
    </row>
    <row r="345" spans="1:26" x14ac:dyDescent="0.2">
      <c r="A345" s="412"/>
      <c r="B345" s="412"/>
      <c r="C345" s="412"/>
      <c r="D345" s="413" t="s">
        <v>206</v>
      </c>
      <c r="E345" s="414" t="s">
        <v>750</v>
      </c>
      <c r="F345" s="414"/>
      <c r="G345" s="414"/>
      <c r="H345" s="415">
        <v>10025.040000000001</v>
      </c>
      <c r="I345" s="412"/>
      <c r="J345" s="412"/>
      <c r="K345" s="412"/>
      <c r="L345" s="412"/>
      <c r="P345" s="834"/>
      <c r="Q345" s="841"/>
    </row>
    <row r="346" spans="1:26" x14ac:dyDescent="0.2">
      <c r="A346" s="412"/>
      <c r="B346" s="412"/>
      <c r="C346" s="412"/>
      <c r="D346" s="413" t="s">
        <v>207</v>
      </c>
      <c r="E346" s="414" t="s">
        <v>1458</v>
      </c>
      <c r="F346" s="414"/>
      <c r="G346" s="414"/>
      <c r="H346" s="415">
        <v>5655.03</v>
      </c>
      <c r="I346" s="412"/>
      <c r="J346" s="412"/>
      <c r="K346" s="412"/>
      <c r="L346" s="412"/>
      <c r="P346" s="834"/>
      <c r="Q346" s="841"/>
    </row>
    <row r="347" spans="1:26" x14ac:dyDescent="0.2">
      <c r="A347" s="412"/>
      <c r="B347" s="412"/>
      <c r="C347" s="412"/>
      <c r="D347" s="416" t="s">
        <v>715</v>
      </c>
      <c r="E347" s="417"/>
      <c r="F347" s="417"/>
      <c r="G347" s="417"/>
      <c r="H347" s="418">
        <v>29039.7</v>
      </c>
      <c r="I347" s="412"/>
      <c r="J347" s="412"/>
      <c r="K347" s="412"/>
      <c r="L347" s="412"/>
      <c r="P347" s="834"/>
      <c r="Q347" s="841"/>
    </row>
    <row r="348" spans="1:26" s="817" customFormat="1" ht="20.399999999999999" x14ac:dyDescent="0.2">
      <c r="A348" s="813">
        <v>56</v>
      </c>
      <c r="B348" s="813">
        <v>56</v>
      </c>
      <c r="C348" s="813" t="s">
        <v>1459</v>
      </c>
      <c r="D348" s="813" t="s">
        <v>1406</v>
      </c>
      <c r="E348" s="814">
        <v>4</v>
      </c>
      <c r="F348" s="815">
        <v>293.58999999999997</v>
      </c>
      <c r="G348" s="815" t="s">
        <v>281</v>
      </c>
      <c r="H348" s="816">
        <v>9582.76</v>
      </c>
      <c r="I348" s="816" t="s">
        <v>281</v>
      </c>
      <c r="J348" s="816" t="s">
        <v>281</v>
      </c>
      <c r="K348" s="815" t="s">
        <v>281</v>
      </c>
      <c r="L348" s="815" t="s">
        <v>281</v>
      </c>
      <c r="M348" s="819">
        <v>0</v>
      </c>
      <c r="N348" s="819" t="s">
        <v>2308</v>
      </c>
      <c r="O348" s="819"/>
      <c r="P348" s="834"/>
      <c r="Q348" s="841"/>
      <c r="T348" s="817">
        <v>9582.76</v>
      </c>
      <c r="V348" s="817" t="s">
        <v>281</v>
      </c>
      <c r="W348" s="817" t="s">
        <v>281</v>
      </c>
      <c r="X348" s="817" t="s">
        <v>281</v>
      </c>
      <c r="Y348" s="817" t="s">
        <v>281</v>
      </c>
      <c r="Z348" s="817" t="s">
        <v>281</v>
      </c>
    </row>
    <row r="349" spans="1:26" x14ac:dyDescent="0.2">
      <c r="A349" s="407"/>
      <c r="B349" s="407"/>
      <c r="C349" s="407"/>
      <c r="D349" s="408" t="s">
        <v>735</v>
      </c>
      <c r="E349" s="409"/>
      <c r="F349" s="410" t="s">
        <v>281</v>
      </c>
      <c r="G349" s="410" t="s">
        <v>281</v>
      </c>
      <c r="H349" s="409"/>
      <c r="I349" s="409"/>
      <c r="J349" s="411" t="s">
        <v>281</v>
      </c>
      <c r="K349" s="410" t="s">
        <v>281</v>
      </c>
      <c r="L349" s="410" t="s">
        <v>281</v>
      </c>
      <c r="P349" s="834"/>
      <c r="Q349" s="841"/>
    </row>
    <row r="350" spans="1:26" x14ac:dyDescent="0.2">
      <c r="A350" s="412"/>
      <c r="B350" s="412"/>
      <c r="C350" s="412"/>
      <c r="D350" s="395" t="s">
        <v>718</v>
      </c>
      <c r="E350" s="412"/>
      <c r="F350" s="412"/>
      <c r="G350" s="412"/>
      <c r="H350" s="412"/>
      <c r="I350" s="412"/>
      <c r="J350" s="412"/>
      <c r="K350" s="412"/>
      <c r="L350" s="412"/>
      <c r="P350" s="834"/>
      <c r="Q350" s="841"/>
    </row>
    <row r="351" spans="1:26" s="817" customFormat="1" ht="30.6" x14ac:dyDescent="0.2">
      <c r="A351" s="813">
        <v>57</v>
      </c>
      <c r="B351" s="813">
        <v>57</v>
      </c>
      <c r="C351" s="813" t="s">
        <v>1460</v>
      </c>
      <c r="D351" s="813" t="s">
        <v>1407</v>
      </c>
      <c r="E351" s="814">
        <v>4</v>
      </c>
      <c r="F351" s="815">
        <v>48.048499999999997</v>
      </c>
      <c r="G351" s="815" t="s">
        <v>281</v>
      </c>
      <c r="H351" s="816">
        <v>2375</v>
      </c>
      <c r="I351" s="816">
        <v>986.48</v>
      </c>
      <c r="J351" s="816" t="s">
        <v>281</v>
      </c>
      <c r="K351" s="815">
        <v>0.58650000000000002</v>
      </c>
      <c r="L351" s="815">
        <v>2.3460000000000001</v>
      </c>
      <c r="M351" s="819">
        <v>0</v>
      </c>
      <c r="N351" s="819" t="s">
        <v>2308</v>
      </c>
      <c r="O351" s="819"/>
      <c r="P351" s="834"/>
      <c r="Q351" s="841"/>
      <c r="T351" s="817">
        <v>3834.99</v>
      </c>
      <c r="V351" s="817">
        <v>986.48</v>
      </c>
      <c r="W351" s="817" t="s">
        <v>281</v>
      </c>
      <c r="X351" s="817" t="s">
        <v>281</v>
      </c>
      <c r="Y351" s="817">
        <v>2.3460000000000001</v>
      </c>
      <c r="Z351" s="817" t="s">
        <v>281</v>
      </c>
    </row>
    <row r="352" spans="1:26" x14ac:dyDescent="0.2">
      <c r="A352" s="407"/>
      <c r="B352" s="407"/>
      <c r="C352" s="407"/>
      <c r="D352" s="408" t="s">
        <v>735</v>
      </c>
      <c r="E352" s="409"/>
      <c r="F352" s="410">
        <v>5.5084999999999997</v>
      </c>
      <c r="G352" s="410" t="s">
        <v>281</v>
      </c>
      <c r="H352" s="409"/>
      <c r="I352" s="409"/>
      <c r="J352" s="411" t="s">
        <v>281</v>
      </c>
      <c r="K352" s="410" t="s">
        <v>281</v>
      </c>
      <c r="L352" s="410" t="s">
        <v>281</v>
      </c>
      <c r="P352" s="834"/>
      <c r="Q352" s="841"/>
    </row>
    <row r="353" spans="1:26" ht="20.399999999999999" x14ac:dyDescent="0.2">
      <c r="A353" s="412"/>
      <c r="B353" s="412"/>
      <c r="C353" s="412"/>
      <c r="D353" s="395" t="s">
        <v>714</v>
      </c>
      <c r="E353" s="412"/>
      <c r="F353" s="412"/>
      <c r="G353" s="412"/>
      <c r="H353" s="412"/>
      <c r="I353" s="412"/>
      <c r="J353" s="412"/>
      <c r="K353" s="412"/>
      <c r="L353" s="412"/>
      <c r="P353" s="834"/>
      <c r="Q353" s="841"/>
    </row>
    <row r="354" spans="1:26" ht="20.399999999999999" x14ac:dyDescent="0.2">
      <c r="A354" s="412"/>
      <c r="B354" s="412"/>
      <c r="C354" s="412"/>
      <c r="D354" s="395" t="s">
        <v>1023</v>
      </c>
      <c r="E354" s="412"/>
      <c r="F354" s="412"/>
      <c r="G354" s="412"/>
      <c r="H354" s="412"/>
      <c r="I354" s="412"/>
      <c r="J354" s="412"/>
      <c r="K354" s="412"/>
      <c r="L354" s="412"/>
      <c r="P354" s="834"/>
      <c r="Q354" s="841"/>
    </row>
    <row r="355" spans="1:26" ht="81.599999999999994" x14ac:dyDescent="0.2">
      <c r="A355" s="412"/>
      <c r="B355" s="412"/>
      <c r="C355" s="412"/>
      <c r="D355" s="395" t="s">
        <v>1024</v>
      </c>
      <c r="E355" s="412"/>
      <c r="F355" s="412"/>
      <c r="G355" s="412"/>
      <c r="H355" s="412"/>
      <c r="I355" s="412"/>
      <c r="J355" s="412"/>
      <c r="K355" s="412"/>
      <c r="L355" s="412"/>
      <c r="P355" s="834"/>
      <c r="Q355" s="841"/>
    </row>
    <row r="356" spans="1:26" x14ac:dyDescent="0.2">
      <c r="A356" s="412"/>
      <c r="B356" s="412"/>
      <c r="C356" s="412"/>
      <c r="D356" s="413" t="s">
        <v>206</v>
      </c>
      <c r="E356" s="414" t="s">
        <v>953</v>
      </c>
      <c r="F356" s="414"/>
      <c r="G356" s="414"/>
      <c r="H356" s="415">
        <v>956.89</v>
      </c>
      <c r="I356" s="412"/>
      <c r="J356" s="412"/>
      <c r="K356" s="412"/>
      <c r="L356" s="412"/>
      <c r="P356" s="834"/>
      <c r="Q356" s="841"/>
    </row>
    <row r="357" spans="1:26" x14ac:dyDescent="0.2">
      <c r="A357" s="412"/>
      <c r="B357" s="412"/>
      <c r="C357" s="412"/>
      <c r="D357" s="413" t="s">
        <v>207</v>
      </c>
      <c r="E357" s="414" t="s">
        <v>954</v>
      </c>
      <c r="F357" s="414"/>
      <c r="G357" s="414"/>
      <c r="H357" s="415">
        <v>503.1</v>
      </c>
      <c r="I357" s="412"/>
      <c r="J357" s="412"/>
      <c r="K357" s="412"/>
      <c r="L357" s="412"/>
      <c r="P357" s="834"/>
      <c r="Q357" s="841"/>
    </row>
    <row r="358" spans="1:26" x14ac:dyDescent="0.2">
      <c r="A358" s="412"/>
      <c r="B358" s="412"/>
      <c r="C358" s="412"/>
      <c r="D358" s="416" t="s">
        <v>715</v>
      </c>
      <c r="E358" s="417"/>
      <c r="F358" s="417"/>
      <c r="G358" s="417"/>
      <c r="H358" s="418">
        <v>3834.99</v>
      </c>
      <c r="I358" s="412"/>
      <c r="J358" s="412"/>
      <c r="K358" s="412"/>
      <c r="L358" s="412"/>
      <c r="P358" s="834"/>
      <c r="Q358" s="841"/>
    </row>
    <row r="359" spans="1:26" s="817" customFormat="1" ht="30.6" x14ac:dyDescent="0.2">
      <c r="A359" s="813">
        <v>58</v>
      </c>
      <c r="B359" s="813">
        <v>58</v>
      </c>
      <c r="C359" s="813" t="s">
        <v>1461</v>
      </c>
      <c r="D359" s="813" t="s">
        <v>1408</v>
      </c>
      <c r="E359" s="814">
        <v>0.04</v>
      </c>
      <c r="F359" s="815">
        <v>3611.54</v>
      </c>
      <c r="G359" s="815" t="s">
        <v>281</v>
      </c>
      <c r="H359" s="816">
        <v>1178.81</v>
      </c>
      <c r="I359" s="816" t="s">
        <v>281</v>
      </c>
      <c r="J359" s="816" t="s">
        <v>281</v>
      </c>
      <c r="K359" s="815" t="s">
        <v>281</v>
      </c>
      <c r="L359" s="815" t="s">
        <v>281</v>
      </c>
      <c r="M359" s="819">
        <v>0</v>
      </c>
      <c r="N359" s="819" t="s">
        <v>2308</v>
      </c>
      <c r="O359" s="819"/>
      <c r="P359" s="834"/>
      <c r="Q359" s="841"/>
      <c r="T359" s="817">
        <v>1178.81</v>
      </c>
      <c r="V359" s="817" t="s">
        <v>281</v>
      </c>
      <c r="W359" s="817" t="s">
        <v>281</v>
      </c>
      <c r="X359" s="817" t="s">
        <v>281</v>
      </c>
      <c r="Y359" s="817" t="s">
        <v>281</v>
      </c>
      <c r="Z359" s="817" t="s">
        <v>281</v>
      </c>
    </row>
    <row r="360" spans="1:26" x14ac:dyDescent="0.2">
      <c r="A360" s="407"/>
      <c r="B360" s="407"/>
      <c r="C360" s="407"/>
      <c r="D360" s="408" t="s">
        <v>847</v>
      </c>
      <c r="E360" s="409"/>
      <c r="F360" s="410" t="s">
        <v>281</v>
      </c>
      <c r="G360" s="410" t="s">
        <v>281</v>
      </c>
      <c r="H360" s="409"/>
      <c r="I360" s="409"/>
      <c r="J360" s="411" t="s">
        <v>281</v>
      </c>
      <c r="K360" s="410" t="s">
        <v>281</v>
      </c>
      <c r="L360" s="410" t="s">
        <v>281</v>
      </c>
      <c r="P360" s="834"/>
      <c r="Q360" s="841"/>
    </row>
    <row r="361" spans="1:26" x14ac:dyDescent="0.2">
      <c r="A361" s="412"/>
      <c r="B361" s="412"/>
      <c r="C361" s="412"/>
      <c r="D361" s="395" t="s">
        <v>718</v>
      </c>
      <c r="E361" s="412"/>
      <c r="F361" s="412"/>
      <c r="G361" s="412"/>
      <c r="H361" s="412"/>
      <c r="I361" s="412"/>
      <c r="J361" s="412"/>
      <c r="K361" s="412"/>
      <c r="L361" s="412"/>
      <c r="P361" s="834"/>
      <c r="Q361" s="841"/>
    </row>
    <row r="362" spans="1:26" s="817" customFormat="1" ht="40.799999999999997" x14ac:dyDescent="0.2">
      <c r="A362" s="813">
        <v>59</v>
      </c>
      <c r="B362" s="813">
        <v>59</v>
      </c>
      <c r="C362" s="813" t="s">
        <v>1462</v>
      </c>
      <c r="D362" s="813" t="s">
        <v>1409</v>
      </c>
      <c r="E362" s="814">
        <v>0.01</v>
      </c>
      <c r="F362" s="815">
        <v>5567.1725999999999</v>
      </c>
      <c r="G362" s="815">
        <v>4932.0193749999999</v>
      </c>
      <c r="H362" s="816">
        <v>852.02</v>
      </c>
      <c r="I362" s="816">
        <v>180</v>
      </c>
      <c r="J362" s="816">
        <v>653</v>
      </c>
      <c r="K362" s="815">
        <v>47.133899999999997</v>
      </c>
      <c r="L362" s="815">
        <v>0.47133900000000001</v>
      </c>
      <c r="M362" s="819">
        <v>0</v>
      </c>
      <c r="N362" s="819" t="s">
        <v>2308</v>
      </c>
      <c r="O362" s="819"/>
      <c r="P362" s="834"/>
      <c r="Q362" s="841"/>
      <c r="T362" s="817">
        <v>1377.94</v>
      </c>
      <c r="V362" s="817">
        <v>180</v>
      </c>
      <c r="W362" s="817">
        <v>653</v>
      </c>
      <c r="X362" s="817">
        <v>180.96</v>
      </c>
      <c r="Y362" s="817">
        <v>0.47133900000000001</v>
      </c>
      <c r="Z362" s="817">
        <v>0.32314999999999999</v>
      </c>
    </row>
    <row r="363" spans="1:26" x14ac:dyDescent="0.2">
      <c r="A363" s="407"/>
      <c r="B363" s="407"/>
      <c r="C363" s="407"/>
      <c r="D363" s="408" t="s">
        <v>847</v>
      </c>
      <c r="E363" s="409"/>
      <c r="F363" s="410">
        <v>402.053225</v>
      </c>
      <c r="G363" s="410">
        <v>404.19625000000002</v>
      </c>
      <c r="H363" s="409"/>
      <c r="I363" s="409"/>
      <c r="J363" s="411">
        <v>180.96</v>
      </c>
      <c r="K363" s="410">
        <v>32.314999999999998</v>
      </c>
      <c r="L363" s="410">
        <v>0.32314999999999999</v>
      </c>
      <c r="P363" s="834"/>
      <c r="Q363" s="841"/>
    </row>
    <row r="364" spans="1:26" ht="20.399999999999999" x14ac:dyDescent="0.2">
      <c r="A364" s="412"/>
      <c r="B364" s="412"/>
      <c r="C364" s="412"/>
      <c r="D364" s="395" t="s">
        <v>714</v>
      </c>
      <c r="E364" s="412"/>
      <c r="F364" s="412"/>
      <c r="G364" s="412"/>
      <c r="H364" s="412"/>
      <c r="I364" s="412"/>
      <c r="J364" s="412"/>
      <c r="K364" s="412"/>
      <c r="L364" s="412"/>
      <c r="P364" s="834"/>
      <c r="Q364" s="841"/>
    </row>
    <row r="365" spans="1:26" ht="20.399999999999999" x14ac:dyDescent="0.2">
      <c r="A365" s="412"/>
      <c r="B365" s="412"/>
      <c r="C365" s="412"/>
      <c r="D365" s="395" t="s">
        <v>978</v>
      </c>
      <c r="E365" s="412"/>
      <c r="F365" s="412"/>
      <c r="G365" s="412"/>
      <c r="H365" s="412"/>
      <c r="I365" s="412"/>
      <c r="J365" s="412"/>
      <c r="K365" s="412"/>
      <c r="L365" s="412"/>
      <c r="P365" s="834"/>
      <c r="Q365" s="841"/>
    </row>
    <row r="366" spans="1:26" ht="132.6" x14ac:dyDescent="0.2">
      <c r="A366" s="412"/>
      <c r="B366" s="412"/>
      <c r="C366" s="412"/>
      <c r="D366" s="395" t="s">
        <v>979</v>
      </c>
      <c r="E366" s="412"/>
      <c r="F366" s="412"/>
      <c r="G366" s="412"/>
      <c r="H366" s="412"/>
      <c r="I366" s="412"/>
      <c r="J366" s="412"/>
      <c r="K366" s="412"/>
      <c r="L366" s="412"/>
      <c r="P366" s="834"/>
      <c r="Q366" s="841"/>
    </row>
    <row r="367" spans="1:26" x14ac:dyDescent="0.2">
      <c r="A367" s="412"/>
      <c r="B367" s="412"/>
      <c r="C367" s="412"/>
      <c r="D367" s="413" t="s">
        <v>206</v>
      </c>
      <c r="E367" s="414" t="s">
        <v>865</v>
      </c>
      <c r="F367" s="414"/>
      <c r="G367" s="414"/>
      <c r="H367" s="415">
        <v>335.69</v>
      </c>
      <c r="I367" s="412"/>
      <c r="J367" s="412"/>
      <c r="K367" s="412"/>
      <c r="L367" s="412"/>
      <c r="P367" s="834"/>
      <c r="Q367" s="841"/>
    </row>
    <row r="368" spans="1:26" x14ac:dyDescent="0.2">
      <c r="A368" s="412"/>
      <c r="B368" s="412"/>
      <c r="C368" s="412"/>
      <c r="D368" s="413" t="s">
        <v>207</v>
      </c>
      <c r="E368" s="414" t="s">
        <v>1463</v>
      </c>
      <c r="F368" s="414"/>
      <c r="G368" s="414"/>
      <c r="H368" s="415">
        <v>190.23</v>
      </c>
      <c r="I368" s="412"/>
      <c r="J368" s="412"/>
      <c r="K368" s="412"/>
      <c r="L368" s="412"/>
      <c r="P368" s="834"/>
      <c r="Q368" s="841"/>
    </row>
    <row r="369" spans="1:26" x14ac:dyDescent="0.2">
      <c r="A369" s="412"/>
      <c r="B369" s="412"/>
      <c r="C369" s="412"/>
      <c r="D369" s="416" t="s">
        <v>715</v>
      </c>
      <c r="E369" s="417"/>
      <c r="F369" s="417"/>
      <c r="G369" s="417"/>
      <c r="H369" s="418">
        <v>1377.94</v>
      </c>
      <c r="I369" s="412"/>
      <c r="J369" s="412"/>
      <c r="K369" s="412"/>
      <c r="L369" s="412"/>
      <c r="P369" s="834"/>
      <c r="Q369" s="841"/>
    </row>
    <row r="370" spans="1:26" s="817" customFormat="1" ht="30.6" x14ac:dyDescent="0.2">
      <c r="A370" s="813">
        <v>60</v>
      </c>
      <c r="B370" s="813">
        <v>60</v>
      </c>
      <c r="C370" s="813" t="s">
        <v>1464</v>
      </c>
      <c r="D370" s="813" t="s">
        <v>1591</v>
      </c>
      <c r="E370" s="814">
        <v>0.1812</v>
      </c>
      <c r="F370" s="815">
        <v>8559.5</v>
      </c>
      <c r="G370" s="815" t="s">
        <v>281</v>
      </c>
      <c r="H370" s="816">
        <v>12656.01</v>
      </c>
      <c r="I370" s="816" t="s">
        <v>281</v>
      </c>
      <c r="J370" s="816" t="s">
        <v>281</v>
      </c>
      <c r="K370" s="815" t="s">
        <v>281</v>
      </c>
      <c r="L370" s="815" t="s">
        <v>281</v>
      </c>
      <c r="M370" s="819">
        <v>0</v>
      </c>
      <c r="N370" s="819" t="s">
        <v>2308</v>
      </c>
      <c r="O370" s="819"/>
      <c r="P370" s="834"/>
      <c r="Q370" s="841"/>
      <c r="T370" s="817">
        <v>12656.01</v>
      </c>
      <c r="V370" s="817" t="s">
        <v>281</v>
      </c>
      <c r="W370" s="817" t="s">
        <v>281</v>
      </c>
      <c r="X370" s="817" t="s">
        <v>281</v>
      </c>
      <c r="Y370" s="817" t="s">
        <v>281</v>
      </c>
      <c r="Z370" s="817" t="s">
        <v>281</v>
      </c>
    </row>
    <row r="371" spans="1:26" x14ac:dyDescent="0.2">
      <c r="A371" s="407"/>
      <c r="B371" s="407"/>
      <c r="C371" s="407"/>
      <c r="D371" s="408" t="s">
        <v>224</v>
      </c>
      <c r="E371" s="409"/>
      <c r="F371" s="410" t="s">
        <v>281</v>
      </c>
      <c r="G371" s="410" t="s">
        <v>281</v>
      </c>
      <c r="H371" s="409"/>
      <c r="I371" s="409"/>
      <c r="J371" s="411" t="s">
        <v>281</v>
      </c>
      <c r="K371" s="410" t="s">
        <v>281</v>
      </c>
      <c r="L371" s="410" t="s">
        <v>281</v>
      </c>
      <c r="P371" s="834"/>
      <c r="Q371" s="841"/>
    </row>
    <row r="372" spans="1:26" x14ac:dyDescent="0.2">
      <c r="A372" s="412"/>
      <c r="B372" s="412"/>
      <c r="C372" s="412"/>
      <c r="D372" s="395" t="s">
        <v>718</v>
      </c>
      <c r="E372" s="412"/>
      <c r="F372" s="412"/>
      <c r="G372" s="412"/>
      <c r="H372" s="412"/>
      <c r="I372" s="412"/>
      <c r="J372" s="412"/>
      <c r="K372" s="412"/>
      <c r="L372" s="412"/>
      <c r="P372" s="834"/>
      <c r="Q372" s="841"/>
    </row>
    <row r="373" spans="1:26" s="817" customFormat="1" ht="20.399999999999999" x14ac:dyDescent="0.2">
      <c r="A373" s="813">
        <v>61</v>
      </c>
      <c r="B373" s="813">
        <v>61</v>
      </c>
      <c r="C373" s="813" t="s">
        <v>1465</v>
      </c>
      <c r="D373" s="813" t="s">
        <v>1590</v>
      </c>
      <c r="E373" s="814">
        <v>0.06</v>
      </c>
      <c r="F373" s="815">
        <v>545.6</v>
      </c>
      <c r="G373" s="815" t="s">
        <v>281</v>
      </c>
      <c r="H373" s="816">
        <v>267.13</v>
      </c>
      <c r="I373" s="816" t="s">
        <v>281</v>
      </c>
      <c r="J373" s="816" t="s">
        <v>281</v>
      </c>
      <c r="K373" s="815" t="s">
        <v>281</v>
      </c>
      <c r="L373" s="815" t="s">
        <v>281</v>
      </c>
      <c r="M373" s="819">
        <v>0</v>
      </c>
      <c r="N373" s="819" t="s">
        <v>2308</v>
      </c>
      <c r="O373" s="819"/>
      <c r="P373" s="834"/>
      <c r="Q373" s="841"/>
      <c r="T373" s="817">
        <v>267.13</v>
      </c>
      <c r="V373" s="817" t="s">
        <v>281</v>
      </c>
      <c r="W373" s="817" t="s">
        <v>281</v>
      </c>
      <c r="X373" s="817" t="s">
        <v>281</v>
      </c>
      <c r="Y373" s="817" t="s">
        <v>281</v>
      </c>
      <c r="Z373" s="817" t="s">
        <v>281</v>
      </c>
    </row>
    <row r="374" spans="1:26" x14ac:dyDescent="0.2">
      <c r="A374" s="407"/>
      <c r="B374" s="407"/>
      <c r="C374" s="407"/>
      <c r="D374" s="408" t="s">
        <v>745</v>
      </c>
      <c r="E374" s="409"/>
      <c r="F374" s="410" t="s">
        <v>281</v>
      </c>
      <c r="G374" s="410" t="s">
        <v>281</v>
      </c>
      <c r="H374" s="409"/>
      <c r="I374" s="409"/>
      <c r="J374" s="411" t="s">
        <v>281</v>
      </c>
      <c r="K374" s="410" t="s">
        <v>281</v>
      </c>
      <c r="L374" s="410" t="s">
        <v>281</v>
      </c>
      <c r="P374" s="834"/>
      <c r="Q374" s="841"/>
    </row>
    <row r="375" spans="1:26" x14ac:dyDescent="0.2">
      <c r="A375" s="412"/>
      <c r="B375" s="412"/>
      <c r="C375" s="412"/>
      <c r="D375" s="395" t="s">
        <v>718</v>
      </c>
      <c r="E375" s="412"/>
      <c r="F375" s="412"/>
      <c r="G375" s="412"/>
      <c r="H375" s="412"/>
      <c r="I375" s="412"/>
      <c r="J375" s="412"/>
      <c r="K375" s="412"/>
      <c r="L375" s="412"/>
      <c r="P375" s="834"/>
      <c r="Q375" s="841"/>
    </row>
    <row r="376" spans="1:26" s="817" customFormat="1" ht="40.799999999999997" x14ac:dyDescent="0.2">
      <c r="A376" s="813">
        <v>62</v>
      </c>
      <c r="B376" s="813">
        <v>62</v>
      </c>
      <c r="C376" s="813" t="s">
        <v>1466</v>
      </c>
      <c r="D376" s="813" t="s">
        <v>1410</v>
      </c>
      <c r="E376" s="814">
        <v>2.282E-2</v>
      </c>
      <c r="F376" s="815">
        <v>1384.7727</v>
      </c>
      <c r="G376" s="815">
        <v>22.856249999999999</v>
      </c>
      <c r="H376" s="816">
        <v>304.73</v>
      </c>
      <c r="I376" s="816">
        <v>54.07</v>
      </c>
      <c r="J376" s="816">
        <v>6.91</v>
      </c>
      <c r="K376" s="815">
        <v>5.42225</v>
      </c>
      <c r="L376" s="815">
        <v>0.123736</v>
      </c>
      <c r="M376" s="819">
        <v>0</v>
      </c>
      <c r="N376" s="819" t="s">
        <v>2308</v>
      </c>
      <c r="O376" s="819"/>
      <c r="P376" s="834"/>
      <c r="Q376" s="841"/>
      <c r="T376" s="817">
        <v>379.44</v>
      </c>
      <c r="V376" s="817">
        <v>54.07</v>
      </c>
      <c r="W376" s="817">
        <v>6.91</v>
      </c>
      <c r="X376" s="817">
        <v>0.32</v>
      </c>
      <c r="Y376" s="817">
        <v>0.123736</v>
      </c>
      <c r="Z376" s="817">
        <v>6.5600000000000001E-4</v>
      </c>
    </row>
    <row r="377" spans="1:26" x14ac:dyDescent="0.2">
      <c r="A377" s="407"/>
      <c r="B377" s="407"/>
      <c r="C377" s="407"/>
      <c r="D377" s="408" t="s">
        <v>831</v>
      </c>
      <c r="E377" s="409"/>
      <c r="F377" s="410">
        <v>52.926450000000003</v>
      </c>
      <c r="G377" s="410">
        <v>0.31624999999999998</v>
      </c>
      <c r="H377" s="409"/>
      <c r="I377" s="409"/>
      <c r="J377" s="411">
        <v>0.32</v>
      </c>
      <c r="K377" s="410">
        <v>2.8750000000000001E-2</v>
      </c>
      <c r="L377" s="410">
        <v>6.5600000000000001E-4</v>
      </c>
      <c r="P377" s="834"/>
      <c r="Q377" s="841"/>
    </row>
    <row r="378" spans="1:26" ht="20.399999999999999" x14ac:dyDescent="0.2">
      <c r="A378" s="412"/>
      <c r="B378" s="412"/>
      <c r="C378" s="412"/>
      <c r="D378" s="395" t="s">
        <v>714</v>
      </c>
      <c r="E378" s="412"/>
      <c r="F378" s="412"/>
      <c r="G378" s="412"/>
      <c r="H378" s="412"/>
      <c r="I378" s="412"/>
      <c r="J378" s="412"/>
      <c r="K378" s="412"/>
      <c r="L378" s="412"/>
      <c r="P378" s="834"/>
      <c r="Q378" s="841"/>
    </row>
    <row r="379" spans="1:26" ht="20.399999999999999" x14ac:dyDescent="0.2">
      <c r="A379" s="412"/>
      <c r="B379" s="412"/>
      <c r="C379" s="412"/>
      <c r="D379" s="395" t="s">
        <v>978</v>
      </c>
      <c r="E379" s="412"/>
      <c r="F379" s="412"/>
      <c r="G379" s="412"/>
      <c r="H379" s="412"/>
      <c r="I379" s="412"/>
      <c r="J379" s="412"/>
      <c r="K379" s="412"/>
      <c r="L379" s="412"/>
      <c r="P379" s="834"/>
      <c r="Q379" s="841"/>
    </row>
    <row r="380" spans="1:26" ht="132.6" x14ac:dyDescent="0.2">
      <c r="A380" s="412"/>
      <c r="B380" s="412"/>
      <c r="C380" s="412"/>
      <c r="D380" s="395" t="s">
        <v>979</v>
      </c>
      <c r="E380" s="412"/>
      <c r="F380" s="412"/>
      <c r="G380" s="412"/>
      <c r="H380" s="412"/>
      <c r="I380" s="412"/>
      <c r="J380" s="412"/>
      <c r="K380" s="412"/>
      <c r="L380" s="412"/>
      <c r="P380" s="834"/>
      <c r="Q380" s="841"/>
    </row>
    <row r="381" spans="1:26" x14ac:dyDescent="0.2">
      <c r="A381" s="412"/>
      <c r="B381" s="412"/>
      <c r="C381" s="412"/>
      <c r="D381" s="413" t="s">
        <v>206</v>
      </c>
      <c r="E381" s="414" t="s">
        <v>1467</v>
      </c>
      <c r="F381" s="414"/>
      <c r="G381" s="414"/>
      <c r="H381" s="415">
        <v>51.13</v>
      </c>
      <c r="I381" s="412"/>
      <c r="J381" s="412"/>
      <c r="K381" s="412"/>
      <c r="L381" s="412"/>
      <c r="P381" s="834"/>
      <c r="Q381" s="841"/>
    </row>
    <row r="382" spans="1:26" x14ac:dyDescent="0.2">
      <c r="A382" s="412"/>
      <c r="B382" s="412"/>
      <c r="C382" s="412"/>
      <c r="D382" s="413" t="s">
        <v>207</v>
      </c>
      <c r="E382" s="414" t="s">
        <v>1468</v>
      </c>
      <c r="F382" s="414"/>
      <c r="G382" s="414"/>
      <c r="H382" s="415">
        <v>23.58</v>
      </c>
      <c r="I382" s="412"/>
      <c r="J382" s="412"/>
      <c r="K382" s="412"/>
      <c r="L382" s="412"/>
      <c r="P382" s="834"/>
      <c r="Q382" s="841"/>
    </row>
    <row r="383" spans="1:26" x14ac:dyDescent="0.2">
      <c r="A383" s="412"/>
      <c r="B383" s="412"/>
      <c r="C383" s="412"/>
      <c r="D383" s="416" t="s">
        <v>715</v>
      </c>
      <c r="E383" s="417"/>
      <c r="F383" s="417"/>
      <c r="G383" s="417"/>
      <c r="H383" s="418">
        <v>379.44</v>
      </c>
      <c r="I383" s="412"/>
      <c r="J383" s="412"/>
      <c r="K383" s="412"/>
      <c r="L383" s="412"/>
      <c r="P383" s="834"/>
      <c r="Q383" s="841"/>
    </row>
    <row r="384" spans="1:26" s="817" customFormat="1" ht="51" x14ac:dyDescent="0.2">
      <c r="A384" s="813">
        <v>63</v>
      </c>
      <c r="B384" s="813">
        <v>63</v>
      </c>
      <c r="C384" s="813" t="s">
        <v>1469</v>
      </c>
      <c r="D384" s="813" t="s">
        <v>1411</v>
      </c>
      <c r="E384" s="814">
        <v>2.282E-2</v>
      </c>
      <c r="F384" s="815">
        <v>2003.3410249999999</v>
      </c>
      <c r="G384" s="815">
        <v>10.623125</v>
      </c>
      <c r="H384" s="816">
        <v>398.63</v>
      </c>
      <c r="I384" s="816">
        <v>29.78</v>
      </c>
      <c r="J384" s="816">
        <v>3.21</v>
      </c>
      <c r="K384" s="815">
        <v>3.2136749999999998</v>
      </c>
      <c r="L384" s="815">
        <v>7.3335999999999998E-2</v>
      </c>
      <c r="M384" s="819">
        <v>0</v>
      </c>
      <c r="N384" s="819" t="s">
        <v>2308</v>
      </c>
      <c r="O384" s="819"/>
      <c r="P384" s="834"/>
      <c r="Q384" s="841"/>
      <c r="T384" s="817">
        <v>439.97</v>
      </c>
      <c r="V384" s="817">
        <v>29.78</v>
      </c>
      <c r="W384" s="817">
        <v>3.21</v>
      </c>
      <c r="X384" s="817">
        <v>0.32</v>
      </c>
      <c r="Y384" s="817">
        <v>7.3335999999999998E-2</v>
      </c>
      <c r="Z384" s="817">
        <v>6.5600000000000001E-4</v>
      </c>
    </row>
    <row r="385" spans="1:17" x14ac:dyDescent="0.2">
      <c r="A385" s="407"/>
      <c r="B385" s="407"/>
      <c r="C385" s="407"/>
      <c r="D385" s="408" t="s">
        <v>831</v>
      </c>
      <c r="E385" s="409"/>
      <c r="F385" s="410">
        <v>29.1479</v>
      </c>
      <c r="G385" s="410">
        <v>0.31624999999999998</v>
      </c>
      <c r="H385" s="409"/>
      <c r="I385" s="409"/>
      <c r="J385" s="411">
        <v>0.32</v>
      </c>
      <c r="K385" s="410">
        <v>2.8750000000000001E-2</v>
      </c>
      <c r="L385" s="410">
        <v>6.5600000000000001E-4</v>
      </c>
      <c r="P385" s="834"/>
      <c r="Q385" s="841"/>
    </row>
    <row r="386" spans="1:17" ht="20.399999999999999" x14ac:dyDescent="0.2">
      <c r="A386" s="412"/>
      <c r="B386" s="412"/>
      <c r="C386" s="412"/>
      <c r="D386" s="395" t="s">
        <v>714</v>
      </c>
      <c r="E386" s="412"/>
      <c r="F386" s="412"/>
      <c r="G386" s="412"/>
      <c r="H386" s="412"/>
      <c r="I386" s="412"/>
      <c r="J386" s="412"/>
      <c r="K386" s="412"/>
      <c r="L386" s="412"/>
      <c r="P386" s="834"/>
      <c r="Q386" s="841"/>
    </row>
    <row r="387" spans="1:17" ht="20.399999999999999" x14ac:dyDescent="0.2">
      <c r="A387" s="412"/>
      <c r="B387" s="412"/>
      <c r="C387" s="412"/>
      <c r="D387" s="395" t="s">
        <v>978</v>
      </c>
      <c r="E387" s="412"/>
      <c r="F387" s="412"/>
      <c r="G387" s="412"/>
      <c r="H387" s="412"/>
      <c r="I387" s="412"/>
      <c r="J387" s="412"/>
      <c r="K387" s="412"/>
      <c r="L387" s="412"/>
      <c r="P387" s="834"/>
      <c r="Q387" s="841"/>
    </row>
    <row r="388" spans="1:17" ht="132.6" x14ac:dyDescent="0.2">
      <c r="A388" s="412"/>
      <c r="B388" s="412"/>
      <c r="C388" s="412"/>
      <c r="D388" s="395" t="s">
        <v>979</v>
      </c>
      <c r="E388" s="412"/>
      <c r="F388" s="412"/>
      <c r="G388" s="412"/>
      <c r="H388" s="412"/>
      <c r="I388" s="412"/>
      <c r="J388" s="412"/>
      <c r="K388" s="412"/>
      <c r="L388" s="412"/>
      <c r="P388" s="834"/>
      <c r="Q388" s="841"/>
    </row>
    <row r="389" spans="1:17" x14ac:dyDescent="0.2">
      <c r="A389" s="412"/>
      <c r="B389" s="412"/>
      <c r="C389" s="412"/>
      <c r="D389" s="413" t="s">
        <v>206</v>
      </c>
      <c r="E389" s="414" t="s">
        <v>1467</v>
      </c>
      <c r="F389" s="414"/>
      <c r="G389" s="414"/>
      <c r="H389" s="415">
        <v>28.29</v>
      </c>
      <c r="I389" s="412"/>
      <c r="J389" s="412"/>
      <c r="K389" s="412"/>
      <c r="L389" s="412"/>
      <c r="P389" s="834"/>
      <c r="Q389" s="841"/>
    </row>
    <row r="390" spans="1:17" x14ac:dyDescent="0.2">
      <c r="A390" s="412"/>
      <c r="B390" s="412"/>
      <c r="C390" s="412"/>
      <c r="D390" s="413" t="s">
        <v>207</v>
      </c>
      <c r="E390" s="414" t="s">
        <v>1468</v>
      </c>
      <c r="F390" s="414"/>
      <c r="G390" s="414"/>
      <c r="H390" s="415">
        <v>13.05</v>
      </c>
      <c r="I390" s="412"/>
      <c r="J390" s="412"/>
      <c r="K390" s="412"/>
      <c r="L390" s="412"/>
      <c r="P390" s="834"/>
      <c r="Q390" s="841"/>
    </row>
    <row r="391" spans="1:17" x14ac:dyDescent="0.2">
      <c r="A391" s="419"/>
      <c r="B391" s="419"/>
      <c r="C391" s="419"/>
      <c r="D391" s="420" t="s">
        <v>715</v>
      </c>
      <c r="E391" s="421"/>
      <c r="F391" s="421"/>
      <c r="G391" s="421"/>
      <c r="H391" s="422">
        <v>439.97</v>
      </c>
      <c r="I391" s="419"/>
      <c r="J391" s="419"/>
      <c r="K391" s="419"/>
      <c r="L391" s="419"/>
      <c r="P391" s="834"/>
      <c r="Q391" s="841"/>
    </row>
    <row r="392" spans="1:17" x14ac:dyDescent="0.2">
      <c r="A392" s="1086" t="s">
        <v>1470</v>
      </c>
      <c r="B392" s="1086"/>
      <c r="C392" s="1086"/>
      <c r="D392" s="1086"/>
      <c r="E392" s="1086"/>
      <c r="F392" s="1086"/>
      <c r="G392" s="1086"/>
      <c r="H392" s="1086"/>
      <c r="I392" s="1086"/>
      <c r="J392" s="1086"/>
      <c r="K392" s="1086"/>
      <c r="L392" s="1086"/>
      <c r="P392" s="834"/>
      <c r="Q392" s="841"/>
    </row>
    <row r="393" spans="1:17" x14ac:dyDescent="0.2">
      <c r="A393" s="1085" t="s">
        <v>774</v>
      </c>
      <c r="B393" s="1085"/>
      <c r="C393" s="1085"/>
      <c r="D393" s="1085"/>
      <c r="E393" s="1085"/>
      <c r="F393" s="1085"/>
      <c r="G393" s="1085"/>
      <c r="H393" s="423">
        <v>5039374.7</v>
      </c>
      <c r="I393" s="419"/>
      <c r="J393" s="419"/>
      <c r="K393" s="419"/>
      <c r="L393" s="419"/>
      <c r="P393" s="842"/>
    </row>
    <row r="394" spans="1:17" x14ac:dyDescent="0.2">
      <c r="A394" s="1085" t="s">
        <v>919</v>
      </c>
      <c r="B394" s="1085"/>
      <c r="C394" s="1085"/>
      <c r="D394" s="1085"/>
      <c r="E394" s="1085"/>
      <c r="F394" s="1085"/>
      <c r="G394" s="1085"/>
      <c r="H394" s="423">
        <v>4404796.3600000003</v>
      </c>
      <c r="I394" s="419"/>
      <c r="J394" s="419"/>
      <c r="K394" s="419"/>
      <c r="L394" s="419"/>
      <c r="P394" s="836"/>
    </row>
    <row r="395" spans="1:17" x14ac:dyDescent="0.2">
      <c r="A395" s="1085" t="s">
        <v>776</v>
      </c>
      <c r="B395" s="1085"/>
      <c r="C395" s="1085"/>
      <c r="D395" s="1085"/>
      <c r="E395" s="1085"/>
      <c r="F395" s="1085"/>
      <c r="G395" s="1085"/>
      <c r="H395" s="423">
        <v>200531.04</v>
      </c>
      <c r="I395" s="419"/>
      <c r="J395" s="419"/>
      <c r="K395" s="419"/>
      <c r="L395" s="419"/>
      <c r="P395" s="836"/>
    </row>
    <row r="396" spans="1:17" x14ac:dyDescent="0.2">
      <c r="A396" s="1085" t="s">
        <v>777</v>
      </c>
      <c r="B396" s="1085"/>
      <c r="C396" s="1085"/>
      <c r="D396" s="1085"/>
      <c r="E396" s="1085"/>
      <c r="F396" s="1085"/>
      <c r="G396" s="1085"/>
      <c r="H396" s="423">
        <v>71083.98</v>
      </c>
      <c r="I396" s="419"/>
      <c r="J396" s="419"/>
      <c r="K396" s="419"/>
      <c r="L396" s="419"/>
      <c r="P396" s="836"/>
    </row>
    <row r="397" spans="1:17" x14ac:dyDescent="0.2">
      <c r="A397" s="1085" t="s">
        <v>778</v>
      </c>
      <c r="B397" s="1085"/>
      <c r="C397" s="1085"/>
      <c r="D397" s="1085"/>
      <c r="E397" s="1085"/>
      <c r="F397" s="1085"/>
      <c r="G397" s="1085"/>
      <c r="H397" s="423">
        <v>434047.3</v>
      </c>
      <c r="I397" s="419"/>
      <c r="J397" s="419"/>
      <c r="K397" s="419"/>
      <c r="L397" s="419"/>
      <c r="P397" s="836"/>
    </row>
    <row r="398" spans="1:17" x14ac:dyDescent="0.2">
      <c r="A398" s="1085" t="s">
        <v>779</v>
      </c>
      <c r="B398" s="1085"/>
      <c r="C398" s="1085"/>
      <c r="D398" s="1085"/>
      <c r="E398" s="1085"/>
      <c r="F398" s="1085"/>
      <c r="G398" s="1085"/>
      <c r="H398" s="423">
        <v>5765452.96</v>
      </c>
      <c r="I398" s="419"/>
      <c r="J398" s="419"/>
      <c r="K398" s="419"/>
      <c r="L398" s="419"/>
      <c r="P398" s="836"/>
    </row>
    <row r="399" spans="1:17" x14ac:dyDescent="0.2">
      <c r="A399" s="1085" t="s">
        <v>1150</v>
      </c>
      <c r="B399" s="1085"/>
      <c r="C399" s="1085"/>
      <c r="D399" s="1085"/>
      <c r="E399" s="1085"/>
      <c r="F399" s="1085"/>
      <c r="G399" s="1085"/>
      <c r="H399" s="423">
        <v>5421.63</v>
      </c>
      <c r="I399" s="419"/>
      <c r="J399" s="419"/>
      <c r="K399" s="419"/>
      <c r="L399" s="419"/>
      <c r="P399" s="836"/>
    </row>
    <row r="400" spans="1:17" x14ac:dyDescent="0.2">
      <c r="A400" s="1085" t="s">
        <v>1029</v>
      </c>
      <c r="B400" s="1085"/>
      <c r="C400" s="1085"/>
      <c r="D400" s="1085"/>
      <c r="E400" s="1085"/>
      <c r="F400" s="1085"/>
      <c r="G400" s="1085"/>
      <c r="H400" s="423">
        <v>2719.76</v>
      </c>
      <c r="I400" s="419"/>
      <c r="J400" s="419"/>
      <c r="K400" s="419"/>
      <c r="L400" s="419"/>
      <c r="P400" s="836"/>
    </row>
    <row r="401" spans="1:17" x14ac:dyDescent="0.2">
      <c r="A401" s="1085" t="s">
        <v>206</v>
      </c>
      <c r="B401" s="1085"/>
      <c r="C401" s="1085"/>
      <c r="D401" s="1085"/>
      <c r="E401" s="1085"/>
      <c r="F401" s="1085"/>
      <c r="G401" s="1085"/>
      <c r="H401" s="423">
        <v>502202.93</v>
      </c>
      <c r="I401" s="419"/>
      <c r="J401" s="419"/>
      <c r="K401" s="419"/>
      <c r="L401" s="419"/>
      <c r="P401" s="836"/>
    </row>
    <row r="402" spans="1:17" x14ac:dyDescent="0.2">
      <c r="A402" s="1085" t="s">
        <v>207</v>
      </c>
      <c r="B402" s="1085"/>
      <c r="C402" s="1085"/>
      <c r="D402" s="1085"/>
      <c r="E402" s="1085"/>
      <c r="F402" s="1085"/>
      <c r="G402" s="1085"/>
      <c r="H402" s="423">
        <v>229296.96</v>
      </c>
      <c r="I402" s="419"/>
      <c r="J402" s="419"/>
      <c r="K402" s="419"/>
      <c r="L402" s="419"/>
      <c r="P402" s="836"/>
    </row>
    <row r="403" spans="1:17" s="426" customFormat="1" x14ac:dyDescent="0.2">
      <c r="A403" s="1086" t="s">
        <v>73</v>
      </c>
      <c r="B403" s="1086"/>
      <c r="C403" s="1086"/>
      <c r="D403" s="1086"/>
      <c r="E403" s="1086"/>
      <c r="F403" s="1086"/>
      <c r="G403" s="1086"/>
      <c r="H403" s="424">
        <v>5770874.5899999999</v>
      </c>
      <c r="I403" s="425"/>
      <c r="J403" s="425"/>
      <c r="K403" s="425"/>
      <c r="L403" s="425"/>
      <c r="M403" s="823"/>
      <c r="N403" s="823"/>
      <c r="O403" s="823"/>
      <c r="P403" s="837"/>
      <c r="Q403" s="640"/>
    </row>
    <row r="404" spans="1:17" s="432" customFormat="1" x14ac:dyDescent="0.2">
      <c r="A404" s="1084" t="s">
        <v>784</v>
      </c>
      <c r="B404" s="1084"/>
      <c r="C404" s="1084"/>
      <c r="D404" s="1084"/>
      <c r="E404" s="1084"/>
      <c r="F404" s="1084"/>
      <c r="G404" s="1084"/>
      <c r="H404" s="382">
        <f>ROUND(H403*0.082,2)</f>
        <v>473211.72</v>
      </c>
      <c r="I404" s="383"/>
      <c r="J404" s="383"/>
      <c r="K404" s="383"/>
      <c r="L404" s="383"/>
      <c r="M404" s="631"/>
      <c r="N404" s="631"/>
      <c r="O404" s="631"/>
      <c r="P404" s="838"/>
      <c r="Q404" s="639"/>
    </row>
    <row r="405" spans="1:17" s="386" customFormat="1" x14ac:dyDescent="0.2">
      <c r="A405" s="1083" t="s">
        <v>785</v>
      </c>
      <c r="B405" s="1083"/>
      <c r="C405" s="1083"/>
      <c r="D405" s="1083"/>
      <c r="E405" s="1083"/>
      <c r="F405" s="1083"/>
      <c r="G405" s="1083"/>
      <c r="H405" s="384">
        <f>H403+H404</f>
        <v>6244086.3099999996</v>
      </c>
      <c r="I405" s="385"/>
      <c r="J405" s="385"/>
      <c r="K405" s="385"/>
      <c r="L405" s="385"/>
      <c r="M405" s="635"/>
      <c r="N405" s="635"/>
      <c r="O405" s="635"/>
      <c r="P405" s="839"/>
      <c r="Q405" s="641"/>
    </row>
    <row r="406" spans="1:17" s="432" customFormat="1" x14ac:dyDescent="0.2">
      <c r="A406" s="1084" t="s">
        <v>786</v>
      </c>
      <c r="B406" s="1084"/>
      <c r="C406" s="1084"/>
      <c r="D406" s="1084"/>
      <c r="E406" s="1084"/>
      <c r="F406" s="1084"/>
      <c r="G406" s="1084"/>
      <c r="H406" s="382">
        <f>ROUND(H405*0.024,2)</f>
        <v>149858.07</v>
      </c>
      <c r="I406" s="383"/>
      <c r="J406" s="383"/>
      <c r="K406" s="383"/>
      <c r="L406" s="383"/>
      <c r="M406" s="631"/>
      <c r="N406" s="631"/>
      <c r="O406" s="631"/>
      <c r="P406" s="838"/>
      <c r="Q406" s="639"/>
    </row>
    <row r="407" spans="1:17" s="389" customFormat="1" ht="12" x14ac:dyDescent="0.25">
      <c r="A407" s="1054" t="s">
        <v>787</v>
      </c>
      <c r="B407" s="1054"/>
      <c r="C407" s="1054"/>
      <c r="D407" s="1054"/>
      <c r="E407" s="1054"/>
      <c r="F407" s="1054"/>
      <c r="G407" s="1054"/>
      <c r="H407" s="387">
        <f>H405+H406</f>
        <v>6393944.3799999999</v>
      </c>
      <c r="I407" s="388"/>
      <c r="J407" s="388"/>
      <c r="K407" s="388"/>
      <c r="L407" s="388"/>
      <c r="M407" s="636"/>
      <c r="N407" s="636"/>
      <c r="O407" s="636"/>
      <c r="P407" s="840"/>
      <c r="Q407" s="642"/>
    </row>
    <row r="408" spans="1:17" s="389" customFormat="1" ht="12" x14ac:dyDescent="0.25">
      <c r="A408" s="1054" t="s">
        <v>1686</v>
      </c>
      <c r="B408" s="1054"/>
      <c r="C408" s="1054"/>
      <c r="D408" s="1054"/>
      <c r="E408" s="1054"/>
      <c r="F408" s="1054"/>
      <c r="G408" s="1054"/>
      <c r="H408" s="387">
        <f>ROUND(H407*1.0514,2)</f>
        <v>6722593.1200000001</v>
      </c>
      <c r="I408" s="388"/>
      <c r="J408" s="388"/>
      <c r="K408" s="388"/>
      <c r="L408" s="388"/>
      <c r="M408" s="636"/>
      <c r="N408" s="636"/>
      <c r="O408" s="636"/>
      <c r="P408" s="835"/>
      <c r="Q408" s="642"/>
    </row>
    <row r="409" spans="1:17" s="389" customFormat="1" ht="12" x14ac:dyDescent="0.25">
      <c r="A409" s="611"/>
      <c r="B409" s="611"/>
      <c r="C409" s="611"/>
      <c r="D409" s="611"/>
      <c r="E409" s="611"/>
      <c r="F409" s="611"/>
      <c r="G409" s="611"/>
      <c r="H409" s="612"/>
      <c r="I409" s="613"/>
      <c r="J409" s="613"/>
      <c r="K409" s="613"/>
      <c r="L409" s="613"/>
      <c r="M409" s="636"/>
      <c r="N409" s="636"/>
      <c r="O409" s="636"/>
      <c r="P409" s="835"/>
      <c r="Q409" s="642"/>
    </row>
    <row r="410" spans="1:17" s="389" customFormat="1" ht="12" x14ac:dyDescent="0.25">
      <c r="A410" s="611"/>
      <c r="B410" s="611"/>
      <c r="C410" s="611"/>
      <c r="D410" s="611"/>
      <c r="E410" s="611"/>
      <c r="F410" s="611"/>
      <c r="G410" s="611"/>
      <c r="H410" s="612"/>
      <c r="I410" s="613"/>
      <c r="J410" s="613"/>
      <c r="K410" s="613"/>
      <c r="L410" s="613"/>
      <c r="M410" s="636"/>
      <c r="N410" s="636"/>
      <c r="O410" s="636"/>
      <c r="P410" s="835"/>
      <c r="Q410" s="642"/>
    </row>
    <row r="411" spans="1:17" s="389" customFormat="1" ht="12" x14ac:dyDescent="0.25">
      <c r="A411" s="611"/>
      <c r="B411" s="611"/>
      <c r="C411" s="611"/>
      <c r="D411" s="611"/>
      <c r="E411" s="611"/>
      <c r="F411" s="611"/>
      <c r="G411" s="611"/>
      <c r="H411" s="612"/>
      <c r="I411" s="613"/>
      <c r="J411" s="613"/>
      <c r="K411" s="613"/>
      <c r="L411" s="613"/>
      <c r="M411" s="636"/>
      <c r="N411" s="636"/>
      <c r="O411" s="636"/>
      <c r="P411" s="835"/>
      <c r="Q411" s="642"/>
    </row>
    <row r="412" spans="1:17" s="432" customFormat="1" x14ac:dyDescent="0.2">
      <c r="M412" s="631"/>
      <c r="N412" s="631"/>
      <c r="O412" s="631"/>
      <c r="P412" s="833"/>
      <c r="Q412" s="639"/>
    </row>
    <row r="413" spans="1:17" s="432" customFormat="1" ht="24" x14ac:dyDescent="0.25">
      <c r="C413" s="428" t="s">
        <v>729</v>
      </c>
      <c r="D413" s="429" t="s">
        <v>824</v>
      </c>
      <c r="E413" s="427" t="s">
        <v>281</v>
      </c>
      <c r="F413" s="427"/>
      <c r="G413" s="389" t="s">
        <v>823</v>
      </c>
      <c r="M413" s="631"/>
      <c r="N413" s="631"/>
      <c r="O413" s="631"/>
      <c r="P413" s="833"/>
      <c r="Q413" s="639"/>
    </row>
    <row r="414" spans="1:17" s="432" customFormat="1" ht="12" x14ac:dyDescent="0.25">
      <c r="C414" s="428"/>
      <c r="G414" s="389"/>
      <c r="M414" s="631"/>
      <c r="N414" s="631"/>
      <c r="O414" s="631"/>
      <c r="P414" s="833"/>
      <c r="Q414" s="639"/>
    </row>
    <row r="415" spans="1:17" s="432" customFormat="1" ht="24" x14ac:dyDescent="0.25">
      <c r="C415" s="428" t="s">
        <v>730</v>
      </c>
      <c r="D415" s="429" t="s">
        <v>821</v>
      </c>
      <c r="E415" s="427" t="s">
        <v>281</v>
      </c>
      <c r="F415" s="427"/>
      <c r="G415" s="389" t="s">
        <v>822</v>
      </c>
      <c r="M415" s="631"/>
      <c r="N415" s="631"/>
      <c r="O415" s="631"/>
      <c r="P415" s="833"/>
      <c r="Q415" s="639"/>
    </row>
    <row r="416" spans="1:17" s="432" customFormat="1" x14ac:dyDescent="0.2">
      <c r="M416" s="631"/>
      <c r="N416" s="631"/>
      <c r="O416" s="631"/>
      <c r="P416" s="833"/>
      <c r="Q416" s="639"/>
    </row>
  </sheetData>
  <autoFilter ref="A40:P408" xr:uid="{00000000-0001-0000-1000-000000000000}"/>
  <mergeCells count="77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A16:B16"/>
    <mergeCell ref="C16:I16"/>
    <mergeCell ref="C17:I17"/>
    <mergeCell ref="H18:J18"/>
    <mergeCell ref="K18:L18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C27:L27"/>
    <mergeCell ref="C28:L28"/>
    <mergeCell ref="F30:I30"/>
    <mergeCell ref="J30:K30"/>
    <mergeCell ref="F31:I31"/>
    <mergeCell ref="J31:K31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F35:F36"/>
    <mergeCell ref="G35:G36"/>
    <mergeCell ref="H35:H37"/>
    <mergeCell ref="I35:I37"/>
    <mergeCell ref="A400:G400"/>
    <mergeCell ref="A401:G401"/>
    <mergeCell ref="A402:G402"/>
    <mergeCell ref="A403:G403"/>
    <mergeCell ref="J35:J36"/>
    <mergeCell ref="A399:G399"/>
    <mergeCell ref="A392:L392"/>
    <mergeCell ref="A393:G393"/>
    <mergeCell ref="A394:G394"/>
    <mergeCell ref="A395:G395"/>
    <mergeCell ref="A396:G396"/>
    <mergeCell ref="A397:G397"/>
    <mergeCell ref="A398:G398"/>
    <mergeCell ref="K35:L35"/>
    <mergeCell ref="K36:L36"/>
    <mergeCell ref="A408:G408"/>
    <mergeCell ref="A404:G404"/>
    <mergeCell ref="A405:G405"/>
    <mergeCell ref="A406:G406"/>
    <mergeCell ref="A407:G407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3D53-9F66-49F6-9303-DB01C9C881D2}">
  <dimension ref="A1:D36"/>
  <sheetViews>
    <sheetView zoomScale="85" zoomScaleNormal="85" workbookViewId="0">
      <pane ySplit="1" topLeftCell="A2" activePane="bottomLeft" state="frozen"/>
      <selection pane="bottomLeft" activeCell="D6" sqref="D6"/>
    </sheetView>
  </sheetViews>
  <sheetFormatPr defaultRowHeight="14.4" x14ac:dyDescent="0.3"/>
  <cols>
    <col min="1" max="1" width="14.88671875" style="791" customWidth="1"/>
    <col min="2" max="2" width="12.77734375" style="791" customWidth="1"/>
    <col min="3" max="3" width="109.77734375" style="793" customWidth="1"/>
    <col min="4" max="4" width="18.21875" style="791" customWidth="1"/>
    <col min="5" max="5" width="18.77734375" style="791" customWidth="1"/>
    <col min="6" max="16384" width="8.88671875" style="791"/>
  </cols>
  <sheetData>
    <row r="1" spans="1:4" x14ac:dyDescent="0.3">
      <c r="A1" s="811" t="s">
        <v>230</v>
      </c>
      <c r="B1" s="811" t="s">
        <v>2274</v>
      </c>
      <c r="C1" s="811" t="s">
        <v>2275</v>
      </c>
      <c r="D1" s="812" t="s">
        <v>2298</v>
      </c>
    </row>
    <row r="2" spans="1:4" x14ac:dyDescent="0.3">
      <c r="A2" s="794" t="s">
        <v>2223</v>
      </c>
      <c r="B2" s="798">
        <v>45120</v>
      </c>
      <c r="C2" s="795" t="s">
        <v>2240</v>
      </c>
    </row>
    <row r="3" spans="1:4" x14ac:dyDescent="0.3">
      <c r="A3" s="794" t="s">
        <v>2224</v>
      </c>
      <c r="B3" s="798">
        <v>45128</v>
      </c>
      <c r="C3" s="795" t="s">
        <v>2241</v>
      </c>
    </row>
    <row r="4" spans="1:4" s="792" customFormat="1" x14ac:dyDescent="0.3">
      <c r="A4" s="796" t="s">
        <v>2225</v>
      </c>
      <c r="B4" s="799">
        <v>45180</v>
      </c>
      <c r="C4" s="797" t="s">
        <v>2242</v>
      </c>
    </row>
    <row r="5" spans="1:4" s="792" customFormat="1" x14ac:dyDescent="0.3">
      <c r="A5" s="796" t="s">
        <v>2226</v>
      </c>
      <c r="B5" s="799">
        <v>45181</v>
      </c>
      <c r="C5" s="797" t="s">
        <v>2243</v>
      </c>
    </row>
    <row r="6" spans="1:4" x14ac:dyDescent="0.3">
      <c r="A6" s="794" t="s">
        <v>2227</v>
      </c>
      <c r="B6" s="798">
        <v>45183</v>
      </c>
      <c r="C6" s="795" t="s">
        <v>1702</v>
      </c>
      <c r="D6" s="804"/>
    </row>
    <row r="7" spans="1:4" x14ac:dyDescent="0.3">
      <c r="A7" s="794" t="s">
        <v>2228</v>
      </c>
      <c r="B7" s="798">
        <v>45185</v>
      </c>
      <c r="C7" s="795" t="s">
        <v>2244</v>
      </c>
    </row>
    <row r="8" spans="1:4" x14ac:dyDescent="0.3">
      <c r="A8" s="794" t="s">
        <v>2229</v>
      </c>
      <c r="B8" s="798">
        <v>45188</v>
      </c>
      <c r="C8" s="795" t="s">
        <v>2245</v>
      </c>
    </row>
    <row r="9" spans="1:4" x14ac:dyDescent="0.3">
      <c r="A9" s="794" t="s">
        <v>2230</v>
      </c>
      <c r="B9" s="798">
        <v>45189</v>
      </c>
      <c r="C9" s="795" t="s">
        <v>2246</v>
      </c>
      <c r="D9" s="801"/>
    </row>
    <row r="10" spans="1:4" x14ac:dyDescent="0.3">
      <c r="A10" s="794" t="s">
        <v>2231</v>
      </c>
      <c r="B10" s="798">
        <v>45190</v>
      </c>
      <c r="C10" s="795" t="s">
        <v>2247</v>
      </c>
      <c r="D10" s="802"/>
    </row>
    <row r="11" spans="1:4" x14ac:dyDescent="0.3">
      <c r="A11" s="794" t="s">
        <v>2232</v>
      </c>
      <c r="B11" s="798">
        <v>45191</v>
      </c>
      <c r="C11" s="795" t="s">
        <v>2248</v>
      </c>
      <c r="D11" s="803"/>
    </row>
    <row r="12" spans="1:4" x14ac:dyDescent="0.3">
      <c r="A12" s="794" t="s">
        <v>2233</v>
      </c>
      <c r="B12" s="798">
        <v>45191</v>
      </c>
      <c r="C12" s="795" t="s">
        <v>2249</v>
      </c>
    </row>
    <row r="13" spans="1:4" x14ac:dyDescent="0.3">
      <c r="A13" s="794" t="s">
        <v>2234</v>
      </c>
      <c r="B13" s="798">
        <v>45193</v>
      </c>
      <c r="C13" s="795" t="s">
        <v>2250</v>
      </c>
      <c r="D13" s="809"/>
    </row>
    <row r="14" spans="1:4" x14ac:dyDescent="0.3">
      <c r="A14" s="794" t="s">
        <v>2235</v>
      </c>
      <c r="B14" s="798">
        <v>45199</v>
      </c>
      <c r="C14" s="795" t="s">
        <v>2251</v>
      </c>
    </row>
    <row r="15" spans="1:4" x14ac:dyDescent="0.3">
      <c r="A15" s="794" t="s">
        <v>2236</v>
      </c>
      <c r="B15" s="798">
        <v>45202</v>
      </c>
      <c r="C15" s="795" t="s">
        <v>2252</v>
      </c>
    </row>
    <row r="16" spans="1:4" x14ac:dyDescent="0.3">
      <c r="A16" s="794" t="s">
        <v>2237</v>
      </c>
      <c r="B16" s="798">
        <v>45204</v>
      </c>
      <c r="C16" s="795" t="s">
        <v>2253</v>
      </c>
    </row>
    <row r="17" spans="1:4" x14ac:dyDescent="0.3">
      <c r="A17" s="794" t="s">
        <v>2238</v>
      </c>
      <c r="B17" s="798">
        <v>45206</v>
      </c>
      <c r="C17" s="795" t="s">
        <v>2254</v>
      </c>
    </row>
    <row r="18" spans="1:4" x14ac:dyDescent="0.3">
      <c r="A18" s="794" t="s">
        <v>2239</v>
      </c>
      <c r="B18" s="798">
        <v>45208</v>
      </c>
      <c r="C18" s="795" t="s">
        <v>2255</v>
      </c>
    </row>
    <row r="19" spans="1:4" x14ac:dyDescent="0.3">
      <c r="A19" s="794" t="s">
        <v>2256</v>
      </c>
      <c r="B19" s="798">
        <v>45188</v>
      </c>
      <c r="C19" s="800" t="s">
        <v>2276</v>
      </c>
    </row>
    <row r="20" spans="1:4" x14ac:dyDescent="0.3">
      <c r="A20" s="794" t="s">
        <v>2257</v>
      </c>
      <c r="B20" s="798">
        <v>45189</v>
      </c>
      <c r="C20" s="800" t="s">
        <v>2277</v>
      </c>
    </row>
    <row r="21" spans="1:4" x14ac:dyDescent="0.3">
      <c r="A21" s="794" t="s">
        <v>2258</v>
      </c>
      <c r="B21" s="798">
        <v>45189</v>
      </c>
      <c r="C21" s="800" t="s">
        <v>2278</v>
      </c>
    </row>
    <row r="22" spans="1:4" x14ac:dyDescent="0.3">
      <c r="A22" s="794" t="s">
        <v>2259</v>
      </c>
      <c r="B22" s="798">
        <v>45189</v>
      </c>
      <c r="C22" s="800" t="s">
        <v>2279</v>
      </c>
    </row>
    <row r="23" spans="1:4" x14ac:dyDescent="0.3">
      <c r="A23" s="794" t="s">
        <v>2260</v>
      </c>
      <c r="B23" s="798">
        <v>45189</v>
      </c>
      <c r="C23" s="800" t="s">
        <v>2280</v>
      </c>
      <c r="D23" s="805" t="s">
        <v>2293</v>
      </c>
    </row>
    <row r="24" spans="1:4" x14ac:dyDescent="0.3">
      <c r="A24" s="794" t="s">
        <v>2261</v>
      </c>
      <c r="B24" s="798">
        <v>45190</v>
      </c>
      <c r="C24" s="800" t="s">
        <v>2281</v>
      </c>
    </row>
    <row r="25" spans="1:4" x14ac:dyDescent="0.3">
      <c r="A25" s="794" t="s">
        <v>2262</v>
      </c>
      <c r="B25" s="798">
        <v>45190</v>
      </c>
      <c r="C25" s="800" t="s">
        <v>2282</v>
      </c>
      <c r="D25" s="806" t="s">
        <v>2294</v>
      </c>
    </row>
    <row r="26" spans="1:4" x14ac:dyDescent="0.3">
      <c r="A26" s="794" t="s">
        <v>2263</v>
      </c>
      <c r="B26" s="798">
        <v>45190</v>
      </c>
      <c r="C26" s="800" t="s">
        <v>2283</v>
      </c>
      <c r="D26" s="807" t="s">
        <v>2296</v>
      </c>
    </row>
    <row r="27" spans="1:4" x14ac:dyDescent="0.3">
      <c r="A27" s="794" t="s">
        <v>2264</v>
      </c>
      <c r="B27" s="798">
        <v>45190</v>
      </c>
      <c r="C27" s="800" t="s">
        <v>2284</v>
      </c>
    </row>
    <row r="28" spans="1:4" x14ac:dyDescent="0.3">
      <c r="A28" s="794" t="s">
        <v>2265</v>
      </c>
      <c r="B28" s="798">
        <v>45190</v>
      </c>
      <c r="C28" s="800" t="s">
        <v>2285</v>
      </c>
    </row>
    <row r="29" spans="1:4" x14ac:dyDescent="0.3">
      <c r="A29" s="794" t="s">
        <v>2266</v>
      </c>
      <c r="B29" s="798">
        <v>45190</v>
      </c>
      <c r="C29" s="800" t="s">
        <v>2286</v>
      </c>
      <c r="D29" s="808" t="s">
        <v>2295</v>
      </c>
    </row>
    <row r="30" spans="1:4" x14ac:dyDescent="0.3">
      <c r="A30" s="794" t="s">
        <v>2267</v>
      </c>
      <c r="B30" s="798">
        <v>45190</v>
      </c>
      <c r="C30" s="800" t="s">
        <v>2286</v>
      </c>
    </row>
    <row r="31" spans="1:4" x14ac:dyDescent="0.3">
      <c r="A31" s="794" t="s">
        <v>2268</v>
      </c>
      <c r="B31" s="798">
        <v>45190</v>
      </c>
      <c r="C31" s="800" t="s">
        <v>2287</v>
      </c>
    </row>
    <row r="32" spans="1:4" x14ac:dyDescent="0.3">
      <c r="A32" s="794" t="s">
        <v>2269</v>
      </c>
      <c r="B32" s="798">
        <v>45190</v>
      </c>
      <c r="C32" s="800" t="s">
        <v>2288</v>
      </c>
    </row>
    <row r="33" spans="1:4" x14ac:dyDescent="0.3">
      <c r="A33" s="794" t="s">
        <v>2270</v>
      </c>
      <c r="B33" s="798">
        <v>45190</v>
      </c>
      <c r="C33" s="800" t="s">
        <v>2289</v>
      </c>
    </row>
    <row r="34" spans="1:4" x14ac:dyDescent="0.3">
      <c r="A34" s="794" t="s">
        <v>2271</v>
      </c>
      <c r="B34" s="798">
        <v>45190</v>
      </c>
      <c r="C34" s="800" t="s">
        <v>2290</v>
      </c>
    </row>
    <row r="35" spans="1:4" x14ac:dyDescent="0.3">
      <c r="A35" s="794" t="s">
        <v>2272</v>
      </c>
      <c r="B35" s="798">
        <v>45190</v>
      </c>
      <c r="C35" s="800" t="s">
        <v>2291</v>
      </c>
      <c r="D35" s="810" t="s">
        <v>2297</v>
      </c>
    </row>
    <row r="36" spans="1:4" x14ac:dyDescent="0.3">
      <c r="A36" s="794" t="s">
        <v>2273</v>
      </c>
      <c r="B36" s="798">
        <v>45190</v>
      </c>
      <c r="C36" s="800" t="s">
        <v>2292</v>
      </c>
    </row>
  </sheetData>
  <phoneticPr fontId="95" type="noConversion"/>
  <pageMargins left="0.7" right="0.7" top="0.75" bottom="0.75" header="0.3" footer="0.3"/>
  <pageSetup paperSize="9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  <pageSetUpPr fitToPage="1"/>
  </sheetPr>
  <dimension ref="A1:AD177"/>
  <sheetViews>
    <sheetView view="pageBreakPreview" zoomScaleNormal="100" zoomScaleSheetLayoutView="100" workbookViewId="0">
      <selection activeCell="N43" sqref="N43"/>
    </sheetView>
  </sheetViews>
  <sheetFormatPr defaultColWidth="9.109375" defaultRowHeight="10.199999999999999" x14ac:dyDescent="0.2"/>
  <cols>
    <col min="1" max="1" width="6.33203125" style="435" customWidth="1"/>
    <col min="2" max="2" width="6.6640625" style="435" customWidth="1"/>
    <col min="3" max="3" width="15.6640625" style="435" customWidth="1"/>
    <col min="4" max="4" width="40.6640625" style="435" customWidth="1"/>
    <col min="5" max="12" width="12.6640625" style="435" customWidth="1"/>
    <col min="13" max="13" width="26.77734375" style="638" customWidth="1"/>
    <col min="14" max="19" width="9.109375" style="435"/>
    <col min="20" max="29" width="0" style="435" hidden="1" customWidth="1"/>
    <col min="30" max="30" width="118.6640625" style="435" hidden="1" customWidth="1"/>
    <col min="31" max="36" width="0" style="435" hidden="1" customWidth="1"/>
    <col min="37" max="16384" width="9.109375" style="435"/>
  </cols>
  <sheetData>
    <row r="1" spans="1:13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3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3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3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3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3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3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3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434" t="s">
        <v>4</v>
      </c>
      <c r="K8" s="1101"/>
      <c r="L8" s="1102"/>
    </row>
    <row r="9" spans="1:13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3" s="432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430" t="s">
        <v>4</v>
      </c>
      <c r="K10" s="1101"/>
      <c r="L10" s="1102"/>
      <c r="M10" s="639"/>
    </row>
    <row r="11" spans="1:13" s="432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9"/>
    </row>
    <row r="12" spans="1:13" s="432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430" t="s">
        <v>4</v>
      </c>
      <c r="K12" s="1064"/>
      <c r="L12" s="1065"/>
      <c r="M12" s="639"/>
    </row>
    <row r="13" spans="1:13" s="432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9"/>
    </row>
    <row r="14" spans="1:13" s="432" customFormat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9"/>
    </row>
    <row r="15" spans="1:13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3" x14ac:dyDescent="0.2">
      <c r="A16" s="1103" t="s">
        <v>686</v>
      </c>
      <c r="B16" s="1103"/>
      <c r="C16" s="1104" t="s">
        <v>1500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431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433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431">
        <v>15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1:12" x14ac:dyDescent="0.2">
      <c r="A30" s="398"/>
      <c r="B30" s="398"/>
      <c r="C30" s="436"/>
      <c r="D30" s="436"/>
      <c r="E30" s="436"/>
      <c r="F30" s="1090" t="s">
        <v>692</v>
      </c>
      <c r="G30" s="1090"/>
      <c r="H30" s="1090"/>
      <c r="I30" s="1090"/>
      <c r="J30" s="1091">
        <v>219.09</v>
      </c>
      <c r="K30" s="1092"/>
      <c r="L30" s="398" t="s">
        <v>693</v>
      </c>
    </row>
    <row r="31" spans="1:12" x14ac:dyDescent="0.2">
      <c r="A31" s="398"/>
      <c r="B31" s="398"/>
      <c r="C31" s="436"/>
      <c r="D31" s="436"/>
      <c r="E31" s="436"/>
      <c r="F31" s="1090" t="s">
        <v>694</v>
      </c>
      <c r="G31" s="1090"/>
      <c r="H31" s="1090"/>
      <c r="I31" s="1090"/>
      <c r="J31" s="1091">
        <v>97.84</v>
      </c>
      <c r="K31" s="1092"/>
      <c r="L31" s="398" t="s">
        <v>695</v>
      </c>
    </row>
    <row r="32" spans="1:12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42.13</v>
      </c>
      <c r="K32" s="1092"/>
      <c r="L32" s="398" t="s">
        <v>693</v>
      </c>
    </row>
    <row r="34" spans="1:26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1480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  <c r="M40" s="844" t="s">
        <v>2323</v>
      </c>
    </row>
    <row r="41" spans="1:26" ht="40.799999999999997" x14ac:dyDescent="0.2">
      <c r="A41" s="403">
        <v>1</v>
      </c>
      <c r="B41" s="403">
        <v>17</v>
      </c>
      <c r="C41" s="403" t="s">
        <v>1481</v>
      </c>
      <c r="D41" s="403" t="s">
        <v>1473</v>
      </c>
      <c r="E41" s="404">
        <v>0.625</v>
      </c>
      <c r="F41" s="405">
        <v>6529.0794999999998</v>
      </c>
      <c r="G41" s="405">
        <v>1748.5864999999999</v>
      </c>
      <c r="H41" s="406">
        <v>58090.99</v>
      </c>
      <c r="I41" s="406">
        <v>23529.52</v>
      </c>
      <c r="J41" s="406">
        <v>14469.56</v>
      </c>
      <c r="K41" s="405">
        <v>92.712999999999994</v>
      </c>
      <c r="L41" s="405">
        <v>57.945625</v>
      </c>
      <c r="T41" s="435">
        <v>112059.19</v>
      </c>
      <c r="V41" s="435">
        <v>23529.52</v>
      </c>
      <c r="W41" s="435">
        <v>14469.56</v>
      </c>
      <c r="X41" s="435">
        <v>6469.48</v>
      </c>
      <c r="Y41" s="435">
        <v>57.945625</v>
      </c>
      <c r="Z41" s="435">
        <v>11.320313000000001</v>
      </c>
    </row>
    <row r="42" spans="1:26" x14ac:dyDescent="0.2">
      <c r="A42" s="407"/>
      <c r="B42" s="407"/>
      <c r="C42" s="407"/>
      <c r="D42" s="408" t="s">
        <v>1239</v>
      </c>
      <c r="E42" s="409"/>
      <c r="F42" s="410">
        <v>840.90300000000002</v>
      </c>
      <c r="G42" s="410">
        <v>231.20750000000001</v>
      </c>
      <c r="H42" s="409"/>
      <c r="I42" s="409"/>
      <c r="J42" s="411">
        <v>6469.48</v>
      </c>
      <c r="K42" s="410">
        <v>18.112500000000001</v>
      </c>
      <c r="L42" s="410">
        <v>11.320313000000001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20.399999999999999" x14ac:dyDescent="0.2">
      <c r="A44" s="412"/>
      <c r="B44" s="412"/>
      <c r="C44" s="412"/>
      <c r="D44" s="395" t="s">
        <v>1023</v>
      </c>
      <c r="E44" s="412"/>
      <c r="F44" s="412"/>
      <c r="G44" s="412"/>
      <c r="H44" s="412"/>
      <c r="I44" s="412"/>
      <c r="J44" s="412"/>
      <c r="K44" s="412"/>
      <c r="L44" s="412"/>
    </row>
    <row r="45" spans="1:26" ht="81.599999999999994" x14ac:dyDescent="0.2">
      <c r="A45" s="412"/>
      <c r="B45" s="412"/>
      <c r="C45" s="412"/>
      <c r="D45" s="395" t="s">
        <v>1024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1242</v>
      </c>
      <c r="F46" s="414"/>
      <c r="G46" s="414"/>
      <c r="H46" s="415">
        <v>35098.83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1243</v>
      </c>
      <c r="F47" s="414"/>
      <c r="G47" s="414"/>
      <c r="H47" s="415">
        <v>18869.37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112059.19</v>
      </c>
      <c r="I48" s="412"/>
      <c r="J48" s="412"/>
      <c r="K48" s="412"/>
      <c r="L48" s="412"/>
    </row>
    <row r="49" spans="1:26" ht="20.399999999999999" x14ac:dyDescent="0.2">
      <c r="A49" s="403">
        <v>2</v>
      </c>
      <c r="B49" s="403">
        <v>18</v>
      </c>
      <c r="C49" s="403" t="s">
        <v>1482</v>
      </c>
      <c r="D49" s="403" t="s">
        <v>1624</v>
      </c>
      <c r="E49" s="404">
        <v>1</v>
      </c>
      <c r="F49" s="405">
        <v>908.44</v>
      </c>
      <c r="G49" s="405" t="s">
        <v>281</v>
      </c>
      <c r="H49" s="406">
        <v>7412.87</v>
      </c>
      <c r="I49" s="406" t="s">
        <v>281</v>
      </c>
      <c r="J49" s="406" t="s">
        <v>281</v>
      </c>
      <c r="K49" s="405" t="s">
        <v>281</v>
      </c>
      <c r="L49" s="405" t="s">
        <v>281</v>
      </c>
      <c r="T49" s="435">
        <v>7412.87</v>
      </c>
      <c r="V49" s="435" t="s">
        <v>281</v>
      </c>
      <c r="W49" s="435" t="s">
        <v>281</v>
      </c>
      <c r="X49" s="435" t="s">
        <v>281</v>
      </c>
      <c r="Y49" s="435" t="s">
        <v>281</v>
      </c>
      <c r="Z49" s="435" t="s">
        <v>281</v>
      </c>
    </row>
    <row r="50" spans="1:26" x14ac:dyDescent="0.2">
      <c r="A50" s="407"/>
      <c r="B50" s="407"/>
      <c r="C50" s="407"/>
      <c r="D50" s="408" t="s">
        <v>735</v>
      </c>
      <c r="E50" s="409"/>
      <c r="F50" s="410" t="s">
        <v>281</v>
      </c>
      <c r="G50" s="410" t="s">
        <v>281</v>
      </c>
      <c r="H50" s="409"/>
      <c r="I50" s="409"/>
      <c r="J50" s="411" t="s">
        <v>281</v>
      </c>
      <c r="K50" s="410" t="s">
        <v>281</v>
      </c>
      <c r="L50" s="410" t="s">
        <v>281</v>
      </c>
    </row>
    <row r="51" spans="1:26" x14ac:dyDescent="0.2">
      <c r="A51" s="412"/>
      <c r="B51" s="412"/>
      <c r="C51" s="412"/>
      <c r="D51" s="395" t="s">
        <v>718</v>
      </c>
      <c r="E51" s="412"/>
      <c r="F51" s="412"/>
      <c r="G51" s="412"/>
      <c r="H51" s="412"/>
      <c r="I51" s="412"/>
      <c r="J51" s="412"/>
      <c r="K51" s="412"/>
      <c r="L51" s="412"/>
    </row>
    <row r="52" spans="1:26" ht="20.399999999999999" x14ac:dyDescent="0.2">
      <c r="A52" s="403">
        <v>3</v>
      </c>
      <c r="B52" s="403">
        <v>19</v>
      </c>
      <c r="C52" s="403" t="s">
        <v>1371</v>
      </c>
      <c r="D52" s="403" t="s">
        <v>1584</v>
      </c>
      <c r="E52" s="404">
        <v>1</v>
      </c>
      <c r="F52" s="405">
        <v>873.72</v>
      </c>
      <c r="G52" s="405" t="s">
        <v>281</v>
      </c>
      <c r="H52" s="406">
        <v>7129.56</v>
      </c>
      <c r="I52" s="406" t="s">
        <v>281</v>
      </c>
      <c r="J52" s="406" t="s">
        <v>281</v>
      </c>
      <c r="K52" s="405" t="s">
        <v>281</v>
      </c>
      <c r="L52" s="405" t="s">
        <v>281</v>
      </c>
      <c r="T52" s="435">
        <v>7129.56</v>
      </c>
      <c r="V52" s="435" t="s">
        <v>281</v>
      </c>
      <c r="W52" s="435" t="s">
        <v>281</v>
      </c>
      <c r="X52" s="435" t="s">
        <v>281</v>
      </c>
      <c r="Y52" s="435" t="s">
        <v>281</v>
      </c>
      <c r="Z52" s="435" t="s">
        <v>281</v>
      </c>
    </row>
    <row r="53" spans="1:26" x14ac:dyDescent="0.2">
      <c r="A53" s="407"/>
      <c r="B53" s="407"/>
      <c r="C53" s="407"/>
      <c r="D53" s="408" t="s">
        <v>735</v>
      </c>
      <c r="E53" s="409"/>
      <c r="F53" s="410" t="s">
        <v>281</v>
      </c>
      <c r="G53" s="410" t="s">
        <v>281</v>
      </c>
      <c r="H53" s="409"/>
      <c r="I53" s="409"/>
      <c r="J53" s="411" t="s">
        <v>281</v>
      </c>
      <c r="K53" s="410" t="s">
        <v>281</v>
      </c>
      <c r="L53" s="410" t="s">
        <v>281</v>
      </c>
    </row>
    <row r="54" spans="1:26" x14ac:dyDescent="0.2">
      <c r="A54" s="412"/>
      <c r="B54" s="412"/>
      <c r="C54" s="412"/>
      <c r="D54" s="395" t="s">
        <v>718</v>
      </c>
      <c r="E54" s="412"/>
      <c r="F54" s="412"/>
      <c r="G54" s="412"/>
      <c r="H54" s="412"/>
      <c r="I54" s="412"/>
      <c r="J54" s="412"/>
      <c r="K54" s="412"/>
      <c r="L54" s="412"/>
    </row>
    <row r="55" spans="1:26" ht="30.6" x14ac:dyDescent="0.2">
      <c r="A55" s="403">
        <v>4</v>
      </c>
      <c r="B55" s="403">
        <v>20</v>
      </c>
      <c r="C55" s="403" t="s">
        <v>1483</v>
      </c>
      <c r="D55" s="403" t="s">
        <v>1623</v>
      </c>
      <c r="E55" s="404">
        <v>1</v>
      </c>
      <c r="F55" s="405">
        <v>593.85</v>
      </c>
      <c r="G55" s="405" t="s">
        <v>281</v>
      </c>
      <c r="H55" s="406">
        <v>4845.82</v>
      </c>
      <c r="I55" s="406" t="s">
        <v>281</v>
      </c>
      <c r="J55" s="406" t="s">
        <v>281</v>
      </c>
      <c r="K55" s="405" t="s">
        <v>281</v>
      </c>
      <c r="L55" s="405" t="s">
        <v>281</v>
      </c>
      <c r="T55" s="435">
        <v>4845.82</v>
      </c>
      <c r="V55" s="435" t="s">
        <v>281</v>
      </c>
      <c r="W55" s="435" t="s">
        <v>281</v>
      </c>
      <c r="X55" s="435" t="s">
        <v>281</v>
      </c>
      <c r="Y55" s="435" t="s">
        <v>281</v>
      </c>
      <c r="Z55" s="435" t="s">
        <v>281</v>
      </c>
    </row>
    <row r="56" spans="1:26" x14ac:dyDescent="0.2">
      <c r="A56" s="407"/>
      <c r="B56" s="407"/>
      <c r="C56" s="407"/>
      <c r="D56" s="408" t="s">
        <v>735</v>
      </c>
      <c r="E56" s="409"/>
      <c r="F56" s="410" t="s">
        <v>281</v>
      </c>
      <c r="G56" s="410" t="s">
        <v>281</v>
      </c>
      <c r="H56" s="409"/>
      <c r="I56" s="409"/>
      <c r="J56" s="411" t="s">
        <v>281</v>
      </c>
      <c r="K56" s="410" t="s">
        <v>281</v>
      </c>
      <c r="L56" s="410" t="s">
        <v>281</v>
      </c>
    </row>
    <row r="57" spans="1:26" x14ac:dyDescent="0.2">
      <c r="A57" s="412"/>
      <c r="B57" s="412"/>
      <c r="C57" s="412"/>
      <c r="D57" s="395" t="s">
        <v>718</v>
      </c>
      <c r="E57" s="412"/>
      <c r="F57" s="412"/>
      <c r="G57" s="412"/>
      <c r="H57" s="412"/>
      <c r="I57" s="412"/>
      <c r="J57" s="412"/>
      <c r="K57" s="412"/>
      <c r="L57" s="412"/>
    </row>
    <row r="58" spans="1:26" ht="30.6" x14ac:dyDescent="0.2">
      <c r="A58" s="403">
        <v>5</v>
      </c>
      <c r="B58" s="403">
        <v>21</v>
      </c>
      <c r="C58" s="403" t="s">
        <v>1484</v>
      </c>
      <c r="D58" s="403" t="s">
        <v>1622</v>
      </c>
      <c r="E58" s="404">
        <v>3</v>
      </c>
      <c r="F58" s="405">
        <v>901.16</v>
      </c>
      <c r="G58" s="405" t="s">
        <v>281</v>
      </c>
      <c r="H58" s="406">
        <v>22060.41</v>
      </c>
      <c r="I58" s="406" t="s">
        <v>281</v>
      </c>
      <c r="J58" s="406" t="s">
        <v>281</v>
      </c>
      <c r="K58" s="405" t="s">
        <v>281</v>
      </c>
      <c r="L58" s="405" t="s">
        <v>281</v>
      </c>
      <c r="T58" s="435">
        <v>22060.41</v>
      </c>
      <c r="V58" s="435" t="s">
        <v>281</v>
      </c>
      <c r="W58" s="435" t="s">
        <v>281</v>
      </c>
      <c r="X58" s="435" t="s">
        <v>281</v>
      </c>
      <c r="Y58" s="435" t="s">
        <v>281</v>
      </c>
      <c r="Z58" s="435" t="s">
        <v>281</v>
      </c>
    </row>
    <row r="59" spans="1:26" x14ac:dyDescent="0.2">
      <c r="A59" s="407"/>
      <c r="B59" s="407"/>
      <c r="C59" s="407"/>
      <c r="D59" s="408" t="s">
        <v>735</v>
      </c>
      <c r="E59" s="409"/>
      <c r="F59" s="410" t="s">
        <v>281</v>
      </c>
      <c r="G59" s="410" t="s">
        <v>281</v>
      </c>
      <c r="H59" s="409"/>
      <c r="I59" s="409"/>
      <c r="J59" s="411" t="s">
        <v>281</v>
      </c>
      <c r="K59" s="410" t="s">
        <v>281</v>
      </c>
      <c r="L59" s="410" t="s">
        <v>281</v>
      </c>
    </row>
    <row r="60" spans="1:26" x14ac:dyDescent="0.2">
      <c r="A60" s="412"/>
      <c r="B60" s="412"/>
      <c r="C60" s="412"/>
      <c r="D60" s="395" t="s">
        <v>718</v>
      </c>
      <c r="E60" s="412"/>
      <c r="F60" s="412"/>
      <c r="G60" s="412"/>
      <c r="H60" s="412"/>
      <c r="I60" s="412"/>
      <c r="J60" s="412"/>
      <c r="K60" s="412"/>
      <c r="L60" s="412"/>
    </row>
    <row r="61" spans="1:26" ht="20.399999999999999" x14ac:dyDescent="0.2">
      <c r="A61" s="403">
        <v>6</v>
      </c>
      <c r="B61" s="403">
        <v>22</v>
      </c>
      <c r="C61" s="403" t="s">
        <v>1370</v>
      </c>
      <c r="D61" s="403" t="s">
        <v>1585</v>
      </c>
      <c r="E61" s="404">
        <v>1</v>
      </c>
      <c r="F61" s="405">
        <v>31.43</v>
      </c>
      <c r="G61" s="405" t="s">
        <v>281</v>
      </c>
      <c r="H61" s="406">
        <v>256.47000000000003</v>
      </c>
      <c r="I61" s="406" t="s">
        <v>281</v>
      </c>
      <c r="J61" s="406" t="s">
        <v>281</v>
      </c>
      <c r="K61" s="405" t="s">
        <v>281</v>
      </c>
      <c r="L61" s="405" t="s">
        <v>281</v>
      </c>
      <c r="T61" s="435">
        <v>256.47000000000003</v>
      </c>
      <c r="V61" s="435" t="s">
        <v>281</v>
      </c>
      <c r="W61" s="435" t="s">
        <v>281</v>
      </c>
      <c r="X61" s="435" t="s">
        <v>281</v>
      </c>
      <c r="Y61" s="435" t="s">
        <v>281</v>
      </c>
      <c r="Z61" s="435" t="s">
        <v>281</v>
      </c>
    </row>
    <row r="62" spans="1:26" x14ac:dyDescent="0.2">
      <c r="A62" s="407"/>
      <c r="B62" s="407"/>
      <c r="C62" s="407"/>
      <c r="D62" s="408" t="s">
        <v>735</v>
      </c>
      <c r="E62" s="409"/>
      <c r="F62" s="410" t="s">
        <v>281</v>
      </c>
      <c r="G62" s="410" t="s">
        <v>281</v>
      </c>
      <c r="H62" s="409"/>
      <c r="I62" s="409"/>
      <c r="J62" s="411" t="s">
        <v>281</v>
      </c>
      <c r="K62" s="410" t="s">
        <v>281</v>
      </c>
      <c r="L62" s="410" t="s">
        <v>281</v>
      </c>
    </row>
    <row r="63" spans="1:26" x14ac:dyDescent="0.2">
      <c r="A63" s="412"/>
      <c r="B63" s="412"/>
      <c r="C63" s="412"/>
      <c r="D63" s="395" t="s">
        <v>718</v>
      </c>
      <c r="E63" s="412"/>
      <c r="F63" s="412"/>
      <c r="G63" s="412"/>
      <c r="H63" s="412"/>
      <c r="I63" s="412"/>
      <c r="J63" s="412"/>
      <c r="K63" s="412"/>
      <c r="L63" s="412"/>
    </row>
    <row r="64" spans="1:26" ht="20.399999999999999" x14ac:dyDescent="0.2">
      <c r="A64" s="403">
        <v>7</v>
      </c>
      <c r="B64" s="403">
        <v>23</v>
      </c>
      <c r="C64" s="403" t="s">
        <v>1485</v>
      </c>
      <c r="D64" s="403" t="s">
        <v>1621</v>
      </c>
      <c r="E64" s="404">
        <v>1</v>
      </c>
      <c r="F64" s="405">
        <v>596.04</v>
      </c>
      <c r="G64" s="405" t="s">
        <v>281</v>
      </c>
      <c r="H64" s="406">
        <v>4863.6899999999996</v>
      </c>
      <c r="I64" s="406" t="s">
        <v>281</v>
      </c>
      <c r="J64" s="406" t="s">
        <v>281</v>
      </c>
      <c r="K64" s="405" t="s">
        <v>281</v>
      </c>
      <c r="L64" s="405" t="s">
        <v>281</v>
      </c>
      <c r="T64" s="435">
        <v>4863.6899999999996</v>
      </c>
      <c r="V64" s="435" t="s">
        <v>281</v>
      </c>
      <c r="W64" s="435" t="s">
        <v>281</v>
      </c>
      <c r="X64" s="435" t="s">
        <v>281</v>
      </c>
      <c r="Y64" s="435" t="s">
        <v>281</v>
      </c>
      <c r="Z64" s="435" t="s">
        <v>281</v>
      </c>
    </row>
    <row r="65" spans="1:26" x14ac:dyDescent="0.2">
      <c r="A65" s="407"/>
      <c r="B65" s="407"/>
      <c r="C65" s="407"/>
      <c r="D65" s="408" t="s">
        <v>735</v>
      </c>
      <c r="E65" s="409"/>
      <c r="F65" s="410" t="s">
        <v>281</v>
      </c>
      <c r="G65" s="410" t="s">
        <v>281</v>
      </c>
      <c r="H65" s="409"/>
      <c r="I65" s="409"/>
      <c r="J65" s="411" t="s">
        <v>281</v>
      </c>
      <c r="K65" s="410" t="s">
        <v>281</v>
      </c>
      <c r="L65" s="410" t="s">
        <v>281</v>
      </c>
    </row>
    <row r="66" spans="1:26" x14ac:dyDescent="0.2">
      <c r="A66" s="412"/>
      <c r="B66" s="412"/>
      <c r="C66" s="412"/>
      <c r="D66" s="395" t="s">
        <v>718</v>
      </c>
      <c r="E66" s="412"/>
      <c r="F66" s="412"/>
      <c r="G66" s="412"/>
      <c r="H66" s="412"/>
      <c r="I66" s="412"/>
      <c r="J66" s="412"/>
      <c r="K66" s="412"/>
      <c r="L66" s="412"/>
    </row>
    <row r="67" spans="1:26" ht="20.399999999999999" x14ac:dyDescent="0.2">
      <c r="A67" s="403">
        <v>8</v>
      </c>
      <c r="B67" s="403">
        <v>24</v>
      </c>
      <c r="C67" s="403" t="s">
        <v>1486</v>
      </c>
      <c r="D67" s="403" t="s">
        <v>1620</v>
      </c>
      <c r="E67" s="404">
        <v>2.682E-2</v>
      </c>
      <c r="F67" s="405">
        <v>7571</v>
      </c>
      <c r="G67" s="405" t="s">
        <v>281</v>
      </c>
      <c r="H67" s="406">
        <v>1656.92</v>
      </c>
      <c r="I67" s="406" t="s">
        <v>281</v>
      </c>
      <c r="J67" s="406" t="s">
        <v>281</v>
      </c>
      <c r="K67" s="405" t="s">
        <v>281</v>
      </c>
      <c r="L67" s="405" t="s">
        <v>281</v>
      </c>
      <c r="T67" s="435">
        <v>1656.92</v>
      </c>
      <c r="V67" s="435" t="s">
        <v>281</v>
      </c>
      <c r="W67" s="435" t="s">
        <v>281</v>
      </c>
      <c r="X67" s="435" t="s">
        <v>281</v>
      </c>
      <c r="Y67" s="435" t="s">
        <v>281</v>
      </c>
      <c r="Z67" s="435" t="s">
        <v>281</v>
      </c>
    </row>
    <row r="68" spans="1:26" x14ac:dyDescent="0.2">
      <c r="A68" s="407"/>
      <c r="B68" s="407"/>
      <c r="C68" s="407"/>
      <c r="D68" s="408" t="s">
        <v>224</v>
      </c>
      <c r="E68" s="409"/>
      <c r="F68" s="410" t="s">
        <v>281</v>
      </c>
      <c r="G68" s="410" t="s">
        <v>281</v>
      </c>
      <c r="H68" s="409"/>
      <c r="I68" s="409"/>
      <c r="J68" s="411" t="s">
        <v>281</v>
      </c>
      <c r="K68" s="410" t="s">
        <v>281</v>
      </c>
      <c r="L68" s="410" t="s">
        <v>281</v>
      </c>
    </row>
    <row r="69" spans="1:26" x14ac:dyDescent="0.2">
      <c r="A69" s="412"/>
      <c r="B69" s="412"/>
      <c r="C69" s="412"/>
      <c r="D69" s="395" t="s">
        <v>718</v>
      </c>
      <c r="E69" s="412"/>
      <c r="F69" s="412"/>
      <c r="G69" s="412"/>
      <c r="H69" s="412"/>
      <c r="I69" s="412"/>
      <c r="J69" s="412"/>
      <c r="K69" s="412"/>
      <c r="L69" s="412"/>
    </row>
    <row r="70" spans="1:26" ht="20.399999999999999" x14ac:dyDescent="0.2">
      <c r="A70" s="403">
        <v>9</v>
      </c>
      <c r="B70" s="403">
        <v>25</v>
      </c>
      <c r="C70" s="403" t="s">
        <v>1487</v>
      </c>
      <c r="D70" s="403" t="s">
        <v>1619</v>
      </c>
      <c r="E70" s="404">
        <v>1</v>
      </c>
      <c r="F70" s="405">
        <v>282.83999999999997</v>
      </c>
      <c r="G70" s="405" t="s">
        <v>281</v>
      </c>
      <c r="H70" s="406">
        <v>2307.9699999999998</v>
      </c>
      <c r="I70" s="406" t="s">
        <v>281</v>
      </c>
      <c r="J70" s="406" t="s">
        <v>281</v>
      </c>
      <c r="K70" s="405" t="s">
        <v>281</v>
      </c>
      <c r="L70" s="405" t="s">
        <v>281</v>
      </c>
      <c r="T70" s="435">
        <v>2307.9699999999998</v>
      </c>
      <c r="V70" s="435" t="s">
        <v>281</v>
      </c>
      <c r="W70" s="435" t="s">
        <v>281</v>
      </c>
      <c r="X70" s="435" t="s">
        <v>281</v>
      </c>
      <c r="Y70" s="435" t="s">
        <v>281</v>
      </c>
      <c r="Z70" s="435" t="s">
        <v>281</v>
      </c>
    </row>
    <row r="71" spans="1:26" x14ac:dyDescent="0.2">
      <c r="A71" s="407"/>
      <c r="B71" s="407"/>
      <c r="C71" s="407"/>
      <c r="D71" s="408" t="s">
        <v>735</v>
      </c>
      <c r="E71" s="409"/>
      <c r="F71" s="410" t="s">
        <v>281</v>
      </c>
      <c r="G71" s="410" t="s">
        <v>281</v>
      </c>
      <c r="H71" s="409"/>
      <c r="I71" s="409"/>
      <c r="J71" s="411" t="s">
        <v>281</v>
      </c>
      <c r="K71" s="410" t="s">
        <v>281</v>
      </c>
      <c r="L71" s="410" t="s">
        <v>281</v>
      </c>
    </row>
    <row r="72" spans="1:26" x14ac:dyDescent="0.2">
      <c r="A72" s="412"/>
      <c r="B72" s="412"/>
      <c r="C72" s="412"/>
      <c r="D72" s="395" t="s">
        <v>718</v>
      </c>
      <c r="E72" s="412"/>
      <c r="F72" s="412"/>
      <c r="G72" s="412"/>
      <c r="H72" s="412"/>
      <c r="I72" s="412"/>
      <c r="J72" s="412"/>
      <c r="K72" s="412"/>
      <c r="L72" s="412"/>
    </row>
    <row r="73" spans="1:26" ht="40.799999999999997" x14ac:dyDescent="0.2">
      <c r="A73" s="403">
        <v>10</v>
      </c>
      <c r="B73" s="403">
        <v>26</v>
      </c>
      <c r="C73" s="403" t="s">
        <v>1379</v>
      </c>
      <c r="D73" s="403" t="s">
        <v>1474</v>
      </c>
      <c r="E73" s="404">
        <v>0.375</v>
      </c>
      <c r="F73" s="405">
        <v>376.98750000000001</v>
      </c>
      <c r="G73" s="405">
        <v>82.385999999999996</v>
      </c>
      <c r="H73" s="406">
        <v>4493.57</v>
      </c>
      <c r="I73" s="406">
        <v>3892.5</v>
      </c>
      <c r="J73" s="406">
        <v>409.05</v>
      </c>
      <c r="K73" s="405">
        <v>24.38</v>
      </c>
      <c r="L73" s="405">
        <v>9.1425000000000001</v>
      </c>
      <c r="T73" s="435">
        <v>11133.81</v>
      </c>
      <c r="V73" s="435">
        <v>3892.5</v>
      </c>
      <c r="W73" s="435">
        <v>409.05</v>
      </c>
      <c r="X73" s="435">
        <v>44.79</v>
      </c>
      <c r="Y73" s="435">
        <v>9.1425000000000001</v>
      </c>
      <c r="Z73" s="435">
        <v>8.6249999999999993E-2</v>
      </c>
    </row>
    <row r="74" spans="1:26" x14ac:dyDescent="0.2">
      <c r="A74" s="407"/>
      <c r="B74" s="407"/>
      <c r="C74" s="407"/>
      <c r="D74" s="408" t="s">
        <v>831</v>
      </c>
      <c r="E74" s="409"/>
      <c r="F74" s="410">
        <v>231.85149999999999</v>
      </c>
      <c r="G74" s="410">
        <v>2.6680000000000001</v>
      </c>
      <c r="H74" s="409"/>
      <c r="I74" s="409"/>
      <c r="J74" s="411">
        <v>44.79</v>
      </c>
      <c r="K74" s="410">
        <v>0.23</v>
      </c>
      <c r="L74" s="410">
        <v>8.6249999999999993E-2</v>
      </c>
    </row>
    <row r="75" spans="1:26" ht="20.399999999999999" x14ac:dyDescent="0.2">
      <c r="A75" s="412"/>
      <c r="B75" s="412"/>
      <c r="C75" s="412"/>
      <c r="D75" s="395" t="s">
        <v>714</v>
      </c>
      <c r="E75" s="412"/>
      <c r="F75" s="412"/>
      <c r="G75" s="412"/>
      <c r="H75" s="412"/>
      <c r="I75" s="412"/>
      <c r="J75" s="412"/>
      <c r="K75" s="412"/>
      <c r="L75" s="412"/>
    </row>
    <row r="76" spans="1:26" ht="20.399999999999999" x14ac:dyDescent="0.2">
      <c r="A76" s="412"/>
      <c r="B76" s="412"/>
      <c r="C76" s="412"/>
      <c r="D76" s="395" t="s">
        <v>1023</v>
      </c>
      <c r="E76" s="412"/>
      <c r="F76" s="412"/>
      <c r="G76" s="412"/>
      <c r="H76" s="412"/>
      <c r="I76" s="412"/>
      <c r="J76" s="412"/>
      <c r="K76" s="412"/>
      <c r="L76" s="412"/>
    </row>
    <row r="77" spans="1:26" ht="81.599999999999994" x14ac:dyDescent="0.2">
      <c r="A77" s="412"/>
      <c r="B77" s="412"/>
      <c r="C77" s="412"/>
      <c r="D77" s="395" t="s">
        <v>1024</v>
      </c>
      <c r="E77" s="412"/>
      <c r="F77" s="412"/>
      <c r="G77" s="412"/>
      <c r="H77" s="412"/>
      <c r="I77" s="412"/>
      <c r="J77" s="412"/>
      <c r="K77" s="412"/>
      <c r="L77" s="412"/>
    </row>
    <row r="78" spans="1:26" x14ac:dyDescent="0.2">
      <c r="A78" s="412"/>
      <c r="B78" s="412"/>
      <c r="C78" s="412"/>
      <c r="D78" s="413" t="s">
        <v>206</v>
      </c>
      <c r="E78" s="414" t="s">
        <v>750</v>
      </c>
      <c r="F78" s="414"/>
      <c r="G78" s="414"/>
      <c r="H78" s="415">
        <v>4331.0200000000004</v>
      </c>
      <c r="I78" s="412"/>
      <c r="J78" s="412"/>
      <c r="K78" s="412"/>
      <c r="L78" s="412"/>
    </row>
    <row r="79" spans="1:26" x14ac:dyDescent="0.2">
      <c r="A79" s="412"/>
      <c r="B79" s="412"/>
      <c r="C79" s="412"/>
      <c r="D79" s="413" t="s">
        <v>207</v>
      </c>
      <c r="E79" s="414" t="s">
        <v>1380</v>
      </c>
      <c r="F79" s="414"/>
      <c r="G79" s="414"/>
      <c r="H79" s="415">
        <v>2309.2199999999998</v>
      </c>
      <c r="I79" s="412"/>
      <c r="J79" s="412"/>
      <c r="K79" s="412"/>
      <c r="L79" s="412"/>
    </row>
    <row r="80" spans="1:26" x14ac:dyDescent="0.2">
      <c r="A80" s="412"/>
      <c r="B80" s="412"/>
      <c r="C80" s="412"/>
      <c r="D80" s="416" t="s">
        <v>715</v>
      </c>
      <c r="E80" s="417"/>
      <c r="F80" s="417"/>
      <c r="G80" s="417"/>
      <c r="H80" s="418">
        <v>11133.81</v>
      </c>
      <c r="I80" s="412"/>
      <c r="J80" s="412"/>
      <c r="K80" s="412"/>
      <c r="L80" s="412"/>
    </row>
    <row r="81" spans="1:26" x14ac:dyDescent="0.2">
      <c r="A81" s="403">
        <v>11</v>
      </c>
      <c r="B81" s="403">
        <v>27</v>
      </c>
      <c r="C81" s="403" t="s">
        <v>1381</v>
      </c>
      <c r="D81" s="403" t="s">
        <v>1618</v>
      </c>
      <c r="E81" s="404">
        <v>7.4999999999999997E-2</v>
      </c>
      <c r="F81" s="405">
        <v>21597.69</v>
      </c>
      <c r="G81" s="405" t="s">
        <v>281</v>
      </c>
      <c r="H81" s="406">
        <v>13217.79</v>
      </c>
      <c r="I81" s="406" t="s">
        <v>281</v>
      </c>
      <c r="J81" s="406" t="s">
        <v>281</v>
      </c>
      <c r="K81" s="405" t="s">
        <v>281</v>
      </c>
      <c r="L81" s="405" t="s">
        <v>281</v>
      </c>
      <c r="T81" s="435">
        <v>13217.79</v>
      </c>
      <c r="V81" s="435" t="s">
        <v>281</v>
      </c>
      <c r="W81" s="435" t="s">
        <v>281</v>
      </c>
      <c r="X81" s="435" t="s">
        <v>281</v>
      </c>
      <c r="Y81" s="435" t="s">
        <v>281</v>
      </c>
      <c r="Z81" s="435" t="s">
        <v>281</v>
      </c>
    </row>
    <row r="82" spans="1:26" x14ac:dyDescent="0.2">
      <c r="A82" s="407"/>
      <c r="B82" s="407"/>
      <c r="C82" s="407"/>
      <c r="D82" s="408" t="s">
        <v>224</v>
      </c>
      <c r="E82" s="409"/>
      <c r="F82" s="410" t="s">
        <v>281</v>
      </c>
      <c r="G82" s="410" t="s">
        <v>281</v>
      </c>
      <c r="H82" s="409"/>
      <c r="I82" s="409"/>
      <c r="J82" s="411" t="s">
        <v>281</v>
      </c>
      <c r="K82" s="410" t="s">
        <v>281</v>
      </c>
      <c r="L82" s="410" t="s">
        <v>281</v>
      </c>
    </row>
    <row r="83" spans="1:26" x14ac:dyDescent="0.2">
      <c r="A83" s="412"/>
      <c r="B83" s="412"/>
      <c r="C83" s="412"/>
      <c r="D83" s="395" t="s">
        <v>718</v>
      </c>
      <c r="E83" s="412"/>
      <c r="F83" s="412"/>
      <c r="G83" s="412"/>
      <c r="H83" s="412"/>
      <c r="I83" s="412"/>
      <c r="J83" s="412"/>
      <c r="K83" s="412"/>
      <c r="L83" s="412"/>
    </row>
    <row r="84" spans="1:26" x14ac:dyDescent="0.2">
      <c r="A84" s="403">
        <v>12</v>
      </c>
      <c r="B84" s="403">
        <v>28</v>
      </c>
      <c r="C84" s="403" t="s">
        <v>1382</v>
      </c>
      <c r="D84" s="403" t="s">
        <v>1617</v>
      </c>
      <c r="E84" s="404">
        <v>1.2E-2</v>
      </c>
      <c r="F84" s="405">
        <v>11885.47</v>
      </c>
      <c r="G84" s="405" t="s">
        <v>281</v>
      </c>
      <c r="H84" s="406">
        <v>1163.83</v>
      </c>
      <c r="I84" s="406" t="s">
        <v>281</v>
      </c>
      <c r="J84" s="406" t="s">
        <v>281</v>
      </c>
      <c r="K84" s="405" t="s">
        <v>281</v>
      </c>
      <c r="L84" s="405" t="s">
        <v>281</v>
      </c>
      <c r="T84" s="435">
        <v>1163.83</v>
      </c>
      <c r="V84" s="435" t="s">
        <v>281</v>
      </c>
      <c r="W84" s="435" t="s">
        <v>281</v>
      </c>
      <c r="X84" s="435" t="s">
        <v>281</v>
      </c>
      <c r="Y84" s="435" t="s">
        <v>281</v>
      </c>
      <c r="Z84" s="435" t="s">
        <v>281</v>
      </c>
    </row>
    <row r="85" spans="1:26" x14ac:dyDescent="0.2">
      <c r="A85" s="407"/>
      <c r="B85" s="407"/>
      <c r="C85" s="407"/>
      <c r="D85" s="408" t="s">
        <v>224</v>
      </c>
      <c r="E85" s="409"/>
      <c r="F85" s="410" t="s">
        <v>281</v>
      </c>
      <c r="G85" s="410" t="s">
        <v>281</v>
      </c>
      <c r="H85" s="409"/>
      <c r="I85" s="409"/>
      <c r="J85" s="411" t="s">
        <v>281</v>
      </c>
      <c r="K85" s="410" t="s">
        <v>281</v>
      </c>
      <c r="L85" s="410" t="s">
        <v>281</v>
      </c>
    </row>
    <row r="86" spans="1:26" x14ac:dyDescent="0.2">
      <c r="A86" s="412"/>
      <c r="B86" s="412"/>
      <c r="C86" s="412"/>
      <c r="D86" s="395" t="s">
        <v>718</v>
      </c>
      <c r="E86" s="412"/>
      <c r="F86" s="412"/>
      <c r="G86" s="412"/>
      <c r="H86" s="412"/>
      <c r="I86" s="412"/>
      <c r="J86" s="412"/>
      <c r="K86" s="412"/>
      <c r="L86" s="412"/>
    </row>
    <row r="87" spans="1:26" ht="40.799999999999997" x14ac:dyDescent="0.2">
      <c r="A87" s="403">
        <v>13</v>
      </c>
      <c r="B87" s="403">
        <v>29</v>
      </c>
      <c r="C87" s="403" t="s">
        <v>1488</v>
      </c>
      <c r="D87" s="403" t="s">
        <v>1475</v>
      </c>
      <c r="E87" s="404">
        <v>5.0000000000000001E-3</v>
      </c>
      <c r="F87" s="405">
        <v>36071.017999999996</v>
      </c>
      <c r="G87" s="405">
        <v>15748.008</v>
      </c>
      <c r="H87" s="406">
        <v>4343.18</v>
      </c>
      <c r="I87" s="406">
        <v>3022.35</v>
      </c>
      <c r="J87" s="406">
        <v>1042.52</v>
      </c>
      <c r="K87" s="405">
        <v>1436.35</v>
      </c>
      <c r="L87" s="405">
        <v>7.1817500000000001</v>
      </c>
      <c r="T87" s="435">
        <v>9649.9699999999993</v>
      </c>
      <c r="V87" s="435">
        <v>3022.35</v>
      </c>
      <c r="W87" s="435">
        <v>1042.52</v>
      </c>
      <c r="X87" s="435">
        <v>485.11</v>
      </c>
      <c r="Y87" s="435">
        <v>7.1817500000000001</v>
      </c>
      <c r="Z87" s="435">
        <v>0.80603499999999995</v>
      </c>
    </row>
    <row r="88" spans="1:26" x14ac:dyDescent="0.2">
      <c r="A88" s="407"/>
      <c r="B88" s="407"/>
      <c r="C88" s="407"/>
      <c r="D88" s="408" t="s">
        <v>901</v>
      </c>
      <c r="E88" s="409"/>
      <c r="F88" s="410">
        <v>13501.69</v>
      </c>
      <c r="G88" s="410">
        <v>2167.1289999999999</v>
      </c>
      <c r="H88" s="409"/>
      <c r="I88" s="409"/>
      <c r="J88" s="411">
        <v>485.11</v>
      </c>
      <c r="K88" s="410">
        <v>161.20699999999999</v>
      </c>
      <c r="L88" s="410">
        <v>0.80603499999999995</v>
      </c>
    </row>
    <row r="89" spans="1:26" ht="20.399999999999999" x14ac:dyDescent="0.2">
      <c r="A89" s="412"/>
      <c r="B89" s="412"/>
      <c r="C89" s="412"/>
      <c r="D89" s="395" t="s">
        <v>714</v>
      </c>
      <c r="E89" s="412"/>
      <c r="F89" s="412"/>
      <c r="G89" s="412"/>
      <c r="H89" s="412"/>
      <c r="I89" s="412"/>
      <c r="J89" s="412"/>
      <c r="K89" s="412"/>
      <c r="L89" s="412"/>
    </row>
    <row r="90" spans="1:26" ht="20.399999999999999" x14ac:dyDescent="0.2">
      <c r="A90" s="412"/>
      <c r="B90" s="412"/>
      <c r="C90" s="412"/>
      <c r="D90" s="395" t="s">
        <v>1023</v>
      </c>
      <c r="E90" s="412"/>
      <c r="F90" s="412"/>
      <c r="G90" s="412"/>
      <c r="H90" s="412"/>
      <c r="I90" s="412"/>
      <c r="J90" s="412"/>
      <c r="K90" s="412"/>
      <c r="L90" s="412"/>
    </row>
    <row r="91" spans="1:26" ht="81.599999999999994" x14ac:dyDescent="0.2">
      <c r="A91" s="412"/>
      <c r="B91" s="412"/>
      <c r="C91" s="412"/>
      <c r="D91" s="395" t="s">
        <v>1024</v>
      </c>
      <c r="E91" s="412"/>
      <c r="F91" s="412"/>
      <c r="G91" s="412"/>
      <c r="H91" s="412"/>
      <c r="I91" s="412"/>
      <c r="J91" s="412"/>
      <c r="K91" s="412"/>
      <c r="L91" s="412"/>
    </row>
    <row r="92" spans="1:26" x14ac:dyDescent="0.2">
      <c r="A92" s="412"/>
      <c r="B92" s="412"/>
      <c r="C92" s="412"/>
      <c r="D92" s="413" t="s">
        <v>206</v>
      </c>
      <c r="E92" s="414" t="s">
        <v>738</v>
      </c>
      <c r="F92" s="414"/>
      <c r="G92" s="414"/>
      <c r="H92" s="415">
        <v>3577.61</v>
      </c>
      <c r="I92" s="412"/>
      <c r="J92" s="412"/>
      <c r="K92" s="412"/>
      <c r="L92" s="412"/>
    </row>
    <row r="93" spans="1:26" x14ac:dyDescent="0.2">
      <c r="A93" s="412"/>
      <c r="B93" s="412"/>
      <c r="C93" s="412"/>
      <c r="D93" s="413" t="s">
        <v>207</v>
      </c>
      <c r="E93" s="414" t="s">
        <v>1075</v>
      </c>
      <c r="F93" s="414"/>
      <c r="G93" s="414"/>
      <c r="H93" s="415">
        <v>1729.18</v>
      </c>
      <c r="I93" s="412"/>
      <c r="J93" s="412"/>
      <c r="K93" s="412"/>
      <c r="L93" s="412"/>
    </row>
    <row r="94" spans="1:26" x14ac:dyDescent="0.2">
      <c r="A94" s="412"/>
      <c r="B94" s="412"/>
      <c r="C94" s="412"/>
      <c r="D94" s="416" t="s">
        <v>715</v>
      </c>
      <c r="E94" s="417"/>
      <c r="F94" s="417"/>
      <c r="G94" s="417"/>
      <c r="H94" s="418">
        <v>9649.9699999999993</v>
      </c>
      <c r="I94" s="412"/>
      <c r="J94" s="412"/>
      <c r="K94" s="412"/>
      <c r="L94" s="412"/>
    </row>
    <row r="95" spans="1:26" ht="30.6" x14ac:dyDescent="0.2">
      <c r="A95" s="403">
        <v>14</v>
      </c>
      <c r="B95" s="403">
        <v>30</v>
      </c>
      <c r="C95" s="403" t="s">
        <v>1489</v>
      </c>
      <c r="D95" s="403" t="s">
        <v>1616</v>
      </c>
      <c r="E95" s="404">
        <v>0.50749999999999995</v>
      </c>
      <c r="F95" s="405">
        <v>850.61</v>
      </c>
      <c r="G95" s="405" t="s">
        <v>281</v>
      </c>
      <c r="H95" s="406">
        <v>3522.55</v>
      </c>
      <c r="I95" s="406" t="s">
        <v>281</v>
      </c>
      <c r="J95" s="406" t="s">
        <v>281</v>
      </c>
      <c r="K95" s="405" t="s">
        <v>281</v>
      </c>
      <c r="L95" s="405" t="s">
        <v>281</v>
      </c>
      <c r="T95" s="435">
        <v>3522.55</v>
      </c>
      <c r="V95" s="435" t="s">
        <v>281</v>
      </c>
      <c r="W95" s="435" t="s">
        <v>281</v>
      </c>
      <c r="X95" s="435" t="s">
        <v>281</v>
      </c>
      <c r="Y95" s="435" t="s">
        <v>281</v>
      </c>
      <c r="Z95" s="435" t="s">
        <v>281</v>
      </c>
    </row>
    <row r="96" spans="1:26" x14ac:dyDescent="0.2">
      <c r="A96" s="407"/>
      <c r="B96" s="407"/>
      <c r="C96" s="407"/>
      <c r="D96" s="408" t="s">
        <v>745</v>
      </c>
      <c r="E96" s="409"/>
      <c r="F96" s="410" t="s">
        <v>281</v>
      </c>
      <c r="G96" s="410" t="s">
        <v>281</v>
      </c>
      <c r="H96" s="409"/>
      <c r="I96" s="409"/>
      <c r="J96" s="411" t="s">
        <v>281</v>
      </c>
      <c r="K96" s="410" t="s">
        <v>281</v>
      </c>
      <c r="L96" s="410" t="s">
        <v>281</v>
      </c>
    </row>
    <row r="97" spans="1:26" x14ac:dyDescent="0.2">
      <c r="A97" s="412"/>
      <c r="B97" s="412"/>
      <c r="C97" s="412"/>
      <c r="D97" s="395" t="s">
        <v>718</v>
      </c>
      <c r="E97" s="412"/>
      <c r="F97" s="412"/>
      <c r="G97" s="412"/>
      <c r="H97" s="412"/>
      <c r="I97" s="412"/>
      <c r="J97" s="412"/>
      <c r="K97" s="412"/>
      <c r="L97" s="412"/>
    </row>
    <row r="98" spans="1:26" ht="20.399999999999999" x14ac:dyDescent="0.2">
      <c r="A98" s="403">
        <v>15</v>
      </c>
      <c r="B98" s="403">
        <v>31</v>
      </c>
      <c r="C98" s="403" t="s">
        <v>1490</v>
      </c>
      <c r="D98" s="403" t="s">
        <v>1615</v>
      </c>
      <c r="E98" s="404">
        <v>2.9000000000000001E-2</v>
      </c>
      <c r="F98" s="405">
        <v>8014.15</v>
      </c>
      <c r="G98" s="405" t="s">
        <v>281</v>
      </c>
      <c r="H98" s="406">
        <v>1896.47</v>
      </c>
      <c r="I98" s="406" t="s">
        <v>281</v>
      </c>
      <c r="J98" s="406" t="s">
        <v>281</v>
      </c>
      <c r="K98" s="405" t="s">
        <v>281</v>
      </c>
      <c r="L98" s="405" t="s">
        <v>281</v>
      </c>
      <c r="T98" s="435">
        <v>1896.47</v>
      </c>
      <c r="V98" s="435" t="s">
        <v>281</v>
      </c>
      <c r="W98" s="435" t="s">
        <v>281</v>
      </c>
      <c r="X98" s="435" t="s">
        <v>281</v>
      </c>
      <c r="Y98" s="435" t="s">
        <v>281</v>
      </c>
      <c r="Z98" s="435" t="s">
        <v>281</v>
      </c>
    </row>
    <row r="99" spans="1:26" x14ac:dyDescent="0.2">
      <c r="A99" s="407"/>
      <c r="B99" s="407"/>
      <c r="C99" s="407"/>
      <c r="D99" s="408" t="s">
        <v>224</v>
      </c>
      <c r="E99" s="409"/>
      <c r="F99" s="410" t="s">
        <v>281</v>
      </c>
      <c r="G99" s="410" t="s">
        <v>281</v>
      </c>
      <c r="H99" s="409"/>
      <c r="I99" s="409"/>
      <c r="J99" s="411" t="s">
        <v>281</v>
      </c>
      <c r="K99" s="410" t="s">
        <v>281</v>
      </c>
      <c r="L99" s="410" t="s">
        <v>281</v>
      </c>
    </row>
    <row r="100" spans="1:26" x14ac:dyDescent="0.2">
      <c r="A100" s="412"/>
      <c r="B100" s="412"/>
      <c r="C100" s="412"/>
      <c r="D100" s="395" t="s">
        <v>718</v>
      </c>
      <c r="E100" s="412"/>
      <c r="F100" s="412"/>
      <c r="G100" s="412"/>
      <c r="H100" s="412"/>
      <c r="I100" s="412"/>
      <c r="J100" s="412"/>
      <c r="K100" s="412"/>
      <c r="L100" s="412"/>
    </row>
    <row r="101" spans="1:26" ht="20.399999999999999" x14ac:dyDescent="0.2">
      <c r="A101" s="403">
        <v>16</v>
      </c>
      <c r="B101" s="403">
        <v>32</v>
      </c>
      <c r="C101" s="403" t="s">
        <v>1491</v>
      </c>
      <c r="D101" s="403" t="s">
        <v>1476</v>
      </c>
      <c r="E101" s="404">
        <v>1.14E-2</v>
      </c>
      <c r="F101" s="405">
        <v>2098.1750000000002</v>
      </c>
      <c r="G101" s="405">
        <v>32.936</v>
      </c>
      <c r="H101" s="406">
        <v>1059.02</v>
      </c>
      <c r="I101" s="406">
        <v>1054.05</v>
      </c>
      <c r="J101" s="406">
        <v>4.97</v>
      </c>
      <c r="K101" s="405">
        <v>227.7</v>
      </c>
      <c r="L101" s="405">
        <v>2.59578</v>
      </c>
      <c r="T101" s="435">
        <v>2657.43</v>
      </c>
      <c r="V101" s="435">
        <v>1054.05</v>
      </c>
      <c r="W101" s="435">
        <v>4.97</v>
      </c>
      <c r="X101" s="435">
        <v>2.4</v>
      </c>
      <c r="Y101" s="435">
        <v>2.59578</v>
      </c>
      <c r="Z101" s="435">
        <v>4.326E-3</v>
      </c>
    </row>
    <row r="102" spans="1:26" x14ac:dyDescent="0.2">
      <c r="A102" s="407"/>
      <c r="B102" s="407"/>
      <c r="C102" s="407"/>
      <c r="D102" s="408" t="s">
        <v>224</v>
      </c>
      <c r="E102" s="409"/>
      <c r="F102" s="410">
        <v>2065.239</v>
      </c>
      <c r="G102" s="410">
        <v>4.7035</v>
      </c>
      <c r="H102" s="409"/>
      <c r="I102" s="409"/>
      <c r="J102" s="411">
        <v>2.4</v>
      </c>
      <c r="K102" s="410">
        <v>0.3795</v>
      </c>
      <c r="L102" s="410">
        <v>4.326E-3</v>
      </c>
    </row>
    <row r="103" spans="1:26" ht="20.399999999999999" x14ac:dyDescent="0.2">
      <c r="A103" s="412"/>
      <c r="B103" s="412"/>
      <c r="C103" s="412"/>
      <c r="D103" s="395" t="s">
        <v>714</v>
      </c>
      <c r="E103" s="412"/>
      <c r="F103" s="412"/>
      <c r="G103" s="412"/>
      <c r="H103" s="412"/>
      <c r="I103" s="412"/>
      <c r="J103" s="412"/>
      <c r="K103" s="412"/>
      <c r="L103" s="412"/>
    </row>
    <row r="104" spans="1:26" ht="20.399999999999999" x14ac:dyDescent="0.2">
      <c r="A104" s="412"/>
      <c r="B104" s="412"/>
      <c r="C104" s="412"/>
      <c r="D104" s="395" t="s">
        <v>1023</v>
      </c>
      <c r="E104" s="412"/>
      <c r="F104" s="412"/>
      <c r="G104" s="412"/>
      <c r="H104" s="412"/>
      <c r="I104" s="412"/>
      <c r="J104" s="412"/>
      <c r="K104" s="412"/>
      <c r="L104" s="412"/>
    </row>
    <row r="105" spans="1:26" ht="81.599999999999994" x14ac:dyDescent="0.2">
      <c r="A105" s="412"/>
      <c r="B105" s="412"/>
      <c r="C105" s="412"/>
      <c r="D105" s="395" t="s">
        <v>1024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x14ac:dyDescent="0.2">
      <c r="A106" s="412"/>
      <c r="B106" s="412"/>
      <c r="C106" s="412"/>
      <c r="D106" s="413" t="s">
        <v>206</v>
      </c>
      <c r="E106" s="414" t="s">
        <v>738</v>
      </c>
      <c r="F106" s="414"/>
      <c r="G106" s="414"/>
      <c r="H106" s="415">
        <v>1077.58</v>
      </c>
      <c r="I106" s="412"/>
      <c r="J106" s="412"/>
      <c r="K106" s="412"/>
      <c r="L106" s="412"/>
    </row>
    <row r="107" spans="1:26" x14ac:dyDescent="0.2">
      <c r="A107" s="412"/>
      <c r="B107" s="412"/>
      <c r="C107" s="412"/>
      <c r="D107" s="413" t="s">
        <v>207</v>
      </c>
      <c r="E107" s="414" t="s">
        <v>1075</v>
      </c>
      <c r="F107" s="414"/>
      <c r="G107" s="414"/>
      <c r="H107" s="415">
        <v>520.83000000000004</v>
      </c>
      <c r="I107" s="412"/>
      <c r="J107" s="412"/>
      <c r="K107" s="412"/>
      <c r="L107" s="412"/>
    </row>
    <row r="108" spans="1:26" x14ac:dyDescent="0.2">
      <c r="A108" s="412"/>
      <c r="B108" s="412"/>
      <c r="C108" s="412"/>
      <c r="D108" s="416" t="s">
        <v>715</v>
      </c>
      <c r="E108" s="417"/>
      <c r="F108" s="417"/>
      <c r="G108" s="417"/>
      <c r="H108" s="418">
        <v>2657.43</v>
      </c>
      <c r="I108" s="412"/>
      <c r="J108" s="412"/>
      <c r="K108" s="412"/>
      <c r="L108" s="412"/>
    </row>
    <row r="109" spans="1:26" ht="51" x14ac:dyDescent="0.2">
      <c r="A109" s="403">
        <v>17</v>
      </c>
      <c r="B109" s="403">
        <v>33</v>
      </c>
      <c r="C109" s="403" t="s">
        <v>1492</v>
      </c>
      <c r="D109" s="403" t="s">
        <v>1614</v>
      </c>
      <c r="E109" s="404">
        <v>1.14E-2</v>
      </c>
      <c r="F109" s="405">
        <v>6800</v>
      </c>
      <c r="G109" s="405" t="s">
        <v>281</v>
      </c>
      <c r="H109" s="406">
        <v>632.55999999999995</v>
      </c>
      <c r="I109" s="406" t="s">
        <v>281</v>
      </c>
      <c r="J109" s="406" t="s">
        <v>281</v>
      </c>
      <c r="K109" s="405" t="s">
        <v>281</v>
      </c>
      <c r="L109" s="405" t="s">
        <v>281</v>
      </c>
      <c r="T109" s="435">
        <v>632.55999999999995</v>
      </c>
      <c r="V109" s="435" t="s">
        <v>281</v>
      </c>
      <c r="W109" s="435" t="s">
        <v>281</v>
      </c>
      <c r="X109" s="435" t="s">
        <v>281</v>
      </c>
      <c r="Y109" s="435" t="s">
        <v>281</v>
      </c>
      <c r="Z109" s="435" t="s">
        <v>281</v>
      </c>
    </row>
    <row r="110" spans="1:26" x14ac:dyDescent="0.2">
      <c r="A110" s="407"/>
      <c r="B110" s="407"/>
      <c r="C110" s="407"/>
      <c r="D110" s="408" t="s">
        <v>224</v>
      </c>
      <c r="E110" s="409"/>
      <c r="F110" s="410" t="s">
        <v>281</v>
      </c>
      <c r="G110" s="410" t="s">
        <v>281</v>
      </c>
      <c r="H110" s="409"/>
      <c r="I110" s="409"/>
      <c r="J110" s="411" t="s">
        <v>281</v>
      </c>
      <c r="K110" s="410" t="s">
        <v>281</v>
      </c>
      <c r="L110" s="410" t="s">
        <v>281</v>
      </c>
    </row>
    <row r="111" spans="1:26" x14ac:dyDescent="0.2">
      <c r="A111" s="412"/>
      <c r="B111" s="412"/>
      <c r="C111" s="412"/>
      <c r="D111" s="395" t="s">
        <v>718</v>
      </c>
      <c r="E111" s="412"/>
      <c r="F111" s="412"/>
      <c r="G111" s="412"/>
      <c r="H111" s="412"/>
      <c r="I111" s="412"/>
      <c r="J111" s="412"/>
      <c r="K111" s="412"/>
      <c r="L111" s="412"/>
    </row>
    <row r="112" spans="1:26" ht="30.6" x14ac:dyDescent="0.2">
      <c r="A112" s="403">
        <v>18</v>
      </c>
      <c r="B112" s="403">
        <v>34</v>
      </c>
      <c r="C112" s="403" t="s">
        <v>1493</v>
      </c>
      <c r="D112" s="403" t="s">
        <v>1477</v>
      </c>
      <c r="E112" s="404">
        <v>3.7319999999999999E-2</v>
      </c>
      <c r="F112" s="405">
        <v>1032.1034999999999</v>
      </c>
      <c r="G112" s="405">
        <v>489.71600000000001</v>
      </c>
      <c r="H112" s="406">
        <v>1049.55</v>
      </c>
      <c r="I112" s="406">
        <v>785.58</v>
      </c>
      <c r="J112" s="406">
        <v>241.98</v>
      </c>
      <c r="K112" s="405">
        <v>48.875</v>
      </c>
      <c r="L112" s="405">
        <v>1.8240149999999999</v>
      </c>
      <c r="T112" s="435">
        <v>1049.55</v>
      </c>
      <c r="V112" s="435">
        <v>785.58</v>
      </c>
      <c r="W112" s="435">
        <v>241.98</v>
      </c>
      <c r="X112" s="435">
        <v>99.13</v>
      </c>
      <c r="Y112" s="435">
        <v>1.8240149999999999</v>
      </c>
      <c r="Z112" s="435">
        <v>0.178539</v>
      </c>
    </row>
    <row r="113" spans="1:26" x14ac:dyDescent="0.2">
      <c r="A113" s="407"/>
      <c r="B113" s="407"/>
      <c r="C113" s="407"/>
      <c r="D113" s="408" t="s">
        <v>224</v>
      </c>
      <c r="E113" s="409"/>
      <c r="F113" s="410">
        <v>470.17750000000001</v>
      </c>
      <c r="G113" s="410">
        <v>59.328499999999998</v>
      </c>
      <c r="H113" s="409"/>
      <c r="I113" s="409"/>
      <c r="J113" s="411">
        <v>99.13</v>
      </c>
      <c r="K113" s="410">
        <v>4.7839999999999998</v>
      </c>
      <c r="L113" s="410">
        <v>0.178539</v>
      </c>
    </row>
    <row r="114" spans="1:26" ht="20.399999999999999" x14ac:dyDescent="0.2">
      <c r="A114" s="412"/>
      <c r="B114" s="412"/>
      <c r="C114" s="412"/>
      <c r="D114" s="395" t="s">
        <v>714</v>
      </c>
      <c r="E114" s="412"/>
      <c r="F114" s="412"/>
      <c r="G114" s="412"/>
      <c r="H114" s="412"/>
      <c r="I114" s="412"/>
      <c r="J114" s="412"/>
      <c r="K114" s="412"/>
      <c r="L114" s="412"/>
    </row>
    <row r="115" spans="1:26" ht="20.399999999999999" x14ac:dyDescent="0.2">
      <c r="A115" s="412"/>
      <c r="B115" s="412"/>
      <c r="C115" s="412"/>
      <c r="D115" s="395" t="s">
        <v>1023</v>
      </c>
      <c r="E115" s="412"/>
      <c r="F115" s="412"/>
      <c r="G115" s="412"/>
      <c r="H115" s="412"/>
      <c r="I115" s="412"/>
      <c r="J115" s="412"/>
      <c r="K115" s="412"/>
      <c r="L115" s="412"/>
    </row>
    <row r="116" spans="1:26" ht="81.599999999999994" x14ac:dyDescent="0.2">
      <c r="A116" s="412"/>
      <c r="B116" s="412"/>
      <c r="C116" s="412"/>
      <c r="D116" s="395" t="s">
        <v>1024</v>
      </c>
      <c r="E116" s="412"/>
      <c r="F116" s="412"/>
      <c r="G116" s="412"/>
      <c r="H116" s="412"/>
      <c r="I116" s="412"/>
      <c r="J116" s="412"/>
      <c r="K116" s="412"/>
      <c r="L116" s="412"/>
    </row>
    <row r="117" spans="1:26" x14ac:dyDescent="0.2">
      <c r="A117" s="412"/>
      <c r="B117" s="412"/>
      <c r="C117" s="412"/>
      <c r="D117" s="416" t="s">
        <v>715</v>
      </c>
      <c r="E117" s="417"/>
      <c r="F117" s="417"/>
      <c r="G117" s="417"/>
      <c r="H117" s="418">
        <v>1049.55</v>
      </c>
      <c r="I117" s="412"/>
      <c r="J117" s="412"/>
      <c r="K117" s="412"/>
      <c r="L117" s="412"/>
    </row>
    <row r="118" spans="1:26" ht="20.399999999999999" x14ac:dyDescent="0.2">
      <c r="A118" s="403">
        <v>19</v>
      </c>
      <c r="B118" s="403">
        <v>35</v>
      </c>
      <c r="C118" s="403" t="s">
        <v>1494</v>
      </c>
      <c r="D118" s="403" t="s">
        <v>1613</v>
      </c>
      <c r="E118" s="404">
        <v>1.38E-2</v>
      </c>
      <c r="F118" s="405">
        <v>6419.17</v>
      </c>
      <c r="G118" s="405" t="s">
        <v>281</v>
      </c>
      <c r="H118" s="406">
        <v>722.85</v>
      </c>
      <c r="I118" s="406" t="s">
        <v>281</v>
      </c>
      <c r="J118" s="406" t="s">
        <v>281</v>
      </c>
      <c r="K118" s="405" t="s">
        <v>281</v>
      </c>
      <c r="L118" s="405" t="s">
        <v>281</v>
      </c>
      <c r="T118" s="435">
        <v>722.85</v>
      </c>
      <c r="V118" s="435" t="s">
        <v>281</v>
      </c>
      <c r="W118" s="435" t="s">
        <v>281</v>
      </c>
      <c r="X118" s="435" t="s">
        <v>281</v>
      </c>
      <c r="Y118" s="435" t="s">
        <v>281</v>
      </c>
      <c r="Z118" s="435" t="s">
        <v>281</v>
      </c>
    </row>
    <row r="119" spans="1:26" x14ac:dyDescent="0.2">
      <c r="A119" s="407"/>
      <c r="B119" s="407"/>
      <c r="C119" s="407"/>
      <c r="D119" s="408" t="s">
        <v>224</v>
      </c>
      <c r="E119" s="409"/>
      <c r="F119" s="410" t="s">
        <v>281</v>
      </c>
      <c r="G119" s="410" t="s">
        <v>281</v>
      </c>
      <c r="H119" s="409"/>
      <c r="I119" s="409"/>
      <c r="J119" s="411" t="s">
        <v>281</v>
      </c>
      <c r="K119" s="410" t="s">
        <v>281</v>
      </c>
      <c r="L119" s="410" t="s">
        <v>281</v>
      </c>
    </row>
    <row r="120" spans="1:26" x14ac:dyDescent="0.2">
      <c r="A120" s="412"/>
      <c r="B120" s="412"/>
      <c r="C120" s="412"/>
      <c r="D120" s="395" t="s">
        <v>718</v>
      </c>
      <c r="E120" s="412"/>
      <c r="F120" s="412"/>
      <c r="G120" s="412"/>
      <c r="H120" s="412"/>
      <c r="I120" s="412"/>
      <c r="J120" s="412"/>
      <c r="K120" s="412"/>
      <c r="L120" s="412"/>
    </row>
    <row r="121" spans="1:26" x14ac:dyDescent="0.2">
      <c r="A121" s="403">
        <v>20</v>
      </c>
      <c r="B121" s="403">
        <v>36</v>
      </c>
      <c r="C121" s="403" t="s">
        <v>1495</v>
      </c>
      <c r="D121" s="403" t="s">
        <v>1612</v>
      </c>
      <c r="E121" s="404">
        <v>1.044E-2</v>
      </c>
      <c r="F121" s="405">
        <v>7385.36</v>
      </c>
      <c r="G121" s="405" t="s">
        <v>281</v>
      </c>
      <c r="H121" s="406">
        <v>629.16</v>
      </c>
      <c r="I121" s="406" t="s">
        <v>281</v>
      </c>
      <c r="J121" s="406" t="s">
        <v>281</v>
      </c>
      <c r="K121" s="405" t="s">
        <v>281</v>
      </c>
      <c r="L121" s="405" t="s">
        <v>281</v>
      </c>
      <c r="T121" s="435">
        <v>629.16</v>
      </c>
      <c r="V121" s="435" t="s">
        <v>281</v>
      </c>
      <c r="W121" s="435" t="s">
        <v>281</v>
      </c>
      <c r="X121" s="435" t="s">
        <v>281</v>
      </c>
      <c r="Y121" s="435" t="s">
        <v>281</v>
      </c>
      <c r="Z121" s="435" t="s">
        <v>281</v>
      </c>
    </row>
    <row r="122" spans="1:26" x14ac:dyDescent="0.2">
      <c r="A122" s="407"/>
      <c r="B122" s="407"/>
      <c r="C122" s="407"/>
      <c r="D122" s="408" t="s">
        <v>224</v>
      </c>
      <c r="E122" s="409"/>
      <c r="F122" s="410" t="s">
        <v>281</v>
      </c>
      <c r="G122" s="410" t="s">
        <v>281</v>
      </c>
      <c r="H122" s="409"/>
      <c r="I122" s="409"/>
      <c r="J122" s="411" t="s">
        <v>281</v>
      </c>
      <c r="K122" s="410" t="s">
        <v>281</v>
      </c>
      <c r="L122" s="410" t="s">
        <v>281</v>
      </c>
    </row>
    <row r="123" spans="1:26" x14ac:dyDescent="0.2">
      <c r="A123" s="412"/>
      <c r="B123" s="412"/>
      <c r="C123" s="412"/>
      <c r="D123" s="395" t="s">
        <v>718</v>
      </c>
      <c r="E123" s="412"/>
      <c r="F123" s="412"/>
      <c r="G123" s="412"/>
      <c r="H123" s="412"/>
      <c r="I123" s="412"/>
      <c r="J123" s="412"/>
      <c r="K123" s="412"/>
      <c r="L123" s="412"/>
    </row>
    <row r="124" spans="1:26" ht="20.399999999999999" x14ac:dyDescent="0.2">
      <c r="A124" s="403">
        <v>21</v>
      </c>
      <c r="B124" s="403">
        <v>37</v>
      </c>
      <c r="C124" s="403" t="s">
        <v>1496</v>
      </c>
      <c r="D124" s="403" t="s">
        <v>1611</v>
      </c>
      <c r="E124" s="404">
        <v>1.308E-2</v>
      </c>
      <c r="F124" s="405">
        <v>4608.87</v>
      </c>
      <c r="G124" s="405" t="s">
        <v>281</v>
      </c>
      <c r="H124" s="406">
        <v>491.92</v>
      </c>
      <c r="I124" s="406" t="s">
        <v>281</v>
      </c>
      <c r="J124" s="406" t="s">
        <v>281</v>
      </c>
      <c r="K124" s="405" t="s">
        <v>281</v>
      </c>
      <c r="L124" s="405" t="s">
        <v>281</v>
      </c>
      <c r="T124" s="435">
        <v>491.92</v>
      </c>
      <c r="V124" s="435" t="s">
        <v>281</v>
      </c>
      <c r="W124" s="435" t="s">
        <v>281</v>
      </c>
      <c r="X124" s="435" t="s">
        <v>281</v>
      </c>
      <c r="Y124" s="435" t="s">
        <v>281</v>
      </c>
      <c r="Z124" s="435" t="s">
        <v>281</v>
      </c>
    </row>
    <row r="125" spans="1:26" x14ac:dyDescent="0.2">
      <c r="A125" s="407"/>
      <c r="B125" s="407"/>
      <c r="C125" s="407"/>
      <c r="D125" s="408" t="s">
        <v>224</v>
      </c>
      <c r="E125" s="409"/>
      <c r="F125" s="410" t="s">
        <v>281</v>
      </c>
      <c r="G125" s="410" t="s">
        <v>281</v>
      </c>
      <c r="H125" s="409"/>
      <c r="I125" s="409"/>
      <c r="J125" s="411" t="s">
        <v>281</v>
      </c>
      <c r="K125" s="410" t="s">
        <v>281</v>
      </c>
      <c r="L125" s="410" t="s">
        <v>281</v>
      </c>
    </row>
    <row r="126" spans="1:26" x14ac:dyDescent="0.2">
      <c r="A126" s="412"/>
      <c r="B126" s="412"/>
      <c r="C126" s="412"/>
      <c r="D126" s="395" t="s">
        <v>718</v>
      </c>
      <c r="E126" s="412"/>
      <c r="F126" s="412"/>
      <c r="G126" s="412"/>
      <c r="H126" s="412"/>
      <c r="I126" s="412"/>
      <c r="J126" s="412"/>
      <c r="K126" s="412"/>
      <c r="L126" s="412"/>
    </row>
    <row r="127" spans="1:26" ht="20.399999999999999" x14ac:dyDescent="0.2">
      <c r="A127" s="403">
        <v>22</v>
      </c>
      <c r="B127" s="403">
        <v>38</v>
      </c>
      <c r="C127" s="403" t="s">
        <v>1491</v>
      </c>
      <c r="D127" s="403" t="s">
        <v>1476</v>
      </c>
      <c r="E127" s="404">
        <v>2.826E-2</v>
      </c>
      <c r="F127" s="405">
        <v>2098.1750000000002</v>
      </c>
      <c r="G127" s="405">
        <v>32.936</v>
      </c>
      <c r="H127" s="406">
        <v>2625.26</v>
      </c>
      <c r="I127" s="406">
        <v>2612.94</v>
      </c>
      <c r="J127" s="406">
        <v>12.32</v>
      </c>
      <c r="K127" s="405">
        <v>227.7</v>
      </c>
      <c r="L127" s="405">
        <v>6.4348020000000004</v>
      </c>
      <c r="T127" s="435">
        <v>6587.64</v>
      </c>
      <c r="V127" s="435">
        <v>2612.94</v>
      </c>
      <c r="W127" s="435">
        <v>12.32</v>
      </c>
      <c r="X127" s="435">
        <v>5.95</v>
      </c>
      <c r="Y127" s="435">
        <v>6.4348020000000004</v>
      </c>
      <c r="Z127" s="435">
        <v>1.0725E-2</v>
      </c>
    </row>
    <row r="128" spans="1:26" x14ac:dyDescent="0.2">
      <c r="A128" s="407"/>
      <c r="B128" s="407"/>
      <c r="C128" s="407"/>
      <c r="D128" s="408" t="s">
        <v>224</v>
      </c>
      <c r="E128" s="409"/>
      <c r="F128" s="410">
        <v>2065.239</v>
      </c>
      <c r="G128" s="410">
        <v>4.7035</v>
      </c>
      <c r="H128" s="409"/>
      <c r="I128" s="409"/>
      <c r="J128" s="411">
        <v>5.95</v>
      </c>
      <c r="K128" s="410">
        <v>0.3795</v>
      </c>
      <c r="L128" s="410">
        <v>1.0725E-2</v>
      </c>
    </row>
    <row r="129" spans="1:26" ht="20.399999999999999" x14ac:dyDescent="0.2">
      <c r="A129" s="412"/>
      <c r="B129" s="412"/>
      <c r="C129" s="412"/>
      <c r="D129" s="395" t="s">
        <v>714</v>
      </c>
      <c r="E129" s="412"/>
      <c r="F129" s="412"/>
      <c r="G129" s="412"/>
      <c r="H129" s="412"/>
      <c r="I129" s="412"/>
      <c r="J129" s="412"/>
      <c r="K129" s="412"/>
      <c r="L129" s="412"/>
    </row>
    <row r="130" spans="1:26" ht="20.399999999999999" x14ac:dyDescent="0.2">
      <c r="A130" s="412"/>
      <c r="B130" s="412"/>
      <c r="C130" s="412"/>
      <c r="D130" s="395" t="s">
        <v>1023</v>
      </c>
      <c r="E130" s="412"/>
      <c r="F130" s="412"/>
      <c r="G130" s="412"/>
      <c r="H130" s="412"/>
      <c r="I130" s="412"/>
      <c r="J130" s="412"/>
      <c r="K130" s="412"/>
      <c r="L130" s="412"/>
    </row>
    <row r="131" spans="1:26" ht="81.599999999999994" x14ac:dyDescent="0.2">
      <c r="A131" s="412"/>
      <c r="B131" s="412"/>
      <c r="C131" s="412"/>
      <c r="D131" s="395" t="s">
        <v>1024</v>
      </c>
      <c r="E131" s="412"/>
      <c r="F131" s="412"/>
      <c r="G131" s="412"/>
      <c r="H131" s="412"/>
      <c r="I131" s="412"/>
      <c r="J131" s="412"/>
      <c r="K131" s="412"/>
      <c r="L131" s="412"/>
    </row>
    <row r="132" spans="1:26" x14ac:dyDescent="0.2">
      <c r="A132" s="412"/>
      <c r="B132" s="412"/>
      <c r="C132" s="412"/>
      <c r="D132" s="413" t="s">
        <v>206</v>
      </c>
      <c r="E132" s="414" t="s">
        <v>738</v>
      </c>
      <c r="F132" s="414"/>
      <c r="G132" s="414"/>
      <c r="H132" s="415">
        <v>2671.27</v>
      </c>
      <c r="I132" s="412"/>
      <c r="J132" s="412"/>
      <c r="K132" s="412"/>
      <c r="L132" s="412"/>
    </row>
    <row r="133" spans="1:26" x14ac:dyDescent="0.2">
      <c r="A133" s="412"/>
      <c r="B133" s="412"/>
      <c r="C133" s="412"/>
      <c r="D133" s="413" t="s">
        <v>207</v>
      </c>
      <c r="E133" s="414" t="s">
        <v>1075</v>
      </c>
      <c r="F133" s="414"/>
      <c r="G133" s="414"/>
      <c r="H133" s="415">
        <v>1291.1099999999999</v>
      </c>
      <c r="I133" s="412"/>
      <c r="J133" s="412"/>
      <c r="K133" s="412"/>
      <c r="L133" s="412"/>
    </row>
    <row r="134" spans="1:26" x14ac:dyDescent="0.2">
      <c r="A134" s="412"/>
      <c r="B134" s="412"/>
      <c r="C134" s="412"/>
      <c r="D134" s="416" t="s">
        <v>715</v>
      </c>
      <c r="E134" s="417"/>
      <c r="F134" s="417"/>
      <c r="G134" s="417"/>
      <c r="H134" s="418">
        <v>6587.64</v>
      </c>
      <c r="I134" s="412"/>
      <c r="J134" s="412"/>
      <c r="K134" s="412"/>
      <c r="L134" s="412"/>
    </row>
    <row r="135" spans="1:26" ht="20.399999999999999" x14ac:dyDescent="0.2">
      <c r="A135" s="403">
        <v>23</v>
      </c>
      <c r="B135" s="403">
        <v>39</v>
      </c>
      <c r="C135" s="403" t="s">
        <v>1497</v>
      </c>
      <c r="D135" s="403" t="s">
        <v>1610</v>
      </c>
      <c r="E135" s="404">
        <v>2.826E-2</v>
      </c>
      <c r="F135" s="405">
        <v>6671.97</v>
      </c>
      <c r="G135" s="405" t="s">
        <v>281</v>
      </c>
      <c r="H135" s="406">
        <v>1538.57</v>
      </c>
      <c r="I135" s="406" t="s">
        <v>281</v>
      </c>
      <c r="J135" s="406" t="s">
        <v>281</v>
      </c>
      <c r="K135" s="405" t="s">
        <v>281</v>
      </c>
      <c r="L135" s="405" t="s">
        <v>281</v>
      </c>
      <c r="T135" s="435">
        <v>1538.57</v>
      </c>
      <c r="V135" s="435" t="s">
        <v>281</v>
      </c>
      <c r="W135" s="435" t="s">
        <v>281</v>
      </c>
      <c r="X135" s="435" t="s">
        <v>281</v>
      </c>
      <c r="Y135" s="435" t="s">
        <v>281</v>
      </c>
      <c r="Z135" s="435" t="s">
        <v>281</v>
      </c>
    </row>
    <row r="136" spans="1:26" x14ac:dyDescent="0.2">
      <c r="A136" s="407"/>
      <c r="B136" s="407"/>
      <c r="C136" s="407"/>
      <c r="D136" s="408" t="s">
        <v>224</v>
      </c>
      <c r="E136" s="409"/>
      <c r="F136" s="410" t="s">
        <v>281</v>
      </c>
      <c r="G136" s="410" t="s">
        <v>281</v>
      </c>
      <c r="H136" s="409"/>
      <c r="I136" s="409"/>
      <c r="J136" s="411" t="s">
        <v>281</v>
      </c>
      <c r="K136" s="410" t="s">
        <v>281</v>
      </c>
      <c r="L136" s="410" t="s">
        <v>281</v>
      </c>
    </row>
    <row r="137" spans="1:26" x14ac:dyDescent="0.2">
      <c r="A137" s="412"/>
      <c r="B137" s="412"/>
      <c r="C137" s="412"/>
      <c r="D137" s="395" t="s">
        <v>718</v>
      </c>
      <c r="E137" s="412"/>
      <c r="F137" s="412"/>
      <c r="G137" s="412"/>
      <c r="H137" s="412"/>
      <c r="I137" s="412"/>
      <c r="J137" s="412"/>
      <c r="K137" s="412"/>
      <c r="L137" s="412"/>
    </row>
    <row r="138" spans="1:26" ht="30.6" x14ac:dyDescent="0.2">
      <c r="A138" s="403">
        <v>24</v>
      </c>
      <c r="B138" s="403">
        <v>40</v>
      </c>
      <c r="C138" s="403" t="s">
        <v>1466</v>
      </c>
      <c r="D138" s="403" t="s">
        <v>1478</v>
      </c>
      <c r="E138" s="404">
        <v>0.03</v>
      </c>
      <c r="F138" s="405">
        <v>1373.298</v>
      </c>
      <c r="G138" s="405">
        <v>18.285</v>
      </c>
      <c r="H138" s="406">
        <v>389.51</v>
      </c>
      <c r="I138" s="406">
        <v>61.81</v>
      </c>
      <c r="J138" s="406">
        <v>7.26</v>
      </c>
      <c r="K138" s="405">
        <v>4.7149999999999999</v>
      </c>
      <c r="L138" s="405">
        <v>0.14144999999999999</v>
      </c>
      <c r="T138" s="435">
        <v>474.87</v>
      </c>
      <c r="V138" s="435">
        <v>61.81</v>
      </c>
      <c r="W138" s="435">
        <v>7.26</v>
      </c>
      <c r="X138" s="435">
        <v>0.34</v>
      </c>
      <c r="Y138" s="435">
        <v>0.14144999999999999</v>
      </c>
      <c r="Z138" s="435">
        <v>6.8999999999999997E-4</v>
      </c>
    </row>
    <row r="139" spans="1:26" x14ac:dyDescent="0.2">
      <c r="A139" s="407"/>
      <c r="B139" s="407"/>
      <c r="C139" s="407"/>
      <c r="D139" s="408" t="s">
        <v>831</v>
      </c>
      <c r="E139" s="409"/>
      <c r="F139" s="410">
        <v>46.023000000000003</v>
      </c>
      <c r="G139" s="410">
        <v>0.253</v>
      </c>
      <c r="H139" s="409"/>
      <c r="I139" s="409"/>
      <c r="J139" s="411">
        <v>0.34</v>
      </c>
      <c r="K139" s="410">
        <v>2.3E-2</v>
      </c>
      <c r="L139" s="410">
        <v>6.8999999999999997E-4</v>
      </c>
    </row>
    <row r="140" spans="1:26" ht="20.399999999999999" x14ac:dyDescent="0.2">
      <c r="A140" s="412"/>
      <c r="B140" s="412"/>
      <c r="C140" s="412"/>
      <c r="D140" s="395" t="s">
        <v>714</v>
      </c>
      <c r="E140" s="412"/>
      <c r="F140" s="412"/>
      <c r="G140" s="412"/>
      <c r="H140" s="412"/>
      <c r="I140" s="412"/>
      <c r="J140" s="412"/>
      <c r="K140" s="412"/>
      <c r="L140" s="412"/>
    </row>
    <row r="141" spans="1:26" ht="20.399999999999999" x14ac:dyDescent="0.2">
      <c r="A141" s="412"/>
      <c r="B141" s="412"/>
      <c r="C141" s="412"/>
      <c r="D141" s="395" t="s">
        <v>1023</v>
      </c>
      <c r="E141" s="412"/>
      <c r="F141" s="412"/>
      <c r="G141" s="412"/>
      <c r="H141" s="412"/>
      <c r="I141" s="412"/>
      <c r="J141" s="412"/>
      <c r="K141" s="412"/>
      <c r="L141" s="412"/>
    </row>
    <row r="142" spans="1:26" ht="81.599999999999994" x14ac:dyDescent="0.2">
      <c r="A142" s="412"/>
      <c r="B142" s="412"/>
      <c r="C142" s="412"/>
      <c r="D142" s="395" t="s">
        <v>1024</v>
      </c>
      <c r="E142" s="412"/>
      <c r="F142" s="412"/>
      <c r="G142" s="412"/>
      <c r="H142" s="412"/>
      <c r="I142" s="412"/>
      <c r="J142" s="412"/>
      <c r="K142" s="412"/>
      <c r="L142" s="412"/>
    </row>
    <row r="143" spans="1:26" x14ac:dyDescent="0.2">
      <c r="A143" s="412"/>
      <c r="B143" s="412"/>
      <c r="C143" s="412"/>
      <c r="D143" s="413" t="s">
        <v>206</v>
      </c>
      <c r="E143" s="414" t="s">
        <v>1467</v>
      </c>
      <c r="F143" s="414"/>
      <c r="G143" s="414"/>
      <c r="H143" s="415">
        <v>58.42</v>
      </c>
      <c r="I143" s="412"/>
      <c r="J143" s="412"/>
      <c r="K143" s="412"/>
      <c r="L143" s="412"/>
    </row>
    <row r="144" spans="1:26" x14ac:dyDescent="0.2">
      <c r="A144" s="412"/>
      <c r="B144" s="412"/>
      <c r="C144" s="412"/>
      <c r="D144" s="413" t="s">
        <v>207</v>
      </c>
      <c r="E144" s="414" t="s">
        <v>1468</v>
      </c>
      <c r="F144" s="414"/>
      <c r="G144" s="414"/>
      <c r="H144" s="415">
        <v>26.94</v>
      </c>
      <c r="I144" s="412"/>
      <c r="J144" s="412"/>
      <c r="K144" s="412"/>
      <c r="L144" s="412"/>
    </row>
    <row r="145" spans="1:26" x14ac:dyDescent="0.2">
      <c r="A145" s="412"/>
      <c r="B145" s="412"/>
      <c r="C145" s="412"/>
      <c r="D145" s="416" t="s">
        <v>715</v>
      </c>
      <c r="E145" s="417"/>
      <c r="F145" s="417"/>
      <c r="G145" s="417"/>
      <c r="H145" s="418">
        <v>474.87</v>
      </c>
      <c r="I145" s="412"/>
      <c r="J145" s="412"/>
      <c r="K145" s="412"/>
      <c r="L145" s="412"/>
    </row>
    <row r="146" spans="1:26" ht="40.799999999999997" x14ac:dyDescent="0.2">
      <c r="A146" s="403">
        <v>25</v>
      </c>
      <c r="B146" s="403">
        <v>41</v>
      </c>
      <c r="C146" s="403" t="s">
        <v>1469</v>
      </c>
      <c r="D146" s="403" t="s">
        <v>1479</v>
      </c>
      <c r="E146" s="404">
        <v>0.03</v>
      </c>
      <c r="F146" s="405">
        <v>3994.8290000000002</v>
      </c>
      <c r="G146" s="405">
        <v>16.997</v>
      </c>
      <c r="H146" s="406">
        <v>1036.19</v>
      </c>
      <c r="I146" s="406">
        <v>68.08</v>
      </c>
      <c r="J146" s="406">
        <v>6.75</v>
      </c>
      <c r="K146" s="405">
        <v>5.5890000000000004</v>
      </c>
      <c r="L146" s="405">
        <v>0.16767000000000001</v>
      </c>
      <c r="T146" s="435">
        <v>1130.6300000000001</v>
      </c>
      <c r="V146" s="435">
        <v>68.08</v>
      </c>
      <c r="W146" s="435">
        <v>6.75</v>
      </c>
      <c r="X146" s="435">
        <v>0.68</v>
      </c>
      <c r="Y146" s="435">
        <v>0.16767000000000001</v>
      </c>
      <c r="Z146" s="435">
        <v>1.3799999999999999E-3</v>
      </c>
    </row>
    <row r="147" spans="1:26" x14ac:dyDescent="0.2">
      <c r="A147" s="407"/>
      <c r="B147" s="407"/>
      <c r="C147" s="407"/>
      <c r="D147" s="408" t="s">
        <v>831</v>
      </c>
      <c r="E147" s="409"/>
      <c r="F147" s="410">
        <v>50.692</v>
      </c>
      <c r="G147" s="410">
        <v>0.50600000000000001</v>
      </c>
      <c r="H147" s="409"/>
      <c r="I147" s="409"/>
      <c r="J147" s="411">
        <v>0.68</v>
      </c>
      <c r="K147" s="410">
        <v>4.5999999999999999E-2</v>
      </c>
      <c r="L147" s="410">
        <v>1.3799999999999999E-3</v>
      </c>
    </row>
    <row r="148" spans="1:26" ht="20.399999999999999" x14ac:dyDescent="0.2">
      <c r="A148" s="412"/>
      <c r="B148" s="412"/>
      <c r="C148" s="412"/>
      <c r="D148" s="395" t="s">
        <v>714</v>
      </c>
      <c r="E148" s="412"/>
      <c r="F148" s="412"/>
      <c r="G148" s="412"/>
      <c r="H148" s="412"/>
      <c r="I148" s="412"/>
      <c r="J148" s="412"/>
      <c r="K148" s="412"/>
      <c r="L148" s="412"/>
    </row>
    <row r="149" spans="1:26" ht="20.399999999999999" x14ac:dyDescent="0.2">
      <c r="A149" s="412"/>
      <c r="B149" s="412"/>
      <c r="C149" s="412"/>
      <c r="D149" s="395" t="s">
        <v>1118</v>
      </c>
      <c r="E149" s="412"/>
      <c r="F149" s="412"/>
      <c r="G149" s="412"/>
      <c r="H149" s="412"/>
      <c r="I149" s="412"/>
      <c r="J149" s="412"/>
      <c r="K149" s="412"/>
      <c r="L149" s="412"/>
    </row>
    <row r="150" spans="1:26" ht="91.8" x14ac:dyDescent="0.2">
      <c r="A150" s="412"/>
      <c r="B150" s="412"/>
      <c r="C150" s="412"/>
      <c r="D150" s="395" t="s">
        <v>1498</v>
      </c>
      <c r="E150" s="412"/>
      <c r="F150" s="412"/>
      <c r="G150" s="412"/>
      <c r="H150" s="412"/>
      <c r="I150" s="412"/>
      <c r="J150" s="412"/>
      <c r="K150" s="412"/>
      <c r="L150" s="412"/>
    </row>
    <row r="151" spans="1:26" x14ac:dyDescent="0.2">
      <c r="A151" s="412"/>
      <c r="B151" s="412"/>
      <c r="C151" s="412"/>
      <c r="D151" s="413" t="s">
        <v>206</v>
      </c>
      <c r="E151" s="414" t="s">
        <v>1467</v>
      </c>
      <c r="F151" s="414"/>
      <c r="G151" s="414"/>
      <c r="H151" s="415">
        <v>64.63</v>
      </c>
      <c r="I151" s="412"/>
      <c r="J151" s="412"/>
      <c r="K151" s="412"/>
      <c r="L151" s="412"/>
    </row>
    <row r="152" spans="1:26" x14ac:dyDescent="0.2">
      <c r="A152" s="412"/>
      <c r="B152" s="412"/>
      <c r="C152" s="412"/>
      <c r="D152" s="413" t="s">
        <v>207</v>
      </c>
      <c r="E152" s="414" t="s">
        <v>1468</v>
      </c>
      <c r="F152" s="414"/>
      <c r="G152" s="414"/>
      <c r="H152" s="415">
        <v>29.81</v>
      </c>
      <c r="I152" s="412"/>
      <c r="J152" s="412"/>
      <c r="K152" s="412"/>
      <c r="L152" s="412"/>
    </row>
    <row r="153" spans="1:26" x14ac:dyDescent="0.2">
      <c r="A153" s="419"/>
      <c r="B153" s="419"/>
      <c r="C153" s="419"/>
      <c r="D153" s="420" t="s">
        <v>715</v>
      </c>
      <c r="E153" s="421"/>
      <c r="F153" s="421"/>
      <c r="G153" s="421"/>
      <c r="H153" s="422">
        <v>1130.6300000000001</v>
      </c>
      <c r="I153" s="419"/>
      <c r="J153" s="419"/>
      <c r="K153" s="419"/>
      <c r="L153" s="419"/>
    </row>
    <row r="155" spans="1:26" x14ac:dyDescent="0.2">
      <c r="A155" s="1086" t="s">
        <v>1499</v>
      </c>
      <c r="B155" s="1086"/>
      <c r="C155" s="1086"/>
      <c r="D155" s="1086"/>
      <c r="E155" s="1086"/>
      <c r="F155" s="1086"/>
      <c r="G155" s="1086"/>
      <c r="H155" s="1086"/>
      <c r="I155" s="1086"/>
      <c r="J155" s="1086"/>
      <c r="K155" s="1086"/>
      <c r="L155" s="1086"/>
    </row>
    <row r="156" spans="1:26" x14ac:dyDescent="0.2">
      <c r="A156" s="1085" t="s">
        <v>774</v>
      </c>
      <c r="B156" s="1085"/>
      <c r="C156" s="1085"/>
      <c r="D156" s="1085"/>
      <c r="E156" s="1085"/>
      <c r="F156" s="1085"/>
      <c r="G156" s="1085"/>
      <c r="H156" s="423">
        <f>H161-H162-H163</f>
        <v>147436.68</v>
      </c>
      <c r="I156" s="419"/>
      <c r="J156" s="419"/>
      <c r="K156" s="419"/>
      <c r="L156" s="419"/>
    </row>
    <row r="157" spans="1:26" x14ac:dyDescent="0.2">
      <c r="A157" s="1085" t="s">
        <v>919</v>
      </c>
      <c r="B157" s="1085"/>
      <c r="C157" s="1085"/>
      <c r="D157" s="1085"/>
      <c r="E157" s="1085"/>
      <c r="F157" s="1085"/>
      <c r="G157" s="1085"/>
      <c r="H157" s="423">
        <v>96215.44</v>
      </c>
      <c r="I157" s="419"/>
      <c r="J157" s="419"/>
      <c r="K157" s="419"/>
      <c r="L157" s="419"/>
    </row>
    <row r="158" spans="1:26" x14ac:dyDescent="0.2">
      <c r="A158" s="1085" t="s">
        <v>776</v>
      </c>
      <c r="B158" s="1085"/>
      <c r="C158" s="1085"/>
      <c r="D158" s="1085"/>
      <c r="E158" s="1085"/>
      <c r="F158" s="1085"/>
      <c r="G158" s="1085"/>
      <c r="H158" s="423">
        <v>16194.41</v>
      </c>
      <c r="I158" s="419"/>
      <c r="J158" s="419"/>
      <c r="K158" s="419"/>
      <c r="L158" s="419"/>
    </row>
    <row r="159" spans="1:26" x14ac:dyDescent="0.2">
      <c r="A159" s="1085" t="s">
        <v>777</v>
      </c>
      <c r="B159" s="1085"/>
      <c r="C159" s="1085"/>
      <c r="D159" s="1085"/>
      <c r="E159" s="1085"/>
      <c r="F159" s="1085"/>
      <c r="G159" s="1085"/>
      <c r="H159" s="423">
        <v>7107.88</v>
      </c>
      <c r="I159" s="419"/>
      <c r="J159" s="419"/>
      <c r="K159" s="419"/>
      <c r="L159" s="419"/>
    </row>
    <row r="160" spans="1:26" x14ac:dyDescent="0.2">
      <c r="A160" s="1085" t="s">
        <v>778</v>
      </c>
      <c r="B160" s="1085"/>
      <c r="C160" s="1085"/>
      <c r="D160" s="1085"/>
      <c r="E160" s="1085"/>
      <c r="F160" s="1085"/>
      <c r="G160" s="1085"/>
      <c r="H160" s="423">
        <v>35026.83</v>
      </c>
      <c r="I160" s="419"/>
      <c r="J160" s="419"/>
      <c r="K160" s="419"/>
      <c r="L160" s="419"/>
    </row>
    <row r="161" spans="1:13" x14ac:dyDescent="0.2">
      <c r="A161" s="1085" t="s">
        <v>779</v>
      </c>
      <c r="B161" s="1085"/>
      <c r="C161" s="1085"/>
      <c r="D161" s="1085"/>
      <c r="E161" s="1085"/>
      <c r="F161" s="1085"/>
      <c r="G161" s="1085"/>
      <c r="H161" s="423">
        <v>219092.5</v>
      </c>
      <c r="I161" s="419"/>
      <c r="J161" s="419"/>
      <c r="K161" s="419"/>
      <c r="L161" s="419"/>
    </row>
    <row r="162" spans="1:13" x14ac:dyDescent="0.2">
      <c r="A162" s="1085" t="s">
        <v>206</v>
      </c>
      <c r="B162" s="1085"/>
      <c r="C162" s="1085"/>
      <c r="D162" s="1085"/>
      <c r="E162" s="1085"/>
      <c r="F162" s="1085"/>
      <c r="G162" s="1085"/>
      <c r="H162" s="423">
        <v>46879.360000000001</v>
      </c>
      <c r="I162" s="419"/>
      <c r="J162" s="419"/>
      <c r="K162" s="419"/>
      <c r="L162" s="419"/>
    </row>
    <row r="163" spans="1:13" x14ac:dyDescent="0.2">
      <c r="A163" s="1085" t="s">
        <v>207</v>
      </c>
      <c r="B163" s="1085"/>
      <c r="C163" s="1085"/>
      <c r="D163" s="1085"/>
      <c r="E163" s="1085"/>
      <c r="F163" s="1085"/>
      <c r="G163" s="1085"/>
      <c r="H163" s="423">
        <v>24776.46</v>
      </c>
      <c r="I163" s="419"/>
      <c r="J163" s="419"/>
      <c r="K163" s="419"/>
      <c r="L163" s="419"/>
    </row>
    <row r="164" spans="1:13" s="426" customFormat="1" x14ac:dyDescent="0.2">
      <c r="A164" s="1086" t="s">
        <v>73</v>
      </c>
      <c r="B164" s="1086"/>
      <c r="C164" s="1086"/>
      <c r="D164" s="1086"/>
      <c r="E164" s="1086"/>
      <c r="F164" s="1086"/>
      <c r="G164" s="1086"/>
      <c r="H164" s="424">
        <v>219092.5</v>
      </c>
      <c r="I164" s="425"/>
      <c r="J164" s="425"/>
      <c r="K164" s="425"/>
      <c r="L164" s="425"/>
      <c r="M164" s="640"/>
    </row>
    <row r="165" spans="1:13" s="432" customFormat="1" x14ac:dyDescent="0.2">
      <c r="A165" s="1084" t="s">
        <v>784</v>
      </c>
      <c r="B165" s="1084"/>
      <c r="C165" s="1084"/>
      <c r="D165" s="1084"/>
      <c r="E165" s="1084"/>
      <c r="F165" s="1084"/>
      <c r="G165" s="1084"/>
      <c r="H165" s="382">
        <f>ROUND(H164*0.082,2)</f>
        <v>17965.59</v>
      </c>
      <c r="I165" s="383"/>
      <c r="J165" s="383"/>
      <c r="K165" s="383"/>
      <c r="L165" s="383"/>
      <c r="M165" s="639"/>
    </row>
    <row r="166" spans="1:13" s="386" customFormat="1" x14ac:dyDescent="0.2">
      <c r="A166" s="1083" t="s">
        <v>785</v>
      </c>
      <c r="B166" s="1083"/>
      <c r="C166" s="1083"/>
      <c r="D166" s="1083"/>
      <c r="E166" s="1083"/>
      <c r="F166" s="1083"/>
      <c r="G166" s="1083"/>
      <c r="H166" s="384">
        <f>H164+H165</f>
        <v>237058.09</v>
      </c>
      <c r="I166" s="385"/>
      <c r="J166" s="385"/>
      <c r="K166" s="385"/>
      <c r="L166" s="385"/>
      <c r="M166" s="641"/>
    </row>
    <row r="167" spans="1:13" s="432" customFormat="1" x14ac:dyDescent="0.2">
      <c r="A167" s="1084" t="s">
        <v>786</v>
      </c>
      <c r="B167" s="1084"/>
      <c r="C167" s="1084"/>
      <c r="D167" s="1084"/>
      <c r="E167" s="1084"/>
      <c r="F167" s="1084"/>
      <c r="G167" s="1084"/>
      <c r="H167" s="382">
        <f>ROUND(H166*0.024,2)</f>
        <v>5689.39</v>
      </c>
      <c r="I167" s="383"/>
      <c r="J167" s="383"/>
      <c r="K167" s="383"/>
      <c r="L167" s="383"/>
      <c r="M167" s="639"/>
    </row>
    <row r="168" spans="1:13" s="389" customFormat="1" ht="12" x14ac:dyDescent="0.25">
      <c r="A168" s="1054" t="s">
        <v>787</v>
      </c>
      <c r="B168" s="1054"/>
      <c r="C168" s="1054"/>
      <c r="D168" s="1054"/>
      <c r="E168" s="1054"/>
      <c r="F168" s="1054"/>
      <c r="G168" s="1054"/>
      <c r="H168" s="387">
        <f>H166+H167</f>
        <v>242747.48</v>
      </c>
      <c r="I168" s="388"/>
      <c r="J168" s="388"/>
      <c r="K168" s="388"/>
      <c r="L168" s="388"/>
      <c r="M168" s="642"/>
    </row>
    <row r="169" spans="1:13" s="389" customFormat="1" ht="12" x14ac:dyDescent="0.25">
      <c r="A169" s="1054" t="s">
        <v>1686</v>
      </c>
      <c r="B169" s="1054"/>
      <c r="C169" s="1054"/>
      <c r="D169" s="1054"/>
      <c r="E169" s="1054"/>
      <c r="F169" s="1054"/>
      <c r="G169" s="1054"/>
      <c r="H169" s="387">
        <f>ROUND(H168*1.0514,2)</f>
        <v>255224.7</v>
      </c>
      <c r="I169" s="388"/>
      <c r="J169" s="388"/>
      <c r="K169" s="388"/>
      <c r="L169" s="388"/>
      <c r="M169" s="642"/>
    </row>
    <row r="170" spans="1:13" s="389" customFormat="1" ht="12" x14ac:dyDescent="0.25">
      <c r="A170" s="611"/>
      <c r="B170" s="611"/>
      <c r="C170" s="611"/>
      <c r="D170" s="611"/>
      <c r="E170" s="611"/>
      <c r="F170" s="611"/>
      <c r="G170" s="611"/>
      <c r="H170" s="612"/>
      <c r="I170" s="613"/>
      <c r="J170" s="613"/>
      <c r="K170" s="613"/>
      <c r="L170" s="613"/>
      <c r="M170" s="642"/>
    </row>
    <row r="171" spans="1:13" s="389" customFormat="1" ht="12" x14ac:dyDescent="0.25">
      <c r="A171" s="611"/>
      <c r="B171" s="611"/>
      <c r="C171" s="611"/>
      <c r="D171" s="611"/>
      <c r="E171" s="611"/>
      <c r="F171" s="611"/>
      <c r="G171" s="611"/>
      <c r="H171" s="612"/>
      <c r="I171" s="613"/>
      <c r="J171" s="613"/>
      <c r="K171" s="613"/>
      <c r="L171" s="613"/>
      <c r="M171" s="642"/>
    </row>
    <row r="172" spans="1:13" s="389" customFormat="1" ht="12" x14ac:dyDescent="0.25">
      <c r="A172" s="611"/>
      <c r="B172" s="611"/>
      <c r="C172" s="611"/>
      <c r="D172" s="611"/>
      <c r="E172" s="611"/>
      <c r="F172" s="611"/>
      <c r="G172" s="611"/>
      <c r="H172" s="612"/>
      <c r="I172" s="613"/>
      <c r="J172" s="613"/>
      <c r="K172" s="613"/>
      <c r="L172" s="613"/>
      <c r="M172" s="642"/>
    </row>
    <row r="173" spans="1:13" s="432" customFormat="1" x14ac:dyDescent="0.2">
      <c r="M173" s="639"/>
    </row>
    <row r="174" spans="1:13" s="432" customFormat="1" ht="24" x14ac:dyDescent="0.25">
      <c r="C174" s="428" t="s">
        <v>729</v>
      </c>
      <c r="D174" s="429" t="s">
        <v>824</v>
      </c>
      <c r="E174" s="427" t="s">
        <v>281</v>
      </c>
      <c r="F174" s="427"/>
      <c r="G174" s="389" t="s">
        <v>823</v>
      </c>
      <c r="M174" s="639"/>
    </row>
    <row r="175" spans="1:13" s="432" customFormat="1" ht="12" x14ac:dyDescent="0.25">
      <c r="C175" s="428"/>
      <c r="G175" s="389"/>
      <c r="M175" s="639"/>
    </row>
    <row r="176" spans="1:13" s="432" customFormat="1" ht="24" x14ac:dyDescent="0.25">
      <c r="C176" s="428" t="s">
        <v>730</v>
      </c>
      <c r="D176" s="429" t="s">
        <v>821</v>
      </c>
      <c r="E176" s="427" t="s">
        <v>281</v>
      </c>
      <c r="F176" s="427"/>
      <c r="G176" s="389" t="s">
        <v>822</v>
      </c>
      <c r="M176" s="639"/>
    </row>
    <row r="177" spans="13:13" s="432" customFormat="1" x14ac:dyDescent="0.2">
      <c r="M177" s="639"/>
    </row>
  </sheetData>
  <mergeCells count="76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A16:B16"/>
    <mergeCell ref="C16:I16"/>
    <mergeCell ref="C17:I17"/>
    <mergeCell ref="H18:J18"/>
    <mergeCell ref="K18:L18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C27:L27"/>
    <mergeCell ref="C28:L28"/>
    <mergeCell ref="F30:I30"/>
    <mergeCell ref="J30:K30"/>
    <mergeCell ref="F31:I31"/>
    <mergeCell ref="J31:K31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F35:F36"/>
    <mergeCell ref="G35:G36"/>
    <mergeCell ref="H35:H37"/>
    <mergeCell ref="I35:I37"/>
    <mergeCell ref="A164:G164"/>
    <mergeCell ref="J35:J36"/>
    <mergeCell ref="A40:L40"/>
    <mergeCell ref="A155:L155"/>
    <mergeCell ref="A157:G157"/>
    <mergeCell ref="A158:G158"/>
    <mergeCell ref="A156:G156"/>
    <mergeCell ref="K35:L35"/>
    <mergeCell ref="K36:L36"/>
    <mergeCell ref="A159:G159"/>
    <mergeCell ref="A160:G160"/>
    <mergeCell ref="A161:G161"/>
    <mergeCell ref="A162:G162"/>
    <mergeCell ref="A163:G163"/>
    <mergeCell ref="A169:G169"/>
    <mergeCell ref="A165:G165"/>
    <mergeCell ref="A166:G166"/>
    <mergeCell ref="A167:G167"/>
    <mergeCell ref="A168:G168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  <pageSetUpPr fitToPage="1"/>
  </sheetPr>
  <dimension ref="A1:AD95"/>
  <sheetViews>
    <sheetView view="pageBreakPreview" topLeftCell="A55" zoomScaleNormal="100" zoomScaleSheetLayoutView="100" workbookViewId="0">
      <selection activeCell="E71" sqref="E71"/>
    </sheetView>
  </sheetViews>
  <sheetFormatPr defaultColWidth="9.109375" defaultRowHeight="10.199999999999999" x14ac:dyDescent="0.2"/>
  <cols>
    <col min="1" max="1" width="6.33203125" style="435" customWidth="1"/>
    <col min="2" max="2" width="6.6640625" style="435" customWidth="1"/>
    <col min="3" max="3" width="15.6640625" style="435" customWidth="1"/>
    <col min="4" max="4" width="40.6640625" style="435" customWidth="1"/>
    <col min="5" max="12" width="12.6640625" style="435" customWidth="1"/>
    <col min="13" max="15" width="22.44140625" style="638" customWidth="1"/>
    <col min="16" max="19" width="9.109375" style="435"/>
    <col min="20" max="29" width="0" style="435" hidden="1" customWidth="1"/>
    <col min="30" max="30" width="118.6640625" style="435" hidden="1" customWidth="1"/>
    <col min="31" max="36" width="0" style="435" hidden="1" customWidth="1"/>
    <col min="37" max="16384" width="9.109375" style="435"/>
  </cols>
  <sheetData>
    <row r="1" spans="1:15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5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5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5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5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5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5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5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434" t="s">
        <v>4</v>
      </c>
      <c r="K8" s="1101"/>
      <c r="L8" s="1102"/>
    </row>
    <row r="9" spans="1:15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5" s="432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430" t="s">
        <v>4</v>
      </c>
      <c r="K10" s="1101"/>
      <c r="L10" s="1102"/>
      <c r="M10" s="639"/>
      <c r="N10" s="639"/>
      <c r="O10" s="639"/>
    </row>
    <row r="11" spans="1:15" s="432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9"/>
      <c r="N11" s="639"/>
      <c r="O11" s="639"/>
    </row>
    <row r="12" spans="1:15" s="432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430" t="s">
        <v>4</v>
      </c>
      <c r="K12" s="1064"/>
      <c r="L12" s="1065"/>
      <c r="M12" s="639"/>
      <c r="N12" s="639"/>
      <c r="O12" s="639"/>
    </row>
    <row r="13" spans="1:15" s="432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9"/>
      <c r="N13" s="639"/>
      <c r="O13" s="639"/>
    </row>
    <row r="14" spans="1:15" s="432" customFormat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9"/>
      <c r="N14" s="639"/>
      <c r="O14" s="639"/>
    </row>
    <row r="15" spans="1:15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5" x14ac:dyDescent="0.2">
      <c r="A16" s="1103" t="s">
        <v>686</v>
      </c>
      <c r="B16" s="1103"/>
      <c r="C16" s="1104" t="s">
        <v>1509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431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433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431">
        <v>16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36"/>
      <c r="D29" s="436"/>
      <c r="E29" s="436"/>
      <c r="F29" s="436"/>
      <c r="G29" s="436"/>
      <c r="H29" s="436"/>
      <c r="I29" s="436"/>
      <c r="J29" s="436"/>
      <c r="K29" s="436"/>
      <c r="L29" s="436"/>
    </row>
    <row r="30" spans="1:12" x14ac:dyDescent="0.2">
      <c r="A30" s="398"/>
      <c r="B30" s="398"/>
      <c r="C30" s="436"/>
      <c r="D30" s="436"/>
      <c r="E30" s="436"/>
      <c r="F30" s="1090" t="s">
        <v>692</v>
      </c>
      <c r="G30" s="1090"/>
      <c r="H30" s="1090"/>
      <c r="I30" s="1090"/>
      <c r="J30" s="1091">
        <v>1646.11</v>
      </c>
      <c r="K30" s="1092"/>
      <c r="L30" s="398" t="s">
        <v>693</v>
      </c>
    </row>
    <row r="31" spans="1:12" x14ac:dyDescent="0.2">
      <c r="A31" s="398"/>
      <c r="B31" s="398"/>
      <c r="C31" s="436"/>
      <c r="D31" s="436"/>
      <c r="E31" s="436"/>
      <c r="F31" s="1090" t="s">
        <v>694</v>
      </c>
      <c r="G31" s="1090"/>
      <c r="H31" s="1090"/>
      <c r="I31" s="1090"/>
      <c r="J31" s="1091">
        <v>46.1</v>
      </c>
      <c r="K31" s="1092"/>
      <c r="L31" s="398" t="s">
        <v>695</v>
      </c>
    </row>
    <row r="32" spans="1:12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27.86</v>
      </c>
      <c r="K32" s="1092"/>
      <c r="L32" s="398" t="s">
        <v>693</v>
      </c>
    </row>
    <row r="34" spans="1:26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  <c r="M37" s="637" t="s">
        <v>1688</v>
      </c>
      <c r="N37" s="637" t="s">
        <v>1701</v>
      </c>
      <c r="O37" s="637" t="s">
        <v>1690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1505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</row>
    <row r="41" spans="1:26" ht="51" x14ac:dyDescent="0.2">
      <c r="A41" s="403">
        <v>1</v>
      </c>
      <c r="B41" s="403">
        <v>1</v>
      </c>
      <c r="C41" s="403" t="s">
        <v>1506</v>
      </c>
      <c r="D41" s="403" t="s">
        <v>1502</v>
      </c>
      <c r="E41" s="404">
        <v>1.109</v>
      </c>
      <c r="F41" s="405">
        <v>774.05062499999997</v>
      </c>
      <c r="G41" s="405">
        <v>774.05062499999997</v>
      </c>
      <c r="H41" s="406">
        <v>11365.51</v>
      </c>
      <c r="I41" s="406" t="s">
        <v>281</v>
      </c>
      <c r="J41" s="406">
        <v>11365.51</v>
      </c>
      <c r="K41" s="405" t="s">
        <v>281</v>
      </c>
      <c r="L41" s="405" t="s">
        <v>281</v>
      </c>
      <c r="M41" s="865" t="s">
        <v>2382</v>
      </c>
      <c r="T41" s="435">
        <v>19968.189999999999</v>
      </c>
      <c r="V41" s="435" t="s">
        <v>281</v>
      </c>
      <c r="W41" s="435">
        <v>11365.51</v>
      </c>
      <c r="X41" s="435">
        <v>6561.92</v>
      </c>
      <c r="Y41" s="435" t="s">
        <v>281</v>
      </c>
      <c r="Z41" s="435">
        <v>10.856417</v>
      </c>
    </row>
    <row r="42" spans="1:26" x14ac:dyDescent="0.2">
      <c r="A42" s="407"/>
      <c r="B42" s="407"/>
      <c r="C42" s="407"/>
      <c r="D42" s="408" t="s">
        <v>763</v>
      </c>
      <c r="E42" s="409"/>
      <c r="F42" s="410" t="s">
        <v>281</v>
      </c>
      <c r="G42" s="410">
        <v>132.16374999999999</v>
      </c>
      <c r="H42" s="409"/>
      <c r="I42" s="409"/>
      <c r="J42" s="411">
        <v>6561.92</v>
      </c>
      <c r="K42" s="410">
        <v>9.7893749999999997</v>
      </c>
      <c r="L42" s="410">
        <v>10.856417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20.399999999999999" x14ac:dyDescent="0.2">
      <c r="A44" s="412"/>
      <c r="B44" s="412"/>
      <c r="C44" s="412"/>
      <c r="D44" s="395" t="s">
        <v>978</v>
      </c>
      <c r="E44" s="412"/>
      <c r="F44" s="412"/>
      <c r="G44" s="412"/>
      <c r="H44" s="412"/>
      <c r="I44" s="412"/>
      <c r="J44" s="412"/>
      <c r="K44" s="412"/>
      <c r="L44" s="412"/>
    </row>
    <row r="45" spans="1:26" ht="132.6" x14ac:dyDescent="0.2">
      <c r="A45" s="412"/>
      <c r="B45" s="412"/>
      <c r="C45" s="412"/>
      <c r="D45" s="395" t="s">
        <v>979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764</v>
      </c>
      <c r="F46" s="414"/>
      <c r="G46" s="414"/>
      <c r="H46" s="415">
        <v>6036.97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972</v>
      </c>
      <c r="F47" s="414"/>
      <c r="G47" s="414"/>
      <c r="H47" s="415">
        <v>2565.71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19968.189999999999</v>
      </c>
      <c r="I48" s="412"/>
      <c r="J48" s="412"/>
      <c r="K48" s="412"/>
      <c r="L48" s="412"/>
    </row>
    <row r="49" spans="1:26" ht="40.799999999999997" x14ac:dyDescent="0.2">
      <c r="A49" s="403">
        <v>2</v>
      </c>
      <c r="B49" s="403">
        <v>2</v>
      </c>
      <c r="C49" s="403" t="s">
        <v>1507</v>
      </c>
      <c r="D49" s="403" t="s">
        <v>1503</v>
      </c>
      <c r="E49" s="404">
        <v>1.109</v>
      </c>
      <c r="F49" s="405">
        <v>2450.5925000000002</v>
      </c>
      <c r="G49" s="405">
        <v>2450.5925000000002</v>
      </c>
      <c r="H49" s="406">
        <v>35982.44</v>
      </c>
      <c r="I49" s="406" t="s">
        <v>281</v>
      </c>
      <c r="J49" s="406">
        <v>35982.44</v>
      </c>
      <c r="K49" s="405" t="s">
        <v>281</v>
      </c>
      <c r="L49" s="405" t="s">
        <v>281</v>
      </c>
      <c r="T49" s="435">
        <v>63218.34</v>
      </c>
      <c r="V49" s="435" t="s">
        <v>281</v>
      </c>
      <c r="W49" s="435">
        <v>35982.44</v>
      </c>
      <c r="X49" s="435">
        <v>20774.900000000001</v>
      </c>
      <c r="Y49" s="435" t="s">
        <v>281</v>
      </c>
      <c r="Z49" s="435">
        <v>34.370683</v>
      </c>
    </row>
    <row r="50" spans="1:26" x14ac:dyDescent="0.2">
      <c r="A50" s="407"/>
      <c r="B50" s="407"/>
      <c r="C50" s="407"/>
      <c r="D50" s="408" t="s">
        <v>763</v>
      </c>
      <c r="E50" s="409"/>
      <c r="F50" s="410" t="s">
        <v>281</v>
      </c>
      <c r="G50" s="410">
        <v>418.42750000000001</v>
      </c>
      <c r="H50" s="409"/>
      <c r="I50" s="409"/>
      <c r="J50" s="411">
        <v>20774.900000000001</v>
      </c>
      <c r="K50" s="410">
        <v>30.9925</v>
      </c>
      <c r="L50" s="410">
        <v>34.370683</v>
      </c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</row>
    <row r="52" spans="1:26" ht="30.6" x14ac:dyDescent="0.2">
      <c r="A52" s="412"/>
      <c r="B52" s="412"/>
      <c r="C52" s="412"/>
      <c r="D52" s="395" t="s">
        <v>1062</v>
      </c>
      <c r="E52" s="412"/>
      <c r="F52" s="412"/>
      <c r="G52" s="412"/>
      <c r="H52" s="412"/>
      <c r="I52" s="412"/>
      <c r="J52" s="412"/>
      <c r="K52" s="412"/>
      <c r="L52" s="412"/>
    </row>
    <row r="53" spans="1:26" ht="132.6" x14ac:dyDescent="0.2">
      <c r="A53" s="412"/>
      <c r="B53" s="412"/>
      <c r="C53" s="412"/>
      <c r="D53" s="395" t="s">
        <v>1063</v>
      </c>
      <c r="E53" s="412"/>
      <c r="F53" s="412"/>
      <c r="G53" s="412"/>
      <c r="H53" s="412"/>
      <c r="I53" s="412"/>
      <c r="J53" s="412"/>
      <c r="K53" s="412"/>
      <c r="L53" s="412"/>
    </row>
    <row r="54" spans="1:26" x14ac:dyDescent="0.2">
      <c r="A54" s="412"/>
      <c r="B54" s="412"/>
      <c r="C54" s="412"/>
      <c r="D54" s="413" t="s">
        <v>206</v>
      </c>
      <c r="E54" s="414" t="s">
        <v>764</v>
      </c>
      <c r="F54" s="414"/>
      <c r="G54" s="414"/>
      <c r="H54" s="415">
        <v>19112.91</v>
      </c>
      <c r="I54" s="412"/>
      <c r="J54" s="412"/>
      <c r="K54" s="412"/>
      <c r="L54" s="412"/>
    </row>
    <row r="55" spans="1:26" x14ac:dyDescent="0.2">
      <c r="A55" s="412"/>
      <c r="B55" s="412"/>
      <c r="C55" s="412"/>
      <c r="D55" s="413" t="s">
        <v>207</v>
      </c>
      <c r="E55" s="414" t="s">
        <v>972</v>
      </c>
      <c r="F55" s="414"/>
      <c r="G55" s="414"/>
      <c r="H55" s="415">
        <v>8122.99</v>
      </c>
      <c r="I55" s="412"/>
      <c r="J55" s="412"/>
      <c r="K55" s="412"/>
      <c r="L55" s="412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63218.34</v>
      </c>
      <c r="I56" s="412"/>
      <c r="J56" s="412"/>
      <c r="K56" s="412"/>
      <c r="L56" s="412"/>
    </row>
    <row r="57" spans="1:26" ht="30.6" x14ac:dyDescent="0.2">
      <c r="A57" s="403">
        <v>3</v>
      </c>
      <c r="B57" s="403">
        <v>3</v>
      </c>
      <c r="C57" s="403" t="s">
        <v>912</v>
      </c>
      <c r="D57" s="403" t="s">
        <v>913</v>
      </c>
      <c r="E57" s="404">
        <v>1752.22</v>
      </c>
      <c r="F57" s="405">
        <v>3.96</v>
      </c>
      <c r="G57" s="405" t="s">
        <v>281</v>
      </c>
      <c r="H57" s="406">
        <v>91868.89</v>
      </c>
      <c r="I57" s="406" t="s">
        <v>281</v>
      </c>
      <c r="J57" s="406" t="s">
        <v>281</v>
      </c>
      <c r="K57" s="405" t="s">
        <v>281</v>
      </c>
      <c r="L57" s="405" t="s">
        <v>281</v>
      </c>
      <c r="T57" s="435">
        <v>91868.89</v>
      </c>
      <c r="V57" s="435" t="s">
        <v>281</v>
      </c>
      <c r="W57" s="435" t="s">
        <v>281</v>
      </c>
      <c r="X57" s="435" t="s">
        <v>281</v>
      </c>
      <c r="Y57" s="435" t="s">
        <v>281</v>
      </c>
      <c r="Z57" s="435" t="s">
        <v>281</v>
      </c>
    </row>
    <row r="58" spans="1:26" x14ac:dyDescent="0.2">
      <c r="A58" s="407"/>
      <c r="B58" s="407"/>
      <c r="C58" s="407"/>
      <c r="D58" s="408" t="s">
        <v>743</v>
      </c>
      <c r="E58" s="409"/>
      <c r="F58" s="410" t="s">
        <v>281</v>
      </c>
      <c r="G58" s="410" t="s">
        <v>281</v>
      </c>
      <c r="H58" s="409"/>
      <c r="I58" s="409"/>
      <c r="J58" s="411" t="s">
        <v>281</v>
      </c>
      <c r="K58" s="410" t="s">
        <v>281</v>
      </c>
      <c r="L58" s="410" t="s">
        <v>281</v>
      </c>
    </row>
    <row r="59" spans="1:26" x14ac:dyDescent="0.2">
      <c r="A59" s="412"/>
      <c r="B59" s="412"/>
      <c r="C59" s="412"/>
      <c r="D59" s="395" t="s">
        <v>1504</v>
      </c>
      <c r="E59" s="412"/>
      <c r="F59" s="412"/>
      <c r="G59" s="412"/>
      <c r="H59" s="412"/>
      <c r="I59" s="412"/>
      <c r="J59" s="412"/>
      <c r="K59" s="412"/>
      <c r="L59" s="412"/>
    </row>
    <row r="60" spans="1:26" x14ac:dyDescent="0.2">
      <c r="A60" s="412"/>
      <c r="B60" s="412"/>
      <c r="C60" s="412"/>
      <c r="D60" s="416" t="s">
        <v>715</v>
      </c>
      <c r="E60" s="417"/>
      <c r="F60" s="417"/>
      <c r="G60" s="417"/>
      <c r="H60" s="418">
        <v>91868.89</v>
      </c>
      <c r="I60" s="412"/>
      <c r="J60" s="412"/>
      <c r="K60" s="412"/>
      <c r="L60" s="412"/>
    </row>
    <row r="61" spans="1:26" ht="30.6" x14ac:dyDescent="0.2">
      <c r="A61" s="403">
        <v>4</v>
      </c>
      <c r="B61" s="403">
        <v>4</v>
      </c>
      <c r="C61" s="403" t="s">
        <v>744</v>
      </c>
      <c r="D61" s="403" t="s">
        <v>1035</v>
      </c>
      <c r="E61" s="404">
        <v>1109</v>
      </c>
      <c r="F61" s="405">
        <v>162.38</v>
      </c>
      <c r="G61" s="405" t="s">
        <v>281</v>
      </c>
      <c r="H61" s="406">
        <v>1469447.18</v>
      </c>
      <c r="I61" s="406" t="s">
        <v>281</v>
      </c>
      <c r="J61" s="406" t="s">
        <v>281</v>
      </c>
      <c r="K61" s="405" t="s">
        <v>281</v>
      </c>
      <c r="L61" s="405" t="s">
        <v>281</v>
      </c>
      <c r="T61" s="435">
        <v>1469447.18</v>
      </c>
      <c r="V61" s="435" t="s">
        <v>281</v>
      </c>
      <c r="W61" s="435" t="s">
        <v>281</v>
      </c>
      <c r="X61" s="435" t="s">
        <v>281</v>
      </c>
      <c r="Y61" s="435" t="s">
        <v>281</v>
      </c>
      <c r="Z61" s="435" t="s">
        <v>281</v>
      </c>
    </row>
    <row r="62" spans="1:26" x14ac:dyDescent="0.2">
      <c r="A62" s="407"/>
      <c r="B62" s="407"/>
      <c r="C62" s="407"/>
      <c r="D62" s="408" t="s">
        <v>745</v>
      </c>
      <c r="E62" s="409"/>
      <c r="F62" s="410" t="s">
        <v>281</v>
      </c>
      <c r="G62" s="410" t="s">
        <v>281</v>
      </c>
      <c r="H62" s="409"/>
      <c r="I62" s="409"/>
      <c r="J62" s="411" t="s">
        <v>281</v>
      </c>
      <c r="K62" s="410" t="s">
        <v>281</v>
      </c>
      <c r="L62" s="410" t="s">
        <v>281</v>
      </c>
    </row>
    <row r="63" spans="1:26" x14ac:dyDescent="0.2">
      <c r="A63" s="412"/>
      <c r="B63" s="412"/>
      <c r="C63" s="412"/>
      <c r="D63" s="395" t="s">
        <v>718</v>
      </c>
      <c r="E63" s="412"/>
      <c r="F63" s="412"/>
      <c r="G63" s="412"/>
      <c r="H63" s="412"/>
      <c r="I63" s="412"/>
      <c r="J63" s="412"/>
      <c r="K63" s="412"/>
      <c r="L63" s="412"/>
    </row>
    <row r="64" spans="1:26" ht="40.799999999999997" x14ac:dyDescent="0.2">
      <c r="A64" s="403">
        <v>5</v>
      </c>
      <c r="B64" s="403">
        <v>5</v>
      </c>
      <c r="C64" s="403" t="s">
        <v>1172</v>
      </c>
      <c r="D64" s="403" t="s">
        <v>1155</v>
      </c>
      <c r="E64" s="404">
        <v>2.637</v>
      </c>
      <c r="F64" s="405">
        <v>26.148125</v>
      </c>
      <c r="G64" s="405">
        <v>26.148125</v>
      </c>
      <c r="H64" s="406">
        <v>912.93</v>
      </c>
      <c r="I64" s="406" t="s">
        <v>281</v>
      </c>
      <c r="J64" s="406">
        <v>912.93</v>
      </c>
      <c r="K64" s="405" t="s">
        <v>281</v>
      </c>
      <c r="L64" s="405" t="s">
        <v>281</v>
      </c>
      <c r="T64" s="435">
        <v>1604.88</v>
      </c>
      <c r="V64" s="435" t="s">
        <v>281</v>
      </c>
      <c r="W64" s="435">
        <v>912.93</v>
      </c>
      <c r="X64" s="435">
        <v>527.79999999999995</v>
      </c>
      <c r="Y64" s="435" t="s">
        <v>281</v>
      </c>
      <c r="Z64" s="435">
        <v>0.87185800000000002</v>
      </c>
    </row>
    <row r="65" spans="1:12" x14ac:dyDescent="0.2">
      <c r="A65" s="407"/>
      <c r="B65" s="407"/>
      <c r="C65" s="407"/>
      <c r="D65" s="408" t="s">
        <v>1060</v>
      </c>
      <c r="E65" s="409"/>
      <c r="F65" s="410" t="s">
        <v>281</v>
      </c>
      <c r="G65" s="410">
        <v>4.4706250000000001</v>
      </c>
      <c r="H65" s="409"/>
      <c r="I65" s="409"/>
      <c r="J65" s="411">
        <v>527.79999999999995</v>
      </c>
      <c r="K65" s="410">
        <v>0.330625</v>
      </c>
      <c r="L65" s="410">
        <v>0.87185800000000002</v>
      </c>
    </row>
    <row r="66" spans="1:12" ht="20.399999999999999" x14ac:dyDescent="0.2">
      <c r="A66" s="412"/>
      <c r="B66" s="412"/>
      <c r="C66" s="412"/>
      <c r="D66" s="395" t="s">
        <v>714</v>
      </c>
      <c r="E66" s="412"/>
      <c r="F66" s="412"/>
      <c r="G66" s="412"/>
      <c r="H66" s="412"/>
      <c r="I66" s="412"/>
      <c r="J66" s="412"/>
      <c r="K66" s="412"/>
      <c r="L66" s="412"/>
    </row>
    <row r="67" spans="1:12" ht="20.399999999999999" x14ac:dyDescent="0.2">
      <c r="A67" s="412"/>
      <c r="B67" s="412"/>
      <c r="C67" s="412"/>
      <c r="D67" s="395" t="s">
        <v>978</v>
      </c>
      <c r="E67" s="412"/>
      <c r="F67" s="412"/>
      <c r="G67" s="412"/>
      <c r="H67" s="412"/>
      <c r="I67" s="412"/>
      <c r="J67" s="412"/>
      <c r="K67" s="412"/>
      <c r="L67" s="412"/>
    </row>
    <row r="68" spans="1:12" ht="132.6" x14ac:dyDescent="0.2">
      <c r="A68" s="412"/>
      <c r="B68" s="412"/>
      <c r="C68" s="412"/>
      <c r="D68" s="395" t="s">
        <v>979</v>
      </c>
      <c r="E68" s="412"/>
      <c r="F68" s="412"/>
      <c r="G68" s="412"/>
      <c r="H68" s="412"/>
      <c r="I68" s="412"/>
      <c r="J68" s="412"/>
      <c r="K68" s="412"/>
      <c r="L68" s="412"/>
    </row>
    <row r="69" spans="1:12" x14ac:dyDescent="0.2">
      <c r="A69" s="412"/>
      <c r="B69" s="412"/>
      <c r="C69" s="412"/>
      <c r="D69" s="413" t="s">
        <v>206</v>
      </c>
      <c r="E69" s="414" t="s">
        <v>764</v>
      </c>
      <c r="F69" s="414"/>
      <c r="G69" s="414"/>
      <c r="H69" s="415">
        <v>485.58</v>
      </c>
      <c r="I69" s="412"/>
      <c r="J69" s="412"/>
      <c r="K69" s="412"/>
      <c r="L69" s="412"/>
    </row>
    <row r="70" spans="1:12" x14ac:dyDescent="0.2">
      <c r="A70" s="412"/>
      <c r="B70" s="412"/>
      <c r="C70" s="412"/>
      <c r="D70" s="413" t="s">
        <v>207</v>
      </c>
      <c r="E70" s="414" t="s">
        <v>972</v>
      </c>
      <c r="F70" s="414"/>
      <c r="G70" s="414"/>
      <c r="H70" s="415">
        <v>206.37</v>
      </c>
      <c r="I70" s="412"/>
      <c r="J70" s="412"/>
      <c r="K70" s="412"/>
      <c r="L70" s="412"/>
    </row>
    <row r="71" spans="1:12" x14ac:dyDescent="0.2">
      <c r="A71" s="419"/>
      <c r="B71" s="419"/>
      <c r="C71" s="419"/>
      <c r="D71" s="420" t="s">
        <v>715</v>
      </c>
      <c r="E71" s="421"/>
      <c r="F71" s="421"/>
      <c r="G71" s="421"/>
      <c r="H71" s="422">
        <v>1604.88</v>
      </c>
      <c r="I71" s="419"/>
      <c r="J71" s="419"/>
      <c r="K71" s="419"/>
      <c r="L71" s="419"/>
    </row>
    <row r="73" spans="1:12" x14ac:dyDescent="0.2">
      <c r="A73" s="1086" t="s">
        <v>1508</v>
      </c>
      <c r="B73" s="1086"/>
      <c r="C73" s="1086"/>
      <c r="D73" s="1086"/>
      <c r="E73" s="1086"/>
      <c r="F73" s="1086"/>
      <c r="G73" s="1086"/>
      <c r="H73" s="1086"/>
      <c r="I73" s="1086"/>
      <c r="J73" s="1086"/>
      <c r="K73" s="1086"/>
      <c r="L73" s="1086"/>
    </row>
    <row r="74" spans="1:12" x14ac:dyDescent="0.2">
      <c r="A74" s="1085" t="s">
        <v>774</v>
      </c>
      <c r="B74" s="1085"/>
      <c r="C74" s="1085"/>
      <c r="D74" s="1085"/>
      <c r="E74" s="1085"/>
      <c r="F74" s="1085"/>
      <c r="G74" s="1085"/>
      <c r="H74" s="423">
        <v>1609576.95</v>
      </c>
      <c r="I74" s="419"/>
      <c r="J74" s="419"/>
      <c r="K74" s="419"/>
      <c r="L74" s="419"/>
    </row>
    <row r="75" spans="1:12" x14ac:dyDescent="0.2">
      <c r="A75" s="1085" t="s">
        <v>919</v>
      </c>
      <c r="B75" s="1085"/>
      <c r="C75" s="1085"/>
      <c r="D75" s="1085"/>
      <c r="E75" s="1085"/>
      <c r="F75" s="1085"/>
      <c r="G75" s="1085"/>
      <c r="H75" s="423">
        <v>1561316.07</v>
      </c>
      <c r="I75" s="419"/>
      <c r="J75" s="419"/>
      <c r="K75" s="419"/>
      <c r="L75" s="419"/>
    </row>
    <row r="76" spans="1:12" x14ac:dyDescent="0.2">
      <c r="A76" s="1085" t="s">
        <v>776</v>
      </c>
      <c r="B76" s="1085"/>
      <c r="C76" s="1085"/>
      <c r="D76" s="1085"/>
      <c r="E76" s="1085"/>
      <c r="F76" s="1085"/>
      <c r="G76" s="1085"/>
      <c r="H76" s="423">
        <v>48260.88</v>
      </c>
      <c r="I76" s="419"/>
      <c r="J76" s="419"/>
      <c r="K76" s="419"/>
      <c r="L76" s="419"/>
    </row>
    <row r="77" spans="1:12" x14ac:dyDescent="0.2">
      <c r="A77" s="1085" t="s">
        <v>777</v>
      </c>
      <c r="B77" s="1085"/>
      <c r="C77" s="1085"/>
      <c r="D77" s="1085"/>
      <c r="E77" s="1085"/>
      <c r="F77" s="1085"/>
      <c r="G77" s="1085"/>
      <c r="H77" s="423">
        <v>27864.62</v>
      </c>
      <c r="I77" s="419"/>
      <c r="J77" s="419"/>
      <c r="K77" s="419"/>
      <c r="L77" s="419"/>
    </row>
    <row r="78" spans="1:12" x14ac:dyDescent="0.2">
      <c r="A78" s="1085" t="s">
        <v>778</v>
      </c>
      <c r="B78" s="1085"/>
      <c r="C78" s="1085"/>
      <c r="D78" s="1085"/>
      <c r="E78" s="1085"/>
      <c r="F78" s="1085"/>
      <c r="G78" s="1085"/>
      <c r="H78" s="423">
        <v>0</v>
      </c>
      <c r="I78" s="419"/>
      <c r="J78" s="419"/>
      <c r="K78" s="419"/>
      <c r="L78" s="419"/>
    </row>
    <row r="79" spans="1:12" x14ac:dyDescent="0.2">
      <c r="A79" s="1085" t="s">
        <v>779</v>
      </c>
      <c r="B79" s="1085"/>
      <c r="C79" s="1085"/>
      <c r="D79" s="1085"/>
      <c r="E79" s="1085"/>
      <c r="F79" s="1085"/>
      <c r="G79" s="1085"/>
      <c r="H79" s="423">
        <v>1646107.48</v>
      </c>
      <c r="I79" s="419"/>
      <c r="J79" s="419"/>
      <c r="K79" s="419"/>
      <c r="L79" s="419"/>
    </row>
    <row r="80" spans="1:12" x14ac:dyDescent="0.2">
      <c r="A80" s="1085" t="s">
        <v>206</v>
      </c>
      <c r="B80" s="1085"/>
      <c r="C80" s="1085"/>
      <c r="D80" s="1085"/>
      <c r="E80" s="1085"/>
      <c r="F80" s="1085"/>
      <c r="G80" s="1085"/>
      <c r="H80" s="423">
        <v>25635.46</v>
      </c>
      <c r="I80" s="419"/>
      <c r="J80" s="419"/>
      <c r="K80" s="419"/>
      <c r="L80" s="419"/>
    </row>
    <row r="81" spans="1:15" x14ac:dyDescent="0.2">
      <c r="A81" s="1085" t="s">
        <v>207</v>
      </c>
      <c r="B81" s="1085"/>
      <c r="C81" s="1085"/>
      <c r="D81" s="1085"/>
      <c r="E81" s="1085"/>
      <c r="F81" s="1085"/>
      <c r="G81" s="1085"/>
      <c r="H81" s="423">
        <v>10895.07</v>
      </c>
      <c r="I81" s="419"/>
      <c r="J81" s="419"/>
      <c r="K81" s="419"/>
      <c r="L81" s="419"/>
    </row>
    <row r="82" spans="1:15" s="426" customFormat="1" x14ac:dyDescent="0.2">
      <c r="A82" s="1086" t="s">
        <v>73</v>
      </c>
      <c r="B82" s="1086"/>
      <c r="C82" s="1086"/>
      <c r="D82" s="1086"/>
      <c r="E82" s="1086"/>
      <c r="F82" s="1086"/>
      <c r="G82" s="1086"/>
      <c r="H82" s="424">
        <v>1646107.48</v>
      </c>
      <c r="I82" s="425"/>
      <c r="J82" s="425"/>
      <c r="K82" s="425"/>
      <c r="L82" s="425"/>
      <c r="M82" s="640"/>
      <c r="N82" s="640"/>
      <c r="O82" s="640"/>
    </row>
    <row r="83" spans="1:15" s="432" customFormat="1" x14ac:dyDescent="0.2">
      <c r="A83" s="1084" t="s">
        <v>784</v>
      </c>
      <c r="B83" s="1084"/>
      <c r="C83" s="1084"/>
      <c r="D83" s="1084"/>
      <c r="E83" s="1084"/>
      <c r="F83" s="1084"/>
      <c r="G83" s="1084"/>
      <c r="H83" s="382">
        <f>ROUND(H82*0.082,2)</f>
        <v>134980.81</v>
      </c>
      <c r="I83" s="383"/>
      <c r="J83" s="383"/>
      <c r="K83" s="383"/>
      <c r="L83" s="383"/>
      <c r="M83" s="639"/>
      <c r="N83" s="639"/>
      <c r="O83" s="639"/>
    </row>
    <row r="84" spans="1:15" s="386" customFormat="1" x14ac:dyDescent="0.2">
      <c r="A84" s="1083" t="s">
        <v>785</v>
      </c>
      <c r="B84" s="1083"/>
      <c r="C84" s="1083"/>
      <c r="D84" s="1083"/>
      <c r="E84" s="1083"/>
      <c r="F84" s="1083"/>
      <c r="G84" s="1083"/>
      <c r="H84" s="384">
        <f>H82+H83</f>
        <v>1781088.29</v>
      </c>
      <c r="I84" s="385"/>
      <c r="J84" s="385"/>
      <c r="K84" s="385"/>
      <c r="L84" s="385"/>
      <c r="M84" s="641"/>
      <c r="N84" s="641"/>
      <c r="O84" s="641"/>
    </row>
    <row r="85" spans="1:15" s="432" customFormat="1" x14ac:dyDescent="0.2">
      <c r="A85" s="1084" t="s">
        <v>786</v>
      </c>
      <c r="B85" s="1084"/>
      <c r="C85" s="1084"/>
      <c r="D85" s="1084"/>
      <c r="E85" s="1084"/>
      <c r="F85" s="1084"/>
      <c r="G85" s="1084"/>
      <c r="H85" s="382">
        <f>ROUND(H84*0.024,2)</f>
        <v>42746.12</v>
      </c>
      <c r="I85" s="383"/>
      <c r="J85" s="383"/>
      <c r="K85" s="383"/>
      <c r="L85" s="383"/>
      <c r="M85" s="639"/>
      <c r="N85" s="639"/>
      <c r="O85" s="639"/>
    </row>
    <row r="86" spans="1:15" s="389" customFormat="1" ht="12" x14ac:dyDescent="0.25">
      <c r="A86" s="1054" t="s">
        <v>787</v>
      </c>
      <c r="B86" s="1054"/>
      <c r="C86" s="1054"/>
      <c r="D86" s="1054"/>
      <c r="E86" s="1054"/>
      <c r="F86" s="1054"/>
      <c r="G86" s="1054"/>
      <c r="H86" s="387">
        <f>H84+H85</f>
        <v>1823834.41</v>
      </c>
      <c r="I86" s="388"/>
      <c r="J86" s="388"/>
      <c r="K86" s="388"/>
      <c r="L86" s="388"/>
      <c r="M86" s="642"/>
      <c r="N86" s="642"/>
      <c r="O86" s="642"/>
    </row>
    <row r="87" spans="1:15" s="389" customFormat="1" ht="12" x14ac:dyDescent="0.25">
      <c r="A87" s="1054" t="s">
        <v>1686</v>
      </c>
      <c r="B87" s="1054"/>
      <c r="C87" s="1054"/>
      <c r="D87" s="1054"/>
      <c r="E87" s="1054"/>
      <c r="F87" s="1054"/>
      <c r="G87" s="1054"/>
      <c r="H87" s="387">
        <f>ROUND(H86*1.0514,2)</f>
        <v>1917579.5</v>
      </c>
      <c r="I87" s="388"/>
      <c r="J87" s="388"/>
      <c r="K87" s="388"/>
      <c r="L87" s="388"/>
      <c r="M87" s="642"/>
      <c r="N87" s="642"/>
      <c r="O87" s="642"/>
    </row>
    <row r="88" spans="1:15" s="389" customFormat="1" ht="12" x14ac:dyDescent="0.25">
      <c r="A88" s="611"/>
      <c r="B88" s="611"/>
      <c r="C88" s="611"/>
      <c r="D88" s="611"/>
      <c r="E88" s="611"/>
      <c r="F88" s="611"/>
      <c r="G88" s="611"/>
      <c r="H88" s="612"/>
      <c r="I88" s="613"/>
      <c r="J88" s="613"/>
      <c r="K88" s="613"/>
      <c r="L88" s="613"/>
      <c r="M88" s="642"/>
      <c r="N88" s="642"/>
      <c r="O88" s="642"/>
    </row>
    <row r="89" spans="1:15" s="389" customFormat="1" ht="12" x14ac:dyDescent="0.25">
      <c r="A89" s="611"/>
      <c r="B89" s="611"/>
      <c r="C89" s="611"/>
      <c r="D89" s="611"/>
      <c r="E89" s="611"/>
      <c r="F89" s="611"/>
      <c r="G89" s="611"/>
      <c r="H89" s="612"/>
      <c r="I89" s="613"/>
      <c r="J89" s="613"/>
      <c r="K89" s="613"/>
      <c r="L89" s="613"/>
      <c r="M89" s="642"/>
      <c r="N89" s="642"/>
      <c r="O89" s="642"/>
    </row>
    <row r="90" spans="1:15" s="389" customFormat="1" ht="12" x14ac:dyDescent="0.25">
      <c r="A90" s="611"/>
      <c r="B90" s="611"/>
      <c r="C90" s="611"/>
      <c r="D90" s="611"/>
      <c r="E90" s="611"/>
      <c r="F90" s="611"/>
      <c r="G90" s="611"/>
      <c r="H90" s="612"/>
      <c r="I90" s="613"/>
      <c r="J90" s="613"/>
      <c r="K90" s="613"/>
      <c r="L90" s="613"/>
      <c r="M90" s="642"/>
      <c r="N90" s="642"/>
      <c r="O90" s="642"/>
    </row>
    <row r="91" spans="1:15" s="432" customFormat="1" x14ac:dyDescent="0.2">
      <c r="M91" s="639"/>
      <c r="N91" s="639"/>
      <c r="O91" s="639"/>
    </row>
    <row r="92" spans="1:15" s="432" customFormat="1" ht="24" x14ac:dyDescent="0.25">
      <c r="C92" s="428" t="s">
        <v>729</v>
      </c>
      <c r="D92" s="429" t="s">
        <v>824</v>
      </c>
      <c r="E92" s="427" t="s">
        <v>281</v>
      </c>
      <c r="F92" s="427"/>
      <c r="G92" s="389" t="s">
        <v>823</v>
      </c>
      <c r="M92" s="639"/>
      <c r="N92" s="639"/>
      <c r="O92" s="639"/>
    </row>
    <row r="93" spans="1:15" s="432" customFormat="1" ht="12" x14ac:dyDescent="0.25">
      <c r="C93" s="428"/>
      <c r="G93" s="389"/>
      <c r="M93" s="639"/>
      <c r="N93" s="639"/>
      <c r="O93" s="639"/>
    </row>
    <row r="94" spans="1:15" s="432" customFormat="1" ht="24" x14ac:dyDescent="0.25">
      <c r="C94" s="428" t="s">
        <v>730</v>
      </c>
      <c r="D94" s="429" t="s">
        <v>821</v>
      </c>
      <c r="E94" s="427" t="s">
        <v>281</v>
      </c>
      <c r="F94" s="427"/>
      <c r="G94" s="389" t="s">
        <v>822</v>
      </c>
      <c r="M94" s="639"/>
      <c r="N94" s="639"/>
      <c r="O94" s="639"/>
    </row>
    <row r="95" spans="1:15" s="432" customFormat="1" x14ac:dyDescent="0.2">
      <c r="M95" s="639"/>
      <c r="N95" s="639"/>
      <c r="O95" s="639"/>
    </row>
  </sheetData>
  <mergeCells count="76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A16:B16"/>
    <mergeCell ref="C16:I16"/>
    <mergeCell ref="C17:I17"/>
    <mergeCell ref="H18:J18"/>
    <mergeCell ref="K18:L18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C27:L27"/>
    <mergeCell ref="C28:L28"/>
    <mergeCell ref="F30:I30"/>
    <mergeCell ref="J30:K30"/>
    <mergeCell ref="F31:I31"/>
    <mergeCell ref="J31:K31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A79:G79"/>
    <mergeCell ref="A40:L40"/>
    <mergeCell ref="A73:L73"/>
    <mergeCell ref="F35:F36"/>
    <mergeCell ref="G35:G36"/>
    <mergeCell ref="H35:H37"/>
    <mergeCell ref="I35:I37"/>
    <mergeCell ref="J35:J36"/>
    <mergeCell ref="K35:L35"/>
    <mergeCell ref="K36:L36"/>
    <mergeCell ref="A74:G74"/>
    <mergeCell ref="A75:G75"/>
    <mergeCell ref="A76:G76"/>
    <mergeCell ref="A77:G77"/>
    <mergeCell ref="A78:G78"/>
    <mergeCell ref="A87:G87"/>
    <mergeCell ref="A86:G86"/>
    <mergeCell ref="A80:G80"/>
    <mergeCell ref="A81:G81"/>
    <mergeCell ref="A82:G82"/>
    <mergeCell ref="A83:G83"/>
    <mergeCell ref="A84:G84"/>
    <mergeCell ref="A85:G85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255"/>
  <sheetViews>
    <sheetView showGridLines="0" workbookViewId="0">
      <selection activeCell="D30" sqref="D30"/>
    </sheetView>
  </sheetViews>
  <sheetFormatPr defaultColWidth="9.109375" defaultRowHeight="11.25" customHeight="1" x14ac:dyDescent="0.25"/>
  <cols>
    <col min="1" max="1" width="5.44140625" style="272" customWidth="1"/>
    <col min="2" max="2" width="11.5546875" style="272" customWidth="1"/>
    <col min="3" max="3" width="34.44140625" style="272" customWidth="1"/>
    <col min="4" max="4" width="11.88671875" style="272" customWidth="1"/>
    <col min="5" max="6" width="12.109375" style="272" customWidth="1"/>
    <col min="7" max="7" width="9.6640625" style="272" customWidth="1"/>
    <col min="8" max="9" width="12.109375" style="272" customWidth="1"/>
    <col min="10" max="10" width="9.6640625" style="272" customWidth="1"/>
    <col min="11" max="12" width="12.109375" style="272" customWidth="1"/>
    <col min="13" max="13" width="15.5546875" style="272" customWidth="1"/>
    <col min="14" max="14" width="12.109375" style="272" customWidth="1"/>
    <col min="15" max="15" width="12.6640625" style="272" customWidth="1"/>
    <col min="16" max="16384" width="9.109375" style="303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1180" t="s">
        <v>0</v>
      </c>
      <c r="N2" s="1180"/>
      <c r="O2" s="1180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1181" t="s">
        <v>2</v>
      </c>
      <c r="N3" s="1181"/>
      <c r="O3" s="1181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1182"/>
      <c r="N4" s="1183"/>
      <c r="O4" s="1184"/>
    </row>
    <row r="5" spans="1:15" s="18" customFormat="1" ht="13.2" x14ac:dyDescent="0.25">
      <c r="A5" s="13" t="s">
        <v>3</v>
      </c>
      <c r="B5" s="22"/>
      <c r="C5" s="1185"/>
      <c r="D5" s="1185"/>
      <c r="E5" s="1185"/>
      <c r="F5" s="1185"/>
      <c r="G5" s="1185"/>
      <c r="H5" s="1185"/>
      <c r="I5" s="1185"/>
      <c r="J5" s="1185"/>
      <c r="K5" s="1185"/>
      <c r="L5" s="26" t="s">
        <v>4</v>
      </c>
      <c r="M5" s="1186"/>
      <c r="N5" s="1169"/>
      <c r="O5" s="1170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1192"/>
      <c r="N6" s="1193"/>
      <c r="O6" s="1194"/>
    </row>
    <row r="7" spans="1:15" s="18" customFormat="1" ht="39" customHeight="1" x14ac:dyDescent="0.25">
      <c r="A7" s="1195" t="s">
        <v>29</v>
      </c>
      <c r="B7" s="1195"/>
      <c r="C7" s="1197" t="s">
        <v>44</v>
      </c>
      <c r="D7" s="1197"/>
      <c r="E7" s="1197"/>
      <c r="F7" s="1197"/>
      <c r="G7" s="1197"/>
      <c r="H7" s="1197"/>
      <c r="I7" s="1197"/>
      <c r="J7" s="1197"/>
      <c r="K7" s="1197"/>
      <c r="L7" s="31" t="s">
        <v>4</v>
      </c>
      <c r="M7" s="1198" t="s">
        <v>30</v>
      </c>
      <c r="N7" s="1199"/>
      <c r="O7" s="1200"/>
    </row>
    <row r="8" spans="1:15" s="18" customFormat="1" ht="44.25" customHeight="1" x14ac:dyDescent="0.25">
      <c r="A8" s="1195" t="s">
        <v>31</v>
      </c>
      <c r="B8" s="1195"/>
      <c r="C8" s="1201" t="s">
        <v>45</v>
      </c>
      <c r="D8" s="1201"/>
      <c r="E8" s="1201"/>
      <c r="F8" s="1201"/>
      <c r="G8" s="1201"/>
      <c r="H8" s="1201"/>
      <c r="I8" s="1201"/>
      <c r="J8" s="1201"/>
      <c r="K8" s="1201"/>
      <c r="L8" s="31" t="s">
        <v>4</v>
      </c>
      <c r="M8" s="1180">
        <v>79730368</v>
      </c>
      <c r="N8" s="1180"/>
      <c r="O8" s="1180"/>
    </row>
    <row r="9" spans="1:15" s="18" customFormat="1" ht="45.75" customHeight="1" x14ac:dyDescent="0.25">
      <c r="A9" s="1196" t="s">
        <v>46</v>
      </c>
      <c r="B9" s="1196"/>
      <c r="C9" s="1195" t="s">
        <v>47</v>
      </c>
      <c r="D9" s="1195"/>
      <c r="E9" s="1195"/>
      <c r="F9" s="1195"/>
      <c r="G9" s="1195"/>
      <c r="H9" s="1195"/>
      <c r="I9" s="1195"/>
      <c r="J9" s="1195"/>
      <c r="K9" s="1195"/>
      <c r="L9" s="32"/>
      <c r="M9" s="1158"/>
      <c r="N9" s="1159"/>
      <c r="O9" s="1160"/>
    </row>
    <row r="10" spans="1:15" s="18" customFormat="1" ht="24" customHeight="1" x14ac:dyDescent="0.25">
      <c r="A10" s="13"/>
      <c r="B10" s="22"/>
      <c r="C10" s="1190" t="s">
        <v>6</v>
      </c>
      <c r="D10" s="1190"/>
      <c r="E10" s="1190"/>
      <c r="F10" s="1190"/>
      <c r="G10" s="1190"/>
      <c r="H10" s="1190"/>
      <c r="I10" s="1190"/>
      <c r="J10" s="1190"/>
      <c r="K10" s="1190"/>
      <c r="L10" s="32"/>
      <c r="M10" s="1182"/>
      <c r="N10" s="1183"/>
      <c r="O10" s="1184"/>
    </row>
    <row r="11" spans="1:15" s="18" customFormat="1" ht="13.2" x14ac:dyDescent="0.25">
      <c r="A11" s="1191" t="s">
        <v>48</v>
      </c>
      <c r="B11" s="1191"/>
      <c r="C11" s="1185" t="s">
        <v>49</v>
      </c>
      <c r="D11" s="1185"/>
      <c r="E11" s="1185"/>
      <c r="F11" s="1185"/>
      <c r="G11" s="1185"/>
      <c r="H11" s="1185"/>
      <c r="I11" s="1185"/>
      <c r="J11" s="1185"/>
      <c r="K11" s="1185"/>
      <c r="L11" s="32"/>
      <c r="M11" s="1158"/>
      <c r="N11" s="1159"/>
      <c r="O11" s="1160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1161" t="s">
        <v>32</v>
      </c>
      <c r="L12" s="1162"/>
      <c r="M12" s="1163" t="s">
        <v>33</v>
      </c>
      <c r="N12" s="1164"/>
      <c r="O12" s="1165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0" t="s">
        <v>8</v>
      </c>
      <c r="L13" s="33" t="s">
        <v>9</v>
      </c>
      <c r="M13" s="1166" t="s">
        <v>34</v>
      </c>
      <c r="N13" s="1167"/>
      <c r="O13" s="1168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1169" t="s">
        <v>35</v>
      </c>
      <c r="J15" s="1169"/>
      <c r="K15" s="1170"/>
      <c r="L15" s="33" t="s">
        <v>9</v>
      </c>
      <c r="M15" s="1163" t="s">
        <v>18</v>
      </c>
      <c r="N15" s="1164"/>
      <c r="O15" s="1165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5" s="1" customFormat="1" ht="13.2" x14ac:dyDescent="0.25">
      <c r="C17" s="27"/>
      <c r="I17" s="1161" t="s">
        <v>35</v>
      </c>
      <c r="J17" s="1161"/>
      <c r="K17" s="1162"/>
      <c r="L17" s="33" t="s">
        <v>9</v>
      </c>
      <c r="M17" s="1163" t="s">
        <v>25</v>
      </c>
      <c r="N17" s="1164"/>
      <c r="O17" s="1165"/>
    </row>
    <row r="18" spans="1:15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5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1166"/>
      <c r="N19" s="1167"/>
      <c r="O19" s="1168"/>
    </row>
    <row r="20" spans="1:15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5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0"/>
      <c r="L21" s="271"/>
      <c r="M21" s="271"/>
      <c r="N21" s="271"/>
      <c r="O21" s="32"/>
    </row>
    <row r="22" spans="1:15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0"/>
      <c r="L22" s="1189" t="s">
        <v>12</v>
      </c>
      <c r="M22" s="1189" t="s">
        <v>13</v>
      </c>
      <c r="N22" s="1181" t="s">
        <v>14</v>
      </c>
      <c r="O22" s="1181"/>
    </row>
    <row r="23" spans="1:15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0"/>
      <c r="L23" s="1189"/>
      <c r="M23" s="1189"/>
      <c r="N23" s="268" t="s">
        <v>15</v>
      </c>
      <c r="O23" s="268" t="s">
        <v>16</v>
      </c>
    </row>
    <row r="24" spans="1:15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0"/>
      <c r="L24" s="34">
        <v>43</v>
      </c>
      <c r="M24" s="37">
        <f>O24</f>
        <v>44951</v>
      </c>
      <c r="N24" s="37">
        <v>44915</v>
      </c>
      <c r="O24" s="37">
        <v>44951</v>
      </c>
    </row>
    <row r="25" spans="1:15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0"/>
      <c r="L25" s="269"/>
      <c r="M25" s="269"/>
      <c r="N25" s="269"/>
      <c r="O25" s="1"/>
    </row>
    <row r="26" spans="1:15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5" ht="21.75" customHeight="1" x14ac:dyDescent="0.2">
      <c r="A27" s="1178" t="s">
        <v>55</v>
      </c>
      <c r="B27" s="1178" t="s">
        <v>56</v>
      </c>
      <c r="C27" s="1178" t="s">
        <v>57</v>
      </c>
      <c r="D27" s="1178" t="s">
        <v>58</v>
      </c>
      <c r="E27" s="1175" t="s">
        <v>59</v>
      </c>
      <c r="F27" s="1177"/>
      <c r="G27" s="1176"/>
      <c r="H27" s="1175" t="s">
        <v>60</v>
      </c>
      <c r="I27" s="1177"/>
      <c r="J27" s="1176"/>
      <c r="K27" s="1175" t="s">
        <v>61</v>
      </c>
      <c r="L27" s="1176"/>
      <c r="M27" s="1175" t="s">
        <v>62</v>
      </c>
      <c r="N27" s="1177"/>
      <c r="O27" s="1176"/>
    </row>
    <row r="28" spans="1:15" ht="33" customHeight="1" x14ac:dyDescent="0.2">
      <c r="A28" s="1179"/>
      <c r="B28" s="1179"/>
      <c r="C28" s="1179"/>
      <c r="D28" s="1179"/>
      <c r="E28" s="1178" t="s">
        <v>63</v>
      </c>
      <c r="F28" s="43" t="s">
        <v>64</v>
      </c>
      <c r="G28" s="43" t="s">
        <v>65</v>
      </c>
      <c r="H28" s="1178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1178" t="s">
        <v>63</v>
      </c>
      <c r="N28" s="43" t="s">
        <v>64</v>
      </c>
      <c r="O28" s="43" t="s">
        <v>65</v>
      </c>
    </row>
    <row r="29" spans="1:15" ht="27.75" customHeight="1" x14ac:dyDescent="0.2">
      <c r="A29" s="1179"/>
      <c r="B29" s="1179"/>
      <c r="C29" s="1179"/>
      <c r="D29" s="1179"/>
      <c r="E29" s="1179"/>
      <c r="F29" s="44" t="s">
        <v>68</v>
      </c>
      <c r="G29" s="44" t="s">
        <v>69</v>
      </c>
      <c r="H29" s="1179"/>
      <c r="I29" s="44" t="s">
        <v>68</v>
      </c>
      <c r="J29" s="44" t="s">
        <v>69</v>
      </c>
      <c r="K29" s="44" t="s">
        <v>68</v>
      </c>
      <c r="L29" s="44" t="s">
        <v>69</v>
      </c>
      <c r="M29" s="1179"/>
      <c r="N29" s="44" t="s">
        <v>68</v>
      </c>
      <c r="O29" s="44" t="s">
        <v>69</v>
      </c>
    </row>
    <row r="30" spans="1:15" s="304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</row>
    <row r="31" spans="1:15" s="304" customFormat="1" ht="13.2" x14ac:dyDescent="0.2">
      <c r="A31" s="1187" t="s">
        <v>70</v>
      </c>
      <c r="B31" s="1188"/>
      <c r="C31" s="1188"/>
      <c r="D31" s="1188"/>
      <c r="E31" s="1188"/>
      <c r="F31" s="1188"/>
      <c r="G31" s="1188"/>
      <c r="H31" s="1188"/>
      <c r="I31" s="1188"/>
      <c r="J31" s="1188"/>
      <c r="K31" s="1188"/>
      <c r="L31" s="1188"/>
      <c r="M31" s="1188"/>
      <c r="N31" s="1188"/>
      <c r="O31" s="1188"/>
    </row>
    <row r="32" spans="1:15" s="305" customFormat="1" ht="79.2" x14ac:dyDescent="0.3">
      <c r="A32" s="46" t="s">
        <v>18</v>
      </c>
      <c r="B32" s="47" t="s">
        <v>92</v>
      </c>
      <c r="C32" s="48" t="s">
        <v>93</v>
      </c>
      <c r="D32" s="49" t="s">
        <v>365</v>
      </c>
      <c r="E32" s="51" t="s">
        <v>94</v>
      </c>
      <c r="F32" s="51" t="s">
        <v>95</v>
      </c>
      <c r="G32" s="51" t="s">
        <v>96</v>
      </c>
      <c r="H32" s="51" t="s">
        <v>366</v>
      </c>
      <c r="I32" s="51" t="s">
        <v>367</v>
      </c>
      <c r="J32" s="51" t="s">
        <v>368</v>
      </c>
      <c r="K32" s="50"/>
      <c r="L32" s="50"/>
      <c r="M32" s="51" t="s">
        <v>366</v>
      </c>
      <c r="N32" s="51" t="s">
        <v>367</v>
      </c>
      <c r="O32" s="51" t="s">
        <v>369</v>
      </c>
    </row>
    <row r="33" spans="1:15" ht="26.4" x14ac:dyDescent="0.2">
      <c r="A33" s="52"/>
      <c r="B33" s="53"/>
      <c r="C33" s="54" t="s">
        <v>370</v>
      </c>
      <c r="D33" s="55"/>
      <c r="E33" s="56" t="s">
        <v>82</v>
      </c>
      <c r="F33" s="57"/>
      <c r="G33" s="57"/>
      <c r="H33" s="56" t="s">
        <v>371</v>
      </c>
      <c r="I33" s="57"/>
      <c r="J33" s="57"/>
      <c r="K33" s="57"/>
      <c r="L33" s="56" t="s">
        <v>82</v>
      </c>
      <c r="M33" s="56" t="s">
        <v>371</v>
      </c>
      <c r="N33" s="57"/>
      <c r="O33" s="57"/>
    </row>
    <row r="34" spans="1:15" ht="26.4" x14ac:dyDescent="0.2">
      <c r="A34" s="52"/>
      <c r="B34" s="53"/>
      <c r="C34" s="54" t="s">
        <v>372</v>
      </c>
      <c r="D34" s="55"/>
      <c r="E34" s="56" t="s">
        <v>83</v>
      </c>
      <c r="F34" s="57"/>
      <c r="G34" s="57"/>
      <c r="H34" s="56" t="s">
        <v>373</v>
      </c>
      <c r="I34" s="57"/>
      <c r="J34" s="57"/>
      <c r="K34" s="57"/>
      <c r="L34" s="56" t="s">
        <v>83</v>
      </c>
      <c r="M34" s="56" t="s">
        <v>373</v>
      </c>
      <c r="N34" s="57"/>
      <c r="O34" s="57"/>
    </row>
    <row r="35" spans="1:15" ht="13.2" x14ac:dyDescent="0.2">
      <c r="A35" s="52"/>
      <c r="B35" s="53"/>
      <c r="C35" s="54" t="s">
        <v>73</v>
      </c>
      <c r="D35" s="55"/>
      <c r="E35" s="57"/>
      <c r="F35" s="57"/>
      <c r="G35" s="57"/>
      <c r="H35" s="56" t="s">
        <v>374</v>
      </c>
      <c r="I35" s="57"/>
      <c r="J35" s="57"/>
      <c r="K35" s="57"/>
      <c r="L35" s="57"/>
      <c r="M35" s="56" t="s">
        <v>374</v>
      </c>
      <c r="N35" s="57"/>
      <c r="O35" s="57"/>
    </row>
    <row r="36" spans="1:15" ht="52.8" x14ac:dyDescent="0.2">
      <c r="A36" s="46" t="s">
        <v>21</v>
      </c>
      <c r="B36" s="47" t="s">
        <v>97</v>
      </c>
      <c r="C36" s="48" t="s">
        <v>98</v>
      </c>
      <c r="D36" s="49" t="s">
        <v>375</v>
      </c>
      <c r="E36" s="51" t="s">
        <v>99</v>
      </c>
      <c r="F36" s="51" t="s">
        <v>100</v>
      </c>
      <c r="G36" s="51" t="s">
        <v>101</v>
      </c>
      <c r="H36" s="51" t="s">
        <v>376</v>
      </c>
      <c r="I36" s="51" t="s">
        <v>377</v>
      </c>
      <c r="J36" s="51" t="s">
        <v>378</v>
      </c>
      <c r="K36" s="50"/>
      <c r="L36" s="50"/>
      <c r="M36" s="51" t="s">
        <v>376</v>
      </c>
      <c r="N36" s="51" t="s">
        <v>377</v>
      </c>
      <c r="O36" s="51" t="s">
        <v>378</v>
      </c>
    </row>
    <row r="37" spans="1:15" ht="26.4" x14ac:dyDescent="0.2">
      <c r="A37" s="52"/>
      <c r="B37" s="53"/>
      <c r="C37" s="54" t="s">
        <v>379</v>
      </c>
      <c r="D37" s="55"/>
      <c r="E37" s="56" t="s">
        <v>82</v>
      </c>
      <c r="F37" s="57"/>
      <c r="G37" s="57"/>
      <c r="H37" s="56" t="s">
        <v>380</v>
      </c>
      <c r="I37" s="57"/>
      <c r="J37" s="57"/>
      <c r="K37" s="57"/>
      <c r="L37" s="56" t="s">
        <v>82</v>
      </c>
      <c r="M37" s="56" t="s">
        <v>380</v>
      </c>
      <c r="N37" s="57"/>
      <c r="O37" s="57"/>
    </row>
    <row r="38" spans="1:15" ht="26.4" x14ac:dyDescent="0.2">
      <c r="A38" s="52"/>
      <c r="B38" s="53"/>
      <c r="C38" s="54" t="s">
        <v>381</v>
      </c>
      <c r="D38" s="55"/>
      <c r="E38" s="56" t="s">
        <v>83</v>
      </c>
      <c r="F38" s="57"/>
      <c r="G38" s="57"/>
      <c r="H38" s="56" t="s">
        <v>382</v>
      </c>
      <c r="I38" s="57"/>
      <c r="J38" s="57"/>
      <c r="K38" s="57"/>
      <c r="L38" s="56" t="s">
        <v>83</v>
      </c>
      <c r="M38" s="56" t="s">
        <v>382</v>
      </c>
      <c r="N38" s="57"/>
      <c r="O38" s="57"/>
    </row>
    <row r="39" spans="1:15" ht="13.2" x14ac:dyDescent="0.2">
      <c r="A39" s="52"/>
      <c r="B39" s="53"/>
      <c r="C39" s="54" t="s">
        <v>73</v>
      </c>
      <c r="D39" s="55"/>
      <c r="E39" s="57"/>
      <c r="F39" s="57"/>
      <c r="G39" s="57"/>
      <c r="H39" s="56" t="s">
        <v>383</v>
      </c>
      <c r="I39" s="57"/>
      <c r="J39" s="57"/>
      <c r="K39" s="57"/>
      <c r="L39" s="57"/>
      <c r="M39" s="56" t="s">
        <v>383</v>
      </c>
      <c r="N39" s="57"/>
      <c r="O39" s="57"/>
    </row>
    <row r="40" spans="1:15" ht="52.8" x14ac:dyDescent="0.2">
      <c r="A40" s="46" t="s">
        <v>23</v>
      </c>
      <c r="B40" s="47" t="s">
        <v>103</v>
      </c>
      <c r="C40" s="48" t="s">
        <v>104</v>
      </c>
      <c r="D40" s="49" t="s">
        <v>365</v>
      </c>
      <c r="E40" s="51" t="s">
        <v>105</v>
      </c>
      <c r="F40" s="51" t="s">
        <v>106</v>
      </c>
      <c r="G40" s="50"/>
      <c r="H40" s="51" t="s">
        <v>384</v>
      </c>
      <c r="I40" s="51" t="s">
        <v>385</v>
      </c>
      <c r="J40" s="50"/>
      <c r="K40" s="50"/>
      <c r="L40" s="50"/>
      <c r="M40" s="51" t="s">
        <v>384</v>
      </c>
      <c r="N40" s="51" t="s">
        <v>385</v>
      </c>
      <c r="O40" s="50"/>
    </row>
    <row r="41" spans="1:15" ht="92.4" x14ac:dyDescent="0.2">
      <c r="A41" s="46" t="s">
        <v>25</v>
      </c>
      <c r="B41" s="47" t="s">
        <v>108</v>
      </c>
      <c r="C41" s="48" t="s">
        <v>86</v>
      </c>
      <c r="D41" s="49" t="s">
        <v>365</v>
      </c>
      <c r="E41" s="51" t="s">
        <v>87</v>
      </c>
      <c r="F41" s="51" t="s">
        <v>88</v>
      </c>
      <c r="G41" s="51" t="s">
        <v>89</v>
      </c>
      <c r="H41" s="51" t="s">
        <v>386</v>
      </c>
      <c r="I41" s="51" t="s">
        <v>387</v>
      </c>
      <c r="J41" s="51" t="s">
        <v>388</v>
      </c>
      <c r="K41" s="50"/>
      <c r="L41" s="50"/>
      <c r="M41" s="51" t="s">
        <v>386</v>
      </c>
      <c r="N41" s="51" t="s">
        <v>387</v>
      </c>
      <c r="O41" s="51" t="s">
        <v>389</v>
      </c>
    </row>
    <row r="42" spans="1:15" ht="26.4" x14ac:dyDescent="0.2">
      <c r="A42" s="52"/>
      <c r="B42" s="53"/>
      <c r="C42" s="54" t="s">
        <v>390</v>
      </c>
      <c r="D42" s="55"/>
      <c r="E42" s="56" t="s">
        <v>82</v>
      </c>
      <c r="F42" s="57"/>
      <c r="G42" s="57"/>
      <c r="H42" s="56" t="s">
        <v>391</v>
      </c>
      <c r="I42" s="57"/>
      <c r="J42" s="57"/>
      <c r="K42" s="57"/>
      <c r="L42" s="56" t="s">
        <v>82</v>
      </c>
      <c r="M42" s="56" t="s">
        <v>391</v>
      </c>
      <c r="N42" s="57"/>
      <c r="O42" s="57"/>
    </row>
    <row r="43" spans="1:15" ht="26.4" x14ac:dyDescent="0.2">
      <c r="A43" s="52"/>
      <c r="B43" s="53"/>
      <c r="C43" s="54" t="s">
        <v>392</v>
      </c>
      <c r="D43" s="55"/>
      <c r="E43" s="56" t="s">
        <v>83</v>
      </c>
      <c r="F43" s="57"/>
      <c r="G43" s="57"/>
      <c r="H43" s="56" t="s">
        <v>393</v>
      </c>
      <c r="I43" s="57"/>
      <c r="J43" s="57"/>
      <c r="K43" s="57"/>
      <c r="L43" s="56" t="s">
        <v>83</v>
      </c>
      <c r="M43" s="56" t="s">
        <v>393</v>
      </c>
      <c r="N43" s="57"/>
      <c r="O43" s="57"/>
    </row>
    <row r="44" spans="1:15" ht="13.2" x14ac:dyDescent="0.2">
      <c r="A44" s="52"/>
      <c r="B44" s="53"/>
      <c r="C44" s="54" t="s">
        <v>73</v>
      </c>
      <c r="D44" s="55"/>
      <c r="E44" s="57"/>
      <c r="F44" s="57"/>
      <c r="G44" s="57"/>
      <c r="H44" s="56" t="s">
        <v>394</v>
      </c>
      <c r="I44" s="57"/>
      <c r="J44" s="57"/>
      <c r="K44" s="57"/>
      <c r="L44" s="57"/>
      <c r="M44" s="56" t="s">
        <v>394</v>
      </c>
      <c r="N44" s="57"/>
      <c r="O44" s="57"/>
    </row>
    <row r="45" spans="1:15" ht="92.4" x14ac:dyDescent="0.2">
      <c r="A45" s="46" t="s">
        <v>43</v>
      </c>
      <c r="B45" s="47" t="s">
        <v>117</v>
      </c>
      <c r="C45" s="48" t="s">
        <v>118</v>
      </c>
      <c r="D45" s="49" t="s">
        <v>395</v>
      </c>
      <c r="E45" s="51" t="s">
        <v>119</v>
      </c>
      <c r="F45" s="51" t="s">
        <v>119</v>
      </c>
      <c r="G45" s="50"/>
      <c r="H45" s="51" t="s">
        <v>396</v>
      </c>
      <c r="I45" s="51" t="s">
        <v>396</v>
      </c>
      <c r="J45" s="50"/>
      <c r="K45" s="50"/>
      <c r="L45" s="50"/>
      <c r="M45" s="51" t="s">
        <v>396</v>
      </c>
      <c r="N45" s="51" t="s">
        <v>396</v>
      </c>
      <c r="O45" s="50"/>
    </row>
    <row r="46" spans="1:15" ht="26.4" x14ac:dyDescent="0.2">
      <c r="A46" s="52"/>
      <c r="B46" s="53"/>
      <c r="C46" s="54" t="s">
        <v>397</v>
      </c>
      <c r="D46" s="55"/>
      <c r="E46" s="56" t="s">
        <v>82</v>
      </c>
      <c r="F46" s="57"/>
      <c r="G46" s="57"/>
      <c r="H46" s="56" t="s">
        <v>398</v>
      </c>
      <c r="I46" s="57"/>
      <c r="J46" s="57"/>
      <c r="K46" s="57"/>
      <c r="L46" s="56" t="s">
        <v>82</v>
      </c>
      <c r="M46" s="56" t="s">
        <v>398</v>
      </c>
      <c r="N46" s="57"/>
      <c r="O46" s="57"/>
    </row>
    <row r="47" spans="1:15" ht="26.4" x14ac:dyDescent="0.2">
      <c r="A47" s="52"/>
      <c r="B47" s="53"/>
      <c r="C47" s="54" t="s">
        <v>399</v>
      </c>
      <c r="D47" s="55"/>
      <c r="E47" s="56" t="s">
        <v>120</v>
      </c>
      <c r="F47" s="57"/>
      <c r="G47" s="57"/>
      <c r="H47" s="56" t="s">
        <v>400</v>
      </c>
      <c r="I47" s="57"/>
      <c r="J47" s="57"/>
      <c r="K47" s="57"/>
      <c r="L47" s="56" t="s">
        <v>120</v>
      </c>
      <c r="M47" s="56" t="s">
        <v>400</v>
      </c>
      <c r="N47" s="57"/>
      <c r="O47" s="57"/>
    </row>
    <row r="48" spans="1:15" ht="13.2" x14ac:dyDescent="0.2">
      <c r="A48" s="52"/>
      <c r="B48" s="53"/>
      <c r="C48" s="54" t="s">
        <v>73</v>
      </c>
      <c r="D48" s="55"/>
      <c r="E48" s="57"/>
      <c r="F48" s="57"/>
      <c r="G48" s="57"/>
      <c r="H48" s="56" t="s">
        <v>401</v>
      </c>
      <c r="I48" s="57"/>
      <c r="J48" s="57"/>
      <c r="K48" s="57"/>
      <c r="L48" s="57"/>
      <c r="M48" s="56" t="s">
        <v>401</v>
      </c>
      <c r="N48" s="57"/>
      <c r="O48" s="57"/>
    </row>
    <row r="49" spans="1:15" ht="52.8" x14ac:dyDescent="0.2">
      <c r="A49" s="46" t="s">
        <v>76</v>
      </c>
      <c r="B49" s="47" t="s">
        <v>121</v>
      </c>
      <c r="C49" s="48" t="s">
        <v>122</v>
      </c>
      <c r="D49" s="49" t="s">
        <v>395</v>
      </c>
      <c r="E49" s="51" t="s">
        <v>123</v>
      </c>
      <c r="F49" s="51" t="s">
        <v>124</v>
      </c>
      <c r="G49" s="51" t="s">
        <v>125</v>
      </c>
      <c r="H49" s="51" t="s">
        <v>402</v>
      </c>
      <c r="I49" s="51" t="s">
        <v>403</v>
      </c>
      <c r="J49" s="51" t="s">
        <v>404</v>
      </c>
      <c r="K49" s="50"/>
      <c r="L49" s="50"/>
      <c r="M49" s="51" t="s">
        <v>402</v>
      </c>
      <c r="N49" s="51" t="s">
        <v>403</v>
      </c>
      <c r="O49" s="51" t="s">
        <v>404</v>
      </c>
    </row>
    <row r="50" spans="1:15" ht="26.4" x14ac:dyDescent="0.2">
      <c r="A50" s="52"/>
      <c r="B50" s="53"/>
      <c r="C50" s="54" t="s">
        <v>405</v>
      </c>
      <c r="D50" s="55"/>
      <c r="E50" s="56" t="s">
        <v>82</v>
      </c>
      <c r="F50" s="57"/>
      <c r="G50" s="57"/>
      <c r="H50" s="56" t="s">
        <v>406</v>
      </c>
      <c r="I50" s="57"/>
      <c r="J50" s="57"/>
      <c r="K50" s="57"/>
      <c r="L50" s="56" t="s">
        <v>82</v>
      </c>
      <c r="M50" s="56" t="s">
        <v>406</v>
      </c>
      <c r="N50" s="57"/>
      <c r="O50" s="57"/>
    </row>
    <row r="51" spans="1:15" ht="26.4" x14ac:dyDescent="0.2">
      <c r="A51" s="52"/>
      <c r="B51" s="53"/>
      <c r="C51" s="54" t="s">
        <v>407</v>
      </c>
      <c r="D51" s="55"/>
      <c r="E51" s="56" t="s">
        <v>120</v>
      </c>
      <c r="F51" s="57"/>
      <c r="G51" s="57"/>
      <c r="H51" s="56" t="s">
        <v>408</v>
      </c>
      <c r="I51" s="57"/>
      <c r="J51" s="57"/>
      <c r="K51" s="57"/>
      <c r="L51" s="56" t="s">
        <v>120</v>
      </c>
      <c r="M51" s="56" t="s">
        <v>408</v>
      </c>
      <c r="N51" s="57"/>
      <c r="O51" s="57"/>
    </row>
    <row r="52" spans="1:15" ht="13.2" x14ac:dyDescent="0.2">
      <c r="A52" s="52"/>
      <c r="B52" s="53"/>
      <c r="C52" s="54" t="s">
        <v>73</v>
      </c>
      <c r="D52" s="55"/>
      <c r="E52" s="57"/>
      <c r="F52" s="57"/>
      <c r="G52" s="57"/>
      <c r="H52" s="56" t="s">
        <v>409</v>
      </c>
      <c r="I52" s="57"/>
      <c r="J52" s="57"/>
      <c r="K52" s="57"/>
      <c r="L52" s="57"/>
      <c r="M52" s="56" t="s">
        <v>409</v>
      </c>
      <c r="N52" s="57"/>
      <c r="O52" s="57"/>
    </row>
    <row r="53" spans="1:15" ht="52.8" x14ac:dyDescent="0.2">
      <c r="A53" s="46" t="s">
        <v>77</v>
      </c>
      <c r="B53" s="47" t="s">
        <v>127</v>
      </c>
      <c r="C53" s="48" t="s">
        <v>128</v>
      </c>
      <c r="D53" s="49" t="s">
        <v>410</v>
      </c>
      <c r="E53" s="51" t="s">
        <v>129</v>
      </c>
      <c r="F53" s="51" t="s">
        <v>130</v>
      </c>
      <c r="G53" s="51" t="s">
        <v>131</v>
      </c>
      <c r="H53" s="51" t="s">
        <v>411</v>
      </c>
      <c r="I53" s="51" t="s">
        <v>412</v>
      </c>
      <c r="J53" s="51" t="s">
        <v>413</v>
      </c>
      <c r="K53" s="50"/>
      <c r="L53" s="50"/>
      <c r="M53" s="51" t="s">
        <v>411</v>
      </c>
      <c r="N53" s="51" t="s">
        <v>412</v>
      </c>
      <c r="O53" s="51" t="s">
        <v>414</v>
      </c>
    </row>
    <row r="54" spans="1:15" ht="26.4" x14ac:dyDescent="0.2">
      <c r="A54" s="52"/>
      <c r="B54" s="53"/>
      <c r="C54" s="54" t="s">
        <v>415</v>
      </c>
      <c r="D54" s="55"/>
      <c r="E54" s="56" t="s">
        <v>82</v>
      </c>
      <c r="F54" s="57"/>
      <c r="G54" s="57"/>
      <c r="H54" s="56" t="s">
        <v>416</v>
      </c>
      <c r="I54" s="57"/>
      <c r="J54" s="57"/>
      <c r="K54" s="57"/>
      <c r="L54" s="56" t="s">
        <v>82</v>
      </c>
      <c r="M54" s="56" t="s">
        <v>416</v>
      </c>
      <c r="N54" s="57"/>
      <c r="O54" s="57"/>
    </row>
    <row r="55" spans="1:15" ht="26.4" x14ac:dyDescent="0.2">
      <c r="A55" s="52"/>
      <c r="B55" s="53"/>
      <c r="C55" s="54" t="s">
        <v>417</v>
      </c>
      <c r="D55" s="55"/>
      <c r="E55" s="56" t="s">
        <v>120</v>
      </c>
      <c r="F55" s="57"/>
      <c r="G55" s="57"/>
      <c r="H55" s="56" t="s">
        <v>418</v>
      </c>
      <c r="I55" s="57"/>
      <c r="J55" s="57"/>
      <c r="K55" s="57"/>
      <c r="L55" s="56" t="s">
        <v>120</v>
      </c>
      <c r="M55" s="56" t="s">
        <v>418</v>
      </c>
      <c r="N55" s="57"/>
      <c r="O55" s="57"/>
    </row>
    <row r="56" spans="1:15" ht="13.2" x14ac:dyDescent="0.2">
      <c r="A56" s="52"/>
      <c r="B56" s="53"/>
      <c r="C56" s="54" t="s">
        <v>73</v>
      </c>
      <c r="D56" s="55"/>
      <c r="E56" s="57"/>
      <c r="F56" s="57"/>
      <c r="G56" s="57"/>
      <c r="H56" s="56" t="s">
        <v>419</v>
      </c>
      <c r="I56" s="57"/>
      <c r="J56" s="57"/>
      <c r="K56" s="57"/>
      <c r="L56" s="57"/>
      <c r="M56" s="56" t="s">
        <v>419</v>
      </c>
      <c r="N56" s="57"/>
      <c r="O56" s="57"/>
    </row>
    <row r="57" spans="1:15" ht="118.8" x14ac:dyDescent="0.2">
      <c r="A57" s="46" t="s">
        <v>78</v>
      </c>
      <c r="B57" s="47" t="s">
        <v>133</v>
      </c>
      <c r="C57" s="48" t="s">
        <v>134</v>
      </c>
      <c r="D57" s="49" t="s">
        <v>410</v>
      </c>
      <c r="E57" s="51" t="s">
        <v>135</v>
      </c>
      <c r="F57" s="51" t="s">
        <v>136</v>
      </c>
      <c r="G57" s="51" t="s">
        <v>137</v>
      </c>
      <c r="H57" s="51" t="s">
        <v>420</v>
      </c>
      <c r="I57" s="51" t="s">
        <v>421</v>
      </c>
      <c r="J57" s="51" t="s">
        <v>422</v>
      </c>
      <c r="K57" s="50"/>
      <c r="L57" s="50"/>
      <c r="M57" s="51" t="s">
        <v>420</v>
      </c>
      <c r="N57" s="51" t="s">
        <v>421</v>
      </c>
      <c r="O57" s="51" t="s">
        <v>423</v>
      </c>
    </row>
    <row r="58" spans="1:15" ht="26.4" x14ac:dyDescent="0.2">
      <c r="A58" s="52"/>
      <c r="B58" s="53"/>
      <c r="C58" s="54" t="s">
        <v>424</v>
      </c>
      <c r="D58" s="55"/>
      <c r="E58" s="56" t="s">
        <v>82</v>
      </c>
      <c r="F58" s="57"/>
      <c r="G58" s="57"/>
      <c r="H58" s="56" t="s">
        <v>425</v>
      </c>
      <c r="I58" s="57"/>
      <c r="J58" s="57"/>
      <c r="K58" s="57"/>
      <c r="L58" s="56" t="s">
        <v>82</v>
      </c>
      <c r="M58" s="56" t="s">
        <v>425</v>
      </c>
      <c r="N58" s="57"/>
      <c r="O58" s="57"/>
    </row>
    <row r="59" spans="1:15" ht="26.4" x14ac:dyDescent="0.2">
      <c r="A59" s="52"/>
      <c r="B59" s="53"/>
      <c r="C59" s="54" t="s">
        <v>426</v>
      </c>
      <c r="D59" s="55"/>
      <c r="E59" s="56" t="s">
        <v>120</v>
      </c>
      <c r="F59" s="57"/>
      <c r="G59" s="57"/>
      <c r="H59" s="56" t="s">
        <v>427</v>
      </c>
      <c r="I59" s="57"/>
      <c r="J59" s="57"/>
      <c r="K59" s="57"/>
      <c r="L59" s="56" t="s">
        <v>120</v>
      </c>
      <c r="M59" s="56" t="s">
        <v>427</v>
      </c>
      <c r="N59" s="57"/>
      <c r="O59" s="57"/>
    </row>
    <row r="60" spans="1:15" ht="13.2" x14ac:dyDescent="0.2">
      <c r="A60" s="52"/>
      <c r="B60" s="53"/>
      <c r="C60" s="54" t="s">
        <v>73</v>
      </c>
      <c r="D60" s="55"/>
      <c r="E60" s="57"/>
      <c r="F60" s="57"/>
      <c r="G60" s="57"/>
      <c r="H60" s="56" t="s">
        <v>428</v>
      </c>
      <c r="I60" s="57"/>
      <c r="J60" s="57"/>
      <c r="K60" s="57"/>
      <c r="L60" s="57"/>
      <c r="M60" s="56" t="s">
        <v>428</v>
      </c>
      <c r="N60" s="57"/>
      <c r="O60" s="57"/>
    </row>
    <row r="61" spans="1:15" ht="158.4" x14ac:dyDescent="0.2">
      <c r="A61" s="46" t="s">
        <v>79</v>
      </c>
      <c r="B61" s="47" t="s">
        <v>139</v>
      </c>
      <c r="C61" s="48" t="s">
        <v>140</v>
      </c>
      <c r="D61" s="49" t="s">
        <v>410</v>
      </c>
      <c r="E61" s="51" t="s">
        <v>141</v>
      </c>
      <c r="F61" s="51" t="s">
        <v>142</v>
      </c>
      <c r="G61" s="51" t="s">
        <v>143</v>
      </c>
      <c r="H61" s="51" t="s">
        <v>429</v>
      </c>
      <c r="I61" s="51" t="s">
        <v>430</v>
      </c>
      <c r="J61" s="51" t="s">
        <v>431</v>
      </c>
      <c r="K61" s="50"/>
      <c r="L61" s="50"/>
      <c r="M61" s="51" t="s">
        <v>429</v>
      </c>
      <c r="N61" s="51" t="s">
        <v>430</v>
      </c>
      <c r="O61" s="51" t="s">
        <v>432</v>
      </c>
    </row>
    <row r="62" spans="1:15" ht="26.4" x14ac:dyDescent="0.2">
      <c r="A62" s="52"/>
      <c r="B62" s="53"/>
      <c r="C62" s="54" t="s">
        <v>433</v>
      </c>
      <c r="D62" s="55"/>
      <c r="E62" s="56" t="s">
        <v>82</v>
      </c>
      <c r="F62" s="57"/>
      <c r="G62" s="57"/>
      <c r="H62" s="56" t="s">
        <v>434</v>
      </c>
      <c r="I62" s="57"/>
      <c r="J62" s="57"/>
      <c r="K62" s="57"/>
      <c r="L62" s="56" t="s">
        <v>82</v>
      </c>
      <c r="M62" s="56" t="s">
        <v>434</v>
      </c>
      <c r="N62" s="57"/>
      <c r="O62" s="57"/>
    </row>
    <row r="63" spans="1:15" ht="26.4" x14ac:dyDescent="0.2">
      <c r="A63" s="52"/>
      <c r="B63" s="53"/>
      <c r="C63" s="54" t="s">
        <v>435</v>
      </c>
      <c r="D63" s="55"/>
      <c r="E63" s="56" t="s">
        <v>120</v>
      </c>
      <c r="F63" s="57"/>
      <c r="G63" s="57"/>
      <c r="H63" s="56" t="s">
        <v>436</v>
      </c>
      <c r="I63" s="57"/>
      <c r="J63" s="57"/>
      <c r="K63" s="57"/>
      <c r="L63" s="56" t="s">
        <v>120</v>
      </c>
      <c r="M63" s="56" t="s">
        <v>436</v>
      </c>
      <c r="N63" s="57"/>
      <c r="O63" s="57"/>
    </row>
    <row r="64" spans="1:15" ht="13.2" x14ac:dyDescent="0.2">
      <c r="A64" s="52"/>
      <c r="B64" s="53"/>
      <c r="C64" s="54" t="s">
        <v>73</v>
      </c>
      <c r="D64" s="55"/>
      <c r="E64" s="57"/>
      <c r="F64" s="57"/>
      <c r="G64" s="57"/>
      <c r="H64" s="56" t="s">
        <v>437</v>
      </c>
      <c r="I64" s="57"/>
      <c r="J64" s="57"/>
      <c r="K64" s="57"/>
      <c r="L64" s="57"/>
      <c r="M64" s="56" t="s">
        <v>437</v>
      </c>
      <c r="N64" s="57"/>
      <c r="O64" s="57"/>
    </row>
    <row r="65" spans="1:15" ht="66" x14ac:dyDescent="0.2">
      <c r="A65" s="46" t="s">
        <v>80</v>
      </c>
      <c r="B65" s="47" t="s">
        <v>331</v>
      </c>
      <c r="C65" s="48" t="s">
        <v>332</v>
      </c>
      <c r="D65" s="49" t="s">
        <v>54</v>
      </c>
      <c r="E65" s="51" t="s">
        <v>333</v>
      </c>
      <c r="F65" s="51" t="s">
        <v>334</v>
      </c>
      <c r="G65" s="51" t="s">
        <v>335</v>
      </c>
      <c r="H65" s="51" t="s">
        <v>438</v>
      </c>
      <c r="I65" s="51" t="s">
        <v>439</v>
      </c>
      <c r="J65" s="51" t="s">
        <v>440</v>
      </c>
      <c r="K65" s="50"/>
      <c r="L65" s="50"/>
      <c r="M65" s="51" t="s">
        <v>438</v>
      </c>
      <c r="N65" s="51" t="s">
        <v>439</v>
      </c>
      <c r="O65" s="51" t="s">
        <v>441</v>
      </c>
    </row>
    <row r="66" spans="1:15" ht="26.4" x14ac:dyDescent="0.2">
      <c r="A66" s="52"/>
      <c r="B66" s="53"/>
      <c r="C66" s="54" t="s">
        <v>442</v>
      </c>
      <c r="D66" s="55"/>
      <c r="E66" s="56" t="s">
        <v>71</v>
      </c>
      <c r="F66" s="57"/>
      <c r="G66" s="57"/>
      <c r="H66" s="56" t="s">
        <v>443</v>
      </c>
      <c r="I66" s="57"/>
      <c r="J66" s="57"/>
      <c r="K66" s="57"/>
      <c r="L66" s="56" t="s">
        <v>71</v>
      </c>
      <c r="M66" s="56" t="s">
        <v>443</v>
      </c>
      <c r="N66" s="57"/>
      <c r="O66" s="57"/>
    </row>
    <row r="67" spans="1:15" ht="26.4" x14ac:dyDescent="0.2">
      <c r="A67" s="52"/>
      <c r="B67" s="53"/>
      <c r="C67" s="54" t="s">
        <v>444</v>
      </c>
      <c r="D67" s="55"/>
      <c r="E67" s="56" t="s">
        <v>72</v>
      </c>
      <c r="F67" s="57"/>
      <c r="G67" s="57"/>
      <c r="H67" s="56" t="s">
        <v>445</v>
      </c>
      <c r="I67" s="57"/>
      <c r="J67" s="57"/>
      <c r="K67" s="57"/>
      <c r="L67" s="56" t="s">
        <v>72</v>
      </c>
      <c r="M67" s="56" t="s">
        <v>445</v>
      </c>
      <c r="N67" s="57"/>
      <c r="O67" s="57"/>
    </row>
    <row r="68" spans="1:15" ht="13.2" x14ac:dyDescent="0.2">
      <c r="A68" s="52"/>
      <c r="B68" s="53"/>
      <c r="C68" s="54" t="s">
        <v>73</v>
      </c>
      <c r="D68" s="55"/>
      <c r="E68" s="57"/>
      <c r="F68" s="57"/>
      <c r="G68" s="57"/>
      <c r="H68" s="56" t="s">
        <v>446</v>
      </c>
      <c r="I68" s="57"/>
      <c r="J68" s="57"/>
      <c r="K68" s="57"/>
      <c r="L68" s="57"/>
      <c r="M68" s="56" t="s">
        <v>446</v>
      </c>
      <c r="N68" s="57"/>
      <c r="O68" s="57"/>
    </row>
    <row r="69" spans="1:15" ht="79.2" x14ac:dyDescent="0.2">
      <c r="A69" s="46" t="s">
        <v>81</v>
      </c>
      <c r="B69" s="47" t="s">
        <v>336</v>
      </c>
      <c r="C69" s="48" t="s">
        <v>337</v>
      </c>
      <c r="D69" s="49" t="s">
        <v>447</v>
      </c>
      <c r="E69" s="51" t="s">
        <v>177</v>
      </c>
      <c r="F69" s="51" t="s">
        <v>178</v>
      </c>
      <c r="G69" s="50"/>
      <c r="H69" s="51" t="s">
        <v>448</v>
      </c>
      <c r="I69" s="51" t="s">
        <v>449</v>
      </c>
      <c r="J69" s="50"/>
      <c r="K69" s="50"/>
      <c r="L69" s="50"/>
      <c r="M69" s="51" t="s">
        <v>448</v>
      </c>
      <c r="N69" s="51" t="s">
        <v>449</v>
      </c>
      <c r="O69" s="50"/>
    </row>
    <row r="70" spans="1:15" ht="79.2" x14ac:dyDescent="0.2">
      <c r="A70" s="46" t="s">
        <v>54</v>
      </c>
      <c r="B70" s="47" t="s">
        <v>338</v>
      </c>
      <c r="C70" s="48" t="s">
        <v>339</v>
      </c>
      <c r="D70" s="49" t="s">
        <v>447</v>
      </c>
      <c r="E70" s="51" t="s">
        <v>340</v>
      </c>
      <c r="F70" s="51" t="s">
        <v>341</v>
      </c>
      <c r="G70" s="50"/>
      <c r="H70" s="51" t="s">
        <v>450</v>
      </c>
      <c r="I70" s="51" t="s">
        <v>451</v>
      </c>
      <c r="J70" s="50"/>
      <c r="K70" s="50"/>
      <c r="L70" s="50"/>
      <c r="M70" s="51" t="s">
        <v>450</v>
      </c>
      <c r="N70" s="51" t="s">
        <v>451</v>
      </c>
      <c r="O70" s="50"/>
    </row>
    <row r="71" spans="1:15" ht="66" x14ac:dyDescent="0.2">
      <c r="A71" s="46" t="s">
        <v>84</v>
      </c>
      <c r="B71" s="47" t="s">
        <v>342</v>
      </c>
      <c r="C71" s="48" t="s">
        <v>343</v>
      </c>
      <c r="D71" s="49" t="s">
        <v>452</v>
      </c>
      <c r="E71" s="51" t="s">
        <v>344</v>
      </c>
      <c r="F71" s="51" t="s">
        <v>345</v>
      </c>
      <c r="G71" s="51" t="s">
        <v>346</v>
      </c>
      <c r="H71" s="51" t="s">
        <v>453</v>
      </c>
      <c r="I71" s="51" t="s">
        <v>454</v>
      </c>
      <c r="J71" s="51" t="s">
        <v>455</v>
      </c>
      <c r="K71" s="50"/>
      <c r="L71" s="50"/>
      <c r="M71" s="51" t="s">
        <v>453</v>
      </c>
      <c r="N71" s="51" t="s">
        <v>454</v>
      </c>
      <c r="O71" s="51" t="s">
        <v>456</v>
      </c>
    </row>
    <row r="72" spans="1:15" ht="13.2" x14ac:dyDescent="0.2">
      <c r="A72" s="52"/>
      <c r="B72" s="53"/>
      <c r="C72" s="54" t="s">
        <v>457</v>
      </c>
      <c r="D72" s="55"/>
      <c r="E72" s="56" t="s">
        <v>71</v>
      </c>
      <c r="F72" s="57"/>
      <c r="G72" s="57"/>
      <c r="H72" s="56" t="s">
        <v>458</v>
      </c>
      <c r="I72" s="57"/>
      <c r="J72" s="57"/>
      <c r="K72" s="57"/>
      <c r="L72" s="56" t="s">
        <v>71</v>
      </c>
      <c r="M72" s="56" t="s">
        <v>458</v>
      </c>
      <c r="N72" s="57"/>
      <c r="O72" s="57"/>
    </row>
    <row r="73" spans="1:15" ht="13.2" x14ac:dyDescent="0.2">
      <c r="A73" s="52"/>
      <c r="B73" s="53"/>
      <c r="C73" s="54" t="s">
        <v>459</v>
      </c>
      <c r="D73" s="55"/>
      <c r="E73" s="56" t="s">
        <v>72</v>
      </c>
      <c r="F73" s="57"/>
      <c r="G73" s="57"/>
      <c r="H73" s="56" t="s">
        <v>460</v>
      </c>
      <c r="I73" s="57"/>
      <c r="J73" s="57"/>
      <c r="K73" s="57"/>
      <c r="L73" s="56" t="s">
        <v>72</v>
      </c>
      <c r="M73" s="56" t="s">
        <v>460</v>
      </c>
      <c r="N73" s="57"/>
      <c r="O73" s="57"/>
    </row>
    <row r="74" spans="1:15" ht="13.2" x14ac:dyDescent="0.2">
      <c r="A74" s="52"/>
      <c r="B74" s="53"/>
      <c r="C74" s="54" t="s">
        <v>73</v>
      </c>
      <c r="D74" s="55"/>
      <c r="E74" s="57"/>
      <c r="F74" s="57"/>
      <c r="G74" s="57"/>
      <c r="H74" s="56" t="s">
        <v>461</v>
      </c>
      <c r="I74" s="57"/>
      <c r="J74" s="57"/>
      <c r="K74" s="57"/>
      <c r="L74" s="57"/>
      <c r="M74" s="56" t="s">
        <v>461</v>
      </c>
      <c r="N74" s="57"/>
      <c r="O74" s="57"/>
    </row>
    <row r="75" spans="1:15" ht="105.6" x14ac:dyDescent="0.2">
      <c r="A75" s="46" t="s">
        <v>85</v>
      </c>
      <c r="B75" s="47" t="s">
        <v>347</v>
      </c>
      <c r="C75" s="48" t="s">
        <v>180</v>
      </c>
      <c r="D75" s="49" t="s">
        <v>462</v>
      </c>
      <c r="E75" s="51" t="s">
        <v>181</v>
      </c>
      <c r="F75" s="51" t="s">
        <v>182</v>
      </c>
      <c r="G75" s="50"/>
      <c r="H75" s="51" t="s">
        <v>463</v>
      </c>
      <c r="I75" s="51" t="s">
        <v>464</v>
      </c>
      <c r="J75" s="50"/>
      <c r="K75" s="50"/>
      <c r="L75" s="50"/>
      <c r="M75" s="51" t="s">
        <v>463</v>
      </c>
      <c r="N75" s="51" t="s">
        <v>464</v>
      </c>
      <c r="O75" s="50"/>
    </row>
    <row r="76" spans="1:15" ht="79.2" x14ac:dyDescent="0.2">
      <c r="A76" s="46" t="s">
        <v>90</v>
      </c>
      <c r="B76" s="47" t="s">
        <v>145</v>
      </c>
      <c r="C76" s="48" t="s">
        <v>146</v>
      </c>
      <c r="D76" s="49" t="s">
        <v>465</v>
      </c>
      <c r="E76" s="51" t="s">
        <v>147</v>
      </c>
      <c r="F76" s="51" t="s">
        <v>148</v>
      </c>
      <c r="G76" s="51" t="s">
        <v>149</v>
      </c>
      <c r="H76" s="51" t="s">
        <v>466</v>
      </c>
      <c r="I76" s="51" t="s">
        <v>467</v>
      </c>
      <c r="J76" s="51" t="s">
        <v>468</v>
      </c>
      <c r="K76" s="50"/>
      <c r="L76" s="50"/>
      <c r="M76" s="51" t="s">
        <v>466</v>
      </c>
      <c r="N76" s="51" t="s">
        <v>467</v>
      </c>
      <c r="O76" s="51" t="s">
        <v>469</v>
      </c>
    </row>
    <row r="77" spans="1:15" ht="26.4" x14ac:dyDescent="0.2">
      <c r="A77" s="52"/>
      <c r="B77" s="53"/>
      <c r="C77" s="54" t="s">
        <v>470</v>
      </c>
      <c r="D77" s="55"/>
      <c r="E77" s="56" t="s">
        <v>74</v>
      </c>
      <c r="F77" s="57"/>
      <c r="G77" s="57"/>
      <c r="H77" s="56" t="s">
        <v>471</v>
      </c>
      <c r="I77" s="57"/>
      <c r="J77" s="57"/>
      <c r="K77" s="57"/>
      <c r="L77" s="56" t="s">
        <v>74</v>
      </c>
      <c r="M77" s="56" t="s">
        <v>471</v>
      </c>
      <c r="N77" s="57"/>
      <c r="O77" s="57"/>
    </row>
    <row r="78" spans="1:15" ht="26.4" x14ac:dyDescent="0.2">
      <c r="A78" s="52"/>
      <c r="B78" s="53"/>
      <c r="C78" s="54" t="s">
        <v>472</v>
      </c>
      <c r="D78" s="55"/>
      <c r="E78" s="56" t="s">
        <v>75</v>
      </c>
      <c r="F78" s="57"/>
      <c r="G78" s="57"/>
      <c r="H78" s="56" t="s">
        <v>473</v>
      </c>
      <c r="I78" s="57"/>
      <c r="J78" s="57"/>
      <c r="K78" s="57"/>
      <c r="L78" s="56" t="s">
        <v>75</v>
      </c>
      <c r="M78" s="56" t="s">
        <v>473</v>
      </c>
      <c r="N78" s="57"/>
      <c r="O78" s="57"/>
    </row>
    <row r="79" spans="1:15" ht="13.2" x14ac:dyDescent="0.2">
      <c r="A79" s="52"/>
      <c r="B79" s="53"/>
      <c r="C79" s="54" t="s">
        <v>73</v>
      </c>
      <c r="D79" s="55"/>
      <c r="E79" s="57"/>
      <c r="F79" s="57"/>
      <c r="G79" s="57"/>
      <c r="H79" s="56" t="s">
        <v>474</v>
      </c>
      <c r="I79" s="57"/>
      <c r="J79" s="57"/>
      <c r="K79" s="57"/>
      <c r="L79" s="57"/>
      <c r="M79" s="56" t="s">
        <v>474</v>
      </c>
      <c r="N79" s="57"/>
      <c r="O79" s="57"/>
    </row>
    <row r="80" spans="1:15" ht="66" x14ac:dyDescent="0.2">
      <c r="A80" s="46" t="s">
        <v>20</v>
      </c>
      <c r="B80" s="47" t="s">
        <v>151</v>
      </c>
      <c r="C80" s="48" t="s">
        <v>152</v>
      </c>
      <c r="D80" s="49" t="s">
        <v>475</v>
      </c>
      <c r="E80" s="51" t="s">
        <v>153</v>
      </c>
      <c r="F80" s="51" t="s">
        <v>154</v>
      </c>
      <c r="G80" s="50"/>
      <c r="H80" s="51" t="s">
        <v>476</v>
      </c>
      <c r="I80" s="51" t="s">
        <v>477</v>
      </c>
      <c r="J80" s="50"/>
      <c r="K80" s="50"/>
      <c r="L80" s="50"/>
      <c r="M80" s="51" t="s">
        <v>476</v>
      </c>
      <c r="N80" s="51" t="s">
        <v>477</v>
      </c>
      <c r="O80" s="50"/>
    </row>
    <row r="81" spans="1:15" ht="66" x14ac:dyDescent="0.2">
      <c r="A81" s="46" t="s">
        <v>22</v>
      </c>
      <c r="B81" s="47" t="s">
        <v>156</v>
      </c>
      <c r="C81" s="48" t="s">
        <v>157</v>
      </c>
      <c r="D81" s="49" t="s">
        <v>478</v>
      </c>
      <c r="E81" s="51" t="s">
        <v>158</v>
      </c>
      <c r="F81" s="51" t="s">
        <v>159</v>
      </c>
      <c r="G81" s="50"/>
      <c r="H81" s="51" t="s">
        <v>479</v>
      </c>
      <c r="I81" s="51" t="s">
        <v>480</v>
      </c>
      <c r="J81" s="50"/>
      <c r="K81" s="50"/>
      <c r="L81" s="50"/>
      <c r="M81" s="51" t="s">
        <v>479</v>
      </c>
      <c r="N81" s="51" t="s">
        <v>480</v>
      </c>
      <c r="O81" s="50"/>
    </row>
    <row r="82" spans="1:15" ht="66" x14ac:dyDescent="0.2">
      <c r="A82" s="46" t="s">
        <v>91</v>
      </c>
      <c r="B82" s="47" t="s">
        <v>161</v>
      </c>
      <c r="C82" s="48" t="s">
        <v>162</v>
      </c>
      <c r="D82" s="49" t="s">
        <v>481</v>
      </c>
      <c r="E82" s="51" t="s">
        <v>163</v>
      </c>
      <c r="F82" s="51" t="s">
        <v>164</v>
      </c>
      <c r="G82" s="51" t="s">
        <v>165</v>
      </c>
      <c r="H82" s="51" t="s">
        <v>482</v>
      </c>
      <c r="I82" s="51" t="s">
        <v>483</v>
      </c>
      <c r="J82" s="51" t="s">
        <v>484</v>
      </c>
      <c r="K82" s="50"/>
      <c r="L82" s="50"/>
      <c r="M82" s="51" t="s">
        <v>482</v>
      </c>
      <c r="N82" s="51" t="s">
        <v>483</v>
      </c>
      <c r="O82" s="51" t="s">
        <v>485</v>
      </c>
    </row>
    <row r="83" spans="1:15" ht="26.4" x14ac:dyDescent="0.2">
      <c r="A83" s="52"/>
      <c r="B83" s="53"/>
      <c r="C83" s="54" t="s">
        <v>486</v>
      </c>
      <c r="D83" s="55"/>
      <c r="E83" s="56" t="s">
        <v>166</v>
      </c>
      <c r="F83" s="57"/>
      <c r="G83" s="57"/>
      <c r="H83" s="56" t="s">
        <v>487</v>
      </c>
      <c r="I83" s="57"/>
      <c r="J83" s="57"/>
      <c r="K83" s="57"/>
      <c r="L83" s="56" t="s">
        <v>166</v>
      </c>
      <c r="M83" s="56" t="s">
        <v>487</v>
      </c>
      <c r="N83" s="57"/>
      <c r="O83" s="57"/>
    </row>
    <row r="84" spans="1:15" ht="26.4" x14ac:dyDescent="0.2">
      <c r="A84" s="52"/>
      <c r="B84" s="53"/>
      <c r="C84" s="54" t="s">
        <v>488</v>
      </c>
      <c r="D84" s="55"/>
      <c r="E84" s="56" t="s">
        <v>75</v>
      </c>
      <c r="F84" s="57"/>
      <c r="G84" s="57"/>
      <c r="H84" s="56" t="s">
        <v>489</v>
      </c>
      <c r="I84" s="57"/>
      <c r="J84" s="57"/>
      <c r="K84" s="57"/>
      <c r="L84" s="56" t="s">
        <v>75</v>
      </c>
      <c r="M84" s="56" t="s">
        <v>489</v>
      </c>
      <c r="N84" s="57"/>
      <c r="O84" s="57"/>
    </row>
    <row r="85" spans="1:15" ht="13.2" x14ac:dyDescent="0.2">
      <c r="A85" s="52"/>
      <c r="B85" s="53"/>
      <c r="C85" s="54" t="s">
        <v>73</v>
      </c>
      <c r="D85" s="55"/>
      <c r="E85" s="57"/>
      <c r="F85" s="57"/>
      <c r="G85" s="57"/>
      <c r="H85" s="56" t="s">
        <v>490</v>
      </c>
      <c r="I85" s="57"/>
      <c r="J85" s="57"/>
      <c r="K85" s="57"/>
      <c r="L85" s="57"/>
      <c r="M85" s="56" t="s">
        <v>490</v>
      </c>
      <c r="N85" s="57"/>
      <c r="O85" s="57"/>
    </row>
    <row r="86" spans="1:15" ht="52.8" x14ac:dyDescent="0.2">
      <c r="A86" s="46" t="s">
        <v>24</v>
      </c>
      <c r="B86" s="47" t="s">
        <v>167</v>
      </c>
      <c r="C86" s="48" t="s">
        <v>168</v>
      </c>
      <c r="D86" s="49" t="s">
        <v>491</v>
      </c>
      <c r="E86" s="51" t="s">
        <v>169</v>
      </c>
      <c r="F86" s="51" t="s">
        <v>170</v>
      </c>
      <c r="G86" s="50"/>
      <c r="H86" s="51" t="s">
        <v>492</v>
      </c>
      <c r="I86" s="51" t="s">
        <v>493</v>
      </c>
      <c r="J86" s="50"/>
      <c r="K86" s="50"/>
      <c r="L86" s="50"/>
      <c r="M86" s="51" t="s">
        <v>492</v>
      </c>
      <c r="N86" s="51" t="s">
        <v>493</v>
      </c>
      <c r="O86" s="50"/>
    </row>
    <row r="87" spans="1:15" ht="118.8" x14ac:dyDescent="0.2">
      <c r="A87" s="46" t="s">
        <v>102</v>
      </c>
      <c r="B87" s="47" t="s">
        <v>171</v>
      </c>
      <c r="C87" s="48" t="s">
        <v>172</v>
      </c>
      <c r="D87" s="49" t="s">
        <v>494</v>
      </c>
      <c r="E87" s="51" t="s">
        <v>173</v>
      </c>
      <c r="F87" s="51" t="s">
        <v>174</v>
      </c>
      <c r="G87" s="50"/>
      <c r="H87" s="51" t="s">
        <v>495</v>
      </c>
      <c r="I87" s="51" t="s">
        <v>496</v>
      </c>
      <c r="J87" s="50"/>
      <c r="K87" s="50"/>
      <c r="L87" s="50"/>
      <c r="M87" s="51" t="s">
        <v>495</v>
      </c>
      <c r="N87" s="51" t="s">
        <v>496</v>
      </c>
      <c r="O87" s="50"/>
    </row>
    <row r="88" spans="1:15" ht="79.2" x14ac:dyDescent="0.2">
      <c r="A88" s="46" t="s">
        <v>107</v>
      </c>
      <c r="B88" s="47" t="s">
        <v>175</v>
      </c>
      <c r="C88" s="48" t="s">
        <v>176</v>
      </c>
      <c r="D88" s="49" t="s">
        <v>497</v>
      </c>
      <c r="E88" s="51" t="s">
        <v>177</v>
      </c>
      <c r="F88" s="51" t="s">
        <v>178</v>
      </c>
      <c r="G88" s="50"/>
      <c r="H88" s="51" t="s">
        <v>498</v>
      </c>
      <c r="I88" s="51" t="s">
        <v>499</v>
      </c>
      <c r="J88" s="50"/>
      <c r="K88" s="50"/>
      <c r="L88" s="50"/>
      <c r="M88" s="51" t="s">
        <v>498</v>
      </c>
      <c r="N88" s="51" t="s">
        <v>499</v>
      </c>
      <c r="O88" s="50"/>
    </row>
    <row r="89" spans="1:15" ht="105.6" x14ac:dyDescent="0.2">
      <c r="A89" s="46" t="s">
        <v>109</v>
      </c>
      <c r="B89" s="47" t="s">
        <v>179</v>
      </c>
      <c r="C89" s="48" t="s">
        <v>180</v>
      </c>
      <c r="D89" s="49" t="s">
        <v>500</v>
      </c>
      <c r="E89" s="51" t="s">
        <v>181</v>
      </c>
      <c r="F89" s="51" t="s">
        <v>182</v>
      </c>
      <c r="G89" s="50"/>
      <c r="H89" s="51" t="s">
        <v>501</v>
      </c>
      <c r="I89" s="51" t="s">
        <v>502</v>
      </c>
      <c r="J89" s="50"/>
      <c r="K89" s="50"/>
      <c r="L89" s="50"/>
      <c r="M89" s="51" t="s">
        <v>501</v>
      </c>
      <c r="N89" s="51" t="s">
        <v>502</v>
      </c>
      <c r="O89" s="50"/>
    </row>
    <row r="90" spans="1:15" ht="79.2" x14ac:dyDescent="0.2">
      <c r="A90" s="46" t="s">
        <v>110</v>
      </c>
      <c r="B90" s="47" t="s">
        <v>183</v>
      </c>
      <c r="C90" s="48" t="s">
        <v>184</v>
      </c>
      <c r="D90" s="49" t="s">
        <v>503</v>
      </c>
      <c r="E90" s="51" t="s">
        <v>185</v>
      </c>
      <c r="F90" s="51" t="s">
        <v>186</v>
      </c>
      <c r="G90" s="50"/>
      <c r="H90" s="51" t="s">
        <v>504</v>
      </c>
      <c r="I90" s="51" t="s">
        <v>505</v>
      </c>
      <c r="J90" s="50"/>
      <c r="K90" s="50"/>
      <c r="L90" s="50"/>
      <c r="M90" s="51" t="s">
        <v>504</v>
      </c>
      <c r="N90" s="51" t="s">
        <v>505</v>
      </c>
      <c r="O90" s="50"/>
    </row>
    <row r="91" spans="1:15" ht="79.2" x14ac:dyDescent="0.2">
      <c r="A91" s="46" t="s">
        <v>111</v>
      </c>
      <c r="B91" s="47" t="s">
        <v>187</v>
      </c>
      <c r="C91" s="48" t="s">
        <v>188</v>
      </c>
      <c r="D91" s="49" t="s">
        <v>503</v>
      </c>
      <c r="E91" s="51" t="s">
        <v>189</v>
      </c>
      <c r="F91" s="51" t="s">
        <v>190</v>
      </c>
      <c r="G91" s="50"/>
      <c r="H91" s="51" t="s">
        <v>506</v>
      </c>
      <c r="I91" s="51" t="s">
        <v>507</v>
      </c>
      <c r="J91" s="50"/>
      <c r="K91" s="50"/>
      <c r="L91" s="50"/>
      <c r="M91" s="51" t="s">
        <v>506</v>
      </c>
      <c r="N91" s="51" t="s">
        <v>507</v>
      </c>
      <c r="O91" s="50"/>
    </row>
    <row r="92" spans="1:15" ht="118.8" x14ac:dyDescent="0.2">
      <c r="A92" s="46" t="s">
        <v>112</v>
      </c>
      <c r="B92" s="47" t="s">
        <v>191</v>
      </c>
      <c r="C92" s="48" t="s">
        <v>172</v>
      </c>
      <c r="D92" s="49" t="s">
        <v>508</v>
      </c>
      <c r="E92" s="51" t="s">
        <v>173</v>
      </c>
      <c r="F92" s="51" t="s">
        <v>174</v>
      </c>
      <c r="G92" s="50"/>
      <c r="H92" s="51" t="s">
        <v>509</v>
      </c>
      <c r="I92" s="51" t="s">
        <v>510</v>
      </c>
      <c r="J92" s="50"/>
      <c r="K92" s="50"/>
      <c r="L92" s="50"/>
      <c r="M92" s="51" t="s">
        <v>509</v>
      </c>
      <c r="N92" s="51" t="s">
        <v>510</v>
      </c>
      <c r="O92" s="50"/>
    </row>
    <row r="93" spans="1:15" ht="66" x14ac:dyDescent="0.2">
      <c r="A93" s="46" t="s">
        <v>113</v>
      </c>
      <c r="B93" s="47" t="s">
        <v>511</v>
      </c>
      <c r="C93" s="48" t="s">
        <v>512</v>
      </c>
      <c r="D93" s="49" t="s">
        <v>598</v>
      </c>
      <c r="E93" s="51" t="s">
        <v>513</v>
      </c>
      <c r="F93" s="51" t="s">
        <v>514</v>
      </c>
      <c r="G93" s="51" t="s">
        <v>515</v>
      </c>
      <c r="H93" s="51" t="s">
        <v>599</v>
      </c>
      <c r="I93" s="51" t="s">
        <v>600</v>
      </c>
      <c r="J93" s="51" t="s">
        <v>601</v>
      </c>
      <c r="K93" s="50"/>
      <c r="L93" s="50"/>
      <c r="M93" s="51" t="s">
        <v>599</v>
      </c>
      <c r="N93" s="51" t="s">
        <v>600</v>
      </c>
      <c r="O93" s="51" t="s">
        <v>602</v>
      </c>
    </row>
    <row r="94" spans="1:15" ht="26.4" x14ac:dyDescent="0.2">
      <c r="A94" s="52"/>
      <c r="B94" s="53"/>
      <c r="C94" s="54" t="s">
        <v>603</v>
      </c>
      <c r="D94" s="55"/>
      <c r="E94" s="56" t="s">
        <v>166</v>
      </c>
      <c r="F94" s="57"/>
      <c r="G94" s="57"/>
      <c r="H94" s="56" t="s">
        <v>604</v>
      </c>
      <c r="I94" s="57"/>
      <c r="J94" s="57"/>
      <c r="K94" s="57"/>
      <c r="L94" s="56" t="s">
        <v>166</v>
      </c>
      <c r="M94" s="56" t="s">
        <v>604</v>
      </c>
      <c r="N94" s="57"/>
      <c r="O94" s="57"/>
    </row>
    <row r="95" spans="1:15" ht="26.4" x14ac:dyDescent="0.2">
      <c r="A95" s="52"/>
      <c r="B95" s="53"/>
      <c r="C95" s="54" t="s">
        <v>605</v>
      </c>
      <c r="D95" s="55"/>
      <c r="E95" s="56" t="s">
        <v>75</v>
      </c>
      <c r="F95" s="57"/>
      <c r="G95" s="57"/>
      <c r="H95" s="56" t="s">
        <v>606</v>
      </c>
      <c r="I95" s="57"/>
      <c r="J95" s="57"/>
      <c r="K95" s="57"/>
      <c r="L95" s="56" t="s">
        <v>75</v>
      </c>
      <c r="M95" s="56" t="s">
        <v>606</v>
      </c>
      <c r="N95" s="57"/>
      <c r="O95" s="57"/>
    </row>
    <row r="96" spans="1:15" ht="13.2" x14ac:dyDescent="0.2">
      <c r="A96" s="52"/>
      <c r="B96" s="53"/>
      <c r="C96" s="54" t="s">
        <v>73</v>
      </c>
      <c r="D96" s="55"/>
      <c r="E96" s="57"/>
      <c r="F96" s="57"/>
      <c r="G96" s="57"/>
      <c r="H96" s="56" t="s">
        <v>607</v>
      </c>
      <c r="I96" s="57"/>
      <c r="J96" s="57"/>
      <c r="K96" s="57"/>
      <c r="L96" s="57"/>
      <c r="M96" s="56" t="s">
        <v>607</v>
      </c>
      <c r="N96" s="57"/>
      <c r="O96" s="57"/>
    </row>
    <row r="97" spans="1:15" ht="92.4" x14ac:dyDescent="0.2">
      <c r="A97" s="46" t="s">
        <v>114</v>
      </c>
      <c r="B97" s="47" t="s">
        <v>516</v>
      </c>
      <c r="C97" s="48" t="s">
        <v>517</v>
      </c>
      <c r="D97" s="49" t="s">
        <v>608</v>
      </c>
      <c r="E97" s="51" t="s">
        <v>518</v>
      </c>
      <c r="F97" s="51" t="s">
        <v>519</v>
      </c>
      <c r="G97" s="50"/>
      <c r="H97" s="51" t="s">
        <v>609</v>
      </c>
      <c r="I97" s="51" t="s">
        <v>610</v>
      </c>
      <c r="J97" s="50"/>
      <c r="K97" s="50"/>
      <c r="L97" s="50"/>
      <c r="M97" s="51" t="s">
        <v>609</v>
      </c>
      <c r="N97" s="51" t="s">
        <v>610</v>
      </c>
      <c r="O97" s="50"/>
    </row>
    <row r="98" spans="1:15" ht="79.2" x14ac:dyDescent="0.2">
      <c r="A98" s="46" t="s">
        <v>115</v>
      </c>
      <c r="B98" s="47" t="s">
        <v>520</v>
      </c>
      <c r="C98" s="48" t="s">
        <v>176</v>
      </c>
      <c r="D98" s="49" t="s">
        <v>611</v>
      </c>
      <c r="E98" s="51" t="s">
        <v>177</v>
      </c>
      <c r="F98" s="51" t="s">
        <v>178</v>
      </c>
      <c r="G98" s="50"/>
      <c r="H98" s="51" t="s">
        <v>612</v>
      </c>
      <c r="I98" s="51" t="s">
        <v>613</v>
      </c>
      <c r="J98" s="50"/>
      <c r="K98" s="50"/>
      <c r="L98" s="50"/>
      <c r="M98" s="51" t="s">
        <v>612</v>
      </c>
      <c r="N98" s="51" t="s">
        <v>613</v>
      </c>
      <c r="O98" s="50"/>
    </row>
    <row r="99" spans="1:15" ht="105.6" x14ac:dyDescent="0.2">
      <c r="A99" s="46" t="s">
        <v>116</v>
      </c>
      <c r="B99" s="47" t="s">
        <v>521</v>
      </c>
      <c r="C99" s="48" t="s">
        <v>180</v>
      </c>
      <c r="D99" s="49" t="s">
        <v>614</v>
      </c>
      <c r="E99" s="51" t="s">
        <v>181</v>
      </c>
      <c r="F99" s="51" t="s">
        <v>182</v>
      </c>
      <c r="G99" s="50"/>
      <c r="H99" s="51" t="s">
        <v>615</v>
      </c>
      <c r="I99" s="51" t="s">
        <v>616</v>
      </c>
      <c r="J99" s="50"/>
      <c r="K99" s="50"/>
      <c r="L99" s="50"/>
      <c r="M99" s="51" t="s">
        <v>615</v>
      </c>
      <c r="N99" s="51" t="s">
        <v>616</v>
      </c>
      <c r="O99" s="50"/>
    </row>
    <row r="100" spans="1:15" ht="79.2" x14ac:dyDescent="0.2">
      <c r="A100" s="46" t="s">
        <v>50</v>
      </c>
      <c r="B100" s="47" t="s">
        <v>522</v>
      </c>
      <c r="C100" s="48" t="s">
        <v>523</v>
      </c>
      <c r="D100" s="49" t="s">
        <v>617</v>
      </c>
      <c r="E100" s="51" t="s">
        <v>524</v>
      </c>
      <c r="F100" s="51" t="s">
        <v>525</v>
      </c>
      <c r="G100" s="50"/>
      <c r="H100" s="51" t="s">
        <v>618</v>
      </c>
      <c r="I100" s="51" t="s">
        <v>619</v>
      </c>
      <c r="J100" s="50"/>
      <c r="K100" s="50"/>
      <c r="L100" s="50"/>
      <c r="M100" s="51" t="s">
        <v>618</v>
      </c>
      <c r="N100" s="51" t="s">
        <v>619</v>
      </c>
      <c r="O100" s="50"/>
    </row>
    <row r="101" spans="1:15" ht="79.2" x14ac:dyDescent="0.2">
      <c r="A101" s="46" t="s">
        <v>126</v>
      </c>
      <c r="B101" s="47" t="s">
        <v>526</v>
      </c>
      <c r="C101" s="48" t="s">
        <v>527</v>
      </c>
      <c r="D101" s="49" t="s">
        <v>620</v>
      </c>
      <c r="E101" s="51" t="s">
        <v>528</v>
      </c>
      <c r="F101" s="51" t="s">
        <v>529</v>
      </c>
      <c r="G101" s="50"/>
      <c r="H101" s="51" t="s">
        <v>621</v>
      </c>
      <c r="I101" s="51" t="s">
        <v>622</v>
      </c>
      <c r="J101" s="50"/>
      <c r="K101" s="50"/>
      <c r="L101" s="50"/>
      <c r="M101" s="51" t="s">
        <v>621</v>
      </c>
      <c r="N101" s="51" t="s">
        <v>622</v>
      </c>
      <c r="O101" s="50"/>
    </row>
    <row r="102" spans="1:15" ht="79.2" x14ac:dyDescent="0.2">
      <c r="A102" s="46" t="s">
        <v>132</v>
      </c>
      <c r="B102" s="47" t="s">
        <v>530</v>
      </c>
      <c r="C102" s="48" t="s">
        <v>184</v>
      </c>
      <c r="D102" s="49" t="s">
        <v>623</v>
      </c>
      <c r="E102" s="51" t="s">
        <v>185</v>
      </c>
      <c r="F102" s="51" t="s">
        <v>186</v>
      </c>
      <c r="G102" s="50"/>
      <c r="H102" s="51" t="s">
        <v>624</v>
      </c>
      <c r="I102" s="51" t="s">
        <v>625</v>
      </c>
      <c r="J102" s="50"/>
      <c r="K102" s="50"/>
      <c r="L102" s="50"/>
      <c r="M102" s="51" t="s">
        <v>624</v>
      </c>
      <c r="N102" s="51" t="s">
        <v>625</v>
      </c>
      <c r="O102" s="50"/>
    </row>
    <row r="103" spans="1:15" ht="79.2" x14ac:dyDescent="0.2">
      <c r="A103" s="46" t="s">
        <v>138</v>
      </c>
      <c r="B103" s="47" t="s">
        <v>531</v>
      </c>
      <c r="C103" s="48" t="s">
        <v>188</v>
      </c>
      <c r="D103" s="49" t="s">
        <v>623</v>
      </c>
      <c r="E103" s="51" t="s">
        <v>189</v>
      </c>
      <c r="F103" s="51" t="s">
        <v>190</v>
      </c>
      <c r="G103" s="50"/>
      <c r="H103" s="51" t="s">
        <v>626</v>
      </c>
      <c r="I103" s="51" t="s">
        <v>627</v>
      </c>
      <c r="J103" s="50"/>
      <c r="K103" s="50"/>
      <c r="L103" s="50"/>
      <c r="M103" s="51" t="s">
        <v>626</v>
      </c>
      <c r="N103" s="51" t="s">
        <v>627</v>
      </c>
      <c r="O103" s="50"/>
    </row>
    <row r="104" spans="1:15" ht="79.2" x14ac:dyDescent="0.2">
      <c r="A104" s="46" t="s">
        <v>144</v>
      </c>
      <c r="B104" s="47" t="s">
        <v>532</v>
      </c>
      <c r="C104" s="48" t="s">
        <v>533</v>
      </c>
      <c r="D104" s="49" t="s">
        <v>628</v>
      </c>
      <c r="E104" s="51" t="s">
        <v>534</v>
      </c>
      <c r="F104" s="51" t="s">
        <v>535</v>
      </c>
      <c r="G104" s="50"/>
      <c r="H104" s="51" t="s">
        <v>629</v>
      </c>
      <c r="I104" s="51" t="s">
        <v>630</v>
      </c>
      <c r="J104" s="50"/>
      <c r="K104" s="50"/>
      <c r="L104" s="50"/>
      <c r="M104" s="51" t="s">
        <v>629</v>
      </c>
      <c r="N104" s="51" t="s">
        <v>630</v>
      </c>
      <c r="O104" s="50"/>
    </row>
    <row r="105" spans="1:15" ht="79.2" x14ac:dyDescent="0.2">
      <c r="A105" s="46" t="s">
        <v>150</v>
      </c>
      <c r="B105" s="47" t="s">
        <v>536</v>
      </c>
      <c r="C105" s="48" t="s">
        <v>537</v>
      </c>
      <c r="D105" s="49" t="s">
        <v>628</v>
      </c>
      <c r="E105" s="51" t="s">
        <v>538</v>
      </c>
      <c r="F105" s="51" t="s">
        <v>539</v>
      </c>
      <c r="G105" s="50"/>
      <c r="H105" s="51" t="s">
        <v>631</v>
      </c>
      <c r="I105" s="51" t="s">
        <v>632</v>
      </c>
      <c r="J105" s="50"/>
      <c r="K105" s="50"/>
      <c r="L105" s="50"/>
      <c r="M105" s="51" t="s">
        <v>631</v>
      </c>
      <c r="N105" s="51" t="s">
        <v>632</v>
      </c>
      <c r="O105" s="50"/>
    </row>
    <row r="106" spans="1:15" ht="92.4" x14ac:dyDescent="0.2">
      <c r="A106" s="46" t="s">
        <v>155</v>
      </c>
      <c r="B106" s="47" t="s">
        <v>192</v>
      </c>
      <c r="C106" s="48" t="s">
        <v>193</v>
      </c>
      <c r="D106" s="49" t="s">
        <v>23</v>
      </c>
      <c r="E106" s="51" t="s">
        <v>194</v>
      </c>
      <c r="F106" s="51" t="s">
        <v>195</v>
      </c>
      <c r="G106" s="51" t="s">
        <v>196</v>
      </c>
      <c r="H106" s="51" t="s">
        <v>348</v>
      </c>
      <c r="I106" s="51" t="s">
        <v>349</v>
      </c>
      <c r="J106" s="51" t="s">
        <v>350</v>
      </c>
      <c r="K106" s="50"/>
      <c r="L106" s="50"/>
      <c r="M106" s="51" t="s">
        <v>348</v>
      </c>
      <c r="N106" s="51" t="s">
        <v>349</v>
      </c>
      <c r="O106" s="51" t="s">
        <v>351</v>
      </c>
    </row>
    <row r="107" spans="1:15" ht="26.4" x14ac:dyDescent="0.2">
      <c r="A107" s="52"/>
      <c r="B107" s="53"/>
      <c r="C107" s="54" t="s">
        <v>352</v>
      </c>
      <c r="D107" s="55"/>
      <c r="E107" s="56" t="s">
        <v>166</v>
      </c>
      <c r="F107" s="57"/>
      <c r="G107" s="57"/>
      <c r="H107" s="56" t="s">
        <v>353</v>
      </c>
      <c r="I107" s="57"/>
      <c r="J107" s="57"/>
      <c r="K107" s="57"/>
      <c r="L107" s="56" t="s">
        <v>166</v>
      </c>
      <c r="M107" s="56" t="s">
        <v>353</v>
      </c>
      <c r="N107" s="57"/>
      <c r="O107" s="57"/>
    </row>
    <row r="108" spans="1:15" ht="26.4" x14ac:dyDescent="0.2">
      <c r="A108" s="52"/>
      <c r="B108" s="53"/>
      <c r="C108" s="54" t="s">
        <v>354</v>
      </c>
      <c r="D108" s="55"/>
      <c r="E108" s="56" t="s">
        <v>75</v>
      </c>
      <c r="F108" s="57"/>
      <c r="G108" s="57"/>
      <c r="H108" s="56" t="s">
        <v>355</v>
      </c>
      <c r="I108" s="57"/>
      <c r="J108" s="57"/>
      <c r="K108" s="57"/>
      <c r="L108" s="56" t="s">
        <v>75</v>
      </c>
      <c r="M108" s="56" t="s">
        <v>355</v>
      </c>
      <c r="N108" s="57"/>
      <c r="O108" s="57"/>
    </row>
    <row r="109" spans="1:15" ht="13.2" x14ac:dyDescent="0.2">
      <c r="A109" s="52"/>
      <c r="B109" s="53"/>
      <c r="C109" s="54" t="s">
        <v>73</v>
      </c>
      <c r="D109" s="55"/>
      <c r="E109" s="57"/>
      <c r="F109" s="57"/>
      <c r="G109" s="57"/>
      <c r="H109" s="56" t="s">
        <v>356</v>
      </c>
      <c r="I109" s="57"/>
      <c r="J109" s="57"/>
      <c r="K109" s="57"/>
      <c r="L109" s="57"/>
      <c r="M109" s="56" t="s">
        <v>356</v>
      </c>
      <c r="N109" s="57"/>
      <c r="O109" s="57"/>
    </row>
    <row r="110" spans="1:15" ht="52.8" x14ac:dyDescent="0.2">
      <c r="A110" s="46" t="s">
        <v>160</v>
      </c>
      <c r="B110" s="47" t="s">
        <v>197</v>
      </c>
      <c r="C110" s="48" t="s">
        <v>198</v>
      </c>
      <c r="D110" s="49" t="s">
        <v>357</v>
      </c>
      <c r="E110" s="51" t="s">
        <v>199</v>
      </c>
      <c r="F110" s="51" t="s">
        <v>200</v>
      </c>
      <c r="G110" s="50"/>
      <c r="H110" s="51" t="s">
        <v>358</v>
      </c>
      <c r="I110" s="51" t="s">
        <v>359</v>
      </c>
      <c r="J110" s="50"/>
      <c r="K110" s="50"/>
      <c r="L110" s="50"/>
      <c r="M110" s="51" t="s">
        <v>358</v>
      </c>
      <c r="N110" s="51" t="s">
        <v>359</v>
      </c>
      <c r="O110" s="50"/>
    </row>
    <row r="111" spans="1:15" ht="39.6" x14ac:dyDescent="0.2">
      <c r="A111" s="1171" t="s">
        <v>201</v>
      </c>
      <c r="B111" s="1172"/>
      <c r="C111" s="1172"/>
      <c r="D111" s="1172"/>
      <c r="E111" s="1172"/>
      <c r="F111" s="1172"/>
      <c r="G111" s="1172"/>
      <c r="H111" s="51" t="s">
        <v>633</v>
      </c>
      <c r="I111" s="51" t="s">
        <v>634</v>
      </c>
      <c r="J111" s="51" t="s">
        <v>635</v>
      </c>
      <c r="K111" s="50"/>
      <c r="L111" s="50"/>
      <c r="M111" s="51" t="s">
        <v>636</v>
      </c>
      <c r="N111" s="51" t="s">
        <v>637</v>
      </c>
      <c r="O111" s="51" t="s">
        <v>635</v>
      </c>
    </row>
    <row r="112" spans="1:15" ht="13.2" x14ac:dyDescent="0.2">
      <c r="A112" s="1171" t="s">
        <v>202</v>
      </c>
      <c r="B112" s="1172"/>
      <c r="C112" s="1172"/>
      <c r="D112" s="1172"/>
      <c r="E112" s="1172"/>
      <c r="F112" s="1172"/>
      <c r="G112" s="1172"/>
      <c r="H112" s="50"/>
      <c r="I112" s="50"/>
      <c r="J112" s="50"/>
      <c r="K112" s="50"/>
      <c r="L112" s="50"/>
      <c r="M112" s="50"/>
      <c r="N112" s="50"/>
      <c r="O112" s="50"/>
    </row>
    <row r="113" spans="1:15" ht="26.4" x14ac:dyDescent="0.2">
      <c r="A113" s="1171" t="s">
        <v>203</v>
      </c>
      <c r="B113" s="1172"/>
      <c r="C113" s="1172"/>
      <c r="D113" s="1172"/>
      <c r="E113" s="1172"/>
      <c r="F113" s="1172"/>
      <c r="G113" s="1172"/>
      <c r="H113" s="51" t="s">
        <v>638</v>
      </c>
      <c r="I113" s="50"/>
      <c r="J113" s="50"/>
      <c r="K113" s="50"/>
      <c r="L113" s="50"/>
      <c r="M113" s="51" t="s">
        <v>639</v>
      </c>
      <c r="N113" s="50"/>
      <c r="O113" s="50"/>
    </row>
    <row r="114" spans="1:15" ht="26.4" x14ac:dyDescent="0.2">
      <c r="A114" s="1171" t="s">
        <v>204</v>
      </c>
      <c r="B114" s="1172"/>
      <c r="C114" s="1172"/>
      <c r="D114" s="1172"/>
      <c r="E114" s="1172"/>
      <c r="F114" s="1172"/>
      <c r="G114" s="1172"/>
      <c r="H114" s="51" t="s">
        <v>640</v>
      </c>
      <c r="I114" s="50"/>
      <c r="J114" s="50"/>
      <c r="K114" s="50"/>
      <c r="L114" s="50"/>
      <c r="M114" s="51" t="s">
        <v>641</v>
      </c>
      <c r="N114" s="50"/>
      <c r="O114" s="50"/>
    </row>
    <row r="115" spans="1:15" ht="26.4" x14ac:dyDescent="0.2">
      <c r="A115" s="1171" t="s">
        <v>205</v>
      </c>
      <c r="B115" s="1172"/>
      <c r="C115" s="1172"/>
      <c r="D115" s="1172"/>
      <c r="E115" s="1172"/>
      <c r="F115" s="1172"/>
      <c r="G115" s="1172"/>
      <c r="H115" s="51" t="s">
        <v>642</v>
      </c>
      <c r="I115" s="50"/>
      <c r="J115" s="50"/>
      <c r="K115" s="50"/>
      <c r="L115" s="50"/>
      <c r="M115" s="51" t="s">
        <v>643</v>
      </c>
      <c r="N115" s="50"/>
      <c r="O115" s="50"/>
    </row>
    <row r="116" spans="1:15" ht="26.4" x14ac:dyDescent="0.2">
      <c r="A116" s="1173" t="s">
        <v>206</v>
      </c>
      <c r="B116" s="1174"/>
      <c r="C116" s="1174"/>
      <c r="D116" s="1174"/>
      <c r="E116" s="1174"/>
      <c r="F116" s="1174"/>
      <c r="G116" s="1174"/>
      <c r="H116" s="58" t="s">
        <v>644</v>
      </c>
      <c r="I116" s="59"/>
      <c r="J116" s="59"/>
      <c r="K116" s="59"/>
      <c r="L116" s="59"/>
      <c r="M116" s="58" t="s">
        <v>645</v>
      </c>
      <c r="N116" s="59"/>
      <c r="O116" s="59"/>
    </row>
    <row r="117" spans="1:15" ht="26.4" x14ac:dyDescent="0.2">
      <c r="A117" s="1173" t="s">
        <v>207</v>
      </c>
      <c r="B117" s="1174"/>
      <c r="C117" s="1174"/>
      <c r="D117" s="1174"/>
      <c r="E117" s="1174"/>
      <c r="F117" s="1174"/>
      <c r="G117" s="1174"/>
      <c r="H117" s="58" t="s">
        <v>646</v>
      </c>
      <c r="I117" s="59"/>
      <c r="J117" s="59"/>
      <c r="K117" s="59"/>
      <c r="L117" s="59"/>
      <c r="M117" s="58" t="s">
        <v>647</v>
      </c>
      <c r="N117" s="59"/>
      <c r="O117" s="59"/>
    </row>
    <row r="118" spans="1:15" ht="13.2" x14ac:dyDescent="0.2">
      <c r="A118" s="1173" t="s">
        <v>26</v>
      </c>
      <c r="B118" s="1174"/>
      <c r="C118" s="1174"/>
      <c r="D118" s="1174"/>
      <c r="E118" s="1174"/>
      <c r="F118" s="1174"/>
      <c r="G118" s="1174"/>
      <c r="H118" s="59"/>
      <c r="I118" s="59"/>
      <c r="J118" s="59"/>
      <c r="K118" s="59"/>
      <c r="L118" s="59"/>
      <c r="M118" s="59"/>
      <c r="N118" s="59"/>
      <c r="O118" s="59"/>
    </row>
    <row r="119" spans="1:15" ht="13.2" x14ac:dyDescent="0.2">
      <c r="A119" s="1171" t="s">
        <v>211</v>
      </c>
      <c r="B119" s="1172"/>
      <c r="C119" s="1172"/>
      <c r="D119" s="1172"/>
      <c r="E119" s="1172"/>
      <c r="F119" s="1172"/>
      <c r="G119" s="1172"/>
      <c r="H119" s="50"/>
      <c r="I119" s="50"/>
      <c r="J119" s="50"/>
      <c r="K119" s="50"/>
      <c r="L119" s="50"/>
      <c r="M119" s="50"/>
      <c r="N119" s="50"/>
      <c r="O119" s="50"/>
    </row>
    <row r="120" spans="1:15" ht="13.2" x14ac:dyDescent="0.2">
      <c r="A120" s="1171" t="s">
        <v>208</v>
      </c>
      <c r="B120" s="1172"/>
      <c r="C120" s="1172"/>
      <c r="D120" s="1172"/>
      <c r="E120" s="1172"/>
      <c r="F120" s="1172"/>
      <c r="G120" s="1172"/>
      <c r="H120" s="50"/>
      <c r="I120" s="50"/>
      <c r="J120" s="50"/>
      <c r="K120" s="50"/>
      <c r="L120" s="50"/>
      <c r="M120" s="50"/>
      <c r="N120" s="50"/>
      <c r="O120" s="50"/>
    </row>
    <row r="121" spans="1:15" ht="13.2" x14ac:dyDescent="0.2">
      <c r="A121" s="1171" t="s">
        <v>212</v>
      </c>
      <c r="B121" s="1172"/>
      <c r="C121" s="1172"/>
      <c r="D121" s="1172"/>
      <c r="E121" s="1172"/>
      <c r="F121" s="1172"/>
      <c r="G121" s="1172"/>
      <c r="H121" s="50"/>
      <c r="I121" s="50"/>
      <c r="J121" s="50"/>
      <c r="K121" s="50"/>
      <c r="L121" s="50"/>
      <c r="M121" s="50"/>
      <c r="N121" s="50"/>
      <c r="O121" s="50"/>
    </row>
    <row r="122" spans="1:15" ht="13.2" x14ac:dyDescent="0.2">
      <c r="A122" s="1171" t="s">
        <v>209</v>
      </c>
      <c r="B122" s="1172"/>
      <c r="C122" s="1172"/>
      <c r="D122" s="1172"/>
      <c r="E122" s="1172"/>
      <c r="F122" s="1172"/>
      <c r="G122" s="1172"/>
      <c r="H122" s="50"/>
      <c r="I122" s="50"/>
      <c r="J122" s="50"/>
      <c r="K122" s="50"/>
      <c r="L122" s="50"/>
      <c r="M122" s="50"/>
      <c r="N122" s="50"/>
      <c r="O122" s="50"/>
    </row>
    <row r="123" spans="1:15" ht="13.2" x14ac:dyDescent="0.2">
      <c r="A123" s="1171" t="s">
        <v>210</v>
      </c>
      <c r="B123" s="1172"/>
      <c r="C123" s="1172"/>
      <c r="D123" s="1172"/>
      <c r="E123" s="1172"/>
      <c r="F123" s="1172"/>
      <c r="G123" s="1172"/>
      <c r="H123" s="50"/>
      <c r="I123" s="50"/>
      <c r="J123" s="50"/>
      <c r="K123" s="50"/>
      <c r="L123" s="50"/>
      <c r="M123" s="50"/>
      <c r="N123" s="50"/>
      <c r="O123" s="50"/>
    </row>
    <row r="124" spans="1:15" ht="13.2" x14ac:dyDescent="0.2">
      <c r="A124" s="1171" t="s">
        <v>213</v>
      </c>
      <c r="B124" s="1172"/>
      <c r="C124" s="1172"/>
      <c r="D124" s="1172"/>
      <c r="E124" s="1172"/>
      <c r="F124" s="1172"/>
      <c r="G124" s="1172"/>
      <c r="H124" s="50"/>
      <c r="I124" s="50"/>
      <c r="J124" s="50"/>
      <c r="K124" s="50"/>
      <c r="L124" s="50"/>
      <c r="M124" s="50"/>
      <c r="N124" s="50"/>
      <c r="O124" s="50"/>
    </row>
    <row r="125" spans="1:15" ht="26.4" x14ac:dyDescent="0.2">
      <c r="A125" s="1171" t="s">
        <v>214</v>
      </c>
      <c r="B125" s="1172"/>
      <c r="C125" s="1172"/>
      <c r="D125" s="1172"/>
      <c r="E125" s="1172"/>
      <c r="F125" s="1172"/>
      <c r="G125" s="1172"/>
      <c r="H125" s="51" t="s">
        <v>648</v>
      </c>
      <c r="I125" s="50"/>
      <c r="J125" s="50"/>
      <c r="K125" s="50"/>
      <c r="L125" s="50"/>
      <c r="M125" s="51" t="s">
        <v>649</v>
      </c>
      <c r="N125" s="50"/>
      <c r="O125" s="50"/>
    </row>
    <row r="126" spans="1:15" ht="13.2" x14ac:dyDescent="0.2">
      <c r="A126" s="1171" t="s">
        <v>215</v>
      </c>
      <c r="B126" s="1172"/>
      <c r="C126" s="1172"/>
      <c r="D126" s="1172"/>
      <c r="E126" s="1172"/>
      <c r="F126" s="1172"/>
      <c r="G126" s="1172"/>
      <c r="H126" s="50"/>
      <c r="I126" s="50"/>
      <c r="J126" s="50"/>
      <c r="K126" s="50"/>
      <c r="L126" s="50"/>
      <c r="M126" s="51" t="s">
        <v>650</v>
      </c>
      <c r="N126" s="50"/>
      <c r="O126" s="50"/>
    </row>
    <row r="127" spans="1:15" ht="26.4" x14ac:dyDescent="0.2">
      <c r="A127" s="1173" t="s">
        <v>216</v>
      </c>
      <c r="B127" s="1174"/>
      <c r="C127" s="1174"/>
      <c r="D127" s="1174"/>
      <c r="E127" s="1174"/>
      <c r="F127" s="1174"/>
      <c r="G127" s="1174"/>
      <c r="H127" s="58" t="s">
        <v>648</v>
      </c>
      <c r="I127" s="59"/>
      <c r="J127" s="59"/>
      <c r="K127" s="59"/>
      <c r="L127" s="59"/>
      <c r="M127" s="58" t="s">
        <v>650</v>
      </c>
      <c r="N127" s="59"/>
      <c r="O127" s="59"/>
    </row>
    <row r="128" spans="1:15" s="1" customFormat="1" ht="15" customHeight="1" x14ac:dyDescent="0.25">
      <c r="A128" s="1153" t="s">
        <v>217</v>
      </c>
      <c r="B128" s="1154"/>
      <c r="C128" s="1154"/>
      <c r="D128" s="1154"/>
      <c r="E128" s="1154"/>
      <c r="F128" s="1154"/>
      <c r="G128" s="1155"/>
      <c r="H128" s="60"/>
      <c r="I128" s="61"/>
      <c r="J128" s="61"/>
      <c r="K128" s="61"/>
      <c r="L128" s="61"/>
      <c r="M128" s="62">
        <f>ROUND(M127/100*0.96,0)</f>
        <v>86141</v>
      </c>
      <c r="N128" s="61"/>
      <c r="O128" s="61"/>
    </row>
    <row r="129" spans="1:17" s="1" customFormat="1" ht="15" customHeight="1" x14ac:dyDescent="0.25">
      <c r="A129" s="1153" t="s">
        <v>36</v>
      </c>
      <c r="B129" s="1154"/>
      <c r="C129" s="1154"/>
      <c r="D129" s="1154"/>
      <c r="E129" s="1154"/>
      <c r="F129" s="1154"/>
      <c r="G129" s="1155"/>
      <c r="H129" s="60"/>
      <c r="I129" s="61"/>
      <c r="J129" s="61"/>
      <c r="K129" s="61"/>
      <c r="L129" s="61"/>
      <c r="M129" s="63">
        <f>M127+M128</f>
        <v>9059164</v>
      </c>
      <c r="N129" s="61"/>
      <c r="O129" s="61"/>
    </row>
    <row r="130" spans="1:17" s="1" customFormat="1" ht="15" customHeight="1" x14ac:dyDescent="0.25">
      <c r="A130" s="1153" t="s">
        <v>218</v>
      </c>
      <c r="B130" s="1154"/>
      <c r="C130" s="1154"/>
      <c r="D130" s="1154"/>
      <c r="E130" s="1154"/>
      <c r="F130" s="1154"/>
      <c r="G130" s="1155"/>
      <c r="H130" s="60"/>
      <c r="I130" s="61"/>
      <c r="J130" s="61"/>
      <c r="K130" s="61"/>
      <c r="L130" s="61"/>
      <c r="M130" s="62">
        <f>ROUND(M129*0.9833333333,0)</f>
        <v>8908178</v>
      </c>
      <c r="N130" s="61"/>
      <c r="O130" s="61"/>
    </row>
    <row r="131" spans="1:17" s="1" customFormat="1" ht="15" customHeight="1" x14ac:dyDescent="0.25">
      <c r="A131" s="1153" t="s">
        <v>219</v>
      </c>
      <c r="B131" s="1154"/>
      <c r="C131" s="1154"/>
      <c r="D131" s="1154"/>
      <c r="E131" s="1154"/>
      <c r="F131" s="1154"/>
      <c r="G131" s="1155"/>
      <c r="H131" s="60"/>
      <c r="I131" s="61"/>
      <c r="J131" s="61"/>
      <c r="K131" s="61"/>
      <c r="L131" s="61"/>
      <c r="M131" s="62">
        <f>ROUND(M130*1.25085,0)</f>
        <v>11142794</v>
      </c>
      <c r="N131" s="61"/>
      <c r="O131" s="61"/>
    </row>
    <row r="132" spans="1:17" s="1" customFormat="1" ht="15" customHeight="1" x14ac:dyDescent="0.25">
      <c r="A132" s="1153" t="s">
        <v>220</v>
      </c>
      <c r="B132" s="1154"/>
      <c r="C132" s="1154"/>
      <c r="D132" s="1154"/>
      <c r="E132" s="1154"/>
      <c r="F132" s="1154"/>
      <c r="G132" s="1155"/>
      <c r="H132" s="60"/>
      <c r="I132" s="61"/>
      <c r="J132" s="61"/>
      <c r="K132" s="61"/>
      <c r="L132" s="61"/>
      <c r="M132" s="62">
        <f>ROUND(M131*1.07521,0)</f>
        <v>11980844</v>
      </c>
      <c r="N132" s="61"/>
      <c r="O132" s="61"/>
    </row>
    <row r="133" spans="1:17" s="1" customFormat="1" ht="15" customHeight="1" x14ac:dyDescent="0.25">
      <c r="A133" s="1153" t="s">
        <v>221</v>
      </c>
      <c r="B133" s="1154"/>
      <c r="C133" s="1154"/>
      <c r="D133" s="1154"/>
      <c r="E133" s="1154"/>
      <c r="F133" s="1154"/>
      <c r="G133" s="1155"/>
      <c r="H133" s="60"/>
      <c r="I133" s="61"/>
      <c r="J133" s="61"/>
      <c r="K133" s="61"/>
      <c r="L133" s="61"/>
      <c r="M133" s="62">
        <f>ROUND(M132*1.0338,0)</f>
        <v>12385797</v>
      </c>
      <c r="N133" s="61"/>
      <c r="O133" s="61"/>
    </row>
    <row r="134" spans="1:17" s="1" customFormat="1" ht="15" customHeight="1" x14ac:dyDescent="0.25">
      <c r="A134" s="1153" t="s">
        <v>37</v>
      </c>
      <c r="B134" s="1154"/>
      <c r="C134" s="1154"/>
      <c r="D134" s="1154"/>
      <c r="E134" s="1154"/>
      <c r="F134" s="1154"/>
      <c r="G134" s="1155"/>
      <c r="H134" s="60"/>
      <c r="I134" s="61"/>
      <c r="J134" s="61"/>
      <c r="K134" s="61"/>
      <c r="L134" s="61"/>
      <c r="M134" s="62">
        <f>M133</f>
        <v>12385797</v>
      </c>
      <c r="N134" s="61"/>
      <c r="O134" s="61"/>
    </row>
    <row r="135" spans="1:17" s="1" customFormat="1" ht="15" customHeight="1" x14ac:dyDescent="0.25">
      <c r="A135" s="1153" t="s">
        <v>38</v>
      </c>
      <c r="B135" s="1154"/>
      <c r="C135" s="1154"/>
      <c r="D135" s="1154"/>
      <c r="E135" s="1154"/>
      <c r="F135" s="1154"/>
      <c r="G135" s="1155"/>
      <c r="H135" s="60"/>
      <c r="I135" s="61"/>
      <c r="J135" s="61"/>
      <c r="K135" s="61"/>
      <c r="L135" s="61"/>
      <c r="M135" s="64">
        <f>ROUND(M134*0.2,2)</f>
        <v>2477159.4</v>
      </c>
      <c r="N135" s="61"/>
      <c r="O135" s="61"/>
    </row>
    <row r="136" spans="1:17" s="1" customFormat="1" ht="15" customHeight="1" x14ac:dyDescent="0.25">
      <c r="A136" s="1153" t="s">
        <v>39</v>
      </c>
      <c r="B136" s="1154"/>
      <c r="C136" s="1154"/>
      <c r="D136" s="1154"/>
      <c r="E136" s="1154"/>
      <c r="F136" s="1154"/>
      <c r="G136" s="1155"/>
      <c r="H136" s="60"/>
      <c r="I136" s="61"/>
      <c r="J136" s="61"/>
      <c r="K136" s="61"/>
      <c r="L136" s="61"/>
      <c r="M136" s="64">
        <f>M134+M135</f>
        <v>14862956.4</v>
      </c>
      <c r="N136" s="61"/>
      <c r="O136" s="61"/>
      <c r="Q136" s="276"/>
    </row>
    <row r="137" spans="1:17" s="1" customFormat="1" ht="13.2" x14ac:dyDescent="0.25">
      <c r="B137" s="65"/>
      <c r="C137" s="66"/>
      <c r="D137" s="67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7" s="1" customFormat="1" ht="13.2" x14ac:dyDescent="0.25">
      <c r="B138" s="65"/>
      <c r="C138" s="66"/>
      <c r="D138" s="67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7" s="1" customFormat="1" ht="13.2" x14ac:dyDescent="0.25">
      <c r="B139" s="275"/>
      <c r="C139" s="6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7" s="1" customFormat="1" ht="11.25" customHeight="1" x14ac:dyDescent="0.25">
      <c r="C140" s="27"/>
    </row>
    <row r="141" spans="1:17" s="1" customFormat="1" ht="11.25" customHeight="1" x14ac:dyDescent="0.25">
      <c r="C141" s="27"/>
    </row>
    <row r="142" spans="1:17" s="4" customFormat="1" ht="13.2" x14ac:dyDescent="0.25">
      <c r="A142" s="2"/>
      <c r="B142" s="11" t="s">
        <v>27</v>
      </c>
      <c r="C142" s="70" t="s">
        <v>222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8"/>
      <c r="O142" s="8"/>
    </row>
    <row r="143" spans="1:17" s="8" customFormat="1" ht="13.2" x14ac:dyDescent="0.25">
      <c r="A143" s="5"/>
      <c r="B143" s="6"/>
      <c r="C143" s="1156" t="s">
        <v>40</v>
      </c>
      <c r="D143" s="1156"/>
      <c r="E143" s="1156"/>
      <c r="F143" s="1156"/>
      <c r="G143" s="1156"/>
      <c r="H143" s="1156"/>
      <c r="I143" s="1156"/>
      <c r="J143" s="1156"/>
      <c r="K143" s="1156"/>
      <c r="L143" s="1156"/>
      <c r="M143" s="1156"/>
      <c r="N143" s="7"/>
      <c r="O143" s="1"/>
    </row>
    <row r="144" spans="1:17" s="1" customFormat="1" ht="13.2" x14ac:dyDescent="0.25">
      <c r="A144" s="5"/>
      <c r="B144" s="6"/>
      <c r="C144" s="71"/>
      <c r="D144" s="15"/>
      <c r="E144" s="9"/>
      <c r="F144" s="9"/>
      <c r="G144" s="9"/>
      <c r="H144" s="9"/>
      <c r="I144" s="10"/>
      <c r="J144" s="10"/>
      <c r="K144" s="10"/>
      <c r="L144" s="10"/>
      <c r="M144" s="9"/>
      <c r="N144" s="5"/>
    </row>
    <row r="145" spans="1:16" s="1" customFormat="1" ht="13.2" x14ac:dyDescent="0.25">
      <c r="A145" s="2"/>
      <c r="B145" s="11" t="s">
        <v>41</v>
      </c>
      <c r="C145" s="72"/>
      <c r="D145" s="15"/>
      <c r="E145" s="11"/>
      <c r="F145" s="11"/>
      <c r="G145" s="11"/>
      <c r="H145" s="11"/>
      <c r="I145" s="11"/>
      <c r="J145" s="11"/>
      <c r="K145" s="11"/>
      <c r="L145" s="11"/>
      <c r="M145" s="9"/>
      <c r="N145" s="5"/>
    </row>
    <row r="146" spans="1:16" s="1" customFormat="1" ht="13.2" x14ac:dyDescent="0.25">
      <c r="A146" s="5"/>
      <c r="B146" s="6"/>
      <c r="C146" s="71"/>
      <c r="D146" s="15"/>
      <c r="E146" s="9"/>
      <c r="F146" s="9"/>
      <c r="G146" s="9"/>
      <c r="H146" s="9"/>
      <c r="I146" s="10"/>
      <c r="J146" s="10"/>
      <c r="K146" s="10"/>
      <c r="L146" s="10"/>
      <c r="M146" s="9"/>
      <c r="N146" s="5"/>
    </row>
    <row r="147" spans="1:16" s="1" customFormat="1" ht="24.75" customHeight="1" x14ac:dyDescent="0.25">
      <c r="B147" s="73"/>
      <c r="C147" s="74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6" s="1" customFormat="1" ht="13.2" x14ac:dyDescent="0.25">
      <c r="A148" s="2"/>
      <c r="B148" s="11" t="s">
        <v>28</v>
      </c>
      <c r="C148" s="75" t="s">
        <v>223</v>
      </c>
      <c r="D148" s="12"/>
      <c r="E148" s="12"/>
      <c r="F148" s="12"/>
      <c r="G148" s="12"/>
      <c r="H148" s="12"/>
      <c r="I148" s="12"/>
      <c r="J148" s="12" t="s">
        <v>42</v>
      </c>
      <c r="K148" s="12"/>
      <c r="L148" s="12"/>
      <c r="M148" s="76"/>
      <c r="N148" s="77"/>
    </row>
    <row r="149" spans="1:16" s="1" customFormat="1" ht="13.2" x14ac:dyDescent="0.25">
      <c r="A149" s="5"/>
      <c r="B149" s="6"/>
      <c r="C149" s="1157" t="s">
        <v>40</v>
      </c>
      <c r="D149" s="1157"/>
      <c r="E149" s="1157"/>
      <c r="F149" s="1157"/>
      <c r="G149" s="1157"/>
      <c r="H149" s="1157"/>
      <c r="I149" s="1157"/>
      <c r="J149" s="1157"/>
      <c r="K149" s="1157"/>
      <c r="L149" s="1157"/>
      <c r="M149" s="1157"/>
      <c r="N149" s="7"/>
    </row>
    <row r="150" spans="1:16" s="1" customFormat="1" ht="13.2" x14ac:dyDescent="0.25">
      <c r="A150" s="5"/>
      <c r="B150" s="6"/>
      <c r="C150" s="71"/>
    </row>
    <row r="151" spans="1:16" s="1" customFormat="1" ht="13.2" x14ac:dyDescent="0.25">
      <c r="A151" s="2"/>
      <c r="B151" s="11" t="s">
        <v>41</v>
      </c>
      <c r="C151" s="72"/>
    </row>
    <row r="152" spans="1:16" s="79" customFormat="1" ht="13.2" x14ac:dyDescent="0.25">
      <c r="A152" s="65"/>
      <c r="B152" s="65"/>
      <c r="C152" s="66"/>
      <c r="D152" s="67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78"/>
    </row>
    <row r="153" spans="1:16" s="277" customFormat="1" ht="12" x14ac:dyDescent="0.25">
      <c r="A153" s="272"/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</row>
    <row r="154" spans="1:16" s="277" customFormat="1" ht="11.25" customHeight="1" x14ac:dyDescent="0.25">
      <c r="A154" s="272"/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</row>
    <row r="178" ht="12" x14ac:dyDescent="0.25"/>
    <row r="255" ht="12" x14ac:dyDescent="0.25"/>
  </sheetData>
  <mergeCells count="71">
    <mergeCell ref="C10:K10"/>
    <mergeCell ref="M10:O10"/>
    <mergeCell ref="A11:B11"/>
    <mergeCell ref="C11:K11"/>
    <mergeCell ref="M6:O6"/>
    <mergeCell ref="A7:B7"/>
    <mergeCell ref="A9:B9"/>
    <mergeCell ref="C9:K9"/>
    <mergeCell ref="M9:O9"/>
    <mergeCell ref="C7:K7"/>
    <mergeCell ref="M7:O7"/>
    <mergeCell ref="A8:B8"/>
    <mergeCell ref="C8:K8"/>
    <mergeCell ref="M8:O8"/>
    <mergeCell ref="L22:L23"/>
    <mergeCell ref="M22:M23"/>
    <mergeCell ref="N22:O22"/>
    <mergeCell ref="I17:K17"/>
    <mergeCell ref="M17:O17"/>
    <mergeCell ref="M19:O19"/>
    <mergeCell ref="A31:O31"/>
    <mergeCell ref="A27:A29"/>
    <mergeCell ref="B27:B29"/>
    <mergeCell ref="C27:C29"/>
    <mergeCell ref="D27:D29"/>
    <mergeCell ref="E27:G27"/>
    <mergeCell ref="H27:J27"/>
    <mergeCell ref="M2:O2"/>
    <mergeCell ref="M3:O3"/>
    <mergeCell ref="M4:O4"/>
    <mergeCell ref="C5:K5"/>
    <mergeCell ref="M5:O5"/>
    <mergeCell ref="A123:G123"/>
    <mergeCell ref="A124:G124"/>
    <mergeCell ref="A117:G117"/>
    <mergeCell ref="A118:G118"/>
    <mergeCell ref="A119:G119"/>
    <mergeCell ref="A120:G120"/>
    <mergeCell ref="A121:G121"/>
    <mergeCell ref="A122:G122"/>
    <mergeCell ref="A111:G111"/>
    <mergeCell ref="A112:G112"/>
    <mergeCell ref="A113:G113"/>
    <mergeCell ref="A114:G114"/>
    <mergeCell ref="A115:G115"/>
    <mergeCell ref="A133:G133"/>
    <mergeCell ref="M11:O11"/>
    <mergeCell ref="K12:L12"/>
    <mergeCell ref="M12:O12"/>
    <mergeCell ref="M13:O13"/>
    <mergeCell ref="I15:K15"/>
    <mergeCell ref="M15:O15"/>
    <mergeCell ref="A125:G125"/>
    <mergeCell ref="A126:G126"/>
    <mergeCell ref="A127:G127"/>
    <mergeCell ref="A116:G116"/>
    <mergeCell ref="K27:L27"/>
    <mergeCell ref="M27:O27"/>
    <mergeCell ref="E28:E29"/>
    <mergeCell ref="H28:H29"/>
    <mergeCell ref="M28:M29"/>
    <mergeCell ref="A128:G128"/>
    <mergeCell ref="A129:G129"/>
    <mergeCell ref="A130:G130"/>
    <mergeCell ref="A131:G131"/>
    <mergeCell ref="A132:G132"/>
    <mergeCell ref="A134:G134"/>
    <mergeCell ref="A135:G135"/>
    <mergeCell ref="A136:G136"/>
    <mergeCell ref="C143:M143"/>
    <mergeCell ref="C149:M149"/>
  </mergeCells>
  <pageMargins left="0.23622047244094491" right="0.23622047244094491" top="0.74803149606299213" bottom="0.74803149606299213" header="0.31496062992125984" footer="0.31496062992125984"/>
  <pageSetup paperSize="9" scale="73" fitToHeight="10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AC66"/>
  <sheetViews>
    <sheetView view="pageBreakPreview" topLeftCell="A10" zoomScale="82" zoomScaleNormal="82" zoomScaleSheetLayoutView="82" workbookViewId="0">
      <selection activeCell="Y32" sqref="Y32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5.44140625" style="115" customWidth="1"/>
    <col min="17" max="17" width="18.5546875" style="115" hidden="1" customWidth="1" outlineLevel="1"/>
    <col min="18" max="18" width="19" style="115" hidden="1" customWidth="1" outlineLevel="1"/>
    <col min="19" max="19" width="20.33203125" style="115" hidden="1" customWidth="1" outlineLevel="1"/>
    <col min="20" max="20" width="21.44140625" style="147" hidden="1" customWidth="1" outlineLevel="1"/>
    <col min="21" max="21" width="19.5546875" style="115" hidden="1" customWidth="1" outlineLevel="1"/>
    <col min="22" max="22" width="20.109375" style="115" hidden="1" customWidth="1" outlineLevel="1"/>
    <col min="23" max="23" width="19.5546875" style="287" customWidth="1" outlineLevel="1"/>
    <col min="24" max="24" width="18.44140625" style="115" customWidth="1" outlineLevel="1"/>
    <col min="25" max="25" width="17.109375" style="115" customWidth="1" outlineLevel="1"/>
    <col min="26" max="26" width="13" style="82" customWidth="1"/>
    <col min="27" max="28" width="9.109375" style="82"/>
    <col min="29" max="29" width="17.109375" style="82" customWidth="1"/>
    <col min="30" max="30" width="9.109375" style="82"/>
    <col min="31" max="31" width="12.5546875" style="82" customWidth="1"/>
    <col min="32" max="16384" width="9.109375" style="82"/>
  </cols>
  <sheetData>
    <row r="1" spans="1:16" x14ac:dyDescent="0.25">
      <c r="A1" s="902"/>
      <c r="B1" s="902"/>
      <c r="C1" s="902"/>
      <c r="D1" s="902"/>
      <c r="E1" s="902"/>
      <c r="F1" s="902"/>
      <c r="G1" s="966" t="s">
        <v>240</v>
      </c>
      <c r="H1" s="966"/>
      <c r="I1" s="966"/>
      <c r="J1" s="966"/>
      <c r="K1" s="966"/>
      <c r="L1" s="966"/>
      <c r="M1" s="966"/>
      <c r="N1" s="966"/>
      <c r="O1" s="966"/>
      <c r="P1" s="114"/>
    </row>
    <row r="2" spans="1:16" x14ac:dyDescent="0.25">
      <c r="A2" s="902"/>
      <c r="B2" s="902"/>
      <c r="C2" s="902"/>
      <c r="D2" s="902"/>
      <c r="E2" s="902"/>
      <c r="F2" s="902"/>
      <c r="G2" s="952" t="s">
        <v>241</v>
      </c>
      <c r="H2" s="952"/>
      <c r="I2" s="952"/>
      <c r="J2" s="952"/>
      <c r="K2" s="952"/>
      <c r="L2" s="952"/>
      <c r="M2" s="952"/>
      <c r="N2" s="952"/>
      <c r="O2" s="952"/>
      <c r="P2" s="116"/>
    </row>
    <row r="3" spans="1:16" x14ac:dyDescent="0.25">
      <c r="A3" s="902"/>
      <c r="B3" s="902"/>
      <c r="C3" s="902"/>
      <c r="D3" s="902"/>
      <c r="E3" s="902"/>
      <c r="F3" s="902"/>
      <c r="G3" s="952" t="s">
        <v>242</v>
      </c>
      <c r="H3" s="952"/>
      <c r="I3" s="952"/>
      <c r="J3" s="952"/>
      <c r="K3" s="952"/>
      <c r="L3" s="952"/>
      <c r="M3" s="952"/>
      <c r="N3" s="952"/>
      <c r="O3" s="952"/>
      <c r="P3" s="116"/>
    </row>
    <row r="4" spans="1:16" x14ac:dyDescent="0.25">
      <c r="A4" s="902"/>
      <c r="B4" s="902"/>
      <c r="C4" s="902"/>
      <c r="D4" s="902"/>
      <c r="E4" s="902"/>
      <c r="F4" s="902"/>
      <c r="G4" s="902"/>
      <c r="H4" s="902"/>
      <c r="I4" s="902"/>
      <c r="J4" s="902"/>
      <c r="K4" s="902"/>
      <c r="L4" s="902"/>
      <c r="M4" s="968" t="s">
        <v>0</v>
      </c>
      <c r="N4" s="906"/>
      <c r="O4" s="969"/>
      <c r="P4" s="117"/>
    </row>
    <row r="5" spans="1:16" ht="24.9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952" t="s">
        <v>1</v>
      </c>
      <c r="K5" s="952"/>
      <c r="L5" s="952"/>
      <c r="M5" s="970" t="s">
        <v>243</v>
      </c>
      <c r="N5" s="971"/>
      <c r="O5" s="972"/>
      <c r="P5" s="120"/>
    </row>
    <row r="6" spans="1:16" ht="24.9" customHeight="1" x14ac:dyDescent="0.25">
      <c r="A6" s="118" t="s">
        <v>244</v>
      </c>
      <c r="B6" s="121"/>
      <c r="C6" s="121"/>
      <c r="D6" s="121"/>
      <c r="E6" s="121"/>
      <c r="F6" s="121"/>
      <c r="G6" s="121"/>
      <c r="H6" s="121"/>
      <c r="I6" s="121"/>
      <c r="J6" s="121"/>
      <c r="K6" s="119"/>
      <c r="L6" s="122" t="s">
        <v>4</v>
      </c>
      <c r="M6" s="948"/>
      <c r="N6" s="949"/>
      <c r="O6" s="950"/>
      <c r="P6" s="123"/>
    </row>
    <row r="7" spans="1:16" ht="24.9" customHeight="1" x14ac:dyDescent="0.25">
      <c r="A7" s="118"/>
      <c r="B7" s="121"/>
      <c r="C7" s="951" t="s">
        <v>5</v>
      </c>
      <c r="D7" s="951"/>
      <c r="E7" s="951"/>
      <c r="F7" s="951"/>
      <c r="G7" s="951"/>
      <c r="H7" s="951"/>
      <c r="I7" s="121"/>
      <c r="J7" s="121"/>
      <c r="K7" s="119"/>
      <c r="L7" s="122"/>
      <c r="M7" s="124"/>
      <c r="N7" s="125"/>
      <c r="O7" s="126"/>
      <c r="P7" s="123"/>
    </row>
    <row r="8" spans="1:16" ht="44.25" customHeight="1" x14ac:dyDescent="0.25">
      <c r="A8" s="127" t="s">
        <v>29</v>
      </c>
      <c r="B8" s="958" t="s">
        <v>245</v>
      </c>
      <c r="C8" s="958"/>
      <c r="D8" s="958"/>
      <c r="E8" s="958"/>
      <c r="F8" s="958"/>
      <c r="G8" s="958"/>
      <c r="H8" s="958"/>
      <c r="I8" s="958"/>
      <c r="J8" s="958"/>
      <c r="K8" s="122"/>
      <c r="L8" s="122" t="s">
        <v>4</v>
      </c>
      <c r="M8" s="943" t="s">
        <v>30</v>
      </c>
      <c r="N8" s="944"/>
      <c r="O8" s="945"/>
      <c r="P8" s="128"/>
    </row>
    <row r="9" spans="1:16" ht="24.9" customHeight="1" x14ac:dyDescent="0.25">
      <c r="A9" s="127"/>
      <c r="B9" s="129"/>
      <c r="C9" s="951" t="s">
        <v>5</v>
      </c>
      <c r="D9" s="951"/>
      <c r="E9" s="951"/>
      <c r="F9" s="951"/>
      <c r="G9" s="951"/>
      <c r="H9" s="951"/>
      <c r="I9" s="129"/>
      <c r="J9" s="129"/>
      <c r="K9" s="122"/>
      <c r="L9" s="122"/>
      <c r="M9" s="130"/>
      <c r="N9" s="131"/>
      <c r="O9" s="132"/>
      <c r="P9" s="120"/>
    </row>
    <row r="10" spans="1:16" ht="38.25" customHeight="1" x14ac:dyDescent="0.25">
      <c r="A10" s="127" t="s">
        <v>31</v>
      </c>
      <c r="B10" s="958" t="s">
        <v>246</v>
      </c>
      <c r="C10" s="958"/>
      <c r="D10" s="958"/>
      <c r="E10" s="958"/>
      <c r="F10" s="958"/>
      <c r="G10" s="958"/>
      <c r="H10" s="958"/>
      <c r="I10" s="958"/>
      <c r="J10" s="958"/>
      <c r="K10" s="119"/>
      <c r="L10" s="122" t="s">
        <v>4</v>
      </c>
      <c r="M10" s="967">
        <v>79730368</v>
      </c>
      <c r="N10" s="940"/>
      <c r="O10" s="941"/>
      <c r="P10" s="133"/>
    </row>
    <row r="11" spans="1:16" ht="24.9" customHeight="1" x14ac:dyDescent="0.25">
      <c r="A11" s="118"/>
      <c r="B11" s="134"/>
      <c r="C11" s="951" t="s">
        <v>5</v>
      </c>
      <c r="D11" s="951"/>
      <c r="E11" s="951"/>
      <c r="F11" s="951"/>
      <c r="G11" s="951"/>
      <c r="H11" s="951"/>
      <c r="I11" s="134"/>
      <c r="J11" s="134"/>
      <c r="K11" s="119"/>
      <c r="L11" s="122"/>
      <c r="M11" s="135"/>
      <c r="N11" s="136"/>
      <c r="O11" s="137"/>
      <c r="P11" s="117"/>
    </row>
    <row r="12" spans="1:16" ht="55.5" customHeight="1" x14ac:dyDescent="0.25">
      <c r="A12" s="127" t="s">
        <v>46</v>
      </c>
      <c r="B12" s="958" t="s">
        <v>247</v>
      </c>
      <c r="C12" s="958"/>
      <c r="D12" s="958"/>
      <c r="E12" s="958"/>
      <c r="F12" s="958"/>
      <c r="G12" s="958"/>
      <c r="H12" s="958"/>
      <c r="I12" s="958"/>
      <c r="J12" s="958"/>
      <c r="K12" s="119"/>
      <c r="L12" s="122" t="s">
        <v>4</v>
      </c>
      <c r="M12" s="956"/>
      <c r="N12" s="951"/>
      <c r="O12" s="957"/>
      <c r="P12" s="117"/>
    </row>
    <row r="13" spans="1:16" ht="24.9" customHeight="1" x14ac:dyDescent="0.25">
      <c r="A13" s="119"/>
      <c r="B13" s="138"/>
      <c r="C13" s="139"/>
      <c r="D13" s="119"/>
      <c r="E13" s="119"/>
      <c r="F13" s="119"/>
      <c r="G13" s="119"/>
      <c r="H13" s="119"/>
      <c r="I13" s="119"/>
      <c r="J13" s="122"/>
      <c r="K13" s="122"/>
      <c r="L13" s="122"/>
      <c r="M13" s="959"/>
      <c r="N13" s="934"/>
      <c r="O13" s="960"/>
      <c r="P13" s="117"/>
    </row>
    <row r="14" spans="1:16" ht="24.9" customHeight="1" x14ac:dyDescent="0.25">
      <c r="A14" s="961" t="s">
        <v>248</v>
      </c>
      <c r="B14" s="961"/>
      <c r="C14" s="961"/>
      <c r="D14" s="961"/>
      <c r="E14" s="961"/>
      <c r="F14" s="961"/>
      <c r="G14" s="961"/>
      <c r="H14" s="961"/>
      <c r="I14" s="961"/>
      <c r="J14" s="961"/>
      <c r="K14" s="961"/>
      <c r="L14" s="962"/>
      <c r="M14" s="943" t="s">
        <v>33</v>
      </c>
      <c r="N14" s="944"/>
      <c r="O14" s="945"/>
      <c r="P14" s="128"/>
    </row>
    <row r="15" spans="1:16" ht="24.9" customHeight="1" x14ac:dyDescent="0.25">
      <c r="A15" s="952" t="s">
        <v>8</v>
      </c>
      <c r="B15" s="952"/>
      <c r="C15" s="952"/>
      <c r="D15" s="952"/>
      <c r="E15" s="952"/>
      <c r="F15" s="952"/>
      <c r="G15" s="952"/>
      <c r="H15" s="952"/>
      <c r="I15" s="952"/>
      <c r="J15" s="952"/>
      <c r="K15" s="952"/>
      <c r="L15" s="140" t="s">
        <v>249</v>
      </c>
      <c r="M15" s="963" t="s">
        <v>34</v>
      </c>
      <c r="N15" s="964"/>
      <c r="O15" s="965"/>
      <c r="P15" s="141"/>
    </row>
    <row r="16" spans="1:16" ht="24.9" customHeight="1" x14ac:dyDescent="0.25">
      <c r="A16" s="952"/>
      <c r="B16" s="952"/>
      <c r="C16" s="952"/>
      <c r="D16" s="952"/>
      <c r="E16" s="952"/>
      <c r="F16" s="952"/>
      <c r="G16" s="952"/>
      <c r="H16" s="952"/>
      <c r="I16" s="952"/>
      <c r="J16" s="952"/>
      <c r="K16" s="952"/>
      <c r="L16" s="140" t="s">
        <v>10</v>
      </c>
      <c r="M16" s="142" t="s">
        <v>50</v>
      </c>
      <c r="N16" s="142" t="s">
        <v>51</v>
      </c>
      <c r="O16" s="143">
        <v>2022</v>
      </c>
      <c r="P16" s="144"/>
    </row>
    <row r="17" spans="1:25" ht="18" hidden="1" customHeight="1" x14ac:dyDescent="0.25">
      <c r="A17" s="122"/>
      <c r="B17" s="122"/>
      <c r="C17" s="122"/>
      <c r="D17" s="122"/>
      <c r="E17" s="122"/>
      <c r="F17" s="122"/>
      <c r="G17" s="905" t="s">
        <v>35</v>
      </c>
      <c r="H17" s="905"/>
      <c r="I17" s="905"/>
      <c r="J17" s="905"/>
      <c r="K17" s="122"/>
      <c r="L17" s="145" t="s">
        <v>249</v>
      </c>
      <c r="M17" s="953" t="s">
        <v>18</v>
      </c>
      <c r="N17" s="954"/>
      <c r="O17" s="955"/>
      <c r="P17" s="146"/>
    </row>
    <row r="18" spans="1:25" ht="24.9" hidden="1" customHeight="1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45" t="s">
        <v>10</v>
      </c>
      <c r="M18" s="142" t="s">
        <v>52</v>
      </c>
      <c r="N18" s="142" t="s">
        <v>250</v>
      </c>
      <c r="O18" s="143">
        <v>2022</v>
      </c>
      <c r="P18" s="144"/>
    </row>
    <row r="19" spans="1:25" ht="18" customHeight="1" x14ac:dyDescent="0.25">
      <c r="A19" s="122"/>
      <c r="B19" s="122"/>
      <c r="C19" s="122"/>
      <c r="D19" s="122"/>
      <c r="E19" s="122"/>
      <c r="F19" s="122"/>
      <c r="G19" s="905" t="s">
        <v>35</v>
      </c>
      <c r="H19" s="905"/>
      <c r="I19" s="905"/>
      <c r="J19" s="905"/>
      <c r="K19" s="122"/>
      <c r="L19" s="145" t="s">
        <v>249</v>
      </c>
      <c r="M19" s="953" t="s">
        <v>25</v>
      </c>
      <c r="N19" s="954"/>
      <c r="O19" s="955"/>
      <c r="P19" s="146"/>
    </row>
    <row r="20" spans="1:25" ht="24.9" customHeight="1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45" t="s">
        <v>10</v>
      </c>
      <c r="M20" s="142" t="s">
        <v>50</v>
      </c>
      <c r="N20" s="142" t="s">
        <v>81</v>
      </c>
      <c r="O20" s="143">
        <v>2022</v>
      </c>
      <c r="P20" s="144"/>
    </row>
    <row r="21" spans="1:25" ht="24.9" customHeight="1" x14ac:dyDescent="0.25">
      <c r="A21" s="952" t="s">
        <v>11</v>
      </c>
      <c r="B21" s="952"/>
      <c r="C21" s="952"/>
      <c r="D21" s="952"/>
      <c r="E21" s="952"/>
      <c r="F21" s="952"/>
      <c r="G21" s="952"/>
      <c r="H21" s="952"/>
      <c r="I21" s="952"/>
      <c r="J21" s="952"/>
      <c r="K21" s="952"/>
      <c r="L21" s="952"/>
      <c r="M21" s="956"/>
      <c r="N21" s="951"/>
      <c r="O21" s="957"/>
      <c r="P21" s="117"/>
    </row>
    <row r="22" spans="1:25" ht="9" customHeight="1" x14ac:dyDescent="0.25">
      <c r="A22" s="905"/>
      <c r="B22" s="905"/>
      <c r="C22" s="905"/>
      <c r="D22" s="905"/>
      <c r="E22" s="905"/>
      <c r="F22" s="905"/>
      <c r="G22" s="905"/>
      <c r="H22" s="905"/>
      <c r="I22" s="905"/>
      <c r="J22" s="905"/>
      <c r="K22" s="905"/>
      <c r="L22" s="905"/>
      <c r="M22" s="905"/>
      <c r="N22" s="905"/>
      <c r="O22" s="905"/>
      <c r="P22" s="117"/>
    </row>
    <row r="23" spans="1:25" ht="24.9" customHeight="1" x14ac:dyDescent="0.25">
      <c r="A23" s="905"/>
      <c r="B23" s="905"/>
      <c r="C23" s="905"/>
      <c r="D23" s="905"/>
      <c r="E23" s="905"/>
      <c r="F23" s="929" t="s">
        <v>12</v>
      </c>
      <c r="G23" s="929"/>
      <c r="H23" s="929"/>
      <c r="I23" s="929" t="s">
        <v>13</v>
      </c>
      <c r="J23" s="929"/>
      <c r="K23" s="942"/>
      <c r="L23" s="942" t="s">
        <v>14</v>
      </c>
      <c r="M23" s="942"/>
      <c r="N23" s="942"/>
      <c r="O23" s="942"/>
      <c r="P23" s="117"/>
    </row>
    <row r="24" spans="1:25" ht="24.9" customHeight="1" x14ac:dyDescent="0.25">
      <c r="A24" s="905"/>
      <c r="B24" s="905"/>
      <c r="C24" s="905"/>
      <c r="D24" s="905"/>
      <c r="E24" s="905"/>
      <c r="F24" s="929"/>
      <c r="G24" s="929"/>
      <c r="H24" s="929"/>
      <c r="I24" s="929"/>
      <c r="J24" s="929"/>
      <c r="K24" s="942"/>
      <c r="L24" s="942" t="s">
        <v>15</v>
      </c>
      <c r="M24" s="942"/>
      <c r="N24" s="942" t="s">
        <v>16</v>
      </c>
      <c r="O24" s="942"/>
      <c r="P24" s="117"/>
    </row>
    <row r="25" spans="1:25" ht="21" customHeight="1" x14ac:dyDescent="0.25">
      <c r="A25" s="905"/>
      <c r="B25" s="905"/>
      <c r="C25" s="905"/>
      <c r="D25" s="905"/>
      <c r="E25" s="905"/>
      <c r="F25" s="943" t="s">
        <v>78</v>
      </c>
      <c r="G25" s="944"/>
      <c r="H25" s="945"/>
      <c r="I25" s="946">
        <f>N25</f>
        <v>44957</v>
      </c>
      <c r="J25" s="947"/>
      <c r="K25" s="942"/>
      <c r="L25" s="946">
        <v>44947</v>
      </c>
      <c r="M25" s="941"/>
      <c r="N25" s="946">
        <v>44957</v>
      </c>
      <c r="O25" s="941"/>
      <c r="P25" s="133"/>
    </row>
    <row r="26" spans="1:25" ht="8.25" customHeight="1" x14ac:dyDescent="0.25">
      <c r="A26" s="148"/>
      <c r="B26" s="148"/>
      <c r="C26" s="148"/>
      <c r="D26" s="148"/>
      <c r="E26" s="148"/>
      <c r="F26" s="149"/>
      <c r="G26" s="148"/>
      <c r="H26" s="148"/>
      <c r="I26" s="150"/>
      <c r="J26" s="148"/>
      <c r="K26" s="148"/>
      <c r="L26" s="148"/>
      <c r="M26" s="148"/>
      <c r="N26" s="150"/>
      <c r="O26" s="148"/>
      <c r="P26" s="117"/>
    </row>
    <row r="27" spans="1:25" ht="12.75" customHeight="1" x14ac:dyDescent="0.25">
      <c r="A27" s="905" t="s">
        <v>251</v>
      </c>
      <c r="B27" s="905"/>
      <c r="C27" s="905"/>
      <c r="D27" s="905"/>
      <c r="E27" s="905"/>
      <c r="F27" s="905"/>
      <c r="G27" s="905"/>
      <c r="H27" s="905"/>
      <c r="I27" s="905"/>
      <c r="J27" s="905"/>
      <c r="K27" s="905"/>
      <c r="L27" s="905"/>
      <c r="M27" s="905"/>
      <c r="N27" s="905"/>
      <c r="O27" s="905"/>
      <c r="P27" s="117"/>
    </row>
    <row r="28" spans="1:25" ht="12.75" customHeight="1" x14ac:dyDescent="0.25">
      <c r="A28" s="934" t="s">
        <v>252</v>
      </c>
      <c r="B28" s="934"/>
      <c r="C28" s="934"/>
      <c r="D28" s="934"/>
      <c r="E28" s="934"/>
      <c r="F28" s="934"/>
      <c r="G28" s="934"/>
      <c r="H28" s="934"/>
      <c r="I28" s="934"/>
      <c r="J28" s="934"/>
      <c r="K28" s="934"/>
      <c r="L28" s="934"/>
      <c r="M28" s="934"/>
      <c r="N28" s="934"/>
      <c r="O28" s="934"/>
      <c r="P28" s="117"/>
    </row>
    <row r="29" spans="1:25" ht="18" customHeight="1" x14ac:dyDescent="0.25">
      <c r="A29" s="929" t="s">
        <v>253</v>
      </c>
      <c r="B29" s="935" t="s">
        <v>254</v>
      </c>
      <c r="C29" s="936"/>
      <c r="D29" s="935" t="s">
        <v>0</v>
      </c>
      <c r="E29" s="939" t="s">
        <v>255</v>
      </c>
      <c r="F29" s="940"/>
      <c r="G29" s="940"/>
      <c r="H29" s="940"/>
      <c r="I29" s="940"/>
      <c r="J29" s="940"/>
      <c r="K29" s="940"/>
      <c r="L29" s="940"/>
      <c r="M29" s="940"/>
      <c r="N29" s="940"/>
      <c r="O29" s="941"/>
      <c r="P29" s="133"/>
    </row>
    <row r="30" spans="1:25" ht="44.25" customHeight="1" x14ac:dyDescent="0.25">
      <c r="A30" s="929"/>
      <c r="B30" s="937"/>
      <c r="C30" s="938"/>
      <c r="D30" s="937"/>
      <c r="E30" s="939" t="s">
        <v>256</v>
      </c>
      <c r="F30" s="940"/>
      <c r="G30" s="940"/>
      <c r="H30" s="939" t="s">
        <v>257</v>
      </c>
      <c r="I30" s="940"/>
      <c r="J30" s="940"/>
      <c r="K30" s="940"/>
      <c r="L30" s="939" t="s">
        <v>258</v>
      </c>
      <c r="M30" s="940"/>
      <c r="N30" s="940"/>
      <c r="O30" s="941"/>
      <c r="P30" s="133"/>
    </row>
    <row r="31" spans="1:25" ht="17.25" customHeight="1" x14ac:dyDescent="0.25">
      <c r="A31" s="151">
        <v>1</v>
      </c>
      <c r="B31" s="929">
        <v>2</v>
      </c>
      <c r="C31" s="929"/>
      <c r="D31" s="151">
        <v>3</v>
      </c>
      <c r="E31" s="929">
        <v>4</v>
      </c>
      <c r="F31" s="929"/>
      <c r="G31" s="929"/>
      <c r="H31" s="929">
        <v>5</v>
      </c>
      <c r="I31" s="929"/>
      <c r="J31" s="929"/>
      <c r="K31" s="929"/>
      <c r="L31" s="929">
        <v>6</v>
      </c>
      <c r="M31" s="929"/>
      <c r="N31" s="929"/>
      <c r="O31" s="929"/>
      <c r="P31" s="930" t="s">
        <v>259</v>
      </c>
      <c r="Q31" s="152" t="s">
        <v>260</v>
      </c>
      <c r="R31" s="152" t="s">
        <v>261</v>
      </c>
      <c r="S31" s="152" t="s">
        <v>262</v>
      </c>
      <c r="T31" s="153" t="s">
        <v>263</v>
      </c>
      <c r="U31" s="152" t="s">
        <v>264</v>
      </c>
      <c r="V31" s="152" t="s">
        <v>265</v>
      </c>
      <c r="W31" s="152" t="s">
        <v>543</v>
      </c>
      <c r="X31" s="152" t="s">
        <v>544</v>
      </c>
      <c r="Y31" s="152" t="s">
        <v>597</v>
      </c>
    </row>
    <row r="32" spans="1:25" ht="23.25" customHeight="1" x14ac:dyDescent="0.25">
      <c r="A32" s="151"/>
      <c r="B32" s="932" t="s">
        <v>267</v>
      </c>
      <c r="C32" s="933"/>
      <c r="D32" s="154"/>
      <c r="E32" s="915"/>
      <c r="F32" s="916"/>
      <c r="G32" s="917"/>
      <c r="H32" s="915"/>
      <c r="I32" s="916"/>
      <c r="J32" s="916"/>
      <c r="K32" s="155"/>
      <c r="L32" s="915"/>
      <c r="M32" s="916"/>
      <c r="N32" s="916"/>
      <c r="O32" s="917"/>
      <c r="P32" s="931"/>
      <c r="Q32" s="156">
        <f>SUM(Q33:Q45)</f>
        <v>3343116</v>
      </c>
      <c r="R32" s="156">
        <f t="shared" ref="R32:T32" si="0">SUM(R33:R45)</f>
        <v>16959455</v>
      </c>
      <c r="S32" s="156">
        <f t="shared" si="0"/>
        <v>16778150</v>
      </c>
      <c r="T32" s="156">
        <f t="shared" si="0"/>
        <v>32470175</v>
      </c>
      <c r="U32" s="156" t="e">
        <f>SUM(U33:U51)</f>
        <v>#REF!</v>
      </c>
      <c r="V32" s="156">
        <f>SUM(V33:V51)</f>
        <v>6707148</v>
      </c>
      <c r="W32" s="157"/>
      <c r="X32" s="157"/>
      <c r="Y32" s="157"/>
    </row>
    <row r="33" spans="1:25" ht="40.5" customHeight="1" x14ac:dyDescent="0.25">
      <c r="A33" s="151">
        <v>1</v>
      </c>
      <c r="B33" s="927" t="s">
        <v>268</v>
      </c>
      <c r="C33" s="928"/>
      <c r="D33" s="154"/>
      <c r="E33" s="924">
        <f>59845+H33</f>
        <v>59845</v>
      </c>
      <c r="F33" s="925"/>
      <c r="G33" s="926"/>
      <c r="H33" s="924">
        <v>0</v>
      </c>
      <c r="I33" s="925"/>
      <c r="J33" s="925"/>
      <c r="K33" s="158"/>
      <c r="L33" s="924">
        <f>W33</f>
        <v>0</v>
      </c>
      <c r="M33" s="925"/>
      <c r="N33" s="925"/>
      <c r="O33" s="926"/>
      <c r="P33" s="159">
        <f>SUM(Q33:Y33)</f>
        <v>59845</v>
      </c>
      <c r="Q33" s="160"/>
      <c r="R33" s="160">
        <v>59845</v>
      </c>
      <c r="S33" s="160"/>
      <c r="T33" s="161">
        <v>0</v>
      </c>
      <c r="U33" s="160"/>
      <c r="V33" s="160"/>
      <c r="W33" s="288"/>
      <c r="X33" s="162"/>
      <c r="Y33" s="162"/>
    </row>
    <row r="34" spans="1:25" ht="28.5" customHeight="1" x14ac:dyDescent="0.25">
      <c r="A34" s="151">
        <f>A33+1</f>
        <v>2</v>
      </c>
      <c r="B34" s="927" t="s">
        <v>269</v>
      </c>
      <c r="C34" s="928"/>
      <c r="D34" s="154"/>
      <c r="E34" s="924">
        <f>286013+H34</f>
        <v>286013</v>
      </c>
      <c r="F34" s="925"/>
      <c r="G34" s="926"/>
      <c r="H34" s="924">
        <v>0</v>
      </c>
      <c r="I34" s="925"/>
      <c r="J34" s="925"/>
      <c r="K34" s="163"/>
      <c r="L34" s="924">
        <f t="shared" ref="L34:L50" si="1">W34</f>
        <v>0</v>
      </c>
      <c r="M34" s="925"/>
      <c r="N34" s="925"/>
      <c r="O34" s="926"/>
      <c r="P34" s="159">
        <f t="shared" ref="P34:P50" si="2">SUM(Q34:Y34)</f>
        <v>286013</v>
      </c>
      <c r="Q34" s="160">
        <v>286013</v>
      </c>
      <c r="R34" s="160"/>
      <c r="S34" s="160"/>
      <c r="T34" s="161"/>
      <c r="U34" s="160"/>
      <c r="V34" s="160"/>
      <c r="W34" s="288"/>
      <c r="X34" s="162"/>
      <c r="Y34" s="162"/>
    </row>
    <row r="35" spans="1:25" ht="39.9" customHeight="1" x14ac:dyDescent="0.25">
      <c r="A35" s="151">
        <f t="shared" ref="A35:A51" si="3">A34+1</f>
        <v>3</v>
      </c>
      <c r="B35" s="927" t="s">
        <v>270</v>
      </c>
      <c r="C35" s="928"/>
      <c r="D35" s="154"/>
      <c r="E35" s="924">
        <f>314815+H35</f>
        <v>314815</v>
      </c>
      <c r="F35" s="925"/>
      <c r="G35" s="926"/>
      <c r="H35" s="924">
        <v>0</v>
      </c>
      <c r="I35" s="925"/>
      <c r="J35" s="925"/>
      <c r="K35" s="163"/>
      <c r="L35" s="924">
        <f t="shared" si="1"/>
        <v>0</v>
      </c>
      <c r="M35" s="925"/>
      <c r="N35" s="925"/>
      <c r="O35" s="926"/>
      <c r="P35" s="159">
        <f t="shared" si="2"/>
        <v>314815</v>
      </c>
      <c r="Q35" s="160">
        <v>77654</v>
      </c>
      <c r="R35" s="160">
        <v>228227</v>
      </c>
      <c r="S35" s="160">
        <v>1417</v>
      </c>
      <c r="T35" s="161">
        <v>7517</v>
      </c>
      <c r="U35" s="160"/>
      <c r="V35" s="160"/>
      <c r="W35" s="288"/>
      <c r="X35" s="162"/>
      <c r="Y35" s="162"/>
    </row>
    <row r="36" spans="1:25" ht="45" customHeight="1" x14ac:dyDescent="0.25">
      <c r="A36" s="151">
        <f t="shared" si="3"/>
        <v>4</v>
      </c>
      <c r="B36" s="927" t="s">
        <v>271</v>
      </c>
      <c r="C36" s="928"/>
      <c r="D36" s="154"/>
      <c r="E36" s="924">
        <f>1828452+H36</f>
        <v>1828452</v>
      </c>
      <c r="F36" s="925"/>
      <c r="G36" s="926"/>
      <c r="H36" s="924">
        <v>0</v>
      </c>
      <c r="I36" s="925"/>
      <c r="J36" s="925"/>
      <c r="K36" s="163"/>
      <c r="L36" s="924">
        <f t="shared" si="1"/>
        <v>0</v>
      </c>
      <c r="M36" s="925"/>
      <c r="N36" s="925"/>
      <c r="O36" s="926"/>
      <c r="P36" s="159">
        <f t="shared" si="2"/>
        <v>1828452</v>
      </c>
      <c r="Q36" s="160">
        <v>305724</v>
      </c>
      <c r="R36" s="160">
        <v>466229</v>
      </c>
      <c r="S36" s="160"/>
      <c r="T36" s="161">
        <v>1056499</v>
      </c>
      <c r="U36" s="160"/>
      <c r="V36" s="160"/>
      <c r="W36" s="288"/>
      <c r="X36" s="162"/>
      <c r="Y36" s="162"/>
    </row>
    <row r="37" spans="1:25" ht="39.9" customHeight="1" x14ac:dyDescent="0.25">
      <c r="A37" s="151">
        <f t="shared" si="3"/>
        <v>5</v>
      </c>
      <c r="B37" s="927" t="s">
        <v>272</v>
      </c>
      <c r="C37" s="928"/>
      <c r="D37" s="154"/>
      <c r="E37" s="924">
        <f>624196+H37</f>
        <v>624196</v>
      </c>
      <c r="F37" s="925"/>
      <c r="G37" s="926"/>
      <c r="H37" s="924">
        <v>0</v>
      </c>
      <c r="I37" s="925"/>
      <c r="J37" s="925"/>
      <c r="K37" s="163"/>
      <c r="L37" s="924">
        <f t="shared" si="1"/>
        <v>0</v>
      </c>
      <c r="M37" s="925"/>
      <c r="N37" s="925"/>
      <c r="O37" s="926"/>
      <c r="P37" s="159">
        <f t="shared" si="2"/>
        <v>624196</v>
      </c>
      <c r="Q37" s="160"/>
      <c r="R37" s="160">
        <v>37172</v>
      </c>
      <c r="S37" s="160"/>
      <c r="T37" s="161">
        <v>587024</v>
      </c>
      <c r="U37" s="160"/>
      <c r="V37" s="160"/>
      <c r="W37" s="288"/>
      <c r="X37" s="162"/>
      <c r="Y37" s="162"/>
    </row>
    <row r="38" spans="1:25" ht="39.9" customHeight="1" x14ac:dyDescent="0.25">
      <c r="A38" s="151">
        <f t="shared" si="3"/>
        <v>6</v>
      </c>
      <c r="B38" s="927" t="s">
        <v>542</v>
      </c>
      <c r="C38" s="928"/>
      <c r="D38" s="154"/>
      <c r="E38" s="924">
        <f>60486559+H38</f>
        <v>72873581</v>
      </c>
      <c r="F38" s="925"/>
      <c r="G38" s="926"/>
      <c r="H38" s="924">
        <f>W38+X38+Y38</f>
        <v>12387022</v>
      </c>
      <c r="I38" s="925"/>
      <c r="J38" s="925"/>
      <c r="K38" s="163"/>
      <c r="L38" s="924">
        <f>X38</f>
        <v>4019946</v>
      </c>
      <c r="M38" s="925"/>
      <c r="N38" s="925"/>
      <c r="O38" s="926"/>
      <c r="P38" s="159">
        <f t="shared" si="2"/>
        <v>72873581</v>
      </c>
      <c r="Q38" s="160">
        <v>2561956</v>
      </c>
      <c r="R38" s="160">
        <v>10931291</v>
      </c>
      <c r="S38" s="160">
        <v>8862280</v>
      </c>
      <c r="T38" s="161">
        <v>19693597</v>
      </c>
      <c r="U38" s="160">
        <v>13037957</v>
      </c>
      <c r="V38" s="160">
        <v>5399478</v>
      </c>
      <c r="W38" s="289">
        <v>8367076</v>
      </c>
      <c r="X38" s="289">
        <f>'р январь-2'!E11</f>
        <v>4019946</v>
      </c>
      <c r="Y38" s="162"/>
    </row>
    <row r="39" spans="1:25" ht="39.9" customHeight="1" x14ac:dyDescent="0.25">
      <c r="A39" s="151">
        <f t="shared" si="3"/>
        <v>7</v>
      </c>
      <c r="B39" s="927" t="s">
        <v>541</v>
      </c>
      <c r="C39" s="928"/>
      <c r="D39" s="154"/>
      <c r="E39" s="924">
        <f>24162551+H39</f>
        <v>24692666</v>
      </c>
      <c r="F39" s="925"/>
      <c r="G39" s="926"/>
      <c r="H39" s="924">
        <f t="shared" ref="H39:H51" si="4">W39+X39+Y39</f>
        <v>530115</v>
      </c>
      <c r="I39" s="925"/>
      <c r="J39" s="925"/>
      <c r="K39" s="163"/>
      <c r="L39" s="924">
        <v>0</v>
      </c>
      <c r="M39" s="925"/>
      <c r="N39" s="925"/>
      <c r="O39" s="926"/>
      <c r="P39" s="159">
        <f t="shared" si="2"/>
        <v>24692666</v>
      </c>
      <c r="Q39" s="160"/>
      <c r="R39" s="160">
        <v>3522345</v>
      </c>
      <c r="S39" s="160">
        <v>4771674</v>
      </c>
      <c r="T39" s="161">
        <v>9028097</v>
      </c>
      <c r="U39" s="160">
        <v>6140773</v>
      </c>
      <c r="V39" s="160">
        <v>699662</v>
      </c>
      <c r="W39" s="289">
        <v>530115</v>
      </c>
      <c r="X39" s="162"/>
      <c r="Y39" s="162"/>
    </row>
    <row r="40" spans="1:25" ht="39.9" customHeight="1" x14ac:dyDescent="0.25">
      <c r="A40" s="151">
        <f t="shared" si="3"/>
        <v>8</v>
      </c>
      <c r="B40" s="927" t="s">
        <v>285</v>
      </c>
      <c r="C40" s="928"/>
      <c r="D40" s="154"/>
      <c r="E40" s="924">
        <f>3120454+H40</f>
        <v>3120454</v>
      </c>
      <c r="F40" s="925"/>
      <c r="G40" s="926"/>
      <c r="H40" s="924">
        <f t="shared" si="4"/>
        <v>0</v>
      </c>
      <c r="I40" s="925"/>
      <c r="J40" s="925"/>
      <c r="K40" s="163"/>
      <c r="L40" s="924">
        <f t="shared" si="1"/>
        <v>0</v>
      </c>
      <c r="M40" s="925"/>
      <c r="N40" s="925"/>
      <c r="O40" s="926"/>
      <c r="P40" s="159">
        <f t="shared" si="2"/>
        <v>3120454</v>
      </c>
      <c r="Q40" s="160">
        <v>111769</v>
      </c>
      <c r="R40" s="160">
        <v>128924</v>
      </c>
      <c r="S40" s="160">
        <v>530207</v>
      </c>
      <c r="T40" s="161">
        <v>0</v>
      </c>
      <c r="U40" s="160">
        <v>2349554</v>
      </c>
      <c r="V40" s="160"/>
      <c r="W40" s="288"/>
      <c r="X40" s="162"/>
      <c r="Y40" s="162"/>
    </row>
    <row r="41" spans="1:25" ht="39.9" customHeight="1" x14ac:dyDescent="0.25">
      <c r="A41" s="151">
        <f t="shared" si="3"/>
        <v>9</v>
      </c>
      <c r="B41" s="927" t="s">
        <v>327</v>
      </c>
      <c r="C41" s="928"/>
      <c r="D41" s="154"/>
      <c r="E41" s="924">
        <f>1599618+H41</f>
        <v>1599618</v>
      </c>
      <c r="F41" s="925"/>
      <c r="G41" s="926"/>
      <c r="H41" s="924">
        <f t="shared" si="4"/>
        <v>0</v>
      </c>
      <c r="I41" s="925"/>
      <c r="J41" s="925"/>
      <c r="K41" s="163"/>
      <c r="L41" s="924">
        <f t="shared" si="1"/>
        <v>0</v>
      </c>
      <c r="M41" s="925"/>
      <c r="N41" s="925"/>
      <c r="O41" s="926"/>
      <c r="P41" s="159">
        <f t="shared" si="2"/>
        <v>1599618</v>
      </c>
      <c r="Q41" s="160"/>
      <c r="R41" s="160">
        <v>1585422</v>
      </c>
      <c r="S41" s="160"/>
      <c r="T41" s="161"/>
      <c r="U41" s="160">
        <v>14196</v>
      </c>
      <c r="V41" s="160"/>
      <c r="W41" s="288"/>
      <c r="X41" s="162"/>
      <c r="Y41" s="162"/>
    </row>
    <row r="42" spans="1:25" ht="39.9" customHeight="1" x14ac:dyDescent="0.25">
      <c r="A42" s="151">
        <f t="shared" si="3"/>
        <v>10</v>
      </c>
      <c r="B42" s="927" t="s">
        <v>273</v>
      </c>
      <c r="C42" s="928"/>
      <c r="D42" s="154"/>
      <c r="E42" s="924">
        <f>2540351+H42</f>
        <v>2540351</v>
      </c>
      <c r="F42" s="925"/>
      <c r="G42" s="926"/>
      <c r="H42" s="924">
        <f t="shared" si="4"/>
        <v>0</v>
      </c>
      <c r="I42" s="925"/>
      <c r="J42" s="925"/>
      <c r="K42" s="163"/>
      <c r="L42" s="924">
        <f t="shared" si="1"/>
        <v>0</v>
      </c>
      <c r="M42" s="925"/>
      <c r="N42" s="925"/>
      <c r="O42" s="926"/>
      <c r="P42" s="159">
        <f t="shared" si="2"/>
        <v>2540351</v>
      </c>
      <c r="Q42" s="160"/>
      <c r="R42" s="160"/>
      <c r="S42" s="160">
        <v>2540351</v>
      </c>
      <c r="T42" s="161"/>
      <c r="U42" s="160"/>
      <c r="V42" s="160"/>
      <c r="W42" s="288"/>
      <c r="X42" s="162"/>
      <c r="Y42" s="162"/>
    </row>
    <row r="43" spans="1:25" ht="39.9" customHeight="1" x14ac:dyDescent="0.25">
      <c r="A43" s="151">
        <f t="shared" si="3"/>
        <v>11</v>
      </c>
      <c r="B43" s="927" t="s">
        <v>274</v>
      </c>
      <c r="C43" s="928"/>
      <c r="D43" s="154"/>
      <c r="E43" s="924">
        <f>72221+H43</f>
        <v>72221</v>
      </c>
      <c r="F43" s="925"/>
      <c r="G43" s="926"/>
      <c r="H43" s="924">
        <f t="shared" si="4"/>
        <v>0</v>
      </c>
      <c r="I43" s="925"/>
      <c r="J43" s="925"/>
      <c r="K43" s="163"/>
      <c r="L43" s="924">
        <f t="shared" si="1"/>
        <v>0</v>
      </c>
      <c r="M43" s="925"/>
      <c r="N43" s="925"/>
      <c r="O43" s="926"/>
      <c r="P43" s="159">
        <f t="shared" si="2"/>
        <v>72221</v>
      </c>
      <c r="Q43" s="160"/>
      <c r="R43" s="160"/>
      <c r="S43" s="160">
        <v>72221</v>
      </c>
      <c r="T43" s="161"/>
      <c r="U43" s="160"/>
      <c r="V43" s="160"/>
      <c r="W43" s="288"/>
      <c r="X43" s="162"/>
      <c r="Y43" s="162"/>
    </row>
    <row r="44" spans="1:25" ht="39.9" customHeight="1" x14ac:dyDescent="0.25">
      <c r="A44" s="151">
        <f t="shared" si="3"/>
        <v>12</v>
      </c>
      <c r="B44" s="927" t="s">
        <v>286</v>
      </c>
      <c r="C44" s="928"/>
      <c r="D44" s="154"/>
      <c r="E44" s="924">
        <f>1012231+H44</f>
        <v>1012231</v>
      </c>
      <c r="F44" s="925"/>
      <c r="G44" s="926"/>
      <c r="H44" s="924">
        <f t="shared" si="4"/>
        <v>0</v>
      </c>
      <c r="I44" s="925"/>
      <c r="J44" s="925"/>
      <c r="K44" s="163"/>
      <c r="L44" s="924">
        <f t="shared" si="1"/>
        <v>0</v>
      </c>
      <c r="M44" s="925"/>
      <c r="N44" s="925"/>
      <c r="O44" s="926"/>
      <c r="P44" s="159">
        <f t="shared" si="2"/>
        <v>1012231</v>
      </c>
      <c r="Q44" s="160"/>
      <c r="R44" s="160"/>
      <c r="S44" s="160"/>
      <c r="T44" s="161">
        <v>958566</v>
      </c>
      <c r="U44" s="160">
        <v>53665</v>
      </c>
      <c r="V44" s="160"/>
      <c r="W44" s="288"/>
      <c r="X44" s="162"/>
      <c r="Y44" s="162"/>
    </row>
    <row r="45" spans="1:25" ht="39.9" customHeight="1" x14ac:dyDescent="0.25">
      <c r="A45" s="151">
        <f t="shared" si="3"/>
        <v>13</v>
      </c>
      <c r="B45" s="927" t="s">
        <v>360</v>
      </c>
      <c r="C45" s="928"/>
      <c r="D45" s="154"/>
      <c r="E45" s="924">
        <f>2896272+H45</f>
        <v>2896272</v>
      </c>
      <c r="F45" s="925"/>
      <c r="G45" s="926"/>
      <c r="H45" s="924">
        <f t="shared" si="4"/>
        <v>0</v>
      </c>
      <c r="I45" s="925"/>
      <c r="J45" s="925"/>
      <c r="K45" s="163"/>
      <c r="L45" s="924">
        <f t="shared" si="1"/>
        <v>0</v>
      </c>
      <c r="M45" s="925"/>
      <c r="N45" s="925"/>
      <c r="O45" s="926"/>
      <c r="P45" s="159">
        <f t="shared" si="2"/>
        <v>2896272</v>
      </c>
      <c r="Q45" s="160"/>
      <c r="R45" s="160"/>
      <c r="S45" s="160"/>
      <c r="T45" s="161">
        <v>1138875</v>
      </c>
      <c r="U45" s="160">
        <v>1727675</v>
      </c>
      <c r="V45" s="160">
        <v>29722</v>
      </c>
      <c r="W45" s="288"/>
      <c r="X45" s="162"/>
      <c r="Y45" s="162"/>
    </row>
    <row r="46" spans="1:25" ht="39.9" customHeight="1" x14ac:dyDescent="0.25">
      <c r="A46" s="151">
        <f t="shared" si="3"/>
        <v>14</v>
      </c>
      <c r="B46" s="927" t="s">
        <v>287</v>
      </c>
      <c r="C46" s="928"/>
      <c r="D46" s="154"/>
      <c r="E46" s="924">
        <f>263147+H46</f>
        <v>263147</v>
      </c>
      <c r="F46" s="925"/>
      <c r="G46" s="926"/>
      <c r="H46" s="924">
        <f t="shared" si="4"/>
        <v>0</v>
      </c>
      <c r="I46" s="925"/>
      <c r="J46" s="925"/>
      <c r="K46" s="163"/>
      <c r="L46" s="924">
        <f t="shared" si="1"/>
        <v>0</v>
      </c>
      <c r="M46" s="925"/>
      <c r="N46" s="925"/>
      <c r="O46" s="926"/>
      <c r="P46" s="159">
        <f t="shared" si="2"/>
        <v>263147</v>
      </c>
      <c r="Q46" s="160"/>
      <c r="R46" s="160"/>
      <c r="S46" s="160"/>
      <c r="T46" s="161"/>
      <c r="U46" s="160">
        <v>263147</v>
      </c>
      <c r="V46" s="160"/>
      <c r="W46" s="288"/>
      <c r="X46" s="162"/>
      <c r="Y46" s="162"/>
    </row>
    <row r="47" spans="1:25" ht="47.25" customHeight="1" x14ac:dyDescent="0.25">
      <c r="A47" s="151">
        <f t="shared" si="3"/>
        <v>15</v>
      </c>
      <c r="B47" s="927" t="s">
        <v>361</v>
      </c>
      <c r="C47" s="928"/>
      <c r="D47" s="154"/>
      <c r="E47" s="924">
        <f>1227220+H47</f>
        <v>1227220</v>
      </c>
      <c r="F47" s="925"/>
      <c r="G47" s="926"/>
      <c r="H47" s="924">
        <f t="shared" si="4"/>
        <v>0</v>
      </c>
      <c r="I47" s="925"/>
      <c r="J47" s="925"/>
      <c r="K47" s="163"/>
      <c r="L47" s="924">
        <f t="shared" si="1"/>
        <v>0</v>
      </c>
      <c r="M47" s="925"/>
      <c r="N47" s="925"/>
      <c r="O47" s="926"/>
      <c r="P47" s="159">
        <f t="shared" si="2"/>
        <v>1227220</v>
      </c>
      <c r="Q47" s="160"/>
      <c r="R47" s="160"/>
      <c r="S47" s="160"/>
      <c r="T47" s="161"/>
      <c r="U47" s="160">
        <v>818186</v>
      </c>
      <c r="V47" s="160">
        <v>409034</v>
      </c>
      <c r="W47" s="288"/>
      <c r="X47" s="162"/>
      <c r="Y47" s="162"/>
    </row>
    <row r="48" spans="1:25" s="274" customFormat="1" ht="45" customHeight="1" x14ac:dyDescent="0.25">
      <c r="A48" s="151">
        <f t="shared" si="3"/>
        <v>16</v>
      </c>
      <c r="B48" s="927" t="s">
        <v>362</v>
      </c>
      <c r="C48" s="928"/>
      <c r="D48" s="154"/>
      <c r="E48" s="924">
        <f>507755+H48</f>
        <v>507755</v>
      </c>
      <c r="F48" s="925"/>
      <c r="G48" s="926"/>
      <c r="H48" s="924">
        <f t="shared" si="4"/>
        <v>0</v>
      </c>
      <c r="I48" s="925"/>
      <c r="J48" s="925"/>
      <c r="K48" s="163"/>
      <c r="L48" s="924">
        <f t="shared" si="1"/>
        <v>0</v>
      </c>
      <c r="M48" s="925"/>
      <c r="N48" s="925"/>
      <c r="O48" s="926"/>
      <c r="P48" s="159">
        <f t="shared" si="2"/>
        <v>507755</v>
      </c>
      <c r="Q48" s="161"/>
      <c r="R48" s="161"/>
      <c r="S48" s="161"/>
      <c r="T48" s="161"/>
      <c r="U48" s="161">
        <v>338503</v>
      </c>
      <c r="V48" s="161">
        <v>169252</v>
      </c>
      <c r="W48" s="290"/>
      <c r="X48" s="273"/>
      <c r="Y48" s="273"/>
    </row>
    <row r="49" spans="1:29" ht="39.9" customHeight="1" x14ac:dyDescent="0.25">
      <c r="A49" s="151">
        <f t="shared" si="3"/>
        <v>17</v>
      </c>
      <c r="B49" s="927" t="s">
        <v>328</v>
      </c>
      <c r="C49" s="928"/>
      <c r="D49" s="154"/>
      <c r="E49" s="924">
        <f>1053296+H49</f>
        <v>1053296</v>
      </c>
      <c r="F49" s="925"/>
      <c r="G49" s="926"/>
      <c r="H49" s="924">
        <f t="shared" si="4"/>
        <v>0</v>
      </c>
      <c r="I49" s="925"/>
      <c r="J49" s="925"/>
      <c r="K49" s="163"/>
      <c r="L49" s="924">
        <f t="shared" si="1"/>
        <v>0</v>
      </c>
      <c r="M49" s="925"/>
      <c r="N49" s="925"/>
      <c r="O49" s="926"/>
      <c r="P49" s="159">
        <f t="shared" si="2"/>
        <v>1053296</v>
      </c>
      <c r="Q49" s="160"/>
      <c r="R49" s="160"/>
      <c r="S49" s="160"/>
      <c r="T49" s="161"/>
      <c r="U49" s="160">
        <v>1053296</v>
      </c>
      <c r="V49" s="160"/>
      <c r="W49" s="288"/>
      <c r="X49" s="162"/>
      <c r="Y49" s="162"/>
    </row>
    <row r="50" spans="1:29" ht="39.9" customHeight="1" x14ac:dyDescent="0.25">
      <c r="A50" s="151">
        <f t="shared" si="3"/>
        <v>18</v>
      </c>
      <c r="B50" s="927" t="s">
        <v>329</v>
      </c>
      <c r="C50" s="928"/>
      <c r="D50" s="154"/>
      <c r="E50" s="924">
        <f>147125+H50</f>
        <v>147125</v>
      </c>
      <c r="F50" s="925"/>
      <c r="G50" s="926"/>
      <c r="H50" s="924">
        <f t="shared" si="4"/>
        <v>0</v>
      </c>
      <c r="I50" s="925"/>
      <c r="J50" s="925"/>
      <c r="K50" s="163"/>
      <c r="L50" s="924">
        <f t="shared" si="1"/>
        <v>0</v>
      </c>
      <c r="M50" s="925"/>
      <c r="N50" s="925"/>
      <c r="O50" s="926"/>
      <c r="P50" s="159">
        <f t="shared" si="2"/>
        <v>147125</v>
      </c>
      <c r="Q50" s="160"/>
      <c r="R50" s="160"/>
      <c r="S50" s="160"/>
      <c r="T50" s="161">
        <v>0</v>
      </c>
      <c r="U50" s="160">
        <v>147125</v>
      </c>
      <c r="V50" s="160"/>
      <c r="W50" s="288"/>
      <c r="X50" s="162"/>
      <c r="Y50" s="162"/>
    </row>
    <row r="51" spans="1:29" ht="43.5" customHeight="1" x14ac:dyDescent="0.25">
      <c r="A51" s="151">
        <f t="shared" si="3"/>
        <v>19</v>
      </c>
      <c r="B51" s="927" t="s">
        <v>540</v>
      </c>
      <c r="C51" s="928"/>
      <c r="D51" s="154"/>
      <c r="E51" s="924">
        <f>H51</f>
        <v>336840</v>
      </c>
      <c r="F51" s="925"/>
      <c r="G51" s="926"/>
      <c r="H51" s="924">
        <f t="shared" si="4"/>
        <v>336840</v>
      </c>
      <c r="I51" s="925"/>
      <c r="J51" s="925"/>
      <c r="K51" s="155"/>
      <c r="L51" s="924">
        <v>0</v>
      </c>
      <c r="M51" s="925"/>
      <c r="N51" s="925"/>
      <c r="O51" s="926"/>
      <c r="P51" s="159"/>
      <c r="Q51" s="160"/>
      <c r="R51" s="160"/>
      <c r="S51" s="160"/>
      <c r="T51" s="161">
        <f>'[13]р октябрь'!E19</f>
        <v>0</v>
      </c>
      <c r="U51" s="160" t="e">
        <f>'реестр октябрь'!#REF!</f>
        <v>#REF!</v>
      </c>
      <c r="V51" s="160"/>
      <c r="W51" s="289">
        <v>336840</v>
      </c>
      <c r="X51" s="162"/>
      <c r="Y51" s="162"/>
    </row>
    <row r="52" spans="1:29" ht="43.5" hidden="1" customHeight="1" x14ac:dyDescent="0.25">
      <c r="A52" s="151">
        <v>17</v>
      </c>
      <c r="B52" s="927"/>
      <c r="C52" s="928"/>
      <c r="D52" s="154"/>
      <c r="E52" s="924">
        <f t="shared" ref="E52" si="5">Q52+R52+S52+T52</f>
        <v>0</v>
      </c>
      <c r="F52" s="925"/>
      <c r="G52" s="926"/>
      <c r="H52" s="163"/>
      <c r="I52" s="164"/>
      <c r="J52" s="164"/>
      <c r="K52" s="155"/>
      <c r="L52" s="924">
        <f t="shared" ref="L52" si="6">U52</f>
        <v>0</v>
      </c>
      <c r="M52" s="925"/>
      <c r="N52" s="925"/>
      <c r="O52" s="926"/>
      <c r="P52" s="159"/>
      <c r="Q52" s="160"/>
      <c r="R52" s="160"/>
      <c r="S52" s="160"/>
      <c r="T52" s="161"/>
      <c r="U52" s="160"/>
      <c r="V52" s="160"/>
      <c r="W52" s="288"/>
      <c r="X52" s="162"/>
      <c r="Y52" s="162"/>
    </row>
    <row r="53" spans="1:29" ht="22.5" customHeight="1" x14ac:dyDescent="0.25">
      <c r="A53" s="145"/>
      <c r="B53" s="909" t="s">
        <v>37</v>
      </c>
      <c r="C53" s="911"/>
      <c r="D53" s="151"/>
      <c r="E53" s="915">
        <f>SUM(E33:G52)</f>
        <v>115456098</v>
      </c>
      <c r="F53" s="916"/>
      <c r="G53" s="917"/>
      <c r="H53" s="915">
        <f>SUM(H33:J52)</f>
        <v>13253977</v>
      </c>
      <c r="I53" s="916"/>
      <c r="J53" s="917"/>
      <c r="K53" s="155"/>
      <c r="L53" s="915">
        <f>SUM(L33:O52)</f>
        <v>4019946</v>
      </c>
      <c r="M53" s="916"/>
      <c r="N53" s="916"/>
      <c r="O53" s="917"/>
      <c r="P53" s="165" t="e">
        <f>SUM(Q53:Y53)</f>
        <v>#REF!</v>
      </c>
      <c r="Q53" s="156">
        <f>SUM(Q33:Q40)</f>
        <v>3343116</v>
      </c>
      <c r="R53" s="156">
        <f>SUM(R33:R43)</f>
        <v>16959455</v>
      </c>
      <c r="S53" s="156">
        <f>SUM(S33:S43)</f>
        <v>16778150</v>
      </c>
      <c r="T53" s="156">
        <f>SUM(T33:T52)</f>
        <v>32470175</v>
      </c>
      <c r="U53" s="156" t="e">
        <f>SUM(U33:U51)</f>
        <v>#REF!</v>
      </c>
      <c r="V53" s="156">
        <f>SUM(V33:V51)</f>
        <v>6707148</v>
      </c>
      <c r="W53" s="157">
        <f>SUM(W32:W51)</f>
        <v>9234031</v>
      </c>
      <c r="X53" s="157">
        <f>SUM(X32:X51)</f>
        <v>4019946</v>
      </c>
      <c r="Y53" s="166"/>
      <c r="AC53" s="167"/>
    </row>
    <row r="54" spans="1:29" ht="21.75" customHeight="1" x14ac:dyDescent="0.25">
      <c r="A54" s="918" t="s">
        <v>275</v>
      </c>
      <c r="B54" s="919"/>
      <c r="C54" s="920"/>
      <c r="D54" s="151"/>
      <c r="E54" s="921"/>
      <c r="F54" s="922"/>
      <c r="G54" s="923"/>
      <c r="H54" s="921"/>
      <c r="I54" s="922"/>
      <c r="J54" s="923"/>
      <c r="K54" s="168"/>
      <c r="L54" s="924">
        <f>ROUND(L53*0.2,2)</f>
        <v>803989.2</v>
      </c>
      <c r="M54" s="925"/>
      <c r="N54" s="925"/>
      <c r="O54" s="926"/>
      <c r="P54" s="159" t="e">
        <f t="shared" ref="P54:V54" si="7">P53*0.2</f>
        <v>#REF!</v>
      </c>
      <c r="Q54" s="169">
        <f t="shared" si="7"/>
        <v>668623.19999999995</v>
      </c>
      <c r="R54" s="169">
        <f t="shared" si="7"/>
        <v>3391891</v>
      </c>
      <c r="S54" s="169">
        <f t="shared" si="7"/>
        <v>3355630</v>
      </c>
      <c r="T54" s="170">
        <f t="shared" si="7"/>
        <v>6494035</v>
      </c>
      <c r="U54" s="170" t="e">
        <f t="shared" si="7"/>
        <v>#REF!</v>
      </c>
      <c r="V54" s="170">
        <f t="shared" si="7"/>
        <v>1341429.6000000001</v>
      </c>
      <c r="W54" s="160"/>
      <c r="X54" s="171"/>
      <c r="Y54" s="171"/>
    </row>
    <row r="55" spans="1:29" ht="23.25" customHeight="1" x14ac:dyDescent="0.25">
      <c r="A55" s="909" t="s">
        <v>276</v>
      </c>
      <c r="B55" s="910"/>
      <c r="C55" s="911"/>
      <c r="D55" s="151"/>
      <c r="E55" s="912"/>
      <c r="F55" s="913"/>
      <c r="G55" s="914"/>
      <c r="H55" s="912"/>
      <c r="I55" s="913"/>
      <c r="J55" s="914"/>
      <c r="K55" s="168"/>
      <c r="L55" s="915">
        <f>L53+L54</f>
        <v>4823935.2</v>
      </c>
      <c r="M55" s="916"/>
      <c r="N55" s="916"/>
      <c r="O55" s="917"/>
      <c r="P55" s="165" t="e">
        <f t="shared" ref="P55:V55" si="8">P53+P54</f>
        <v>#REF!</v>
      </c>
      <c r="Q55" s="172">
        <f t="shared" si="8"/>
        <v>4011739.2</v>
      </c>
      <c r="R55" s="172">
        <f t="shared" si="8"/>
        <v>20351346</v>
      </c>
      <c r="S55" s="172">
        <f t="shared" si="8"/>
        <v>20133780</v>
      </c>
      <c r="T55" s="172">
        <f t="shared" si="8"/>
        <v>38964210</v>
      </c>
      <c r="U55" s="172" t="e">
        <f t="shared" si="8"/>
        <v>#REF!</v>
      </c>
      <c r="V55" s="172">
        <f t="shared" si="8"/>
        <v>8048577.5999999996</v>
      </c>
      <c r="W55" s="157"/>
      <c r="X55" s="166"/>
      <c r="Y55" s="173"/>
    </row>
    <row r="56" spans="1:29" ht="17.25" customHeight="1" x14ac:dyDescent="0.25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74"/>
      <c r="M56" s="174"/>
      <c r="N56" s="174"/>
      <c r="O56" s="174"/>
      <c r="P56" s="286" t="s">
        <v>363</v>
      </c>
      <c r="T56" s="175"/>
      <c r="U56" s="180"/>
    </row>
    <row r="57" spans="1:29" ht="17.399999999999999" x14ac:dyDescent="0.25">
      <c r="A57" s="908" t="s">
        <v>29</v>
      </c>
      <c r="B57" s="908"/>
      <c r="C57" s="122"/>
      <c r="D57" s="122"/>
      <c r="E57" s="122"/>
      <c r="F57" s="122"/>
      <c r="G57" s="122"/>
      <c r="H57" s="122"/>
      <c r="I57" s="122"/>
      <c r="J57" s="122"/>
      <c r="K57" s="122"/>
      <c r="L57" s="176"/>
      <c r="M57" s="176"/>
      <c r="N57" s="176"/>
      <c r="O57" s="176"/>
      <c r="P57" s="285">
        <f>L55*0.85</f>
        <v>4100344.92</v>
      </c>
      <c r="R57" s="177"/>
      <c r="T57" s="175"/>
      <c r="U57" s="180"/>
    </row>
    <row r="58" spans="1:29" ht="28.5" customHeight="1" x14ac:dyDescent="0.25">
      <c r="A58" s="903" t="s">
        <v>277</v>
      </c>
      <c r="B58" s="903"/>
      <c r="C58" s="903"/>
      <c r="D58" s="903"/>
      <c r="E58" s="122"/>
      <c r="F58" s="178"/>
      <c r="G58" s="178"/>
      <c r="H58" s="178"/>
      <c r="I58" s="178"/>
      <c r="J58" s="122"/>
      <c r="K58" s="122"/>
      <c r="L58" s="904" t="s">
        <v>42</v>
      </c>
      <c r="M58" s="904"/>
      <c r="N58" s="904"/>
      <c r="O58" s="904"/>
      <c r="P58" s="284"/>
      <c r="R58" s="180"/>
      <c r="T58" s="175"/>
    </row>
    <row r="59" spans="1:29" ht="12.75" customHeight="1" x14ac:dyDescent="0.25">
      <c r="A59" s="908"/>
      <c r="B59" s="908"/>
      <c r="C59" s="122"/>
      <c r="D59" s="122"/>
      <c r="E59" s="122"/>
      <c r="F59" s="906" t="s">
        <v>278</v>
      </c>
      <c r="G59" s="906"/>
      <c r="H59" s="906"/>
      <c r="I59" s="906"/>
      <c r="J59" s="119"/>
      <c r="K59" s="905" t="s">
        <v>279</v>
      </c>
      <c r="L59" s="905"/>
      <c r="M59" s="905"/>
      <c r="N59" s="905"/>
      <c r="O59" s="905"/>
      <c r="P59" s="117"/>
    </row>
    <row r="60" spans="1:29" x14ac:dyDescent="0.25">
      <c r="B60" s="148" t="s">
        <v>41</v>
      </c>
      <c r="C60" s="148"/>
      <c r="D60" s="122"/>
      <c r="E60" s="122"/>
    </row>
    <row r="61" spans="1:29" ht="9.75" customHeight="1" x14ac:dyDescent="0.25">
      <c r="B61" s="148"/>
      <c r="C61" s="148"/>
      <c r="D61" s="122"/>
      <c r="E61" s="122"/>
    </row>
    <row r="62" spans="1:29" x14ac:dyDescent="0.25">
      <c r="A62" s="908" t="s">
        <v>280</v>
      </c>
      <c r="B62" s="908"/>
      <c r="C62" s="908" t="s">
        <v>281</v>
      </c>
      <c r="D62" s="908"/>
      <c r="E62" s="908"/>
      <c r="F62" s="908"/>
      <c r="G62" s="905"/>
      <c r="H62" s="905"/>
      <c r="I62" s="905"/>
      <c r="J62" s="905"/>
      <c r="K62" s="119"/>
      <c r="L62" s="905"/>
      <c r="M62" s="905"/>
      <c r="N62" s="905"/>
      <c r="O62" s="905"/>
      <c r="P62" s="117"/>
    </row>
    <row r="63" spans="1:29" ht="24.75" customHeight="1" x14ac:dyDescent="0.25">
      <c r="A63" s="903" t="s">
        <v>282</v>
      </c>
      <c r="B63" s="903"/>
      <c r="C63" s="903"/>
      <c r="D63" s="903"/>
      <c r="E63" s="903"/>
      <c r="F63" s="181"/>
      <c r="G63" s="182"/>
      <c r="H63" s="182"/>
      <c r="I63" s="182"/>
      <c r="J63" s="148"/>
      <c r="K63" s="119"/>
      <c r="L63" s="904" t="s">
        <v>283</v>
      </c>
      <c r="M63" s="904"/>
      <c r="N63" s="904"/>
      <c r="O63" s="904"/>
      <c r="P63" s="179"/>
    </row>
    <row r="64" spans="1:29" ht="12.75" customHeight="1" x14ac:dyDescent="0.25">
      <c r="A64" s="905"/>
      <c r="B64" s="905"/>
      <c r="C64" s="119"/>
      <c r="D64" s="119"/>
      <c r="E64" s="119"/>
      <c r="F64" s="906" t="s">
        <v>278</v>
      </c>
      <c r="G64" s="906"/>
      <c r="H64" s="906"/>
      <c r="I64" s="906"/>
      <c r="J64" s="119"/>
      <c r="K64" s="907" t="s">
        <v>279</v>
      </c>
      <c r="L64" s="907"/>
      <c r="M64" s="907"/>
      <c r="N64" s="907"/>
      <c r="O64" s="907"/>
      <c r="P64" s="133"/>
    </row>
    <row r="65" spans="1:17" x14ac:dyDescent="0.25">
      <c r="B65" s="148" t="s">
        <v>41</v>
      </c>
      <c r="C65" s="119"/>
      <c r="D65" s="902"/>
      <c r="E65" s="902"/>
      <c r="F65" s="902"/>
      <c r="G65" s="902"/>
      <c r="H65" s="902"/>
      <c r="I65" s="902"/>
      <c r="J65" s="902"/>
      <c r="K65" s="902"/>
      <c r="L65" s="902"/>
      <c r="M65" s="902"/>
      <c r="N65" s="902"/>
      <c r="O65" s="902"/>
      <c r="P65" s="183"/>
      <c r="Q65" s="184"/>
    </row>
    <row r="66" spans="1:17" x14ac:dyDescent="0.25">
      <c r="A66" s="185"/>
      <c r="B66" s="902"/>
      <c r="C66" s="902"/>
      <c r="D66" s="90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148"/>
      <c r="P66" s="117"/>
    </row>
  </sheetData>
  <autoFilter ref="A29:R55" xr:uid="{00000000-0009-0000-0000-000014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0">
    <mergeCell ref="B66:N66"/>
    <mergeCell ref="A63:E63"/>
    <mergeCell ref="L63:O63"/>
    <mergeCell ref="A64:B64"/>
    <mergeCell ref="F64:I64"/>
    <mergeCell ref="K64:O64"/>
    <mergeCell ref="D65:O65"/>
    <mergeCell ref="A59:B59"/>
    <mergeCell ref="F59:I59"/>
    <mergeCell ref="K59:O59"/>
    <mergeCell ref="A62:B62"/>
    <mergeCell ref="C62:F62"/>
    <mergeCell ref="G62:J62"/>
    <mergeCell ref="L62:O62"/>
    <mergeCell ref="A55:C55"/>
    <mergeCell ref="E55:G55"/>
    <mergeCell ref="H55:J55"/>
    <mergeCell ref="L55:O55"/>
    <mergeCell ref="A57:B57"/>
    <mergeCell ref="A58:D58"/>
    <mergeCell ref="L58:O58"/>
    <mergeCell ref="B53:C53"/>
    <mergeCell ref="E53:G53"/>
    <mergeCell ref="H53:J53"/>
    <mergeCell ref="L53:O53"/>
    <mergeCell ref="A54:C54"/>
    <mergeCell ref="E54:G54"/>
    <mergeCell ref="H54:J54"/>
    <mergeCell ref="L54:O54"/>
    <mergeCell ref="B51:C51"/>
    <mergeCell ref="E51:G51"/>
    <mergeCell ref="H51:J51"/>
    <mergeCell ref="L51:O51"/>
    <mergeCell ref="B52:C52"/>
    <mergeCell ref="E52:G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:F1"/>
    <mergeCell ref="G1:O1"/>
    <mergeCell ref="A2:F2"/>
    <mergeCell ref="G2:O2"/>
    <mergeCell ref="A3:F3"/>
    <mergeCell ref="G3:O3"/>
    <mergeCell ref="B8:J8"/>
    <mergeCell ref="M8:O8"/>
    <mergeCell ref="C9:H9"/>
  </mergeCells>
  <pageMargins left="0.70866141732283472" right="0.70866141732283472" top="0.74803149606299213" bottom="0.74803149606299213" header="0.31496062992125984" footer="0.31496062992125984"/>
  <pageSetup paperSize="9" scale="44" fitToHeight="10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J38"/>
  <sheetViews>
    <sheetView view="pageBreakPreview" zoomScaleNormal="100" zoomScaleSheetLayoutView="100" workbookViewId="0">
      <selection activeCell="K17" sqref="K17"/>
    </sheetView>
  </sheetViews>
  <sheetFormatPr defaultColWidth="9.109375" defaultRowHeight="13.8" x14ac:dyDescent="0.25"/>
  <cols>
    <col min="1" max="1" width="17.88671875" style="113" customWidth="1"/>
    <col min="2" max="2" width="20.88671875" style="113" customWidth="1"/>
    <col min="3" max="3" width="52.44140625" style="113" customWidth="1"/>
    <col min="4" max="4" width="10.88671875" style="113" customWidth="1"/>
    <col min="5" max="5" width="20.5546875" style="113" customWidth="1"/>
    <col min="6" max="6" width="17.5546875" style="113" customWidth="1"/>
    <col min="7" max="7" width="27.88671875" style="113" customWidth="1"/>
    <col min="8" max="8" width="21.6640625" style="109" customWidth="1"/>
    <col min="9" max="9" width="20.44140625" style="83" customWidth="1"/>
    <col min="10" max="16384" width="9.109375" style="83"/>
  </cols>
  <sheetData>
    <row r="1" spans="1:10" ht="9.75" customHeight="1" x14ac:dyDescent="0.25">
      <c r="A1" s="80"/>
      <c r="B1" s="80"/>
      <c r="C1" s="80"/>
      <c r="D1" s="80"/>
      <c r="E1" s="80"/>
      <c r="F1" s="80"/>
      <c r="G1" s="80"/>
      <c r="H1" s="81"/>
      <c r="I1" s="82"/>
      <c r="J1" s="82"/>
    </row>
    <row r="2" spans="1:10" ht="34.5" customHeight="1" x14ac:dyDescent="0.25">
      <c r="A2" s="84" t="s">
        <v>29</v>
      </c>
      <c r="B2" s="1203" t="s">
        <v>225</v>
      </c>
      <c r="C2" s="1203"/>
      <c r="D2" s="1203"/>
      <c r="E2" s="1203"/>
      <c r="F2" s="1203"/>
      <c r="G2" s="1203"/>
      <c r="H2" s="85"/>
      <c r="I2" s="82"/>
      <c r="J2" s="82"/>
    </row>
    <row r="3" spans="1:10" ht="15" customHeight="1" x14ac:dyDescent="0.25">
      <c r="A3" s="86"/>
      <c r="B3" s="1204" t="s">
        <v>226</v>
      </c>
      <c r="C3" s="1204"/>
      <c r="D3" s="1204"/>
      <c r="E3" s="1204"/>
      <c r="F3" s="1204"/>
      <c r="G3" s="1204"/>
      <c r="H3" s="81"/>
      <c r="I3" s="82"/>
      <c r="J3" s="82"/>
    </row>
    <row r="4" spans="1:10" ht="45" customHeight="1" x14ac:dyDescent="0.25">
      <c r="A4" s="87" t="s">
        <v>31</v>
      </c>
      <c r="B4" s="1205" t="s">
        <v>227</v>
      </c>
      <c r="C4" s="1205"/>
      <c r="D4" s="1205"/>
      <c r="E4" s="1205"/>
      <c r="F4" s="1205"/>
      <c r="G4" s="1205"/>
      <c r="H4" s="85"/>
      <c r="I4" s="82"/>
      <c r="J4" s="82"/>
    </row>
    <row r="5" spans="1:10" ht="15" customHeight="1" x14ac:dyDescent="0.25">
      <c r="A5" s="88"/>
      <c r="B5" s="1204" t="s">
        <v>226</v>
      </c>
      <c r="C5" s="1204"/>
      <c r="D5" s="1204"/>
      <c r="E5" s="1204"/>
      <c r="F5" s="1204"/>
      <c r="G5" s="1204"/>
      <c r="H5" s="81"/>
      <c r="I5" s="82"/>
      <c r="J5" s="82"/>
    </row>
    <row r="6" spans="1:10" ht="60" customHeight="1" x14ac:dyDescent="0.25">
      <c r="A6" s="87" t="s">
        <v>46</v>
      </c>
      <c r="B6" s="1205" t="s">
        <v>228</v>
      </c>
      <c r="C6" s="1205"/>
      <c r="D6" s="1205"/>
      <c r="E6" s="1205"/>
      <c r="F6" s="1205"/>
      <c r="G6" s="1205"/>
      <c r="H6" s="89"/>
      <c r="I6" s="90"/>
      <c r="J6" s="90"/>
    </row>
    <row r="7" spans="1:10" ht="18" customHeight="1" x14ac:dyDescent="0.25">
      <c r="A7" s="88"/>
      <c r="B7" s="1204" t="s">
        <v>229</v>
      </c>
      <c r="C7" s="1204"/>
      <c r="D7" s="1204"/>
      <c r="E7" s="1204"/>
      <c r="F7" s="1204"/>
      <c r="G7" s="1204"/>
      <c r="H7" s="81"/>
      <c r="I7" s="82"/>
      <c r="J7" s="82"/>
    </row>
    <row r="8" spans="1:10" ht="26.25" customHeight="1" x14ac:dyDescent="0.25">
      <c r="A8" s="1202" t="s">
        <v>545</v>
      </c>
      <c r="B8" s="1202"/>
      <c r="C8" s="1202"/>
      <c r="D8" s="1202"/>
      <c r="E8" s="1202"/>
      <c r="F8" s="1202"/>
      <c r="G8" s="1202"/>
      <c r="H8" s="91"/>
      <c r="I8" s="92"/>
      <c r="J8" s="92"/>
    </row>
    <row r="9" spans="1:10" ht="5.25" customHeight="1" x14ac:dyDescent="0.25">
      <c r="A9" s="93"/>
      <c r="B9" s="93"/>
      <c r="C9" s="93"/>
      <c r="D9" s="93"/>
      <c r="E9" s="93"/>
      <c r="F9" s="88"/>
      <c r="G9" s="93"/>
      <c r="H9" s="81"/>
    </row>
    <row r="10" spans="1:10" ht="24.75" customHeight="1" thickBot="1" x14ac:dyDescent="0.3">
      <c r="A10" s="94" t="s">
        <v>230</v>
      </c>
      <c r="B10" s="94" t="s">
        <v>231</v>
      </c>
      <c r="C10" s="94" t="s">
        <v>232</v>
      </c>
      <c r="D10" s="94" t="s">
        <v>233</v>
      </c>
      <c r="E10" s="94" t="s">
        <v>234</v>
      </c>
      <c r="F10" s="94" t="s">
        <v>235</v>
      </c>
      <c r="G10" s="94" t="s">
        <v>236</v>
      </c>
      <c r="H10" s="95" t="s">
        <v>237</v>
      </c>
    </row>
    <row r="11" spans="1:10" ht="30" customHeight="1" thickTop="1" thickBot="1" x14ac:dyDescent="0.3">
      <c r="A11" s="99">
        <v>1</v>
      </c>
      <c r="B11" s="302" t="s">
        <v>238</v>
      </c>
      <c r="C11" s="101" t="s">
        <v>239</v>
      </c>
      <c r="D11" s="99">
        <v>46</v>
      </c>
      <c r="E11" s="102">
        <f>'46_02-01-01(2016)'!M64</f>
        <v>4019946</v>
      </c>
      <c r="F11" s="103">
        <f>'46_02-01-01(2016)'!M65</f>
        <v>803989.2</v>
      </c>
      <c r="G11" s="104">
        <f t="shared" ref="G11" si="0">E11+F11</f>
        <v>4823935.2</v>
      </c>
      <c r="H11" s="97">
        <f>'46_02-01-01(2016)'!M66</f>
        <v>4823935.2</v>
      </c>
      <c r="I11" s="98">
        <f t="shared" ref="I11" si="1">G11-H11</f>
        <v>0</v>
      </c>
    </row>
    <row r="12" spans="1:10" ht="30" hidden="1" customHeight="1" x14ac:dyDescent="0.25">
      <c r="A12" s="296"/>
      <c r="B12" s="297"/>
      <c r="C12" s="298"/>
      <c r="D12" s="296"/>
      <c r="E12" s="299"/>
      <c r="F12" s="300"/>
      <c r="G12" s="301"/>
      <c r="H12" s="97"/>
      <c r="I12" s="98"/>
    </row>
    <row r="13" spans="1:10" ht="30" hidden="1" customHeight="1" thickBot="1" x14ac:dyDescent="0.3">
      <c r="A13" s="96"/>
      <c r="B13" s="100"/>
      <c r="C13" s="101"/>
      <c r="D13" s="99"/>
      <c r="E13" s="102"/>
      <c r="F13" s="103"/>
      <c r="G13" s="104"/>
      <c r="H13" s="97"/>
      <c r="I13" s="98"/>
    </row>
    <row r="14" spans="1:10" ht="30" hidden="1" customHeight="1" thickBot="1" x14ac:dyDescent="0.3">
      <c r="A14" s="278"/>
      <c r="B14" s="279"/>
      <c r="C14" s="280"/>
      <c r="D14" s="278"/>
      <c r="E14" s="281"/>
      <c r="F14" s="282"/>
      <c r="G14" s="283"/>
      <c r="H14" s="97"/>
      <c r="I14" s="98"/>
    </row>
    <row r="15" spans="1:10" ht="30.75" customHeight="1" thickTop="1" x14ac:dyDescent="0.25">
      <c r="A15" s="105"/>
      <c r="B15" s="106" t="s">
        <v>37</v>
      </c>
      <c r="C15" s="105"/>
      <c r="D15" s="105"/>
      <c r="E15" s="107">
        <f>SUM(E11:E14)</f>
        <v>4019946</v>
      </c>
      <c r="F15" s="107">
        <f>SUM(F11:F14)</f>
        <v>803989.2</v>
      </c>
      <c r="G15" s="107">
        <f>SUM(G11:G14)</f>
        <v>4823935.2</v>
      </c>
      <c r="H15" s="97">
        <f>SUM(H11:H14)</f>
        <v>4823935.2</v>
      </c>
      <c r="I15" s="108">
        <f>G15-H15</f>
        <v>0</v>
      </c>
    </row>
    <row r="16" spans="1:10" x14ac:dyDescent="0.25">
      <c r="A16" s="80"/>
      <c r="B16" s="80"/>
      <c r="C16" s="80"/>
      <c r="D16" s="80"/>
      <c r="E16" s="80"/>
      <c r="F16" s="80"/>
      <c r="G16" s="80"/>
    </row>
    <row r="17" spans="1:9" x14ac:dyDescent="0.25">
      <c r="A17" s="80"/>
      <c r="B17" s="80"/>
      <c r="C17" s="80"/>
      <c r="D17" s="80"/>
      <c r="E17" s="80"/>
      <c r="F17" s="80"/>
      <c r="G17" s="110"/>
      <c r="H17" s="111"/>
      <c r="I17" s="112"/>
    </row>
    <row r="18" spans="1:9" x14ac:dyDescent="0.25">
      <c r="A18" s="80"/>
      <c r="B18" s="80"/>
      <c r="C18" s="80"/>
      <c r="D18" s="80"/>
      <c r="E18" s="80"/>
      <c r="F18" s="80"/>
      <c r="G18" s="80"/>
    </row>
    <row r="19" spans="1:9" x14ac:dyDescent="0.25">
      <c r="A19" s="80"/>
      <c r="B19" s="80"/>
      <c r="C19" s="80"/>
      <c r="D19" s="80"/>
      <c r="E19" s="80"/>
      <c r="F19" s="80"/>
      <c r="G19" s="80"/>
    </row>
    <row r="20" spans="1:9" x14ac:dyDescent="0.25">
      <c r="A20" s="80"/>
      <c r="B20" s="80"/>
      <c r="C20" s="80"/>
      <c r="D20" s="80"/>
      <c r="E20" s="80"/>
      <c r="F20" s="80"/>
      <c r="G20" s="80"/>
    </row>
    <row r="21" spans="1:9" x14ac:dyDescent="0.25">
      <c r="A21" s="80"/>
      <c r="B21" s="80"/>
      <c r="C21" s="80"/>
      <c r="D21" s="80"/>
      <c r="E21" s="80"/>
      <c r="F21" s="80"/>
      <c r="G21" s="80"/>
    </row>
    <row r="22" spans="1:9" x14ac:dyDescent="0.25">
      <c r="A22" s="80"/>
      <c r="B22" s="80"/>
      <c r="C22" s="80"/>
      <c r="D22" s="80"/>
      <c r="E22" s="80"/>
      <c r="F22" s="80"/>
      <c r="G22" s="80"/>
    </row>
    <row r="23" spans="1:9" x14ac:dyDescent="0.25">
      <c r="A23" s="80"/>
      <c r="B23" s="80"/>
      <c r="C23" s="80"/>
      <c r="D23" s="80"/>
      <c r="E23" s="80"/>
      <c r="F23" s="80"/>
      <c r="G23" s="80"/>
    </row>
    <row r="38" spans="1:1" x14ac:dyDescent="0.25">
      <c r="A38" s="113">
        <v>7</v>
      </c>
    </row>
  </sheetData>
  <mergeCells count="7">
    <mergeCell ref="A8:G8"/>
    <mergeCell ref="B2:G2"/>
    <mergeCell ref="B3:G3"/>
    <mergeCell ref="B4:G4"/>
    <mergeCell ref="B5:G5"/>
    <mergeCell ref="B6:G6"/>
    <mergeCell ref="B7:G7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Q185"/>
  <sheetViews>
    <sheetView showGridLines="0" topLeftCell="A10" workbookViewId="0">
      <selection activeCell="A31" sqref="A31:O31"/>
    </sheetView>
  </sheetViews>
  <sheetFormatPr defaultColWidth="9.109375" defaultRowHeight="11.25" customHeight="1" x14ac:dyDescent="0.25"/>
  <cols>
    <col min="1" max="1" width="5.44140625" style="272" customWidth="1"/>
    <col min="2" max="2" width="8.33203125" style="272" customWidth="1"/>
    <col min="3" max="3" width="34.44140625" style="272" customWidth="1"/>
    <col min="4" max="4" width="11.88671875" style="272" customWidth="1"/>
    <col min="5" max="6" width="12.109375" style="272" customWidth="1"/>
    <col min="7" max="7" width="9.6640625" style="272" customWidth="1"/>
    <col min="8" max="9" width="12.109375" style="272" customWidth="1"/>
    <col min="10" max="10" width="9.6640625" style="272" customWidth="1"/>
    <col min="11" max="12" width="12.109375" style="272" customWidth="1"/>
    <col min="13" max="13" width="14.33203125" style="272" customWidth="1"/>
    <col min="14" max="14" width="12.109375" style="272" customWidth="1"/>
    <col min="15" max="15" width="12.6640625" style="272" customWidth="1"/>
    <col min="16" max="16" width="9.109375" style="272"/>
    <col min="17" max="16384" width="9.109375" style="291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1180" t="s">
        <v>0</v>
      </c>
      <c r="N2" s="1180"/>
      <c r="O2" s="1180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1181" t="s">
        <v>2</v>
      </c>
      <c r="N3" s="1181"/>
      <c r="O3" s="1181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1182"/>
      <c r="N4" s="1183"/>
      <c r="O4" s="1184"/>
    </row>
    <row r="5" spans="1:15" s="18" customFormat="1" ht="13.2" x14ac:dyDescent="0.25">
      <c r="A5" s="13" t="s">
        <v>3</v>
      </c>
      <c r="B5" s="22"/>
      <c r="C5" s="1185"/>
      <c r="D5" s="1185"/>
      <c r="E5" s="1185"/>
      <c r="F5" s="1185"/>
      <c r="G5" s="1185"/>
      <c r="H5" s="1185"/>
      <c r="I5" s="1185"/>
      <c r="J5" s="1185"/>
      <c r="K5" s="1185"/>
      <c r="L5" s="26" t="s">
        <v>4</v>
      </c>
      <c r="M5" s="1186"/>
      <c r="N5" s="1169"/>
      <c r="O5" s="1170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1192"/>
      <c r="N6" s="1193"/>
      <c r="O6" s="1194"/>
    </row>
    <row r="7" spans="1:15" s="18" customFormat="1" ht="39" customHeight="1" x14ac:dyDescent="0.25">
      <c r="A7" s="1195" t="s">
        <v>29</v>
      </c>
      <c r="B7" s="1195"/>
      <c r="C7" s="1197" t="s">
        <v>44</v>
      </c>
      <c r="D7" s="1197"/>
      <c r="E7" s="1197"/>
      <c r="F7" s="1197"/>
      <c r="G7" s="1197"/>
      <c r="H7" s="1197"/>
      <c r="I7" s="1197"/>
      <c r="J7" s="1197"/>
      <c r="K7" s="1197"/>
      <c r="L7" s="31" t="s">
        <v>4</v>
      </c>
      <c r="M7" s="1198" t="s">
        <v>30</v>
      </c>
      <c r="N7" s="1199"/>
      <c r="O7" s="1200"/>
    </row>
    <row r="8" spans="1:15" s="18" customFormat="1" ht="44.25" customHeight="1" x14ac:dyDescent="0.25">
      <c r="A8" s="1195" t="s">
        <v>31</v>
      </c>
      <c r="B8" s="1195"/>
      <c r="C8" s="1201" t="s">
        <v>45</v>
      </c>
      <c r="D8" s="1201"/>
      <c r="E8" s="1201"/>
      <c r="F8" s="1201"/>
      <c r="G8" s="1201"/>
      <c r="H8" s="1201"/>
      <c r="I8" s="1201"/>
      <c r="J8" s="1201"/>
      <c r="K8" s="1201"/>
      <c r="L8" s="31" t="s">
        <v>4</v>
      </c>
      <c r="M8" s="1180">
        <v>79730368</v>
      </c>
      <c r="N8" s="1180"/>
      <c r="O8" s="1180"/>
    </row>
    <row r="9" spans="1:15" s="18" customFormat="1" ht="45.75" customHeight="1" x14ac:dyDescent="0.25">
      <c r="A9" s="1196" t="s">
        <v>46</v>
      </c>
      <c r="B9" s="1196"/>
      <c r="C9" s="1195" t="s">
        <v>47</v>
      </c>
      <c r="D9" s="1195"/>
      <c r="E9" s="1195"/>
      <c r="F9" s="1195"/>
      <c r="G9" s="1195"/>
      <c r="H9" s="1195"/>
      <c r="I9" s="1195"/>
      <c r="J9" s="1195"/>
      <c r="K9" s="1195"/>
      <c r="L9" s="32"/>
      <c r="M9" s="1158"/>
      <c r="N9" s="1159"/>
      <c r="O9" s="1160"/>
    </row>
    <row r="10" spans="1:15" s="18" customFormat="1" ht="24" customHeight="1" x14ac:dyDescent="0.25">
      <c r="A10" s="13"/>
      <c r="B10" s="22"/>
      <c r="C10" s="1190" t="s">
        <v>6</v>
      </c>
      <c r="D10" s="1190"/>
      <c r="E10" s="1190"/>
      <c r="F10" s="1190"/>
      <c r="G10" s="1190"/>
      <c r="H10" s="1190"/>
      <c r="I10" s="1190"/>
      <c r="J10" s="1190"/>
      <c r="K10" s="1190"/>
      <c r="L10" s="32"/>
      <c r="M10" s="1182"/>
      <c r="N10" s="1183"/>
      <c r="O10" s="1184"/>
    </row>
    <row r="11" spans="1:15" s="18" customFormat="1" ht="13.2" x14ac:dyDescent="0.25">
      <c r="A11" s="1191" t="s">
        <v>48</v>
      </c>
      <c r="B11" s="1191"/>
      <c r="C11" s="1185" t="s">
        <v>49</v>
      </c>
      <c r="D11" s="1185"/>
      <c r="E11" s="1185"/>
      <c r="F11" s="1185"/>
      <c r="G11" s="1185"/>
      <c r="H11" s="1185"/>
      <c r="I11" s="1185"/>
      <c r="J11" s="1185"/>
      <c r="K11" s="1185"/>
      <c r="L11" s="32"/>
      <c r="M11" s="1158"/>
      <c r="N11" s="1159"/>
      <c r="O11" s="1160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1161" t="s">
        <v>32</v>
      </c>
      <c r="L12" s="1162"/>
      <c r="M12" s="1163" t="s">
        <v>33</v>
      </c>
      <c r="N12" s="1164"/>
      <c r="O12" s="1165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0" t="s">
        <v>8</v>
      </c>
      <c r="L13" s="33" t="s">
        <v>9</v>
      </c>
      <c r="M13" s="1166" t="s">
        <v>34</v>
      </c>
      <c r="N13" s="1167"/>
      <c r="O13" s="1168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1169" t="s">
        <v>35</v>
      </c>
      <c r="J15" s="1169"/>
      <c r="K15" s="1170"/>
      <c r="L15" s="33" t="s">
        <v>9</v>
      </c>
      <c r="M15" s="1163" t="s">
        <v>18</v>
      </c>
      <c r="N15" s="1164"/>
      <c r="O15" s="1165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6" s="1" customFormat="1" ht="13.2" x14ac:dyDescent="0.25">
      <c r="C17" s="27"/>
      <c r="I17" s="1161" t="s">
        <v>35</v>
      </c>
      <c r="J17" s="1161"/>
      <c r="K17" s="1162"/>
      <c r="L17" s="33" t="s">
        <v>9</v>
      </c>
      <c r="M17" s="1163" t="s">
        <v>25</v>
      </c>
      <c r="N17" s="1164"/>
      <c r="O17" s="1165"/>
    </row>
    <row r="18" spans="1:16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6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1166"/>
      <c r="N19" s="1167"/>
      <c r="O19" s="1168"/>
    </row>
    <row r="20" spans="1:16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6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0"/>
      <c r="L21" s="271"/>
      <c r="M21" s="271"/>
      <c r="N21" s="271"/>
      <c r="O21" s="32"/>
    </row>
    <row r="22" spans="1:16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0"/>
      <c r="L22" s="1189" t="s">
        <v>12</v>
      </c>
      <c r="M22" s="1189" t="s">
        <v>13</v>
      </c>
      <c r="N22" s="1181" t="s">
        <v>14</v>
      </c>
      <c r="O22" s="1181"/>
    </row>
    <row r="23" spans="1:16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0"/>
      <c r="L23" s="1189"/>
      <c r="M23" s="1189"/>
      <c r="N23" s="268" t="s">
        <v>15</v>
      </c>
      <c r="O23" s="268" t="s">
        <v>16</v>
      </c>
    </row>
    <row r="24" spans="1:16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0"/>
      <c r="L24" s="34">
        <v>46</v>
      </c>
      <c r="M24" s="37">
        <f>O24</f>
        <v>44957</v>
      </c>
      <c r="N24" s="37">
        <v>44947</v>
      </c>
      <c r="O24" s="37">
        <v>44957</v>
      </c>
    </row>
    <row r="25" spans="1:16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0"/>
      <c r="L25" s="269"/>
      <c r="M25" s="269"/>
      <c r="N25" s="269"/>
      <c r="O25" s="1"/>
    </row>
    <row r="26" spans="1:16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6" ht="21.75" customHeight="1" x14ac:dyDescent="0.25">
      <c r="A27" s="1178" t="s">
        <v>55</v>
      </c>
      <c r="B27" s="1178" t="s">
        <v>56</v>
      </c>
      <c r="C27" s="1178" t="s">
        <v>57</v>
      </c>
      <c r="D27" s="1178" t="s">
        <v>58</v>
      </c>
      <c r="E27" s="1175" t="s">
        <v>59</v>
      </c>
      <c r="F27" s="1177"/>
      <c r="G27" s="1176"/>
      <c r="H27" s="1175" t="s">
        <v>60</v>
      </c>
      <c r="I27" s="1177"/>
      <c r="J27" s="1176"/>
      <c r="K27" s="1175" t="s">
        <v>61</v>
      </c>
      <c r="L27" s="1176"/>
      <c r="M27" s="1175" t="s">
        <v>62</v>
      </c>
      <c r="N27" s="1177"/>
      <c r="O27" s="1176"/>
    </row>
    <row r="28" spans="1:16" ht="33" customHeight="1" x14ac:dyDescent="0.25">
      <c r="A28" s="1179"/>
      <c r="B28" s="1179"/>
      <c r="C28" s="1179"/>
      <c r="D28" s="1179"/>
      <c r="E28" s="1178" t="s">
        <v>63</v>
      </c>
      <c r="F28" s="43" t="s">
        <v>64</v>
      </c>
      <c r="G28" s="43" t="s">
        <v>65</v>
      </c>
      <c r="H28" s="1178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1178" t="s">
        <v>63</v>
      </c>
      <c r="N28" s="43" t="s">
        <v>64</v>
      </c>
      <c r="O28" s="43" t="s">
        <v>65</v>
      </c>
    </row>
    <row r="29" spans="1:16" ht="27.75" customHeight="1" x14ac:dyDescent="0.25">
      <c r="A29" s="1179"/>
      <c r="B29" s="1179"/>
      <c r="C29" s="1179"/>
      <c r="D29" s="1179"/>
      <c r="E29" s="1179"/>
      <c r="F29" s="44" t="s">
        <v>68</v>
      </c>
      <c r="G29" s="44" t="s">
        <v>69</v>
      </c>
      <c r="H29" s="1179"/>
      <c r="I29" s="44" t="s">
        <v>68</v>
      </c>
      <c r="J29" s="44" t="s">
        <v>69</v>
      </c>
      <c r="K29" s="44" t="s">
        <v>68</v>
      </c>
      <c r="L29" s="44" t="s">
        <v>69</v>
      </c>
      <c r="M29" s="1179"/>
      <c r="N29" s="44" t="s">
        <v>68</v>
      </c>
      <c r="O29" s="44" t="s">
        <v>69</v>
      </c>
    </row>
    <row r="30" spans="1:16" s="292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  <c r="P30" s="294"/>
    </row>
    <row r="31" spans="1:16" s="292" customFormat="1" ht="16.5" customHeight="1" x14ac:dyDescent="0.25">
      <c r="A31" s="1187" t="s">
        <v>70</v>
      </c>
      <c r="B31" s="1188"/>
      <c r="C31" s="1188"/>
      <c r="D31" s="1188"/>
      <c r="E31" s="1188"/>
      <c r="F31" s="1188"/>
      <c r="G31" s="1188"/>
      <c r="H31" s="1188"/>
      <c r="I31" s="1188"/>
      <c r="J31" s="1188"/>
      <c r="K31" s="1188"/>
      <c r="L31" s="1188"/>
      <c r="M31" s="1188"/>
      <c r="N31" s="1188"/>
      <c r="O31" s="1188"/>
      <c r="P31" s="294"/>
    </row>
    <row r="32" spans="1:16" s="293" customFormat="1" ht="66.75" customHeight="1" x14ac:dyDescent="0.3">
      <c r="A32" s="46" t="s">
        <v>18</v>
      </c>
      <c r="B32" s="47" t="s">
        <v>511</v>
      </c>
      <c r="C32" s="48" t="s">
        <v>512</v>
      </c>
      <c r="D32" s="49" t="s">
        <v>546</v>
      </c>
      <c r="E32" s="51" t="s">
        <v>513</v>
      </c>
      <c r="F32" s="51" t="s">
        <v>514</v>
      </c>
      <c r="G32" s="51" t="s">
        <v>515</v>
      </c>
      <c r="H32" s="51" t="s">
        <v>547</v>
      </c>
      <c r="I32" s="51" t="s">
        <v>548</v>
      </c>
      <c r="J32" s="51" t="s">
        <v>549</v>
      </c>
      <c r="K32" s="50"/>
      <c r="L32" s="50"/>
      <c r="M32" s="51" t="s">
        <v>547</v>
      </c>
      <c r="N32" s="51" t="s">
        <v>548</v>
      </c>
      <c r="O32" s="51" t="s">
        <v>550</v>
      </c>
      <c r="P32" s="295"/>
    </row>
    <row r="33" spans="1:15" ht="26.4" x14ac:dyDescent="0.25">
      <c r="A33" s="52"/>
      <c r="B33" s="53"/>
      <c r="C33" s="54" t="s">
        <v>551</v>
      </c>
      <c r="D33" s="55"/>
      <c r="E33" s="56" t="s">
        <v>166</v>
      </c>
      <c r="F33" s="57"/>
      <c r="G33" s="57"/>
      <c r="H33" s="56" t="s">
        <v>552</v>
      </c>
      <c r="I33" s="57"/>
      <c r="J33" s="57"/>
      <c r="K33" s="57"/>
      <c r="L33" s="56" t="s">
        <v>166</v>
      </c>
      <c r="M33" s="56" t="s">
        <v>552</v>
      </c>
      <c r="N33" s="57"/>
      <c r="O33" s="57"/>
    </row>
    <row r="34" spans="1:15" ht="26.4" x14ac:dyDescent="0.25">
      <c r="A34" s="52"/>
      <c r="B34" s="53"/>
      <c r="C34" s="54" t="s">
        <v>553</v>
      </c>
      <c r="D34" s="55"/>
      <c r="E34" s="56" t="s">
        <v>75</v>
      </c>
      <c r="F34" s="57"/>
      <c r="G34" s="57"/>
      <c r="H34" s="56" t="s">
        <v>554</v>
      </c>
      <c r="I34" s="57"/>
      <c r="J34" s="57"/>
      <c r="K34" s="57"/>
      <c r="L34" s="56" t="s">
        <v>75</v>
      </c>
      <c r="M34" s="56" t="s">
        <v>554</v>
      </c>
      <c r="N34" s="57"/>
      <c r="O34" s="57"/>
    </row>
    <row r="35" spans="1:15" ht="13.2" x14ac:dyDescent="0.25">
      <c r="A35" s="52"/>
      <c r="B35" s="53"/>
      <c r="C35" s="54" t="s">
        <v>73</v>
      </c>
      <c r="D35" s="55"/>
      <c r="E35" s="57"/>
      <c r="F35" s="57"/>
      <c r="G35" s="57"/>
      <c r="H35" s="56" t="s">
        <v>555</v>
      </c>
      <c r="I35" s="57"/>
      <c r="J35" s="57"/>
      <c r="K35" s="57"/>
      <c r="L35" s="57"/>
      <c r="M35" s="56" t="s">
        <v>555</v>
      </c>
      <c r="N35" s="57"/>
      <c r="O35" s="57"/>
    </row>
    <row r="36" spans="1:15" ht="92.4" x14ac:dyDescent="0.25">
      <c r="A36" s="46" t="s">
        <v>21</v>
      </c>
      <c r="B36" s="47" t="s">
        <v>516</v>
      </c>
      <c r="C36" s="48" t="s">
        <v>517</v>
      </c>
      <c r="D36" s="49" t="s">
        <v>556</v>
      </c>
      <c r="E36" s="51" t="s">
        <v>518</v>
      </c>
      <c r="F36" s="51" t="s">
        <v>519</v>
      </c>
      <c r="G36" s="50"/>
      <c r="H36" s="51" t="s">
        <v>557</v>
      </c>
      <c r="I36" s="51" t="s">
        <v>558</v>
      </c>
      <c r="J36" s="50"/>
      <c r="K36" s="50"/>
      <c r="L36" s="50"/>
      <c r="M36" s="51" t="s">
        <v>557</v>
      </c>
      <c r="N36" s="51" t="s">
        <v>558</v>
      </c>
      <c r="O36" s="50"/>
    </row>
    <row r="37" spans="1:15" ht="79.2" x14ac:dyDescent="0.25">
      <c r="A37" s="46" t="s">
        <v>23</v>
      </c>
      <c r="B37" s="47" t="s">
        <v>520</v>
      </c>
      <c r="C37" s="48" t="s">
        <v>176</v>
      </c>
      <c r="D37" s="49" t="s">
        <v>559</v>
      </c>
      <c r="E37" s="51" t="s">
        <v>177</v>
      </c>
      <c r="F37" s="51" t="s">
        <v>178</v>
      </c>
      <c r="G37" s="50"/>
      <c r="H37" s="51" t="s">
        <v>560</v>
      </c>
      <c r="I37" s="51" t="s">
        <v>561</v>
      </c>
      <c r="J37" s="50"/>
      <c r="K37" s="50"/>
      <c r="L37" s="50"/>
      <c r="M37" s="51" t="s">
        <v>560</v>
      </c>
      <c r="N37" s="51" t="s">
        <v>561</v>
      </c>
      <c r="O37" s="50"/>
    </row>
    <row r="38" spans="1:15" ht="105.6" x14ac:dyDescent="0.25">
      <c r="A38" s="46" t="s">
        <v>25</v>
      </c>
      <c r="B38" s="47" t="s">
        <v>521</v>
      </c>
      <c r="C38" s="48" t="s">
        <v>180</v>
      </c>
      <c r="D38" s="49" t="s">
        <v>562</v>
      </c>
      <c r="E38" s="51" t="s">
        <v>181</v>
      </c>
      <c r="F38" s="51" t="s">
        <v>182</v>
      </c>
      <c r="G38" s="50"/>
      <c r="H38" s="51" t="s">
        <v>563</v>
      </c>
      <c r="I38" s="51" t="s">
        <v>564</v>
      </c>
      <c r="J38" s="50"/>
      <c r="K38" s="50"/>
      <c r="L38" s="50"/>
      <c r="M38" s="51" t="s">
        <v>563</v>
      </c>
      <c r="N38" s="51" t="s">
        <v>564</v>
      </c>
      <c r="O38" s="50"/>
    </row>
    <row r="39" spans="1:15" ht="79.2" x14ac:dyDescent="0.25">
      <c r="A39" s="46" t="s">
        <v>43</v>
      </c>
      <c r="B39" s="47" t="s">
        <v>522</v>
      </c>
      <c r="C39" s="48" t="s">
        <v>523</v>
      </c>
      <c r="D39" s="49" t="s">
        <v>565</v>
      </c>
      <c r="E39" s="51" t="s">
        <v>524</v>
      </c>
      <c r="F39" s="51" t="s">
        <v>525</v>
      </c>
      <c r="G39" s="50"/>
      <c r="H39" s="51" t="s">
        <v>566</v>
      </c>
      <c r="I39" s="51" t="s">
        <v>567</v>
      </c>
      <c r="J39" s="50"/>
      <c r="K39" s="50"/>
      <c r="L39" s="50"/>
      <c r="M39" s="51" t="s">
        <v>566</v>
      </c>
      <c r="N39" s="51" t="s">
        <v>567</v>
      </c>
      <c r="O39" s="50"/>
    </row>
    <row r="40" spans="1:15" ht="79.2" x14ac:dyDescent="0.25">
      <c r="A40" s="46" t="s">
        <v>76</v>
      </c>
      <c r="B40" s="47" t="s">
        <v>526</v>
      </c>
      <c r="C40" s="48" t="s">
        <v>527</v>
      </c>
      <c r="D40" s="49" t="s">
        <v>568</v>
      </c>
      <c r="E40" s="51" t="s">
        <v>528</v>
      </c>
      <c r="F40" s="51" t="s">
        <v>529</v>
      </c>
      <c r="G40" s="50"/>
      <c r="H40" s="51" t="s">
        <v>569</v>
      </c>
      <c r="I40" s="51" t="s">
        <v>570</v>
      </c>
      <c r="J40" s="50"/>
      <c r="K40" s="50"/>
      <c r="L40" s="50"/>
      <c r="M40" s="51" t="s">
        <v>569</v>
      </c>
      <c r="N40" s="51" t="s">
        <v>570</v>
      </c>
      <c r="O40" s="50"/>
    </row>
    <row r="41" spans="1:15" ht="79.2" x14ac:dyDescent="0.25">
      <c r="A41" s="46" t="s">
        <v>77</v>
      </c>
      <c r="B41" s="47" t="s">
        <v>530</v>
      </c>
      <c r="C41" s="48" t="s">
        <v>184</v>
      </c>
      <c r="D41" s="49" t="s">
        <v>571</v>
      </c>
      <c r="E41" s="51" t="s">
        <v>185</v>
      </c>
      <c r="F41" s="51" t="s">
        <v>186</v>
      </c>
      <c r="G41" s="50"/>
      <c r="H41" s="51" t="s">
        <v>572</v>
      </c>
      <c r="I41" s="51" t="s">
        <v>573</v>
      </c>
      <c r="J41" s="50"/>
      <c r="K41" s="50"/>
      <c r="L41" s="50"/>
      <c r="M41" s="51" t="s">
        <v>572</v>
      </c>
      <c r="N41" s="51" t="s">
        <v>573</v>
      </c>
      <c r="O41" s="50"/>
    </row>
    <row r="42" spans="1:15" ht="79.2" x14ac:dyDescent="0.25">
      <c r="A42" s="46" t="s">
        <v>78</v>
      </c>
      <c r="B42" s="47" t="s">
        <v>531</v>
      </c>
      <c r="C42" s="48" t="s">
        <v>188</v>
      </c>
      <c r="D42" s="49" t="s">
        <v>571</v>
      </c>
      <c r="E42" s="51" t="s">
        <v>189</v>
      </c>
      <c r="F42" s="51" t="s">
        <v>190</v>
      </c>
      <c r="G42" s="50"/>
      <c r="H42" s="51" t="s">
        <v>574</v>
      </c>
      <c r="I42" s="51" t="s">
        <v>575</v>
      </c>
      <c r="J42" s="50"/>
      <c r="K42" s="50"/>
      <c r="L42" s="50"/>
      <c r="M42" s="51" t="s">
        <v>574</v>
      </c>
      <c r="N42" s="51" t="s">
        <v>575</v>
      </c>
      <c r="O42" s="50"/>
    </row>
    <row r="43" spans="1:15" ht="79.2" x14ac:dyDescent="0.25">
      <c r="A43" s="46" t="s">
        <v>79</v>
      </c>
      <c r="B43" s="47" t="s">
        <v>532</v>
      </c>
      <c r="C43" s="48" t="s">
        <v>533</v>
      </c>
      <c r="D43" s="49" t="s">
        <v>576</v>
      </c>
      <c r="E43" s="51" t="s">
        <v>534</v>
      </c>
      <c r="F43" s="51" t="s">
        <v>535</v>
      </c>
      <c r="G43" s="50"/>
      <c r="H43" s="51" t="s">
        <v>577</v>
      </c>
      <c r="I43" s="51" t="s">
        <v>578</v>
      </c>
      <c r="J43" s="50"/>
      <c r="K43" s="50"/>
      <c r="L43" s="50"/>
      <c r="M43" s="51" t="s">
        <v>577</v>
      </c>
      <c r="N43" s="51" t="s">
        <v>578</v>
      </c>
      <c r="O43" s="50"/>
    </row>
    <row r="44" spans="1:15" ht="79.2" x14ac:dyDescent="0.25">
      <c r="A44" s="46" t="s">
        <v>80</v>
      </c>
      <c r="B44" s="47" t="s">
        <v>536</v>
      </c>
      <c r="C44" s="48" t="s">
        <v>537</v>
      </c>
      <c r="D44" s="49" t="s">
        <v>576</v>
      </c>
      <c r="E44" s="51" t="s">
        <v>538</v>
      </c>
      <c r="F44" s="51" t="s">
        <v>539</v>
      </c>
      <c r="G44" s="50"/>
      <c r="H44" s="51" t="s">
        <v>579</v>
      </c>
      <c r="I44" s="51" t="s">
        <v>580</v>
      </c>
      <c r="J44" s="50"/>
      <c r="K44" s="50"/>
      <c r="L44" s="50"/>
      <c r="M44" s="51" t="s">
        <v>579</v>
      </c>
      <c r="N44" s="51" t="s">
        <v>580</v>
      </c>
      <c r="O44" s="50"/>
    </row>
    <row r="45" spans="1:15" ht="39.6" x14ac:dyDescent="0.25">
      <c r="A45" s="1171" t="s">
        <v>201</v>
      </c>
      <c r="B45" s="1172"/>
      <c r="C45" s="1172"/>
      <c r="D45" s="1172"/>
      <c r="E45" s="1172"/>
      <c r="F45" s="1172"/>
      <c r="G45" s="1172"/>
      <c r="H45" s="51" t="s">
        <v>581</v>
      </c>
      <c r="I45" s="51" t="s">
        <v>582</v>
      </c>
      <c r="J45" s="51" t="s">
        <v>583</v>
      </c>
      <c r="K45" s="50"/>
      <c r="L45" s="50"/>
      <c r="M45" s="51" t="s">
        <v>584</v>
      </c>
      <c r="N45" s="51" t="s">
        <v>585</v>
      </c>
      <c r="O45" s="51" t="s">
        <v>583</v>
      </c>
    </row>
    <row r="46" spans="1:15" ht="13.2" x14ac:dyDescent="0.25">
      <c r="A46" s="1171" t="s">
        <v>202</v>
      </c>
      <c r="B46" s="1172"/>
      <c r="C46" s="1172"/>
      <c r="D46" s="1172"/>
      <c r="E46" s="1172"/>
      <c r="F46" s="1172"/>
      <c r="G46" s="1172"/>
      <c r="H46" s="50"/>
      <c r="I46" s="50"/>
      <c r="J46" s="50"/>
      <c r="K46" s="50"/>
      <c r="L46" s="50"/>
      <c r="M46" s="50"/>
      <c r="N46" s="50"/>
      <c r="O46" s="50"/>
    </row>
    <row r="47" spans="1:15" ht="26.4" x14ac:dyDescent="0.25">
      <c r="A47" s="1171" t="s">
        <v>203</v>
      </c>
      <c r="B47" s="1172"/>
      <c r="C47" s="1172"/>
      <c r="D47" s="1172"/>
      <c r="E47" s="1172"/>
      <c r="F47" s="1172"/>
      <c r="G47" s="1172"/>
      <c r="H47" s="51" t="s">
        <v>586</v>
      </c>
      <c r="I47" s="50"/>
      <c r="J47" s="50"/>
      <c r="K47" s="50"/>
      <c r="L47" s="50"/>
      <c r="M47" s="51" t="s">
        <v>587</v>
      </c>
      <c r="N47" s="50"/>
      <c r="O47" s="50"/>
    </row>
    <row r="48" spans="1:15" ht="26.4" x14ac:dyDescent="0.25">
      <c r="A48" s="1171" t="s">
        <v>204</v>
      </c>
      <c r="B48" s="1172"/>
      <c r="C48" s="1172"/>
      <c r="D48" s="1172"/>
      <c r="E48" s="1172"/>
      <c r="F48" s="1172"/>
      <c r="G48" s="1172"/>
      <c r="H48" s="51" t="s">
        <v>588</v>
      </c>
      <c r="I48" s="50"/>
      <c r="J48" s="50"/>
      <c r="K48" s="50"/>
      <c r="L48" s="50"/>
      <c r="M48" s="51" t="s">
        <v>589</v>
      </c>
      <c r="N48" s="50"/>
      <c r="O48" s="50"/>
    </row>
    <row r="49" spans="1:15" ht="26.4" x14ac:dyDescent="0.25">
      <c r="A49" s="1171" t="s">
        <v>205</v>
      </c>
      <c r="B49" s="1172"/>
      <c r="C49" s="1172"/>
      <c r="D49" s="1172"/>
      <c r="E49" s="1172"/>
      <c r="F49" s="1172"/>
      <c r="G49" s="1172"/>
      <c r="H49" s="51" t="s">
        <v>590</v>
      </c>
      <c r="I49" s="50"/>
      <c r="J49" s="50"/>
      <c r="K49" s="50"/>
      <c r="L49" s="50"/>
      <c r="M49" s="51" t="s">
        <v>591</v>
      </c>
      <c r="N49" s="50"/>
      <c r="O49" s="50"/>
    </row>
    <row r="50" spans="1:15" ht="26.4" x14ac:dyDescent="0.25">
      <c r="A50" s="1173" t="s">
        <v>206</v>
      </c>
      <c r="B50" s="1174"/>
      <c r="C50" s="1174"/>
      <c r="D50" s="1174"/>
      <c r="E50" s="1174"/>
      <c r="F50" s="1174"/>
      <c r="G50" s="1174"/>
      <c r="H50" s="58" t="s">
        <v>592</v>
      </c>
      <c r="I50" s="59"/>
      <c r="J50" s="59"/>
      <c r="K50" s="59"/>
      <c r="L50" s="59"/>
      <c r="M50" s="58" t="s">
        <v>552</v>
      </c>
      <c r="N50" s="59"/>
      <c r="O50" s="59"/>
    </row>
    <row r="51" spans="1:15" ht="26.4" x14ac:dyDescent="0.25">
      <c r="A51" s="1173" t="s">
        <v>207</v>
      </c>
      <c r="B51" s="1174"/>
      <c r="C51" s="1174"/>
      <c r="D51" s="1174"/>
      <c r="E51" s="1174"/>
      <c r="F51" s="1174"/>
      <c r="G51" s="1174"/>
      <c r="H51" s="58" t="s">
        <v>593</v>
      </c>
      <c r="I51" s="59"/>
      <c r="J51" s="59"/>
      <c r="K51" s="59"/>
      <c r="L51" s="59"/>
      <c r="M51" s="58" t="s">
        <v>554</v>
      </c>
      <c r="N51" s="59"/>
      <c r="O51" s="59"/>
    </row>
    <row r="52" spans="1:15" ht="13.2" x14ac:dyDescent="0.25">
      <c r="A52" s="1173" t="s">
        <v>26</v>
      </c>
      <c r="B52" s="1174"/>
      <c r="C52" s="1174"/>
      <c r="D52" s="1174"/>
      <c r="E52" s="1174"/>
      <c r="F52" s="1174"/>
      <c r="G52" s="1174"/>
      <c r="H52" s="59"/>
      <c r="I52" s="59"/>
      <c r="J52" s="59"/>
      <c r="K52" s="59"/>
      <c r="L52" s="59"/>
      <c r="M52" s="59"/>
      <c r="N52" s="59"/>
      <c r="O52" s="59"/>
    </row>
    <row r="53" spans="1:15" ht="13.2" x14ac:dyDescent="0.25">
      <c r="A53" s="1171" t="s">
        <v>213</v>
      </c>
      <c r="B53" s="1172"/>
      <c r="C53" s="1172"/>
      <c r="D53" s="1172"/>
      <c r="E53" s="1172"/>
      <c r="F53" s="1172"/>
      <c r="G53" s="1172"/>
      <c r="H53" s="50"/>
      <c r="I53" s="50"/>
      <c r="J53" s="50"/>
      <c r="K53" s="50"/>
      <c r="L53" s="50"/>
      <c r="M53" s="50"/>
      <c r="N53" s="50"/>
      <c r="O53" s="50"/>
    </row>
    <row r="54" spans="1:15" ht="13.2" x14ac:dyDescent="0.25">
      <c r="A54" s="1171" t="s">
        <v>208</v>
      </c>
      <c r="B54" s="1172"/>
      <c r="C54" s="1172"/>
      <c r="D54" s="1172"/>
      <c r="E54" s="1172"/>
      <c r="F54" s="1172"/>
      <c r="G54" s="1172"/>
      <c r="H54" s="50"/>
      <c r="I54" s="50"/>
      <c r="J54" s="50"/>
      <c r="K54" s="50"/>
      <c r="L54" s="50"/>
      <c r="M54" s="50"/>
      <c r="N54" s="50"/>
      <c r="O54" s="50"/>
    </row>
    <row r="55" spans="1:15" ht="26.4" x14ac:dyDescent="0.25">
      <c r="A55" s="1171" t="s">
        <v>214</v>
      </c>
      <c r="B55" s="1172"/>
      <c r="C55" s="1172"/>
      <c r="D55" s="1172"/>
      <c r="E55" s="1172"/>
      <c r="F55" s="1172"/>
      <c r="G55" s="1172"/>
      <c r="H55" s="51" t="s">
        <v>594</v>
      </c>
      <c r="I55" s="50"/>
      <c r="J55" s="50"/>
      <c r="K55" s="50"/>
      <c r="L55" s="50"/>
      <c r="M55" s="51" t="s">
        <v>595</v>
      </c>
      <c r="N55" s="50"/>
      <c r="O55" s="50"/>
    </row>
    <row r="56" spans="1:15" ht="13.2" x14ac:dyDescent="0.25">
      <c r="A56" s="1171" t="s">
        <v>215</v>
      </c>
      <c r="B56" s="1172"/>
      <c r="C56" s="1172"/>
      <c r="D56" s="1172"/>
      <c r="E56" s="1172"/>
      <c r="F56" s="1172"/>
      <c r="G56" s="1172"/>
      <c r="H56" s="50"/>
      <c r="I56" s="50"/>
      <c r="J56" s="50"/>
      <c r="K56" s="50"/>
      <c r="L56" s="50"/>
      <c r="M56" s="51" t="s">
        <v>596</v>
      </c>
      <c r="N56" s="50"/>
      <c r="O56" s="50"/>
    </row>
    <row r="57" spans="1:15" ht="26.4" x14ac:dyDescent="0.25">
      <c r="A57" s="1173" t="s">
        <v>216</v>
      </c>
      <c r="B57" s="1174"/>
      <c r="C57" s="1174"/>
      <c r="D57" s="1174"/>
      <c r="E57" s="1174"/>
      <c r="F57" s="1174"/>
      <c r="G57" s="1174"/>
      <c r="H57" s="58" t="s">
        <v>594</v>
      </c>
      <c r="I57" s="59"/>
      <c r="J57" s="59"/>
      <c r="K57" s="59"/>
      <c r="L57" s="59"/>
      <c r="M57" s="58" t="s">
        <v>596</v>
      </c>
      <c r="N57" s="59"/>
      <c r="O57" s="59"/>
    </row>
    <row r="58" spans="1:15" s="1" customFormat="1" ht="15" customHeight="1" x14ac:dyDescent="0.25">
      <c r="A58" s="1153" t="s">
        <v>217</v>
      </c>
      <c r="B58" s="1154"/>
      <c r="C58" s="1154"/>
      <c r="D58" s="1154"/>
      <c r="E58" s="1154"/>
      <c r="F58" s="1154"/>
      <c r="G58" s="1155"/>
      <c r="H58" s="60"/>
      <c r="I58" s="61"/>
      <c r="J58" s="61"/>
      <c r="K58" s="61"/>
      <c r="L58" s="61"/>
      <c r="M58" s="62">
        <f>ROUND(M57/100*0.96,0)</f>
        <v>27958</v>
      </c>
      <c r="N58" s="61"/>
      <c r="O58" s="61"/>
    </row>
    <row r="59" spans="1:15" s="1" customFormat="1" ht="15" customHeight="1" x14ac:dyDescent="0.25">
      <c r="A59" s="1153" t="s">
        <v>36</v>
      </c>
      <c r="B59" s="1154"/>
      <c r="C59" s="1154"/>
      <c r="D59" s="1154"/>
      <c r="E59" s="1154"/>
      <c r="F59" s="1154"/>
      <c r="G59" s="1155"/>
      <c r="H59" s="60"/>
      <c r="I59" s="61"/>
      <c r="J59" s="61"/>
      <c r="K59" s="61"/>
      <c r="L59" s="61"/>
      <c r="M59" s="63">
        <f>M57+M58</f>
        <v>2940251</v>
      </c>
      <c r="N59" s="61"/>
      <c r="O59" s="61"/>
    </row>
    <row r="60" spans="1:15" s="1" customFormat="1" ht="15" customHeight="1" x14ac:dyDescent="0.25">
      <c r="A60" s="1153" t="s">
        <v>218</v>
      </c>
      <c r="B60" s="1154"/>
      <c r="C60" s="1154"/>
      <c r="D60" s="1154"/>
      <c r="E60" s="1154"/>
      <c r="F60" s="1154"/>
      <c r="G60" s="1155"/>
      <c r="H60" s="60"/>
      <c r="I60" s="61"/>
      <c r="J60" s="61"/>
      <c r="K60" s="61"/>
      <c r="L60" s="61"/>
      <c r="M60" s="62">
        <f>ROUND(M59*0.9833333333,0)</f>
        <v>2891247</v>
      </c>
      <c r="N60" s="61"/>
      <c r="O60" s="61"/>
    </row>
    <row r="61" spans="1:15" s="1" customFormat="1" ht="15" customHeight="1" x14ac:dyDescent="0.25">
      <c r="A61" s="1153" t="s">
        <v>219</v>
      </c>
      <c r="B61" s="1154"/>
      <c r="C61" s="1154"/>
      <c r="D61" s="1154"/>
      <c r="E61" s="1154"/>
      <c r="F61" s="1154"/>
      <c r="G61" s="1155"/>
      <c r="H61" s="60"/>
      <c r="I61" s="61"/>
      <c r="J61" s="61"/>
      <c r="K61" s="61"/>
      <c r="L61" s="61"/>
      <c r="M61" s="62">
        <f>ROUND(M60*1.25085,0)</f>
        <v>3616516</v>
      </c>
      <c r="N61" s="61"/>
      <c r="O61" s="61"/>
    </row>
    <row r="62" spans="1:15" s="1" customFormat="1" ht="15" customHeight="1" x14ac:dyDescent="0.25">
      <c r="A62" s="1153" t="s">
        <v>220</v>
      </c>
      <c r="B62" s="1154"/>
      <c r="C62" s="1154"/>
      <c r="D62" s="1154"/>
      <c r="E62" s="1154"/>
      <c r="F62" s="1154"/>
      <c r="G62" s="1155"/>
      <c r="H62" s="60"/>
      <c r="I62" s="61"/>
      <c r="J62" s="61"/>
      <c r="K62" s="61"/>
      <c r="L62" s="61"/>
      <c r="M62" s="62">
        <f>ROUND(M61*1.07521,0)</f>
        <v>3888514</v>
      </c>
      <c r="N62" s="61"/>
      <c r="O62" s="61"/>
    </row>
    <row r="63" spans="1:15" s="1" customFormat="1" ht="15" customHeight="1" x14ac:dyDescent="0.25">
      <c r="A63" s="1153" t="s">
        <v>221</v>
      </c>
      <c r="B63" s="1154"/>
      <c r="C63" s="1154"/>
      <c r="D63" s="1154"/>
      <c r="E63" s="1154"/>
      <c r="F63" s="1154"/>
      <c r="G63" s="1155"/>
      <c r="H63" s="60"/>
      <c r="I63" s="61"/>
      <c r="J63" s="61"/>
      <c r="K63" s="61"/>
      <c r="L63" s="61"/>
      <c r="M63" s="62">
        <f>ROUND(M62*1.0338,0)</f>
        <v>4019946</v>
      </c>
      <c r="N63" s="61"/>
      <c r="O63" s="61"/>
    </row>
    <row r="64" spans="1:15" s="1" customFormat="1" ht="15" customHeight="1" x14ac:dyDescent="0.25">
      <c r="A64" s="1153" t="s">
        <v>37</v>
      </c>
      <c r="B64" s="1154"/>
      <c r="C64" s="1154"/>
      <c r="D64" s="1154"/>
      <c r="E64" s="1154"/>
      <c r="F64" s="1154"/>
      <c r="G64" s="1155"/>
      <c r="H64" s="60"/>
      <c r="I64" s="61"/>
      <c r="J64" s="61"/>
      <c r="K64" s="61"/>
      <c r="L64" s="61"/>
      <c r="M64" s="62">
        <f>M63</f>
        <v>4019946</v>
      </c>
      <c r="N64" s="61"/>
      <c r="O64" s="61"/>
    </row>
    <row r="65" spans="1:17" s="1" customFormat="1" ht="15" customHeight="1" x14ac:dyDescent="0.25">
      <c r="A65" s="1153" t="s">
        <v>38</v>
      </c>
      <c r="B65" s="1154"/>
      <c r="C65" s="1154"/>
      <c r="D65" s="1154"/>
      <c r="E65" s="1154"/>
      <c r="F65" s="1154"/>
      <c r="G65" s="1155"/>
      <c r="H65" s="60"/>
      <c r="I65" s="61"/>
      <c r="J65" s="61"/>
      <c r="K65" s="61"/>
      <c r="L65" s="61"/>
      <c r="M65" s="64">
        <f>ROUND(M64*0.2,2)</f>
        <v>803989.2</v>
      </c>
      <c r="N65" s="61"/>
      <c r="O65" s="61"/>
    </row>
    <row r="66" spans="1:17" s="1" customFormat="1" ht="15" customHeight="1" x14ac:dyDescent="0.25">
      <c r="A66" s="1153" t="s">
        <v>39</v>
      </c>
      <c r="B66" s="1154"/>
      <c r="C66" s="1154"/>
      <c r="D66" s="1154"/>
      <c r="E66" s="1154"/>
      <c r="F66" s="1154"/>
      <c r="G66" s="1155"/>
      <c r="H66" s="60"/>
      <c r="I66" s="61"/>
      <c r="J66" s="61"/>
      <c r="K66" s="61"/>
      <c r="L66" s="61"/>
      <c r="M66" s="64">
        <f>M64+M65</f>
        <v>4823935.2</v>
      </c>
      <c r="N66" s="61"/>
      <c r="O66" s="61"/>
      <c r="Q66" s="276"/>
    </row>
    <row r="67" spans="1:17" s="1" customFormat="1" ht="13.2" x14ac:dyDescent="0.25">
      <c r="B67" s="65"/>
      <c r="C67" s="66"/>
      <c r="D67" s="6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7" s="1" customFormat="1" ht="13.2" x14ac:dyDescent="0.25">
      <c r="B68" s="65"/>
      <c r="C68" s="66"/>
      <c r="D68" s="67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7" s="1" customFormat="1" ht="13.2" x14ac:dyDescent="0.25">
      <c r="B69" s="275"/>
      <c r="C69" s="69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7" s="1" customFormat="1" ht="11.25" customHeight="1" x14ac:dyDescent="0.25">
      <c r="C70" s="27"/>
    </row>
    <row r="71" spans="1:17" s="1" customFormat="1" ht="11.25" customHeight="1" x14ac:dyDescent="0.25">
      <c r="C71" s="27"/>
    </row>
    <row r="72" spans="1:17" s="4" customFormat="1" ht="13.2" x14ac:dyDescent="0.25">
      <c r="A72" s="2"/>
      <c r="B72" s="11" t="s">
        <v>27</v>
      </c>
      <c r="C72" s="70" t="s">
        <v>222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8"/>
      <c r="O72" s="8"/>
    </row>
    <row r="73" spans="1:17" s="8" customFormat="1" ht="13.2" x14ac:dyDescent="0.25">
      <c r="A73" s="5"/>
      <c r="B73" s="6"/>
      <c r="C73" s="1156" t="s">
        <v>40</v>
      </c>
      <c r="D73" s="1156"/>
      <c r="E73" s="1156"/>
      <c r="F73" s="1156"/>
      <c r="G73" s="1156"/>
      <c r="H73" s="1156"/>
      <c r="I73" s="1156"/>
      <c r="J73" s="1156"/>
      <c r="K73" s="1156"/>
      <c r="L73" s="1156"/>
      <c r="M73" s="1156"/>
      <c r="N73" s="7"/>
      <c r="O73" s="1"/>
    </row>
    <row r="74" spans="1:17" s="1" customFormat="1" ht="13.2" x14ac:dyDescent="0.25">
      <c r="A74" s="5"/>
      <c r="B74" s="6"/>
      <c r="C74" s="71"/>
      <c r="D74" s="15"/>
      <c r="E74" s="9"/>
      <c r="F74" s="9"/>
      <c r="G74" s="9"/>
      <c r="H74" s="9"/>
      <c r="I74" s="10"/>
      <c r="J74" s="10"/>
      <c r="K74" s="10"/>
      <c r="L74" s="10"/>
      <c r="M74" s="9"/>
      <c r="N74" s="5"/>
    </row>
    <row r="75" spans="1:17" s="1" customFormat="1" ht="13.2" x14ac:dyDescent="0.25">
      <c r="A75" s="2"/>
      <c r="B75" s="11" t="s">
        <v>41</v>
      </c>
      <c r="C75" s="72"/>
      <c r="D75" s="15"/>
      <c r="E75" s="11"/>
      <c r="F75" s="11"/>
      <c r="G75" s="11"/>
      <c r="H75" s="11"/>
      <c r="I75" s="11"/>
      <c r="J75" s="11"/>
      <c r="K75" s="11"/>
      <c r="L75" s="11"/>
      <c r="M75" s="9"/>
      <c r="N75" s="5"/>
    </row>
    <row r="76" spans="1:17" s="1" customFormat="1" ht="13.2" x14ac:dyDescent="0.25">
      <c r="A76" s="5"/>
      <c r="B76" s="6"/>
      <c r="C76" s="71"/>
      <c r="D76" s="15"/>
      <c r="E76" s="9"/>
      <c r="F76" s="9"/>
      <c r="G76" s="9"/>
      <c r="H76" s="9"/>
      <c r="I76" s="10"/>
      <c r="J76" s="10"/>
      <c r="K76" s="10"/>
      <c r="L76" s="10"/>
      <c r="M76" s="9"/>
      <c r="N76" s="5"/>
    </row>
    <row r="77" spans="1:17" s="1" customFormat="1" ht="24.75" customHeight="1" x14ac:dyDescent="0.25">
      <c r="B77" s="73"/>
      <c r="C77" s="74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7" s="1" customFormat="1" ht="13.2" x14ac:dyDescent="0.25">
      <c r="A78" s="2"/>
      <c r="B78" s="11" t="s">
        <v>28</v>
      </c>
      <c r="C78" s="75" t="s">
        <v>223</v>
      </c>
      <c r="D78" s="12"/>
      <c r="E78" s="12"/>
      <c r="F78" s="12"/>
      <c r="G78" s="12"/>
      <c r="H78" s="12"/>
      <c r="I78" s="12"/>
      <c r="J78" s="12" t="s">
        <v>42</v>
      </c>
      <c r="K78" s="12"/>
      <c r="L78" s="12"/>
      <c r="M78" s="76"/>
      <c r="N78" s="77"/>
    </row>
    <row r="79" spans="1:17" s="1" customFormat="1" ht="13.2" x14ac:dyDescent="0.25">
      <c r="A79" s="5"/>
      <c r="B79" s="6"/>
      <c r="C79" s="1157" t="s">
        <v>40</v>
      </c>
      <c r="D79" s="1157"/>
      <c r="E79" s="1157"/>
      <c r="F79" s="1157"/>
      <c r="G79" s="1157"/>
      <c r="H79" s="1157"/>
      <c r="I79" s="1157"/>
      <c r="J79" s="1157"/>
      <c r="K79" s="1157"/>
      <c r="L79" s="1157"/>
      <c r="M79" s="1157"/>
      <c r="N79" s="7"/>
    </row>
    <row r="80" spans="1:17" s="1" customFormat="1" ht="13.2" x14ac:dyDescent="0.25">
      <c r="A80" s="5"/>
      <c r="B80" s="6"/>
      <c r="C80" s="71"/>
    </row>
    <row r="81" spans="1:16" s="1" customFormat="1" ht="13.2" x14ac:dyDescent="0.25">
      <c r="A81" s="2"/>
      <c r="B81" s="11" t="s">
        <v>41</v>
      </c>
      <c r="C81" s="72"/>
    </row>
    <row r="82" spans="1:16" s="79" customFormat="1" ht="13.2" x14ac:dyDescent="0.25">
      <c r="A82" s="65"/>
      <c r="B82" s="65"/>
      <c r="C82" s="66"/>
      <c r="D82" s="67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78"/>
    </row>
    <row r="83" spans="1:16" s="277" customFormat="1" ht="12" x14ac:dyDescent="0.25">
      <c r="A83" s="272"/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  <c r="O83" s="272"/>
      <c r="P83" s="272"/>
    </row>
    <row r="108" ht="12" x14ac:dyDescent="0.25"/>
    <row r="185" ht="12" x14ac:dyDescent="0.25"/>
  </sheetData>
  <mergeCells count="67">
    <mergeCell ref="A64:G64"/>
    <mergeCell ref="A65:G65"/>
    <mergeCell ref="A66:G66"/>
    <mergeCell ref="C73:M73"/>
    <mergeCell ref="C79:M79"/>
    <mergeCell ref="A58:G58"/>
    <mergeCell ref="A59:G59"/>
    <mergeCell ref="A60:G60"/>
    <mergeCell ref="A61:G61"/>
    <mergeCell ref="A62:G62"/>
    <mergeCell ref="A63:G63"/>
    <mergeCell ref="M11:O11"/>
    <mergeCell ref="K12:L12"/>
    <mergeCell ref="M12:O12"/>
    <mergeCell ref="M13:O13"/>
    <mergeCell ref="I15:K15"/>
    <mergeCell ref="M15:O15"/>
    <mergeCell ref="A55:G55"/>
    <mergeCell ref="A56:G56"/>
    <mergeCell ref="A57:G57"/>
    <mergeCell ref="A46:G46"/>
    <mergeCell ref="A27:A29"/>
    <mergeCell ref="B27:B29"/>
    <mergeCell ref="C27:C29"/>
    <mergeCell ref="D27:D29"/>
    <mergeCell ref="E27:G27"/>
    <mergeCell ref="E28:E29"/>
    <mergeCell ref="H28:H29"/>
    <mergeCell ref="M28:M29"/>
    <mergeCell ref="A31:O31"/>
    <mergeCell ref="A45:G45"/>
    <mergeCell ref="A53:G53"/>
    <mergeCell ref="A54:G54"/>
    <mergeCell ref="A47:G47"/>
    <mergeCell ref="A48:G48"/>
    <mergeCell ref="A49:G49"/>
    <mergeCell ref="A50:G50"/>
    <mergeCell ref="A51:G51"/>
    <mergeCell ref="A52:G52"/>
    <mergeCell ref="M2:O2"/>
    <mergeCell ref="M3:O3"/>
    <mergeCell ref="M4:O4"/>
    <mergeCell ref="C5:K5"/>
    <mergeCell ref="M5:O5"/>
    <mergeCell ref="M19:O19"/>
    <mergeCell ref="C10:K10"/>
    <mergeCell ref="M10:O10"/>
    <mergeCell ref="H27:J27"/>
    <mergeCell ref="K27:L27"/>
    <mergeCell ref="M27:O27"/>
    <mergeCell ref="L22:L23"/>
    <mergeCell ref="M22:M23"/>
    <mergeCell ref="N22:O22"/>
    <mergeCell ref="A11:B11"/>
    <mergeCell ref="C11:K11"/>
    <mergeCell ref="M6:O6"/>
    <mergeCell ref="A7:B7"/>
    <mergeCell ref="I17:K17"/>
    <mergeCell ref="M17:O17"/>
    <mergeCell ref="A9:B9"/>
    <mergeCell ref="C9:K9"/>
    <mergeCell ref="M9:O9"/>
    <mergeCell ref="C7:K7"/>
    <mergeCell ref="M7:O7"/>
    <mergeCell ref="A8:B8"/>
    <mergeCell ref="C8:K8"/>
    <mergeCell ref="M8:O8"/>
  </mergeCells>
  <pageMargins left="0.23622047901153601" right="0.23622047901153601" top="0.74803149700164795" bottom="0.74803149700164795" header="0.31496062874794001" footer="0.31496062874794001"/>
  <pageSetup paperSize="9" scale="23" orientation="landscape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2:AO36"/>
  <sheetViews>
    <sheetView view="pageBreakPreview" topLeftCell="P10" zoomScale="70" zoomScaleNormal="60" zoomScaleSheetLayoutView="70" workbookViewId="0">
      <selection activeCell="Z17" sqref="Z17"/>
    </sheetView>
  </sheetViews>
  <sheetFormatPr defaultColWidth="9.109375" defaultRowHeight="16.2" x14ac:dyDescent="0.3"/>
  <cols>
    <col min="1" max="1" width="6.88671875" style="186" customWidth="1"/>
    <col min="2" max="2" width="27.33203125" style="186" customWidth="1"/>
    <col min="3" max="3" width="21.109375" style="186" customWidth="1"/>
    <col min="4" max="4" width="11.5546875" style="186" customWidth="1"/>
    <col min="5" max="5" width="17.44140625" style="186" customWidth="1"/>
    <col min="6" max="6" width="18.6640625" style="186" customWidth="1"/>
    <col min="7" max="7" width="22.109375" style="186" customWidth="1"/>
    <col min="8" max="11" width="19.6640625" style="187" customWidth="1"/>
    <col min="12" max="17" width="19.6640625" style="186" customWidth="1"/>
    <col min="18" max="32" width="19.6640625" style="188" customWidth="1"/>
    <col min="33" max="33" width="22.5546875" style="188" customWidth="1"/>
    <col min="34" max="34" width="15.33203125" style="186" customWidth="1"/>
    <col min="35" max="35" width="11.6640625" style="186" customWidth="1"/>
    <col min="36" max="36" width="19.33203125" style="186" customWidth="1"/>
    <col min="37" max="37" width="19.5546875" style="186" customWidth="1"/>
    <col min="38" max="38" width="23.6640625" style="186" customWidth="1"/>
    <col min="39" max="39" width="12" style="186" bestFit="1" customWidth="1"/>
    <col min="40" max="16384" width="9.109375" style="186"/>
  </cols>
  <sheetData>
    <row r="2" spans="1:41" ht="26.25" customHeight="1" x14ac:dyDescent="0.3">
      <c r="C2" s="1219" t="s">
        <v>288</v>
      </c>
      <c r="D2" s="1219"/>
      <c r="E2" s="1219"/>
      <c r="F2" s="1219"/>
      <c r="G2" s="1219"/>
      <c r="H2" s="1219"/>
    </row>
    <row r="3" spans="1:41" ht="42" customHeight="1" x14ac:dyDescent="0.3">
      <c r="C3" s="1220" t="s">
        <v>289</v>
      </c>
      <c r="D3" s="1220"/>
      <c r="E3" s="1220"/>
      <c r="F3" s="1220"/>
      <c r="G3" s="1220"/>
      <c r="H3" s="1220"/>
      <c r="I3" s="1220"/>
    </row>
    <row r="5" spans="1:41" x14ac:dyDescent="0.3">
      <c r="A5" s="186" t="s">
        <v>290</v>
      </c>
      <c r="K5" s="189"/>
      <c r="M5" s="190"/>
      <c r="O5" s="190"/>
      <c r="Q5" s="190"/>
      <c r="R5" s="191"/>
      <c r="S5" s="191"/>
      <c r="T5" s="191"/>
      <c r="U5" s="191"/>
      <c r="V5" s="191"/>
      <c r="AF5" s="191" t="s">
        <v>291</v>
      </c>
      <c r="AG5" s="191"/>
    </row>
    <row r="6" spans="1:41" x14ac:dyDescent="0.3">
      <c r="I6" s="192" t="s">
        <v>281</v>
      </c>
      <c r="J6" s="192"/>
      <c r="K6" s="192"/>
      <c r="L6" s="193"/>
      <c r="M6" s="193"/>
      <c r="N6" s="193"/>
      <c r="O6" s="193"/>
      <c r="P6" s="193"/>
      <c r="Q6" s="193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</row>
    <row r="8" spans="1:41" ht="18.75" customHeight="1" x14ac:dyDescent="0.3">
      <c r="A8" s="1221" t="s">
        <v>292</v>
      </c>
      <c r="B8" s="1221"/>
      <c r="C8" s="1221"/>
      <c r="D8" s="1221"/>
      <c r="E8" s="1221"/>
      <c r="F8" s="1221"/>
      <c r="G8" s="1221"/>
      <c r="H8" s="1221"/>
      <c r="I8" s="1221"/>
      <c r="J8" s="1221"/>
      <c r="K8" s="1221"/>
      <c r="L8" s="1221"/>
      <c r="M8" s="1221"/>
      <c r="N8" s="1221"/>
      <c r="O8" s="1221"/>
      <c r="P8" s="1221"/>
      <c r="Q8" s="1221"/>
      <c r="R8" s="1221"/>
      <c r="S8" s="1221"/>
      <c r="T8" s="1221"/>
      <c r="U8" s="1221"/>
      <c r="V8" s="1221"/>
      <c r="W8" s="1221"/>
      <c r="X8" s="1221"/>
      <c r="Y8" s="1221"/>
      <c r="Z8" s="1221"/>
      <c r="AA8" s="1221"/>
      <c r="AB8" s="1221"/>
      <c r="AC8" s="1221"/>
      <c r="AD8" s="1221"/>
      <c r="AE8" s="1221"/>
      <c r="AF8" s="1221"/>
      <c r="AG8" s="1221"/>
    </row>
    <row r="9" spans="1:41" x14ac:dyDescent="0.3">
      <c r="A9" s="1221"/>
      <c r="B9" s="1221"/>
      <c r="C9" s="1221"/>
      <c r="D9" s="1221"/>
      <c r="E9" s="1221"/>
      <c r="F9" s="1221"/>
      <c r="G9" s="1221"/>
      <c r="H9" s="1221"/>
      <c r="I9" s="1221"/>
      <c r="J9" s="1221"/>
      <c r="K9" s="1221"/>
      <c r="L9" s="1221"/>
      <c r="M9" s="1221"/>
      <c r="N9" s="1221"/>
      <c r="O9" s="1221"/>
      <c r="P9" s="1221"/>
      <c r="Q9" s="1221"/>
      <c r="R9" s="1221"/>
      <c r="S9" s="1221"/>
      <c r="T9" s="1221"/>
      <c r="U9" s="1221"/>
      <c r="V9" s="1221"/>
      <c r="W9" s="1221"/>
      <c r="X9" s="1221"/>
      <c r="Y9" s="1221"/>
      <c r="Z9" s="1221"/>
      <c r="AA9" s="1221"/>
      <c r="AB9" s="1221"/>
      <c r="AC9" s="1221"/>
      <c r="AD9" s="1221"/>
      <c r="AE9" s="1221"/>
      <c r="AF9" s="1221"/>
      <c r="AG9" s="1221"/>
    </row>
    <row r="10" spans="1:41" x14ac:dyDescent="0.3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</row>
    <row r="11" spans="1:41" ht="66" customHeight="1" x14ac:dyDescent="0.3">
      <c r="A11" s="1222" t="s">
        <v>230</v>
      </c>
      <c r="B11" s="1222" t="s">
        <v>293</v>
      </c>
      <c r="C11" s="1222" t="s">
        <v>294</v>
      </c>
      <c r="D11" s="1222" t="s">
        <v>295</v>
      </c>
      <c r="E11" s="1222" t="s">
        <v>296</v>
      </c>
      <c r="F11" s="1222" t="s">
        <v>297</v>
      </c>
      <c r="G11" s="1222"/>
      <c r="H11" s="1209" t="s">
        <v>298</v>
      </c>
      <c r="I11" s="1209"/>
      <c r="J11" s="1209" t="s">
        <v>299</v>
      </c>
      <c r="K11" s="1209"/>
      <c r="L11" s="1209" t="s">
        <v>300</v>
      </c>
      <c r="M11" s="1209"/>
      <c r="N11" s="1209" t="s">
        <v>301</v>
      </c>
      <c r="O11" s="1209"/>
      <c r="P11" s="1209" t="s">
        <v>302</v>
      </c>
      <c r="Q11" s="1209"/>
      <c r="R11" s="1209" t="s">
        <v>303</v>
      </c>
      <c r="S11" s="1209"/>
      <c r="T11" s="1209" t="s">
        <v>304</v>
      </c>
      <c r="U11" s="1209"/>
      <c r="V11" s="1209" t="s">
        <v>305</v>
      </c>
      <c r="W11" s="1209"/>
      <c r="X11" s="1209" t="s">
        <v>306</v>
      </c>
      <c r="Y11" s="1209"/>
      <c r="Z11" s="1223" t="s">
        <v>325</v>
      </c>
      <c r="AA11" s="1224"/>
      <c r="AB11" s="1209" t="s">
        <v>326</v>
      </c>
      <c r="AC11" s="1209"/>
      <c r="AD11" s="1209" t="s">
        <v>330</v>
      </c>
      <c r="AE11" s="1209"/>
      <c r="AF11" s="1209" t="s">
        <v>307</v>
      </c>
      <c r="AG11" s="1209"/>
    </row>
    <row r="12" spans="1:41" ht="34.5" customHeight="1" x14ac:dyDescent="0.3">
      <c r="A12" s="1222"/>
      <c r="B12" s="1222"/>
      <c r="C12" s="1222"/>
      <c r="D12" s="1222"/>
      <c r="E12" s="1222"/>
      <c r="F12" s="196" t="s">
        <v>308</v>
      </c>
      <c r="G12" s="196" t="s">
        <v>309</v>
      </c>
      <c r="H12" s="197" t="s">
        <v>308</v>
      </c>
      <c r="I12" s="197" t="s">
        <v>309</v>
      </c>
      <c r="J12" s="197" t="s">
        <v>308</v>
      </c>
      <c r="K12" s="197" t="s">
        <v>309</v>
      </c>
      <c r="L12" s="198" t="s">
        <v>308</v>
      </c>
      <c r="M12" s="198" t="s">
        <v>309</v>
      </c>
      <c r="N12" s="198" t="s">
        <v>308</v>
      </c>
      <c r="O12" s="198" t="s">
        <v>309</v>
      </c>
      <c r="P12" s="198" t="s">
        <v>308</v>
      </c>
      <c r="Q12" s="198" t="s">
        <v>309</v>
      </c>
      <c r="R12" s="197" t="s">
        <v>308</v>
      </c>
      <c r="S12" s="197" t="s">
        <v>309</v>
      </c>
      <c r="T12" s="197" t="s">
        <v>308</v>
      </c>
      <c r="U12" s="197" t="s">
        <v>309</v>
      </c>
      <c r="V12" s="197" t="s">
        <v>308</v>
      </c>
      <c r="W12" s="197" t="s">
        <v>309</v>
      </c>
      <c r="X12" s="197" t="s">
        <v>308</v>
      </c>
      <c r="Y12" s="197" t="s">
        <v>309</v>
      </c>
      <c r="Z12" s="197"/>
      <c r="AA12" s="197"/>
      <c r="AB12" s="197"/>
      <c r="AC12" s="197"/>
      <c r="AD12" s="197"/>
      <c r="AE12" s="197"/>
      <c r="AF12" s="197" t="s">
        <v>308</v>
      </c>
      <c r="AG12" s="197" t="s">
        <v>309</v>
      </c>
    </row>
    <row r="13" spans="1:41" ht="58.5" customHeight="1" x14ac:dyDescent="0.3">
      <c r="A13" s="198">
        <v>1</v>
      </c>
      <c r="B13" s="199" t="s">
        <v>310</v>
      </c>
      <c r="C13" s="198" t="s">
        <v>311</v>
      </c>
      <c r="D13" s="198" t="s">
        <v>224</v>
      </c>
      <c r="E13" s="200">
        <v>43001</v>
      </c>
      <c r="F13" s="201">
        <v>162.333</v>
      </c>
      <c r="G13" s="200">
        <f>E13*F13</f>
        <v>6980481.3300000001</v>
      </c>
      <c r="H13" s="202">
        <v>56.175634000000002</v>
      </c>
      <c r="I13" s="203">
        <f>E13*H13</f>
        <v>2415608.44</v>
      </c>
      <c r="J13" s="202">
        <v>39.474451999999999</v>
      </c>
      <c r="K13" s="203">
        <f>E13*J13</f>
        <v>1697440.91</v>
      </c>
      <c r="L13" s="204">
        <f>21.136</f>
        <v>21.135999999999999</v>
      </c>
      <c r="M13" s="205">
        <f>E13*L13</f>
        <v>908869.14</v>
      </c>
      <c r="N13" s="204"/>
      <c r="O13" s="205">
        <f>E13*N13</f>
        <v>0</v>
      </c>
      <c r="P13" s="204">
        <f>45.54696</f>
        <v>45.546959999999999</v>
      </c>
      <c r="Q13" s="206">
        <f>E13*P13</f>
        <v>1958564.83</v>
      </c>
      <c r="R13" s="207"/>
      <c r="S13" s="208"/>
      <c r="T13" s="208"/>
      <c r="U13" s="208"/>
      <c r="V13" s="208"/>
      <c r="W13" s="208"/>
      <c r="X13" s="208"/>
      <c r="Y13" s="208"/>
      <c r="Z13" s="207"/>
      <c r="AA13" s="208"/>
      <c r="AB13" s="207"/>
      <c r="AC13" s="208"/>
      <c r="AD13" s="207"/>
      <c r="AE13" s="208"/>
      <c r="AF13" s="209">
        <f>F13-H13-P13-T13-V13-X13-AD13-J13-L13-N13</f>
        <v>0</v>
      </c>
      <c r="AG13" s="208">
        <v>0</v>
      </c>
      <c r="AH13" s="210" t="s">
        <v>312</v>
      </c>
      <c r="AI13" s="210" t="s">
        <v>313</v>
      </c>
      <c r="AJ13" s="211"/>
      <c r="AK13" s="210"/>
      <c r="AL13" s="210"/>
      <c r="AM13" s="210"/>
      <c r="AN13" s="210"/>
      <c r="AO13" s="210"/>
    </row>
    <row r="14" spans="1:41" ht="58.5" customHeight="1" x14ac:dyDescent="0.3">
      <c r="A14" s="198">
        <v>2</v>
      </c>
      <c r="B14" s="199" t="s">
        <v>314</v>
      </c>
      <c r="C14" s="198" t="s">
        <v>311</v>
      </c>
      <c r="D14" s="198" t="s">
        <v>224</v>
      </c>
      <c r="E14" s="200">
        <v>43001</v>
      </c>
      <c r="F14" s="212">
        <v>65.281999999999996</v>
      </c>
      <c r="G14" s="200">
        <f>E14*F14</f>
        <v>2807191.28</v>
      </c>
      <c r="H14" s="213">
        <v>63.835433999999999</v>
      </c>
      <c r="I14" s="203">
        <f>E14*H14</f>
        <v>2744987.5</v>
      </c>
      <c r="J14" s="208"/>
      <c r="K14" s="203">
        <f>E14*J14</f>
        <v>0</v>
      </c>
      <c r="L14" s="214">
        <v>1.4470000000000001</v>
      </c>
      <c r="M14" s="205">
        <f t="shared" ref="M14:M19" si="0">E14*L14</f>
        <v>62222.45</v>
      </c>
      <c r="N14" s="215"/>
      <c r="O14" s="205">
        <f t="shared" ref="O14:O19" si="1">E14*N14</f>
        <v>0</v>
      </c>
      <c r="P14" s="215"/>
      <c r="Q14" s="206">
        <f t="shared" ref="Q14:Q19" si="2">E14*P14</f>
        <v>0</v>
      </c>
      <c r="R14" s="216"/>
      <c r="S14" s="203"/>
      <c r="T14" s="203"/>
      <c r="U14" s="203"/>
      <c r="V14" s="203"/>
      <c r="W14" s="208"/>
      <c r="X14" s="208"/>
      <c r="Y14" s="208"/>
      <c r="Z14" s="208"/>
      <c r="AA14" s="208"/>
      <c r="AB14" s="208"/>
      <c r="AC14" s="208"/>
      <c r="AD14" s="208"/>
      <c r="AE14" s="208"/>
      <c r="AF14" s="209">
        <f>F14-H14-P14-T14-V14-X14-AD14-J14-L14-N14</f>
        <v>0</v>
      </c>
      <c r="AG14" s="208">
        <v>0</v>
      </c>
      <c r="AH14" s="217" t="s">
        <v>315</v>
      </c>
      <c r="AI14" s="210"/>
      <c r="AJ14" s="211"/>
      <c r="AK14" s="211"/>
      <c r="AL14" s="210"/>
      <c r="AM14" s="210"/>
      <c r="AN14" s="210"/>
      <c r="AO14" s="210"/>
    </row>
    <row r="15" spans="1:41" s="225" customFormat="1" ht="86.25" customHeight="1" x14ac:dyDescent="0.3">
      <c r="A15" s="197">
        <v>3</v>
      </c>
      <c r="B15" s="218" t="s">
        <v>316</v>
      </c>
      <c r="C15" s="197" t="s">
        <v>317</v>
      </c>
      <c r="D15" s="197" t="s">
        <v>224</v>
      </c>
      <c r="E15" s="208">
        <f>E14</f>
        <v>43001</v>
      </c>
      <c r="F15" s="219">
        <v>57.976999999999997</v>
      </c>
      <c r="G15" s="208">
        <f>E15*F15</f>
        <v>2493068.98</v>
      </c>
      <c r="H15" s="220"/>
      <c r="I15" s="203">
        <f t="shared" ref="I15:I19" si="3">E15*H15</f>
        <v>0</v>
      </c>
      <c r="J15" s="221"/>
      <c r="K15" s="203">
        <f>H15*I15</f>
        <v>0</v>
      </c>
      <c r="L15" s="213">
        <f>24.292461-L13</f>
        <v>3.1564610000000002</v>
      </c>
      <c r="M15" s="203">
        <f t="shared" si="0"/>
        <v>135730.98000000001</v>
      </c>
      <c r="N15" s="221"/>
      <c r="O15" s="203">
        <f t="shared" si="1"/>
        <v>0</v>
      </c>
      <c r="P15" s="221"/>
      <c r="Q15" s="203">
        <f t="shared" si="2"/>
        <v>0</v>
      </c>
      <c r="R15" s="216">
        <v>5.3789999999999996</v>
      </c>
      <c r="S15" s="203">
        <f>E15*R15</f>
        <v>231302.38</v>
      </c>
      <c r="T15" s="216">
        <v>24.166</v>
      </c>
      <c r="U15" s="203">
        <f>E15*T15</f>
        <v>1039162.17</v>
      </c>
      <c r="V15" s="207">
        <v>25.276</v>
      </c>
      <c r="W15" s="208">
        <f>E15*V15</f>
        <v>1086893.28</v>
      </c>
      <c r="X15" s="208"/>
      <c r="Y15" s="208"/>
      <c r="Z15" s="208"/>
      <c r="AA15" s="208"/>
      <c r="AB15" s="208"/>
      <c r="AC15" s="208"/>
      <c r="AD15" s="208"/>
      <c r="AE15" s="208"/>
      <c r="AF15" s="209">
        <f>F15-H15-P15-T15-V15-X15-AD15-J15-L15-N15-R15</f>
        <v>0</v>
      </c>
      <c r="AG15" s="208">
        <v>0</v>
      </c>
      <c r="AH15" s="222"/>
      <c r="AI15" s="223"/>
      <c r="AJ15" s="211"/>
      <c r="AK15" s="211"/>
      <c r="AL15" s="224"/>
      <c r="AM15" s="223"/>
      <c r="AN15" s="223"/>
      <c r="AO15" s="223"/>
    </row>
    <row r="16" spans="1:41" s="225" customFormat="1" ht="58.5" customHeight="1" x14ac:dyDescent="0.3">
      <c r="A16" s="197">
        <v>4</v>
      </c>
      <c r="B16" s="218" t="s">
        <v>318</v>
      </c>
      <c r="C16" s="197" t="s">
        <v>317</v>
      </c>
      <c r="D16" s="197" t="s">
        <v>224</v>
      </c>
      <c r="E16" s="208">
        <f>E15</f>
        <v>43001</v>
      </c>
      <c r="F16" s="219">
        <v>232.56</v>
      </c>
      <c r="G16" s="208">
        <f t="shared" ref="G16" si="4">E16*F16</f>
        <v>10000312.560000001</v>
      </c>
      <c r="H16" s="208"/>
      <c r="I16" s="203">
        <f t="shared" si="3"/>
        <v>0</v>
      </c>
      <c r="J16" s="208"/>
      <c r="K16" s="203">
        <f>E16*J16</f>
        <v>0</v>
      </c>
      <c r="L16" s="213">
        <f>94.486656+10.9585-L14</f>
        <v>103.99815599999999</v>
      </c>
      <c r="M16" s="203">
        <f t="shared" si="0"/>
        <v>4472024.71</v>
      </c>
      <c r="N16" s="213">
        <f>99.14766</f>
        <v>99.147660000000002</v>
      </c>
      <c r="O16" s="203">
        <f t="shared" si="1"/>
        <v>4263448.53</v>
      </c>
      <c r="P16" s="208"/>
      <c r="Q16" s="203">
        <f t="shared" si="2"/>
        <v>0</v>
      </c>
      <c r="R16" s="216"/>
      <c r="S16" s="203">
        <f t="shared" ref="S16:S19" si="5">E16*R16</f>
        <v>0</v>
      </c>
      <c r="T16" s="216">
        <v>29.414000000000001</v>
      </c>
      <c r="U16" s="203">
        <f>E16*T16</f>
        <v>1264831.4099999999</v>
      </c>
      <c r="V16" s="226"/>
      <c r="W16" s="208">
        <f>E16*V16</f>
        <v>0</v>
      </c>
      <c r="X16" s="207"/>
      <c r="Y16" s="208"/>
      <c r="Z16" s="208"/>
      <c r="AA16" s="208"/>
      <c r="AB16" s="208"/>
      <c r="AC16" s="208"/>
      <c r="AD16" s="208"/>
      <c r="AE16" s="208"/>
      <c r="AF16" s="209">
        <f>F16-H16-P16-T16-V16-X16-AD16-J16-L16-N16-R16</f>
        <v>0</v>
      </c>
      <c r="AG16" s="208">
        <v>0</v>
      </c>
      <c r="AH16" s="222"/>
      <c r="AI16" s="223"/>
      <c r="AJ16" s="211"/>
      <c r="AK16" s="211"/>
      <c r="AL16" s="227"/>
      <c r="AM16" s="228"/>
      <c r="AN16" s="223"/>
      <c r="AO16" s="223"/>
    </row>
    <row r="17" spans="1:41" s="188" customFormat="1" ht="69.75" customHeight="1" x14ac:dyDescent="0.3">
      <c r="A17" s="197">
        <v>5</v>
      </c>
      <c r="B17" s="218" t="s">
        <v>319</v>
      </c>
      <c r="C17" s="197" t="s">
        <v>320</v>
      </c>
      <c r="D17" s="197" t="s">
        <v>224</v>
      </c>
      <c r="E17" s="208">
        <f>E16</f>
        <v>43001</v>
      </c>
      <c r="F17" s="219">
        <v>460.83100000000002</v>
      </c>
      <c r="G17" s="208">
        <f>E17*F17</f>
        <v>19816193.829999998</v>
      </c>
      <c r="H17" s="220"/>
      <c r="I17" s="203">
        <f t="shared" si="3"/>
        <v>0</v>
      </c>
      <c r="J17" s="221"/>
      <c r="K17" s="203">
        <f>H17*I17</f>
        <v>0</v>
      </c>
      <c r="L17" s="229"/>
      <c r="M17" s="230">
        <f t="shared" si="0"/>
        <v>0</v>
      </c>
      <c r="N17" s="231"/>
      <c r="O17" s="230">
        <f t="shared" si="1"/>
        <v>0</v>
      </c>
      <c r="P17" s="231"/>
      <c r="Q17" s="203">
        <f t="shared" si="2"/>
        <v>0</v>
      </c>
      <c r="R17" s="216"/>
      <c r="S17" s="203">
        <f t="shared" si="5"/>
        <v>0</v>
      </c>
      <c r="T17" s="216">
        <v>1.9890000000000001</v>
      </c>
      <c r="U17" s="203">
        <f>E17*T17</f>
        <v>85528.99</v>
      </c>
      <c r="V17" s="207">
        <f>187.41-V15</f>
        <v>162.13399999999999</v>
      </c>
      <c r="W17" s="208">
        <f>E17*V17</f>
        <v>6971924.1299999999</v>
      </c>
      <c r="X17" s="197">
        <v>52.062199999999997</v>
      </c>
      <c r="Y17" s="208">
        <f>E17*X17</f>
        <v>2238726.66</v>
      </c>
      <c r="Z17" s="221" t="e">
        <f>#REF!+#REF!+#REF!</f>
        <v>#REF!</v>
      </c>
      <c r="AA17" s="208" t="e">
        <f>E17*Z17</f>
        <v>#REF!</v>
      </c>
      <c r="AB17" s="265" t="e">
        <f>#REF!-AB19</f>
        <v>#REF!</v>
      </c>
      <c r="AC17" s="207" t="e">
        <f>E17*AB17</f>
        <v>#REF!</v>
      </c>
      <c r="AD17" s="265"/>
      <c r="AE17" s="208"/>
      <c r="AF17" s="209" t="e">
        <f>F17-H17-P17-T17-V17-X17-AD17-J17-L17-N17-R17-Z17-AB17</f>
        <v>#REF!</v>
      </c>
      <c r="AG17" s="208">
        <v>0</v>
      </c>
      <c r="AH17" s="266"/>
      <c r="AI17" s="233"/>
      <c r="AJ17" s="233"/>
      <c r="AK17" s="233"/>
      <c r="AL17" s="233"/>
      <c r="AM17" s="234"/>
      <c r="AN17" s="233"/>
      <c r="AO17" s="233"/>
    </row>
    <row r="18" spans="1:41" s="188" customFormat="1" ht="58.5" customHeight="1" x14ac:dyDescent="0.3">
      <c r="A18" s="197">
        <v>6</v>
      </c>
      <c r="B18" s="218" t="s">
        <v>321</v>
      </c>
      <c r="C18" s="197" t="s">
        <v>320</v>
      </c>
      <c r="D18" s="197" t="s">
        <v>224</v>
      </c>
      <c r="E18" s="208">
        <f>E17</f>
        <v>43001</v>
      </c>
      <c r="F18" s="219">
        <v>77.531999999999996</v>
      </c>
      <c r="G18" s="208">
        <f t="shared" ref="G18:G19" si="6">E18*F18</f>
        <v>3333953.53</v>
      </c>
      <c r="H18" s="208"/>
      <c r="I18" s="203">
        <f t="shared" si="3"/>
        <v>0</v>
      </c>
      <c r="J18" s="208"/>
      <c r="K18" s="203">
        <f>E18*J18</f>
        <v>0</v>
      </c>
      <c r="L18" s="229"/>
      <c r="M18" s="230">
        <f t="shared" si="0"/>
        <v>0</v>
      </c>
      <c r="N18" s="229"/>
      <c r="O18" s="230">
        <f t="shared" si="1"/>
        <v>0</v>
      </c>
      <c r="P18" s="235"/>
      <c r="Q18" s="203">
        <f t="shared" si="2"/>
        <v>0</v>
      </c>
      <c r="R18" s="216"/>
      <c r="S18" s="203">
        <f t="shared" si="5"/>
        <v>0</v>
      </c>
      <c r="T18" s="236">
        <f>106.946-T16</f>
        <v>77.531999999999996</v>
      </c>
      <c r="U18" s="203">
        <f>E18*T18</f>
        <v>3333953.53</v>
      </c>
      <c r="V18" s="208"/>
      <c r="W18" s="208"/>
      <c r="X18" s="207"/>
      <c r="Y18" s="208"/>
      <c r="Z18" s="208"/>
      <c r="AA18" s="208"/>
      <c r="AB18" s="208"/>
      <c r="AC18" s="207"/>
      <c r="AD18" s="208"/>
      <c r="AE18" s="208"/>
      <c r="AF18" s="209">
        <f>F18-H18-P18-T18-V18-X18-AD18-J18-L18-N18-R18</f>
        <v>0</v>
      </c>
      <c r="AG18" s="208">
        <f>G18-I18-K18-M18-Q18-O18-U18-W18</f>
        <v>0</v>
      </c>
      <c r="AH18" s="232"/>
      <c r="AI18" s="233"/>
      <c r="AJ18" s="233"/>
      <c r="AK18" s="233"/>
      <c r="AL18" s="233"/>
      <c r="AM18" s="233"/>
      <c r="AN18" s="233"/>
      <c r="AO18" s="233"/>
    </row>
    <row r="19" spans="1:41" s="188" customFormat="1" ht="64.5" customHeight="1" x14ac:dyDescent="0.3">
      <c r="A19" s="197">
        <v>7</v>
      </c>
      <c r="B19" s="218" t="s">
        <v>322</v>
      </c>
      <c r="C19" s="197" t="s">
        <v>323</v>
      </c>
      <c r="D19" s="197" t="s">
        <v>224</v>
      </c>
      <c r="E19" s="208">
        <f>E18</f>
        <v>43001</v>
      </c>
      <c r="F19" s="219">
        <v>50.722000000000001</v>
      </c>
      <c r="G19" s="208">
        <f t="shared" si="6"/>
        <v>2181096.7200000002</v>
      </c>
      <c r="H19" s="208"/>
      <c r="I19" s="203">
        <f t="shared" si="3"/>
        <v>0</v>
      </c>
      <c r="J19" s="208"/>
      <c r="K19" s="203">
        <f>E19*J19</f>
        <v>0</v>
      </c>
      <c r="L19" s="229"/>
      <c r="M19" s="230">
        <f t="shared" si="0"/>
        <v>0</v>
      </c>
      <c r="N19" s="229"/>
      <c r="O19" s="230">
        <f t="shared" si="1"/>
        <v>0</v>
      </c>
      <c r="P19" s="235"/>
      <c r="Q19" s="203">
        <f t="shared" si="2"/>
        <v>0</v>
      </c>
      <c r="R19" s="216"/>
      <c r="S19" s="203">
        <f t="shared" si="5"/>
        <v>0</v>
      </c>
      <c r="T19" s="237"/>
      <c r="U19" s="203"/>
      <c r="V19" s="208"/>
      <c r="W19" s="208"/>
      <c r="X19" s="207"/>
      <c r="Y19" s="208"/>
      <c r="Z19" s="208"/>
      <c r="AA19" s="208"/>
      <c r="AB19" s="207">
        <v>15.638999999999999</v>
      </c>
      <c r="AC19" s="207">
        <f t="shared" ref="AC19" si="7">E19*AB19</f>
        <v>672492.63899999997</v>
      </c>
      <c r="AD19" s="221" t="e">
        <f>#REF!</f>
        <v>#REF!</v>
      </c>
      <c r="AE19" s="208" t="e">
        <f>E19*AD19</f>
        <v>#REF!</v>
      </c>
      <c r="AF19" s="209" t="e">
        <f>F19-H19-P19-T19-V19-X19-AD19-J19-L19-N19-R19-Z19-AB19</f>
        <v>#REF!</v>
      </c>
      <c r="AG19" s="208" t="e">
        <f>E19*AF19</f>
        <v>#REF!</v>
      </c>
      <c r="AH19" s="232"/>
      <c r="AI19" s="233"/>
      <c r="AJ19" s="233"/>
      <c r="AK19" s="233"/>
      <c r="AL19" s="233"/>
      <c r="AM19" s="233"/>
      <c r="AN19" s="233"/>
      <c r="AO19" s="233"/>
    </row>
    <row r="20" spans="1:41" ht="32.25" customHeight="1" x14ac:dyDescent="0.3">
      <c r="A20" s="1213" t="s">
        <v>284</v>
      </c>
      <c r="B20" s="1214"/>
      <c r="C20" s="1214"/>
      <c r="D20" s="1214"/>
      <c r="E20" s="1215"/>
      <c r="F20" s="238">
        <f>SUM(F13:F19)</f>
        <v>1107.24</v>
      </c>
      <c r="G20" s="238">
        <f t="shared" ref="G20:AG20" si="8">SUM(G13:G19)</f>
        <v>47612298.229999997</v>
      </c>
      <c r="H20" s="238">
        <f t="shared" si="8"/>
        <v>120.01</v>
      </c>
      <c r="I20" s="238">
        <f t="shared" si="8"/>
        <v>5160595.9400000004</v>
      </c>
      <c r="J20" s="239">
        <f t="shared" si="8"/>
        <v>39.473999999999997</v>
      </c>
      <c r="K20" s="238">
        <f t="shared" si="8"/>
        <v>1697440.91</v>
      </c>
      <c r="L20" s="239">
        <f t="shared" si="8"/>
        <v>129.738</v>
      </c>
      <c r="M20" s="238">
        <f t="shared" si="8"/>
        <v>5578847.2800000003</v>
      </c>
      <c r="N20" s="239">
        <f t="shared" si="8"/>
        <v>99.147999999999996</v>
      </c>
      <c r="O20" s="238">
        <f t="shared" si="8"/>
        <v>4263448.53</v>
      </c>
      <c r="P20" s="239">
        <f t="shared" si="8"/>
        <v>45.546999999999997</v>
      </c>
      <c r="Q20" s="238">
        <f t="shared" si="8"/>
        <v>1958564.83</v>
      </c>
      <c r="R20" s="239">
        <f t="shared" si="8"/>
        <v>5.3789999999999996</v>
      </c>
      <c r="S20" s="238">
        <f t="shared" si="8"/>
        <v>231302.38</v>
      </c>
      <c r="T20" s="239">
        <f t="shared" si="8"/>
        <v>133.101</v>
      </c>
      <c r="U20" s="238">
        <f t="shared" si="8"/>
        <v>5723476.0999999996</v>
      </c>
      <c r="V20" s="239">
        <f t="shared" si="8"/>
        <v>187.41</v>
      </c>
      <c r="W20" s="238">
        <f t="shared" si="8"/>
        <v>8058817.4100000001</v>
      </c>
      <c r="X20" s="240">
        <f t="shared" si="8"/>
        <v>52.062199999999997</v>
      </c>
      <c r="Y20" s="238">
        <f t="shared" si="8"/>
        <v>2238726.66</v>
      </c>
      <c r="Z20" s="238" t="e">
        <f t="shared" si="8"/>
        <v>#REF!</v>
      </c>
      <c r="AA20" s="238" t="e">
        <f t="shared" si="8"/>
        <v>#REF!</v>
      </c>
      <c r="AB20" s="238" t="e">
        <f t="shared" ref="AB20:AC20" si="9">SUM(AB13:AB19)</f>
        <v>#REF!</v>
      </c>
      <c r="AC20" s="238" t="e">
        <f t="shared" si="9"/>
        <v>#REF!</v>
      </c>
      <c r="AD20" s="238" t="e">
        <f>AD19</f>
        <v>#REF!</v>
      </c>
      <c r="AE20" s="238" t="e">
        <f t="shared" si="8"/>
        <v>#REF!</v>
      </c>
      <c r="AF20" s="219" t="e">
        <f>SUM(AF13:AF19)</f>
        <v>#REF!</v>
      </c>
      <c r="AG20" s="267" t="e">
        <f t="shared" si="8"/>
        <v>#REF!</v>
      </c>
      <c r="AH20" s="210"/>
      <c r="AI20" s="210"/>
      <c r="AJ20" s="241"/>
      <c r="AK20" s="242"/>
      <c r="AL20" s="210"/>
      <c r="AM20" s="210"/>
      <c r="AN20" s="210"/>
      <c r="AO20" s="210"/>
    </row>
    <row r="21" spans="1:41" ht="19.8" hidden="1" x14ac:dyDescent="0.3">
      <c r="AH21" s="210"/>
      <c r="AI21" s="210"/>
      <c r="AJ21" s="243"/>
      <c r="AK21" s="210"/>
      <c r="AL21" s="210"/>
      <c r="AM21" s="210"/>
      <c r="AN21" s="210"/>
      <c r="AO21" s="210"/>
    </row>
    <row r="22" spans="1:41" ht="19.8" hidden="1" x14ac:dyDescent="0.3">
      <c r="I22" s="244"/>
      <c r="K22" s="244"/>
      <c r="M22" s="245"/>
      <c r="O22" s="245"/>
      <c r="Q22" s="245"/>
      <c r="W22" s="246"/>
      <c r="AH22" s="210"/>
      <c r="AI22" s="210"/>
      <c r="AJ22" s="243" t="e">
        <f>#REF!+#REF!+#REF!+#REF!+#REF!+#REF!</f>
        <v>#REF!</v>
      </c>
      <c r="AK22" s="247"/>
      <c r="AL22" s="210"/>
      <c r="AM22" s="210"/>
      <c r="AN22" s="210"/>
      <c r="AO22" s="210"/>
    </row>
    <row r="23" spans="1:41" ht="19.8" hidden="1" x14ac:dyDescent="0.3">
      <c r="F23" s="245"/>
      <c r="J23" s="244"/>
      <c r="K23" s="248"/>
      <c r="L23" s="245"/>
      <c r="M23" s="249"/>
      <c r="N23" s="245"/>
      <c r="O23" s="249"/>
      <c r="P23" s="245"/>
      <c r="Q23" s="249"/>
      <c r="S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G23" s="250"/>
      <c r="AH23" s="210"/>
      <c r="AI23" s="210"/>
      <c r="AJ23" s="210"/>
      <c r="AK23" s="210"/>
      <c r="AL23" s="210"/>
      <c r="AM23" s="210"/>
      <c r="AN23" s="210"/>
      <c r="AO23" s="210"/>
    </row>
    <row r="24" spans="1:41" ht="19.8" x14ac:dyDescent="0.3">
      <c r="B24" s="251"/>
      <c r="C24" s="252"/>
      <c r="S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H24" s="210"/>
      <c r="AI24" s="210"/>
      <c r="AJ24" s="210"/>
      <c r="AK24" s="210"/>
      <c r="AL24" s="210"/>
      <c r="AM24" s="210"/>
      <c r="AN24" s="210"/>
      <c r="AO24" s="210"/>
    </row>
    <row r="25" spans="1:41" ht="19.8" x14ac:dyDescent="0.3">
      <c r="A25" s="1212" t="s">
        <v>29</v>
      </c>
      <c r="B25" s="1212"/>
      <c r="C25" s="253"/>
      <c r="D25" s="253"/>
      <c r="E25" s="253"/>
      <c r="F25" s="253"/>
      <c r="G25" s="253"/>
      <c r="H25" s="254"/>
      <c r="I25" s="254"/>
      <c r="J25" s="254"/>
      <c r="K25" s="254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5"/>
      <c r="AG25" s="253"/>
      <c r="AH25" s="256"/>
      <c r="AI25" s="256"/>
      <c r="AJ25" s="256"/>
      <c r="AK25" s="210"/>
      <c r="AL25" s="210"/>
      <c r="AM25" s="210"/>
      <c r="AN25" s="210"/>
      <c r="AO25" s="210"/>
    </row>
    <row r="26" spans="1:41" ht="28.5" customHeight="1" x14ac:dyDescent="0.3">
      <c r="A26" s="1208" t="s">
        <v>277</v>
      </c>
      <c r="B26" s="1208"/>
      <c r="C26" s="1208"/>
      <c r="D26" s="1208"/>
      <c r="E26" s="253"/>
      <c r="F26" s="257"/>
      <c r="G26" s="257"/>
      <c r="H26" s="258"/>
      <c r="I26" s="1210" t="s">
        <v>324</v>
      </c>
      <c r="J26" s="1210"/>
      <c r="K26" s="1210"/>
      <c r="L26" s="1210"/>
      <c r="M26" s="1210"/>
      <c r="N26" s="1210"/>
      <c r="O26" s="1210"/>
      <c r="P26" s="1210"/>
      <c r="Q26" s="1210"/>
      <c r="R26" s="1210"/>
      <c r="S26" s="1210"/>
      <c r="T26" s="1210"/>
      <c r="U26" s="1210"/>
      <c r="V26" s="1210"/>
      <c r="W26" s="1210"/>
      <c r="X26" s="1210"/>
      <c r="Y26" s="1210"/>
      <c r="Z26" s="1210"/>
      <c r="AA26" s="1210"/>
      <c r="AB26" s="1210"/>
      <c r="AC26" s="1210"/>
      <c r="AD26" s="1210"/>
      <c r="AE26" s="1210"/>
      <c r="AF26" s="1210"/>
      <c r="AG26" s="253"/>
      <c r="AH26" s="1211"/>
      <c r="AI26" s="1211"/>
      <c r="AJ26" s="1211"/>
      <c r="AK26" s="210"/>
      <c r="AL26" s="210"/>
      <c r="AM26" s="210"/>
      <c r="AN26" s="210"/>
      <c r="AO26" s="210"/>
    </row>
    <row r="27" spans="1:41" ht="15" customHeight="1" x14ac:dyDescent="0.3">
      <c r="A27" s="1208"/>
      <c r="B27" s="1208"/>
      <c r="C27" s="253"/>
      <c r="D27" s="253"/>
      <c r="E27" s="253"/>
      <c r="F27" s="1206" t="s">
        <v>278</v>
      </c>
      <c r="G27" s="1206"/>
      <c r="H27" s="1206"/>
      <c r="I27" s="259" t="s">
        <v>279</v>
      </c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1207"/>
      <c r="AH27" s="1207"/>
      <c r="AI27" s="1207"/>
      <c r="AJ27" s="1207"/>
    </row>
    <row r="28" spans="1:41" x14ac:dyDescent="0.3">
      <c r="A28" s="188"/>
      <c r="B28" s="260" t="s">
        <v>41</v>
      </c>
      <c r="C28" s="260"/>
      <c r="D28" s="253"/>
      <c r="E28" s="253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AH28" s="188"/>
      <c r="AI28" s="188"/>
      <c r="AJ28" s="188"/>
    </row>
    <row r="29" spans="1:41" x14ac:dyDescent="0.3">
      <c r="A29" s="188"/>
      <c r="B29" s="260"/>
      <c r="C29" s="260"/>
      <c r="D29" s="253"/>
      <c r="E29" s="253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AH29" s="188"/>
      <c r="AI29" s="188"/>
      <c r="AJ29" s="188"/>
    </row>
    <row r="30" spans="1:41" hidden="1" x14ac:dyDescent="0.3">
      <c r="A30" s="188"/>
      <c r="B30" s="260"/>
      <c r="C30" s="260"/>
      <c r="D30" s="253"/>
      <c r="E30" s="253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AH30" s="188"/>
      <c r="AI30" s="188"/>
      <c r="AJ30" s="188"/>
    </row>
    <row r="31" spans="1:41" hidden="1" x14ac:dyDescent="0.3">
      <c r="A31" s="188"/>
      <c r="B31" s="260"/>
      <c r="C31" s="260"/>
      <c r="D31" s="253"/>
      <c r="E31" s="253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AH31" s="188"/>
      <c r="AI31" s="188"/>
      <c r="AJ31" s="188"/>
    </row>
    <row r="32" spans="1:41" hidden="1" x14ac:dyDescent="0.3">
      <c r="A32" s="1207"/>
      <c r="B32" s="1207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61"/>
      <c r="AI32" s="253"/>
      <c r="AJ32" s="253"/>
    </row>
    <row r="33" spans="1:36" ht="33" customHeight="1" x14ac:dyDescent="0.3">
      <c r="A33" s="1212" t="s">
        <v>280</v>
      </c>
      <c r="B33" s="1212"/>
      <c r="C33" s="1212"/>
      <c r="D33" s="1212"/>
      <c r="E33" s="1212"/>
      <c r="F33" s="1212"/>
      <c r="G33" s="1207"/>
      <c r="H33" s="1207"/>
      <c r="I33" s="1207"/>
      <c r="J33" s="1207"/>
      <c r="K33" s="1207"/>
      <c r="L33" s="1207"/>
      <c r="M33" s="1207"/>
      <c r="N33" s="1207"/>
      <c r="O33" s="1207"/>
      <c r="P33" s="1207"/>
      <c r="Q33" s="1207"/>
      <c r="R33" s="1207"/>
      <c r="S33" s="1207"/>
      <c r="T33" s="1207"/>
      <c r="U33" s="1207"/>
      <c r="V33" s="1207"/>
      <c r="W33" s="1207"/>
      <c r="X33" s="1207"/>
      <c r="Y33" s="1207"/>
      <c r="Z33" s="1207"/>
      <c r="AA33" s="1207"/>
      <c r="AB33" s="1207"/>
      <c r="AC33" s="1207"/>
      <c r="AD33" s="1207"/>
      <c r="AE33" s="1207"/>
      <c r="AF33" s="1207"/>
      <c r="AG33" s="262"/>
      <c r="AH33" s="1207"/>
      <c r="AI33" s="1207"/>
      <c r="AJ33" s="1207"/>
    </row>
    <row r="34" spans="1:36" ht="36" customHeight="1" x14ac:dyDescent="0.3">
      <c r="A34" s="1208" t="s">
        <v>282</v>
      </c>
      <c r="B34" s="1208"/>
      <c r="C34" s="1208"/>
      <c r="D34" s="1208"/>
      <c r="E34" s="1208"/>
      <c r="F34" s="263"/>
      <c r="G34" s="264"/>
      <c r="H34" s="264"/>
      <c r="I34" s="1210" t="s">
        <v>283</v>
      </c>
      <c r="J34" s="1210"/>
      <c r="K34" s="1210"/>
      <c r="L34" s="1210"/>
      <c r="M34" s="1210"/>
      <c r="N34" s="1210"/>
      <c r="O34" s="1210"/>
      <c r="P34" s="1210"/>
      <c r="Q34" s="1210"/>
      <c r="R34" s="1210"/>
      <c r="S34" s="1210"/>
      <c r="T34" s="1210"/>
      <c r="U34" s="1210"/>
      <c r="V34" s="1210"/>
      <c r="W34" s="1210"/>
      <c r="X34" s="1210"/>
      <c r="Y34" s="1210"/>
      <c r="Z34" s="1210"/>
      <c r="AA34" s="1210"/>
      <c r="AB34" s="1210"/>
      <c r="AC34" s="1210"/>
      <c r="AD34" s="1210"/>
      <c r="AE34" s="1210"/>
      <c r="AF34" s="1210"/>
      <c r="AG34" s="262"/>
      <c r="AH34" s="1217"/>
      <c r="AI34" s="1217"/>
      <c r="AJ34" s="1217"/>
    </row>
    <row r="35" spans="1:36" ht="15" customHeight="1" x14ac:dyDescent="0.3">
      <c r="A35" s="1207"/>
      <c r="B35" s="1207"/>
      <c r="C35" s="262"/>
      <c r="D35" s="262"/>
      <c r="E35" s="262"/>
      <c r="F35" s="1206" t="s">
        <v>278</v>
      </c>
      <c r="G35" s="1206"/>
      <c r="H35" s="1206"/>
      <c r="I35" s="259" t="s">
        <v>279</v>
      </c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1218"/>
      <c r="AH35" s="1218"/>
      <c r="AI35" s="1218"/>
      <c r="AJ35" s="1218"/>
    </row>
    <row r="36" spans="1:36" x14ac:dyDescent="0.3">
      <c r="A36" s="188"/>
      <c r="B36" s="260" t="s">
        <v>41</v>
      </c>
      <c r="C36" s="262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  <c r="Z36" s="1216"/>
      <c r="AA36" s="1216"/>
      <c r="AB36" s="1216"/>
      <c r="AC36" s="1216"/>
      <c r="AD36" s="1216"/>
      <c r="AE36" s="1216"/>
      <c r="AF36" s="1216"/>
      <c r="AG36" s="1216"/>
      <c r="AH36" s="1216"/>
      <c r="AI36" s="1216"/>
      <c r="AJ36" s="1216"/>
    </row>
  </sheetData>
  <mergeCells count="41">
    <mergeCell ref="C2:H2"/>
    <mergeCell ref="C3:I3"/>
    <mergeCell ref="A8:AG9"/>
    <mergeCell ref="A11:A12"/>
    <mergeCell ref="B11:B12"/>
    <mergeCell ref="C11:C12"/>
    <mergeCell ref="D11:D12"/>
    <mergeCell ref="E11:E12"/>
    <mergeCell ref="F11:G11"/>
    <mergeCell ref="H11:I11"/>
    <mergeCell ref="Z11:AA11"/>
    <mergeCell ref="AD11:AE11"/>
    <mergeCell ref="V11:W11"/>
    <mergeCell ref="X11:Y11"/>
    <mergeCell ref="AB11:AC11"/>
    <mergeCell ref="AF11:AG11"/>
    <mergeCell ref="D36:AJ36"/>
    <mergeCell ref="A32:B32"/>
    <mergeCell ref="A33:F33"/>
    <mergeCell ref="G33:AF33"/>
    <mergeCell ref="AH33:AJ33"/>
    <mergeCell ref="A34:E34"/>
    <mergeCell ref="I34:AF34"/>
    <mergeCell ref="AH34:AJ34"/>
    <mergeCell ref="A35:B35"/>
    <mergeCell ref="F35:H35"/>
    <mergeCell ref="AG35:AJ35"/>
    <mergeCell ref="F27:H27"/>
    <mergeCell ref="AG27:AJ27"/>
    <mergeCell ref="A26:D26"/>
    <mergeCell ref="R11:S11"/>
    <mergeCell ref="T11:U11"/>
    <mergeCell ref="I26:AF26"/>
    <mergeCell ref="AH26:AJ26"/>
    <mergeCell ref="A27:B27"/>
    <mergeCell ref="A25:B25"/>
    <mergeCell ref="J11:K11"/>
    <mergeCell ref="L11:M11"/>
    <mergeCell ref="N11:O11"/>
    <mergeCell ref="P11:Q11"/>
    <mergeCell ref="A20:E20"/>
  </mergeCells>
  <pageMargins left="0.70866141732283472" right="0.70866141732283472" top="0.74803149606299213" bottom="0.74803149606299213" header="0.31496062992125984" footer="0.31496062992125984"/>
  <pageSetup paperSize="9" scale="20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3BA6-262C-413C-BA09-D995D5053CE0}">
  <sheetPr>
    <pageSetUpPr fitToPage="1"/>
  </sheetPr>
  <dimension ref="A1:AZ1135"/>
  <sheetViews>
    <sheetView topLeftCell="A1095" zoomScaleNormal="100" workbookViewId="0">
      <selection activeCell="C1120" sqref="C1120:K1120"/>
    </sheetView>
  </sheetViews>
  <sheetFormatPr defaultColWidth="9.109375" defaultRowHeight="11.25" customHeight="1" x14ac:dyDescent="0.2"/>
  <cols>
    <col min="1" max="1" width="9.109375" style="663" customWidth="1"/>
    <col min="2" max="2" width="20.109375" style="782" customWidth="1"/>
    <col min="3" max="3" width="13.44140625" style="782" customWidth="1"/>
    <col min="4" max="4" width="12.88671875" style="782" customWidth="1"/>
    <col min="5" max="5" width="13.33203125" style="782" customWidth="1"/>
    <col min="6" max="6" width="8.5546875" style="782" customWidth="1"/>
    <col min="7" max="7" width="10.5546875" style="782" customWidth="1"/>
    <col min="8" max="8" width="8.44140625" style="782" customWidth="1"/>
    <col min="9" max="9" width="13" style="782" customWidth="1"/>
    <col min="10" max="10" width="12.44140625" style="782" customWidth="1"/>
    <col min="11" max="11" width="8.5546875" style="782" customWidth="1"/>
    <col min="12" max="12" width="12.88671875" style="782" customWidth="1"/>
    <col min="13" max="13" width="7.44140625" style="782" customWidth="1"/>
    <col min="14" max="14" width="13.44140625" style="782" customWidth="1"/>
    <col min="15" max="15" width="14.5546875" style="782" hidden="1" customWidth="1"/>
    <col min="16" max="16" width="78.33203125" style="782" hidden="1" customWidth="1"/>
    <col min="17" max="17" width="73.6640625" style="782" hidden="1" customWidth="1"/>
    <col min="18" max="21" width="9.109375" style="782"/>
    <col min="22" max="27" width="86.6640625" style="696" hidden="1" customWidth="1"/>
    <col min="28" max="30" width="164.109375" style="696" hidden="1" customWidth="1"/>
    <col min="31" max="31" width="34.6640625" style="696" hidden="1" customWidth="1"/>
    <col min="32" max="32" width="164.109375" style="696" hidden="1" customWidth="1"/>
    <col min="33" max="33" width="39.5546875" style="696" hidden="1" customWidth="1"/>
    <col min="34" max="35" width="134.88671875" style="696" hidden="1" customWidth="1"/>
    <col min="36" max="39" width="39.5546875" style="696" hidden="1" customWidth="1"/>
    <col min="40" max="41" width="134.88671875" style="696" hidden="1" customWidth="1"/>
    <col min="42" max="44" width="101.109375" style="696" hidden="1" customWidth="1"/>
    <col min="45" max="45" width="164.109375" style="696" hidden="1" customWidth="1"/>
    <col min="46" max="48" width="101.109375" style="696" hidden="1" customWidth="1"/>
    <col min="49" max="49" width="58.6640625" style="696" hidden="1" customWidth="1"/>
    <col min="50" max="50" width="55.33203125" style="696" hidden="1" customWidth="1"/>
    <col min="51" max="51" width="58.6640625" style="696" hidden="1" customWidth="1"/>
    <col min="52" max="52" width="55.33203125" style="696" hidden="1" customWidth="1"/>
    <col min="53" max="16384" width="9.109375" style="782"/>
  </cols>
  <sheetData>
    <row r="1" spans="1:29" s="646" customFormat="1" ht="14.4" x14ac:dyDescent="0.3">
      <c r="N1" s="647" t="s">
        <v>1703</v>
      </c>
    </row>
    <row r="2" spans="1:29" s="646" customFormat="1" ht="11.25" customHeight="1" x14ac:dyDescent="0.3">
      <c r="A2" s="648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9" t="s">
        <v>1704</v>
      </c>
    </row>
    <row r="3" spans="1:29" s="646" customFormat="1" ht="6.75" customHeight="1" x14ac:dyDescent="0.3">
      <c r="A3" s="648"/>
      <c r="B3" s="650"/>
      <c r="C3" s="650"/>
      <c r="D3" s="650"/>
      <c r="E3" s="650"/>
      <c r="F3" s="650"/>
      <c r="G3" s="650"/>
      <c r="H3" s="650"/>
      <c r="I3" s="650"/>
      <c r="J3" s="650"/>
      <c r="K3" s="650"/>
      <c r="L3" s="650"/>
      <c r="M3" s="650"/>
      <c r="N3" s="647"/>
    </row>
    <row r="4" spans="1:29" s="646" customFormat="1" ht="2.25" customHeight="1" x14ac:dyDescent="0.3">
      <c r="A4" s="651"/>
      <c r="B4" s="652"/>
      <c r="C4" s="648"/>
      <c r="D4" s="648"/>
      <c r="E4" s="648"/>
      <c r="F4" s="648"/>
      <c r="G4" s="648"/>
      <c r="H4" s="648"/>
      <c r="I4" s="648"/>
      <c r="J4" s="648"/>
      <c r="K4" s="648"/>
      <c r="L4" s="648"/>
      <c r="M4" s="648"/>
      <c r="N4" s="648"/>
    </row>
    <row r="5" spans="1:29" s="646" customFormat="1" ht="11.25" customHeight="1" x14ac:dyDescent="0.3">
      <c r="A5" s="651" t="s">
        <v>1705</v>
      </c>
      <c r="B5" s="652"/>
      <c r="C5" s="648"/>
      <c r="E5" s="648"/>
      <c r="F5" s="648"/>
      <c r="G5" s="999" t="s">
        <v>1706</v>
      </c>
      <c r="H5" s="999"/>
      <c r="I5" s="999"/>
      <c r="J5" s="999"/>
      <c r="K5" s="999"/>
      <c r="L5" s="999"/>
      <c r="M5" s="999"/>
      <c r="N5" s="999"/>
    </row>
    <row r="6" spans="1:29" s="646" customFormat="1" ht="56.25" customHeight="1" x14ac:dyDescent="0.3">
      <c r="A6" s="651" t="s">
        <v>1707</v>
      </c>
      <c r="B6" s="652"/>
      <c r="C6" s="648"/>
      <c r="E6" s="653"/>
      <c r="F6" s="653"/>
      <c r="G6" s="1000" t="s">
        <v>1708</v>
      </c>
      <c r="H6" s="1000"/>
      <c r="I6" s="1000"/>
      <c r="J6" s="1000"/>
      <c r="K6" s="1000"/>
      <c r="L6" s="1000"/>
      <c r="M6" s="1000"/>
      <c r="N6" s="1000"/>
      <c r="V6" s="654" t="s">
        <v>1708</v>
      </c>
    </row>
    <row r="7" spans="1:29" s="646" customFormat="1" ht="45" customHeight="1" x14ac:dyDescent="0.3">
      <c r="A7" s="1001" t="s">
        <v>1709</v>
      </c>
      <c r="B7" s="1001"/>
      <c r="C7" s="1001"/>
      <c r="D7" s="1001"/>
      <c r="E7" s="1001"/>
      <c r="F7" s="1001"/>
      <c r="G7" s="1000" t="s">
        <v>1710</v>
      </c>
      <c r="H7" s="1000"/>
      <c r="I7" s="1000"/>
      <c r="J7" s="1000"/>
      <c r="K7" s="1000"/>
      <c r="L7" s="1000"/>
      <c r="M7" s="1000"/>
      <c r="N7" s="1000"/>
      <c r="P7" s="655" t="s">
        <v>1709</v>
      </c>
      <c r="Q7" s="655" t="s">
        <v>1710</v>
      </c>
      <c r="R7" s="656"/>
      <c r="S7" s="656"/>
      <c r="T7" s="656"/>
      <c r="U7" s="656"/>
      <c r="W7" s="654" t="s">
        <v>1710</v>
      </c>
    </row>
    <row r="8" spans="1:29" s="646" customFormat="1" ht="67.5" customHeight="1" x14ac:dyDescent="0.3">
      <c r="A8" s="1002" t="s">
        <v>1711</v>
      </c>
      <c r="B8" s="1002"/>
      <c r="C8" s="1002"/>
      <c r="D8" s="1002"/>
      <c r="E8" s="1002"/>
      <c r="F8" s="1002"/>
      <c r="G8" s="1000"/>
      <c r="H8" s="1000"/>
      <c r="I8" s="1000"/>
      <c r="J8" s="1000"/>
      <c r="K8" s="1000"/>
      <c r="L8" s="1000"/>
      <c r="M8" s="1000"/>
      <c r="N8" s="1000"/>
      <c r="P8" s="655" t="s">
        <v>1712</v>
      </c>
      <c r="Q8" s="655"/>
      <c r="R8" s="656"/>
      <c r="S8" s="656"/>
      <c r="T8" s="656"/>
      <c r="U8" s="656"/>
      <c r="X8" s="654" t="s">
        <v>731</v>
      </c>
    </row>
    <row r="9" spans="1:29" s="646" customFormat="1" ht="33.75" customHeight="1" x14ac:dyDescent="0.3">
      <c r="A9" s="1001" t="s">
        <v>1713</v>
      </c>
      <c r="B9" s="1001"/>
      <c r="C9" s="1001"/>
      <c r="D9" s="1001"/>
      <c r="E9" s="1001"/>
      <c r="F9" s="1001"/>
      <c r="G9" s="1000"/>
      <c r="H9" s="1000"/>
      <c r="I9" s="1000"/>
      <c r="J9" s="1000"/>
      <c r="K9" s="1000"/>
      <c r="L9" s="1000"/>
      <c r="M9" s="1000"/>
      <c r="N9" s="1000"/>
      <c r="P9" s="655" t="s">
        <v>1713</v>
      </c>
      <c r="Q9" s="655"/>
      <c r="R9" s="656"/>
      <c r="S9" s="656"/>
      <c r="T9" s="656"/>
      <c r="U9" s="656"/>
      <c r="Y9" s="654" t="s">
        <v>731</v>
      </c>
    </row>
    <row r="10" spans="1:29" s="646" customFormat="1" ht="11.25" customHeight="1" x14ac:dyDescent="0.3">
      <c r="A10" s="1014" t="s">
        <v>1714</v>
      </c>
      <c r="B10" s="1014"/>
      <c r="C10" s="1014"/>
      <c r="D10" s="1014"/>
      <c r="E10" s="1014"/>
      <c r="F10" s="1014"/>
      <c r="G10" s="1000" t="s">
        <v>1715</v>
      </c>
      <c r="H10" s="1000"/>
      <c r="I10" s="1000"/>
      <c r="J10" s="1000"/>
      <c r="K10" s="1000"/>
      <c r="L10" s="1000"/>
      <c r="M10" s="1000"/>
      <c r="N10" s="1000"/>
      <c r="Z10" s="654" t="s">
        <v>1715</v>
      </c>
    </row>
    <row r="11" spans="1:29" s="646" customFormat="1" ht="14.4" x14ac:dyDescent="0.3">
      <c r="A11" s="1014" t="s">
        <v>1716</v>
      </c>
      <c r="B11" s="1014"/>
      <c r="C11" s="1014"/>
      <c r="D11" s="1014"/>
      <c r="E11" s="1014"/>
      <c r="F11" s="1014"/>
      <c r="G11" s="1000"/>
      <c r="H11" s="1000"/>
      <c r="I11" s="1000"/>
      <c r="J11" s="1000"/>
      <c r="K11" s="1000"/>
      <c r="L11" s="1000"/>
      <c r="M11" s="1000"/>
      <c r="N11" s="1000"/>
      <c r="AA11" s="654" t="s">
        <v>731</v>
      </c>
    </row>
    <row r="12" spans="1:29" s="646" customFormat="1" ht="3.75" customHeight="1" x14ac:dyDescent="0.3">
      <c r="A12" s="657"/>
      <c r="B12" s="648"/>
      <c r="C12" s="648"/>
      <c r="D12" s="648"/>
      <c r="E12" s="648"/>
      <c r="F12" s="652"/>
      <c r="G12" s="652"/>
      <c r="H12" s="652"/>
      <c r="I12" s="652"/>
      <c r="J12" s="652"/>
      <c r="K12" s="652"/>
      <c r="L12" s="652"/>
      <c r="M12" s="652"/>
      <c r="N12" s="652"/>
    </row>
    <row r="13" spans="1:29" s="658" customFormat="1" ht="14.4" x14ac:dyDescent="0.3">
      <c r="A13" s="1008" t="s">
        <v>1717</v>
      </c>
      <c r="B13" s="1009"/>
      <c r="C13" s="1009"/>
      <c r="D13" s="1009"/>
      <c r="E13" s="1009"/>
      <c r="F13" s="1009"/>
      <c r="G13" s="1009"/>
      <c r="H13" s="1009"/>
      <c r="I13" s="1009"/>
      <c r="J13" s="1009"/>
      <c r="K13" s="1009"/>
      <c r="L13" s="1009"/>
      <c r="M13" s="1009"/>
      <c r="N13" s="1009"/>
      <c r="AB13" s="659" t="s">
        <v>731</v>
      </c>
    </row>
    <row r="14" spans="1:29" s="658" customFormat="1" ht="14.4" x14ac:dyDescent="0.3">
      <c r="A14" s="1010" t="s">
        <v>1718</v>
      </c>
      <c r="B14" s="1010"/>
      <c r="C14" s="1010"/>
      <c r="D14" s="1010"/>
      <c r="E14" s="1010"/>
      <c r="F14" s="1010"/>
      <c r="G14" s="1010"/>
      <c r="H14" s="1010"/>
      <c r="I14" s="1010"/>
      <c r="J14" s="1010"/>
      <c r="K14" s="1010"/>
      <c r="L14" s="1010"/>
      <c r="M14" s="1010"/>
      <c r="N14" s="1010"/>
    </row>
    <row r="15" spans="1:29" s="658" customFormat="1" ht="5.25" customHeight="1" x14ac:dyDescent="0.3">
      <c r="A15" s="660"/>
      <c r="B15" s="660"/>
      <c r="C15" s="660"/>
      <c r="D15" s="660"/>
      <c r="E15" s="660"/>
      <c r="F15" s="660"/>
      <c r="G15" s="660"/>
      <c r="H15" s="660"/>
      <c r="I15" s="660"/>
      <c r="J15" s="660"/>
      <c r="K15" s="660"/>
      <c r="L15" s="660"/>
      <c r="M15" s="660"/>
      <c r="N15" s="660"/>
    </row>
    <row r="16" spans="1:29" s="658" customFormat="1" ht="14.4" x14ac:dyDescent="0.3">
      <c r="A16" s="1008" t="s">
        <v>1717</v>
      </c>
      <c r="B16" s="1009"/>
      <c r="C16" s="1009"/>
      <c r="D16" s="1009"/>
      <c r="E16" s="1009"/>
      <c r="F16" s="1009"/>
      <c r="G16" s="1009"/>
      <c r="H16" s="1009"/>
      <c r="I16" s="1009"/>
      <c r="J16" s="1009"/>
      <c r="K16" s="1009"/>
      <c r="L16" s="1009"/>
      <c r="M16" s="1009"/>
      <c r="N16" s="1009"/>
      <c r="AC16" s="659" t="s">
        <v>731</v>
      </c>
    </row>
    <row r="17" spans="1:31" s="658" customFormat="1" ht="14.4" x14ac:dyDescent="0.3">
      <c r="A17" s="1010" t="s">
        <v>1719</v>
      </c>
      <c r="B17" s="1010"/>
      <c r="C17" s="1010"/>
      <c r="D17" s="1010"/>
      <c r="E17" s="1010"/>
      <c r="F17" s="1010"/>
      <c r="G17" s="1010"/>
      <c r="H17" s="1010"/>
      <c r="I17" s="1010"/>
      <c r="J17" s="1010"/>
      <c r="K17" s="1010"/>
      <c r="L17" s="1010"/>
      <c r="M17" s="1010"/>
      <c r="N17" s="1010"/>
    </row>
    <row r="18" spans="1:31" s="646" customFormat="1" ht="21" customHeight="1" x14ac:dyDescent="0.3">
      <c r="A18" s="1011" t="s">
        <v>1720</v>
      </c>
      <c r="B18" s="1011"/>
      <c r="C18" s="1011"/>
      <c r="D18" s="1011"/>
      <c r="E18" s="1011"/>
      <c r="F18" s="1011"/>
      <c r="G18" s="1011"/>
      <c r="H18" s="1011"/>
      <c r="I18" s="1011"/>
      <c r="J18" s="1011"/>
      <c r="K18" s="1011"/>
      <c r="L18" s="1011"/>
      <c r="M18" s="1011"/>
      <c r="N18" s="1011"/>
    </row>
    <row r="19" spans="1:31" s="646" customFormat="1" ht="3.75" customHeight="1" x14ac:dyDescent="0.3">
      <c r="A19" s="661"/>
      <c r="B19" s="661"/>
      <c r="C19" s="661"/>
      <c r="D19" s="661"/>
      <c r="E19" s="661"/>
      <c r="F19" s="661"/>
      <c r="G19" s="661"/>
      <c r="H19" s="661"/>
      <c r="I19" s="661"/>
      <c r="J19" s="661"/>
      <c r="K19" s="661"/>
      <c r="L19" s="661"/>
      <c r="M19" s="661"/>
      <c r="N19" s="661"/>
    </row>
    <row r="20" spans="1:31" s="646" customFormat="1" ht="14.4" x14ac:dyDescent="0.3">
      <c r="A20" s="1012" t="s">
        <v>1220</v>
      </c>
      <c r="B20" s="1013"/>
      <c r="C20" s="1013"/>
      <c r="D20" s="1013"/>
      <c r="E20" s="1013"/>
      <c r="F20" s="1013"/>
      <c r="G20" s="1013"/>
      <c r="H20" s="1013"/>
      <c r="I20" s="1013"/>
      <c r="J20" s="1013"/>
      <c r="K20" s="1013"/>
      <c r="L20" s="1013"/>
      <c r="M20" s="1013"/>
      <c r="N20" s="1013"/>
      <c r="AD20" s="654" t="s">
        <v>1220</v>
      </c>
    </row>
    <row r="21" spans="1:31" s="646" customFormat="1" ht="12" customHeight="1" x14ac:dyDescent="0.3">
      <c r="A21" s="1003" t="s">
        <v>1721</v>
      </c>
      <c r="B21" s="1003"/>
      <c r="C21" s="1003"/>
      <c r="D21" s="1003"/>
      <c r="E21" s="1003"/>
      <c r="F21" s="1003"/>
      <c r="G21" s="1003"/>
      <c r="H21" s="1003"/>
      <c r="I21" s="1003"/>
      <c r="J21" s="1003"/>
      <c r="K21" s="1003"/>
      <c r="L21" s="1003"/>
      <c r="M21" s="1003"/>
      <c r="N21" s="1003"/>
    </row>
    <row r="22" spans="1:31" s="646" customFormat="1" ht="12" customHeight="1" x14ac:dyDescent="0.3">
      <c r="A22" s="648" t="s">
        <v>1722</v>
      </c>
      <c r="B22" s="662" t="s">
        <v>1723</v>
      </c>
      <c r="C22" s="663" t="s">
        <v>1724</v>
      </c>
      <c r="D22" s="663"/>
      <c r="E22" s="663"/>
      <c r="F22" s="653"/>
      <c r="G22" s="653"/>
      <c r="H22" s="653"/>
      <c r="I22" s="653"/>
      <c r="J22" s="653"/>
      <c r="K22" s="653"/>
      <c r="L22" s="653"/>
      <c r="M22" s="653"/>
      <c r="N22" s="653"/>
    </row>
    <row r="23" spans="1:31" s="646" customFormat="1" ht="12" customHeight="1" x14ac:dyDescent="0.3">
      <c r="A23" s="648" t="s">
        <v>1725</v>
      </c>
      <c r="B23" s="1004" t="s">
        <v>1726</v>
      </c>
      <c r="C23" s="999"/>
      <c r="D23" s="999"/>
      <c r="E23" s="999"/>
      <c r="F23" s="999"/>
      <c r="G23" s="653"/>
      <c r="H23" s="653"/>
      <c r="I23" s="653"/>
      <c r="J23" s="653"/>
      <c r="K23" s="653"/>
      <c r="L23" s="653"/>
      <c r="M23" s="653"/>
      <c r="N23" s="653"/>
    </row>
    <row r="24" spans="1:31" s="646" customFormat="1" ht="14.4" x14ac:dyDescent="0.3">
      <c r="A24" s="648"/>
      <c r="B24" s="1005" t="s">
        <v>1727</v>
      </c>
      <c r="C24" s="1005"/>
      <c r="D24" s="1005"/>
      <c r="E24" s="1005"/>
      <c r="F24" s="1005"/>
      <c r="G24" s="664"/>
      <c r="H24" s="664"/>
      <c r="I24" s="664"/>
      <c r="J24" s="664"/>
      <c r="K24" s="664"/>
      <c r="L24" s="664"/>
      <c r="M24" s="665"/>
      <c r="N24" s="664"/>
    </row>
    <row r="25" spans="1:31" s="646" customFormat="1" ht="5.25" customHeight="1" x14ac:dyDescent="0.3">
      <c r="A25" s="648"/>
      <c r="B25" s="648"/>
      <c r="C25" s="648"/>
      <c r="D25" s="666"/>
      <c r="E25" s="666"/>
      <c r="F25" s="666"/>
      <c r="G25" s="666"/>
      <c r="H25" s="666"/>
      <c r="I25" s="666"/>
      <c r="J25" s="666"/>
      <c r="K25" s="666"/>
      <c r="L25" s="666"/>
      <c r="M25" s="664"/>
      <c r="N25" s="664"/>
    </row>
    <row r="26" spans="1:31" s="646" customFormat="1" ht="14.4" x14ac:dyDescent="0.3">
      <c r="A26" s="667" t="s">
        <v>1728</v>
      </c>
      <c r="B26" s="648"/>
      <c r="C26" s="648"/>
      <c r="D26" s="1006" t="s">
        <v>1729</v>
      </c>
      <c r="E26" s="1006"/>
      <c r="F26" s="1006"/>
      <c r="G26" s="668"/>
      <c r="H26" s="668"/>
      <c r="I26" s="668"/>
      <c r="J26" s="668"/>
      <c r="K26" s="668"/>
      <c r="L26" s="668"/>
      <c r="M26" s="668"/>
      <c r="N26" s="668"/>
      <c r="AE26" s="654" t="s">
        <v>1729</v>
      </c>
    </row>
    <row r="27" spans="1:31" s="646" customFormat="1" ht="7.5" customHeight="1" x14ac:dyDescent="0.3">
      <c r="A27" s="648"/>
      <c r="B27" s="650"/>
      <c r="C27" s="650"/>
      <c r="D27" s="669"/>
      <c r="E27" s="669"/>
      <c r="F27" s="669"/>
      <c r="G27" s="669"/>
      <c r="H27" s="669"/>
      <c r="I27" s="669"/>
      <c r="J27" s="669"/>
      <c r="K27" s="669"/>
      <c r="L27" s="669"/>
      <c r="M27" s="669"/>
      <c r="N27" s="669"/>
    </row>
    <row r="28" spans="1:31" s="646" customFormat="1" ht="12" customHeight="1" x14ac:dyDescent="0.3">
      <c r="A28" s="667" t="s">
        <v>1730</v>
      </c>
      <c r="B28" s="650"/>
      <c r="C28" s="670">
        <v>161452.93</v>
      </c>
      <c r="D28" s="671" t="s">
        <v>1731</v>
      </c>
      <c r="E28" s="672" t="s">
        <v>1732</v>
      </c>
      <c r="G28" s="650"/>
      <c r="H28" s="650"/>
      <c r="I28" s="650"/>
      <c r="J28" s="650"/>
      <c r="K28" s="650"/>
      <c r="L28" s="673"/>
      <c r="M28" s="673"/>
      <c r="N28" s="650"/>
    </row>
    <row r="29" spans="1:31" s="646" customFormat="1" ht="11.25" customHeight="1" x14ac:dyDescent="0.3">
      <c r="A29" s="648"/>
      <c r="B29" s="674" t="s">
        <v>1733</v>
      </c>
      <c r="C29" s="675"/>
      <c r="D29" s="676"/>
      <c r="E29" s="672"/>
      <c r="G29" s="650"/>
    </row>
    <row r="30" spans="1:31" s="646" customFormat="1" ht="12" customHeight="1" x14ac:dyDescent="0.3">
      <c r="A30" s="648"/>
      <c r="B30" s="677" t="s">
        <v>1734</v>
      </c>
      <c r="C30" s="670">
        <v>161452.93</v>
      </c>
      <c r="D30" s="671" t="s">
        <v>1731</v>
      </c>
      <c r="E30" s="672" t="s">
        <v>1732</v>
      </c>
      <c r="G30" s="650" t="s">
        <v>1735</v>
      </c>
      <c r="I30" s="650"/>
      <c r="J30" s="650"/>
      <c r="K30" s="650"/>
      <c r="L30" s="670">
        <v>3464.72</v>
      </c>
      <c r="M30" s="678" t="s">
        <v>1736</v>
      </c>
      <c r="N30" s="672" t="s">
        <v>1732</v>
      </c>
    </row>
    <row r="31" spans="1:31" s="646" customFormat="1" ht="12" customHeight="1" x14ac:dyDescent="0.3">
      <c r="A31" s="648"/>
      <c r="B31" s="677" t="s">
        <v>1737</v>
      </c>
      <c r="C31" s="670">
        <v>0</v>
      </c>
      <c r="D31" s="679" t="s">
        <v>1738</v>
      </c>
      <c r="E31" s="672" t="s">
        <v>1732</v>
      </c>
      <c r="G31" s="650" t="s">
        <v>1739</v>
      </c>
      <c r="I31" s="650"/>
      <c r="J31" s="650"/>
      <c r="K31" s="650"/>
      <c r="L31" s="1007">
        <v>9278.31</v>
      </c>
      <c r="M31" s="1007"/>
      <c r="N31" s="672" t="s">
        <v>1740</v>
      </c>
    </row>
    <row r="32" spans="1:31" s="646" customFormat="1" ht="12" customHeight="1" x14ac:dyDescent="0.3">
      <c r="A32" s="648"/>
      <c r="B32" s="677" t="s">
        <v>1741</v>
      </c>
      <c r="C32" s="670">
        <v>0</v>
      </c>
      <c r="D32" s="679" t="s">
        <v>1738</v>
      </c>
      <c r="E32" s="672" t="s">
        <v>1732</v>
      </c>
      <c r="G32" s="650" t="s">
        <v>1742</v>
      </c>
      <c r="I32" s="650"/>
      <c r="J32" s="650"/>
      <c r="K32" s="650"/>
      <c r="L32" s="1007">
        <v>3361.14</v>
      </c>
      <c r="M32" s="1007"/>
      <c r="N32" s="672" t="s">
        <v>1740</v>
      </c>
    </row>
    <row r="33" spans="1:36" s="646" customFormat="1" ht="12" customHeight="1" x14ac:dyDescent="0.3">
      <c r="A33" s="648"/>
      <c r="B33" s="677" t="s">
        <v>1743</v>
      </c>
      <c r="C33" s="670">
        <v>0</v>
      </c>
      <c r="D33" s="671" t="s">
        <v>1738</v>
      </c>
      <c r="E33" s="672" t="s">
        <v>1732</v>
      </c>
      <c r="G33" s="650"/>
      <c r="H33" s="650"/>
      <c r="I33" s="650"/>
      <c r="J33" s="650"/>
      <c r="K33" s="650"/>
      <c r="L33" s="997" t="s">
        <v>1744</v>
      </c>
      <c r="M33" s="997"/>
      <c r="N33" s="650"/>
    </row>
    <row r="34" spans="1:36" s="646" customFormat="1" ht="7.5" customHeight="1" x14ac:dyDescent="0.3">
      <c r="A34" s="680"/>
    </row>
    <row r="35" spans="1:36" s="646" customFormat="1" ht="23.25" customHeight="1" x14ac:dyDescent="0.3">
      <c r="A35" s="998" t="s">
        <v>697</v>
      </c>
      <c r="B35" s="995" t="s">
        <v>1745</v>
      </c>
      <c r="C35" s="995" t="s">
        <v>1746</v>
      </c>
      <c r="D35" s="995"/>
      <c r="E35" s="995"/>
      <c r="F35" s="995" t="s">
        <v>1747</v>
      </c>
      <c r="G35" s="995" t="s">
        <v>701</v>
      </c>
      <c r="H35" s="995"/>
      <c r="I35" s="995"/>
      <c r="J35" s="995" t="s">
        <v>1748</v>
      </c>
      <c r="K35" s="995"/>
      <c r="L35" s="995"/>
      <c r="M35" s="995" t="s">
        <v>1749</v>
      </c>
      <c r="N35" s="995" t="s">
        <v>1750</v>
      </c>
    </row>
    <row r="36" spans="1:36" s="646" customFormat="1" ht="28.5" customHeight="1" x14ac:dyDescent="0.3">
      <c r="A36" s="998"/>
      <c r="B36" s="995"/>
      <c r="C36" s="995"/>
      <c r="D36" s="995"/>
      <c r="E36" s="995"/>
      <c r="F36" s="995"/>
      <c r="G36" s="995"/>
      <c r="H36" s="995"/>
      <c r="I36" s="995"/>
      <c r="J36" s="995"/>
      <c r="K36" s="995"/>
      <c r="L36" s="995"/>
      <c r="M36" s="995"/>
      <c r="N36" s="995"/>
    </row>
    <row r="37" spans="1:36" s="646" customFormat="1" ht="20.399999999999999" x14ac:dyDescent="0.3">
      <c r="A37" s="998"/>
      <c r="B37" s="995"/>
      <c r="C37" s="995"/>
      <c r="D37" s="995"/>
      <c r="E37" s="995"/>
      <c r="F37" s="995"/>
      <c r="G37" s="681" t="s">
        <v>711</v>
      </c>
      <c r="H37" s="681" t="s">
        <v>1751</v>
      </c>
      <c r="I37" s="681" t="s">
        <v>1752</v>
      </c>
      <c r="J37" s="681" t="s">
        <v>711</v>
      </c>
      <c r="K37" s="681" t="s">
        <v>1751</v>
      </c>
      <c r="L37" s="681" t="s">
        <v>712</v>
      </c>
      <c r="M37" s="995"/>
      <c r="N37" s="995"/>
    </row>
    <row r="38" spans="1:36" s="646" customFormat="1" ht="14.4" x14ac:dyDescent="0.3">
      <c r="A38" s="682">
        <v>1</v>
      </c>
      <c r="B38" s="683">
        <v>2</v>
      </c>
      <c r="C38" s="996">
        <v>3</v>
      </c>
      <c r="D38" s="996"/>
      <c r="E38" s="996"/>
      <c r="F38" s="683">
        <v>4</v>
      </c>
      <c r="G38" s="683">
        <v>5</v>
      </c>
      <c r="H38" s="683">
        <v>6</v>
      </c>
      <c r="I38" s="683">
        <v>7</v>
      </c>
      <c r="J38" s="683">
        <v>8</v>
      </c>
      <c r="K38" s="683">
        <v>9</v>
      </c>
      <c r="L38" s="683">
        <v>10</v>
      </c>
      <c r="M38" s="683">
        <v>11</v>
      </c>
      <c r="N38" s="683">
        <v>12</v>
      </c>
    </row>
    <row r="39" spans="1:36" s="646" customFormat="1" ht="14.4" x14ac:dyDescent="0.3">
      <c r="A39" s="992" t="s">
        <v>1753</v>
      </c>
      <c r="B39" s="993"/>
      <c r="C39" s="993"/>
      <c r="D39" s="993"/>
      <c r="E39" s="993"/>
      <c r="F39" s="993"/>
      <c r="G39" s="993"/>
      <c r="H39" s="993"/>
      <c r="I39" s="993"/>
      <c r="J39" s="993"/>
      <c r="K39" s="993"/>
      <c r="L39" s="993"/>
      <c r="M39" s="993"/>
      <c r="N39" s="994"/>
      <c r="AF39" s="684" t="s">
        <v>1753</v>
      </c>
    </row>
    <row r="40" spans="1:36" s="646" customFormat="1" ht="31.8" x14ac:dyDescent="0.3">
      <c r="A40" s="685" t="s">
        <v>18</v>
      </c>
      <c r="B40" s="686" t="s">
        <v>1754</v>
      </c>
      <c r="C40" s="985" t="s">
        <v>1755</v>
      </c>
      <c r="D40" s="985"/>
      <c r="E40" s="985"/>
      <c r="F40" s="687" t="s">
        <v>763</v>
      </c>
      <c r="G40" s="688">
        <v>7.4210000000000003</v>
      </c>
      <c r="H40" s="689">
        <v>1</v>
      </c>
      <c r="I40" s="690">
        <v>7.4210000000000003</v>
      </c>
      <c r="J40" s="691"/>
      <c r="K40" s="688"/>
      <c r="L40" s="691"/>
      <c r="M40" s="688"/>
      <c r="N40" s="692"/>
      <c r="AF40" s="684"/>
      <c r="AG40" s="693" t="s">
        <v>1755</v>
      </c>
    </row>
    <row r="41" spans="1:36" s="646" customFormat="1" ht="14.4" x14ac:dyDescent="0.3">
      <c r="A41" s="694"/>
      <c r="B41" s="695"/>
      <c r="C41" s="982" t="s">
        <v>1756</v>
      </c>
      <c r="D41" s="982"/>
      <c r="E41" s="982"/>
      <c r="F41" s="982"/>
      <c r="G41" s="982"/>
      <c r="H41" s="982"/>
      <c r="I41" s="982"/>
      <c r="J41" s="982"/>
      <c r="K41" s="982"/>
      <c r="L41" s="982"/>
      <c r="M41" s="982"/>
      <c r="N41" s="988"/>
      <c r="AF41" s="684"/>
      <c r="AG41" s="693"/>
      <c r="AH41" s="696" t="s">
        <v>1756</v>
      </c>
    </row>
    <row r="42" spans="1:36" s="646" customFormat="1" ht="14.4" x14ac:dyDescent="0.3">
      <c r="A42" s="697"/>
      <c r="B42" s="698" t="s">
        <v>1757</v>
      </c>
      <c r="C42" s="974" t="s">
        <v>1758</v>
      </c>
      <c r="D42" s="974"/>
      <c r="E42" s="974"/>
      <c r="F42" s="974"/>
      <c r="G42" s="974"/>
      <c r="H42" s="974"/>
      <c r="I42" s="974"/>
      <c r="J42" s="974"/>
      <c r="K42" s="974"/>
      <c r="L42" s="974"/>
      <c r="M42" s="974"/>
      <c r="N42" s="987"/>
      <c r="AF42" s="684"/>
      <c r="AG42" s="693"/>
      <c r="AI42" s="696" t="s">
        <v>1758</v>
      </c>
    </row>
    <row r="43" spans="1:36" s="646" customFormat="1" ht="21.6" x14ac:dyDescent="0.3">
      <c r="A43" s="697"/>
      <c r="B43" s="698" t="s">
        <v>1759</v>
      </c>
      <c r="C43" s="974" t="s">
        <v>1760</v>
      </c>
      <c r="D43" s="974"/>
      <c r="E43" s="974"/>
      <c r="F43" s="974"/>
      <c r="G43" s="974"/>
      <c r="H43" s="974"/>
      <c r="I43" s="974"/>
      <c r="J43" s="974"/>
      <c r="K43" s="974"/>
      <c r="L43" s="974"/>
      <c r="M43" s="974"/>
      <c r="N43" s="987"/>
      <c r="AF43" s="684"/>
      <c r="AG43" s="693"/>
      <c r="AI43" s="696" t="s">
        <v>1760</v>
      </c>
    </row>
    <row r="44" spans="1:36" s="646" customFormat="1" ht="52.2" x14ac:dyDescent="0.3">
      <c r="A44" s="697"/>
      <c r="B44" s="698" t="s">
        <v>1761</v>
      </c>
      <c r="C44" s="974" t="s">
        <v>1762</v>
      </c>
      <c r="D44" s="974"/>
      <c r="E44" s="974"/>
      <c r="F44" s="974"/>
      <c r="G44" s="974"/>
      <c r="H44" s="974"/>
      <c r="I44" s="974"/>
      <c r="J44" s="974"/>
      <c r="K44" s="974"/>
      <c r="L44" s="974"/>
      <c r="M44" s="974"/>
      <c r="N44" s="987"/>
      <c r="AF44" s="684"/>
      <c r="AG44" s="693"/>
      <c r="AI44" s="696" t="s">
        <v>1762</v>
      </c>
    </row>
    <row r="45" spans="1:36" s="646" customFormat="1" ht="14.4" x14ac:dyDescent="0.3">
      <c r="A45" s="699"/>
      <c r="B45" s="698" t="s">
        <v>18</v>
      </c>
      <c r="C45" s="982" t="s">
        <v>1763</v>
      </c>
      <c r="D45" s="982"/>
      <c r="E45" s="982"/>
      <c r="F45" s="700"/>
      <c r="G45" s="701"/>
      <c r="H45" s="701"/>
      <c r="I45" s="701"/>
      <c r="J45" s="702">
        <v>82.68</v>
      </c>
      <c r="K45" s="703">
        <v>1.587</v>
      </c>
      <c r="L45" s="702">
        <v>973.73</v>
      </c>
      <c r="M45" s="704">
        <v>44.77</v>
      </c>
      <c r="N45" s="705">
        <v>43593.89</v>
      </c>
      <c r="AF45" s="684"/>
      <c r="AG45" s="693"/>
      <c r="AJ45" s="696" t="s">
        <v>1763</v>
      </c>
    </row>
    <row r="46" spans="1:36" s="646" customFormat="1" ht="14.4" x14ac:dyDescent="0.3">
      <c r="A46" s="699"/>
      <c r="B46" s="698" t="s">
        <v>21</v>
      </c>
      <c r="C46" s="982" t="s">
        <v>1764</v>
      </c>
      <c r="D46" s="982"/>
      <c r="E46" s="982"/>
      <c r="F46" s="700"/>
      <c r="G46" s="701"/>
      <c r="H46" s="701"/>
      <c r="I46" s="701"/>
      <c r="J46" s="706">
        <v>2918.84</v>
      </c>
      <c r="K46" s="703">
        <v>1.7250000000000001</v>
      </c>
      <c r="L46" s="706">
        <v>37364.730000000003</v>
      </c>
      <c r="M46" s="704">
        <v>13.24</v>
      </c>
      <c r="N46" s="705">
        <v>494709.03</v>
      </c>
      <c r="AF46" s="684"/>
      <c r="AG46" s="693"/>
      <c r="AJ46" s="696" t="s">
        <v>1764</v>
      </c>
    </row>
    <row r="47" spans="1:36" s="646" customFormat="1" ht="14.4" x14ac:dyDescent="0.3">
      <c r="A47" s="699"/>
      <c r="B47" s="698" t="s">
        <v>23</v>
      </c>
      <c r="C47" s="982" t="s">
        <v>1765</v>
      </c>
      <c r="D47" s="982"/>
      <c r="E47" s="982"/>
      <c r="F47" s="700"/>
      <c r="G47" s="701"/>
      <c r="H47" s="701"/>
      <c r="I47" s="701"/>
      <c r="J47" s="702">
        <v>415.8</v>
      </c>
      <c r="K47" s="703">
        <v>1.7250000000000001</v>
      </c>
      <c r="L47" s="706">
        <v>5322.75</v>
      </c>
      <c r="M47" s="704">
        <v>44.77</v>
      </c>
      <c r="N47" s="705">
        <v>238299.51999999999</v>
      </c>
      <c r="AF47" s="684"/>
      <c r="AG47" s="693"/>
      <c r="AJ47" s="696" t="s">
        <v>1765</v>
      </c>
    </row>
    <row r="48" spans="1:36" s="646" customFormat="1" ht="14.4" x14ac:dyDescent="0.3">
      <c r="A48" s="699"/>
      <c r="B48" s="698" t="s">
        <v>25</v>
      </c>
      <c r="C48" s="982" t="s">
        <v>1766</v>
      </c>
      <c r="D48" s="982"/>
      <c r="E48" s="982"/>
      <c r="F48" s="700"/>
      <c r="G48" s="701"/>
      <c r="H48" s="701"/>
      <c r="I48" s="701"/>
      <c r="J48" s="702">
        <v>3.25</v>
      </c>
      <c r="K48" s="701"/>
      <c r="L48" s="702">
        <v>24.12</v>
      </c>
      <c r="M48" s="704">
        <v>8.16</v>
      </c>
      <c r="N48" s="707">
        <v>196.82</v>
      </c>
      <c r="AF48" s="684"/>
      <c r="AG48" s="693"/>
      <c r="AJ48" s="696" t="s">
        <v>1766</v>
      </c>
    </row>
    <row r="49" spans="1:39" s="646" customFormat="1" ht="14.4" x14ac:dyDescent="0.3">
      <c r="A49" s="708"/>
      <c r="B49" s="698"/>
      <c r="C49" s="982" t="s">
        <v>1767</v>
      </c>
      <c r="D49" s="982"/>
      <c r="E49" s="982"/>
      <c r="F49" s="700" t="s">
        <v>695</v>
      </c>
      <c r="G49" s="709">
        <v>10.6</v>
      </c>
      <c r="H49" s="703">
        <v>1.587</v>
      </c>
      <c r="I49" s="710">
        <v>124.83754620000001</v>
      </c>
      <c r="J49" s="711"/>
      <c r="K49" s="701"/>
      <c r="L49" s="711"/>
      <c r="M49" s="701"/>
      <c r="N49" s="712"/>
      <c r="AF49" s="684"/>
      <c r="AG49" s="693"/>
      <c r="AK49" s="696" t="s">
        <v>1767</v>
      </c>
    </row>
    <row r="50" spans="1:39" s="646" customFormat="1" ht="14.4" x14ac:dyDescent="0.3">
      <c r="A50" s="708"/>
      <c r="B50" s="698"/>
      <c r="C50" s="982" t="s">
        <v>1768</v>
      </c>
      <c r="D50" s="982"/>
      <c r="E50" s="982"/>
      <c r="F50" s="700" t="s">
        <v>695</v>
      </c>
      <c r="G50" s="709">
        <v>30.8</v>
      </c>
      <c r="H50" s="703">
        <v>1.7250000000000001</v>
      </c>
      <c r="I50" s="713">
        <v>394.27773000000002</v>
      </c>
      <c r="J50" s="711"/>
      <c r="K50" s="701"/>
      <c r="L50" s="711"/>
      <c r="M50" s="701"/>
      <c r="N50" s="712"/>
      <c r="AF50" s="684"/>
      <c r="AG50" s="693"/>
      <c r="AK50" s="696" t="s">
        <v>1768</v>
      </c>
    </row>
    <row r="51" spans="1:39" s="646" customFormat="1" ht="14.4" x14ac:dyDescent="0.3">
      <c r="A51" s="699"/>
      <c r="B51" s="698"/>
      <c r="C51" s="986" t="s">
        <v>1769</v>
      </c>
      <c r="D51" s="986"/>
      <c r="E51" s="986"/>
      <c r="F51" s="714"/>
      <c r="G51" s="715"/>
      <c r="H51" s="715"/>
      <c r="I51" s="715"/>
      <c r="J51" s="716">
        <v>3004.77</v>
      </c>
      <c r="K51" s="715"/>
      <c r="L51" s="716">
        <v>38362.58</v>
      </c>
      <c r="M51" s="715"/>
      <c r="N51" s="717">
        <v>538499.74</v>
      </c>
      <c r="AF51" s="684"/>
      <c r="AG51" s="693"/>
      <c r="AL51" s="696" t="s">
        <v>1769</v>
      </c>
    </row>
    <row r="52" spans="1:39" s="646" customFormat="1" ht="14.4" x14ac:dyDescent="0.3">
      <c r="A52" s="708"/>
      <c r="B52" s="698"/>
      <c r="C52" s="982" t="s">
        <v>1770</v>
      </c>
      <c r="D52" s="982"/>
      <c r="E52" s="982"/>
      <c r="F52" s="700"/>
      <c r="G52" s="701"/>
      <c r="H52" s="701"/>
      <c r="I52" s="701"/>
      <c r="J52" s="711"/>
      <c r="K52" s="701"/>
      <c r="L52" s="706">
        <v>6296.48</v>
      </c>
      <c r="M52" s="701"/>
      <c r="N52" s="705">
        <v>281893.40999999997</v>
      </c>
      <c r="AF52" s="684"/>
      <c r="AG52" s="693"/>
      <c r="AK52" s="696" t="s">
        <v>1770</v>
      </c>
    </row>
    <row r="53" spans="1:39" s="646" customFormat="1" ht="21.6" x14ac:dyDescent="0.3">
      <c r="A53" s="708"/>
      <c r="B53" s="698" t="s">
        <v>1771</v>
      </c>
      <c r="C53" s="982" t="s">
        <v>1772</v>
      </c>
      <c r="D53" s="982"/>
      <c r="E53" s="982"/>
      <c r="F53" s="700" t="s">
        <v>1773</v>
      </c>
      <c r="G53" s="718">
        <v>92</v>
      </c>
      <c r="H53" s="701"/>
      <c r="I53" s="718">
        <v>92</v>
      </c>
      <c r="J53" s="711"/>
      <c r="K53" s="701"/>
      <c r="L53" s="706">
        <v>5792.76</v>
      </c>
      <c r="M53" s="701"/>
      <c r="N53" s="705">
        <v>259341.94</v>
      </c>
      <c r="AF53" s="684"/>
      <c r="AG53" s="693"/>
      <c r="AK53" s="696" t="s">
        <v>1772</v>
      </c>
    </row>
    <row r="54" spans="1:39" s="646" customFormat="1" ht="40.799999999999997" x14ac:dyDescent="0.3">
      <c r="A54" s="708"/>
      <c r="B54" s="698" t="s">
        <v>1774</v>
      </c>
      <c r="C54" s="982" t="s">
        <v>1775</v>
      </c>
      <c r="D54" s="982"/>
      <c r="E54" s="982"/>
      <c r="F54" s="700" t="s">
        <v>1773</v>
      </c>
      <c r="G54" s="718">
        <v>46</v>
      </c>
      <c r="H54" s="704">
        <v>0.85</v>
      </c>
      <c r="I54" s="709">
        <v>39.1</v>
      </c>
      <c r="J54" s="711"/>
      <c r="K54" s="701"/>
      <c r="L54" s="706">
        <v>2461.92</v>
      </c>
      <c r="M54" s="701"/>
      <c r="N54" s="705">
        <v>110220.32</v>
      </c>
      <c r="AF54" s="684"/>
      <c r="AG54" s="693"/>
      <c r="AK54" s="696" t="s">
        <v>1775</v>
      </c>
    </row>
    <row r="55" spans="1:39" s="646" customFormat="1" ht="14.4" x14ac:dyDescent="0.3">
      <c r="A55" s="719"/>
      <c r="B55" s="720"/>
      <c r="C55" s="985" t="s">
        <v>1776</v>
      </c>
      <c r="D55" s="985"/>
      <c r="E55" s="985"/>
      <c r="F55" s="687"/>
      <c r="G55" s="688"/>
      <c r="H55" s="688"/>
      <c r="I55" s="688"/>
      <c r="J55" s="691"/>
      <c r="K55" s="688"/>
      <c r="L55" s="721">
        <v>46617.26</v>
      </c>
      <c r="M55" s="715"/>
      <c r="N55" s="722">
        <v>908062</v>
      </c>
      <c r="AF55" s="684"/>
      <c r="AG55" s="693"/>
      <c r="AM55" s="693" t="s">
        <v>1776</v>
      </c>
    </row>
    <row r="56" spans="1:39" s="646" customFormat="1" ht="21.6" x14ac:dyDescent="0.3">
      <c r="A56" s="685" t="s">
        <v>21</v>
      </c>
      <c r="B56" s="686" t="s">
        <v>1777</v>
      </c>
      <c r="C56" s="985" t="s">
        <v>1778</v>
      </c>
      <c r="D56" s="985"/>
      <c r="E56" s="985"/>
      <c r="F56" s="687" t="s">
        <v>901</v>
      </c>
      <c r="G56" s="688">
        <v>5.3440000000000003</v>
      </c>
      <c r="H56" s="689">
        <v>1</v>
      </c>
      <c r="I56" s="690">
        <v>5.3440000000000003</v>
      </c>
      <c r="J56" s="691"/>
      <c r="K56" s="688"/>
      <c r="L56" s="691"/>
      <c r="M56" s="688"/>
      <c r="N56" s="692"/>
      <c r="AF56" s="684"/>
      <c r="AG56" s="693" t="s">
        <v>1778</v>
      </c>
      <c r="AM56" s="693"/>
    </row>
    <row r="57" spans="1:39" s="646" customFormat="1" ht="14.4" x14ac:dyDescent="0.3">
      <c r="A57" s="694"/>
      <c r="B57" s="695"/>
      <c r="C57" s="982" t="s">
        <v>1779</v>
      </c>
      <c r="D57" s="982"/>
      <c r="E57" s="982"/>
      <c r="F57" s="982"/>
      <c r="G57" s="982"/>
      <c r="H57" s="982"/>
      <c r="I57" s="982"/>
      <c r="J57" s="982"/>
      <c r="K57" s="982"/>
      <c r="L57" s="982"/>
      <c r="M57" s="982"/>
      <c r="N57" s="988"/>
      <c r="AF57" s="684"/>
      <c r="AG57" s="693"/>
      <c r="AH57" s="696" t="s">
        <v>1779</v>
      </c>
      <c r="AM57" s="693"/>
    </row>
    <row r="58" spans="1:39" s="646" customFormat="1" ht="14.4" x14ac:dyDescent="0.3">
      <c r="A58" s="697"/>
      <c r="B58" s="698" t="s">
        <v>1780</v>
      </c>
      <c r="C58" s="974" t="s">
        <v>1781</v>
      </c>
      <c r="D58" s="974"/>
      <c r="E58" s="974"/>
      <c r="F58" s="974"/>
      <c r="G58" s="974"/>
      <c r="H58" s="974"/>
      <c r="I58" s="974"/>
      <c r="J58" s="974"/>
      <c r="K58" s="974"/>
      <c r="L58" s="974"/>
      <c r="M58" s="974"/>
      <c r="N58" s="987"/>
      <c r="AF58" s="684"/>
      <c r="AG58" s="693"/>
      <c r="AI58" s="696" t="s">
        <v>1781</v>
      </c>
      <c r="AM58" s="693"/>
    </row>
    <row r="59" spans="1:39" s="646" customFormat="1" ht="21.6" x14ac:dyDescent="0.3">
      <c r="A59" s="697"/>
      <c r="B59" s="698" t="s">
        <v>1759</v>
      </c>
      <c r="C59" s="974" t="s">
        <v>1760</v>
      </c>
      <c r="D59" s="974"/>
      <c r="E59" s="974"/>
      <c r="F59" s="974"/>
      <c r="G59" s="974"/>
      <c r="H59" s="974"/>
      <c r="I59" s="974"/>
      <c r="J59" s="974"/>
      <c r="K59" s="974"/>
      <c r="L59" s="974"/>
      <c r="M59" s="974"/>
      <c r="N59" s="987"/>
      <c r="AF59" s="684"/>
      <c r="AG59" s="693"/>
      <c r="AI59" s="696" t="s">
        <v>1760</v>
      </c>
      <c r="AM59" s="693"/>
    </row>
    <row r="60" spans="1:39" s="646" customFormat="1" ht="52.2" x14ac:dyDescent="0.3">
      <c r="A60" s="697"/>
      <c r="B60" s="698" t="s">
        <v>1761</v>
      </c>
      <c r="C60" s="974" t="s">
        <v>1762</v>
      </c>
      <c r="D60" s="974"/>
      <c r="E60" s="974"/>
      <c r="F60" s="974"/>
      <c r="G60" s="974"/>
      <c r="H60" s="974"/>
      <c r="I60" s="974"/>
      <c r="J60" s="974"/>
      <c r="K60" s="974"/>
      <c r="L60" s="974"/>
      <c r="M60" s="974"/>
      <c r="N60" s="987"/>
      <c r="AF60" s="684"/>
      <c r="AG60" s="693"/>
      <c r="AI60" s="696" t="s">
        <v>1762</v>
      </c>
      <c r="AM60" s="693"/>
    </row>
    <row r="61" spans="1:39" s="646" customFormat="1" ht="14.4" x14ac:dyDescent="0.3">
      <c r="A61" s="699"/>
      <c r="B61" s="698" t="s">
        <v>18</v>
      </c>
      <c r="C61" s="982" t="s">
        <v>1763</v>
      </c>
      <c r="D61" s="982"/>
      <c r="E61" s="982"/>
      <c r="F61" s="700"/>
      <c r="G61" s="701"/>
      <c r="H61" s="701"/>
      <c r="I61" s="701"/>
      <c r="J61" s="702">
        <v>920.4</v>
      </c>
      <c r="K61" s="703">
        <v>1.587</v>
      </c>
      <c r="L61" s="706">
        <v>7805.85</v>
      </c>
      <c r="M61" s="704">
        <v>44.77</v>
      </c>
      <c r="N61" s="705">
        <v>349467.9</v>
      </c>
      <c r="AF61" s="684"/>
      <c r="AG61" s="693"/>
      <c r="AJ61" s="696" t="s">
        <v>1763</v>
      </c>
      <c r="AM61" s="693"/>
    </row>
    <row r="62" spans="1:39" s="646" customFormat="1" ht="14.4" x14ac:dyDescent="0.3">
      <c r="A62" s="708"/>
      <c r="B62" s="698"/>
      <c r="C62" s="982" t="s">
        <v>1767</v>
      </c>
      <c r="D62" s="982"/>
      <c r="E62" s="982"/>
      <c r="F62" s="700" t="s">
        <v>695</v>
      </c>
      <c r="G62" s="718">
        <v>118</v>
      </c>
      <c r="H62" s="703">
        <v>1.587</v>
      </c>
      <c r="I62" s="723">
        <v>1000.749504</v>
      </c>
      <c r="J62" s="711"/>
      <c r="K62" s="701"/>
      <c r="L62" s="711"/>
      <c r="M62" s="701"/>
      <c r="N62" s="712"/>
      <c r="AF62" s="684"/>
      <c r="AG62" s="693"/>
      <c r="AK62" s="696" t="s">
        <v>1767</v>
      </c>
      <c r="AM62" s="693"/>
    </row>
    <row r="63" spans="1:39" s="646" customFormat="1" ht="14.4" x14ac:dyDescent="0.3">
      <c r="A63" s="699"/>
      <c r="B63" s="698"/>
      <c r="C63" s="986" t="s">
        <v>1769</v>
      </c>
      <c r="D63" s="986"/>
      <c r="E63" s="986"/>
      <c r="F63" s="714"/>
      <c r="G63" s="715"/>
      <c r="H63" s="715"/>
      <c r="I63" s="715"/>
      <c r="J63" s="724">
        <v>920.4</v>
      </c>
      <c r="K63" s="715"/>
      <c r="L63" s="716">
        <v>7805.85</v>
      </c>
      <c r="M63" s="715"/>
      <c r="N63" s="717">
        <v>349467.9</v>
      </c>
      <c r="AF63" s="684"/>
      <c r="AG63" s="693"/>
      <c r="AL63" s="696" t="s">
        <v>1769</v>
      </c>
      <c r="AM63" s="693"/>
    </row>
    <row r="64" spans="1:39" s="646" customFormat="1" ht="14.4" x14ac:dyDescent="0.3">
      <c r="A64" s="708"/>
      <c r="B64" s="698"/>
      <c r="C64" s="982" t="s">
        <v>1770</v>
      </c>
      <c r="D64" s="982"/>
      <c r="E64" s="982"/>
      <c r="F64" s="700"/>
      <c r="G64" s="701"/>
      <c r="H64" s="701"/>
      <c r="I64" s="701"/>
      <c r="J64" s="711"/>
      <c r="K64" s="701"/>
      <c r="L64" s="706">
        <v>7805.85</v>
      </c>
      <c r="M64" s="701"/>
      <c r="N64" s="705">
        <v>349467.9</v>
      </c>
      <c r="AF64" s="684"/>
      <c r="AG64" s="693"/>
      <c r="AK64" s="696" t="s">
        <v>1770</v>
      </c>
      <c r="AM64" s="693"/>
    </row>
    <row r="65" spans="1:39" s="646" customFormat="1" ht="20.399999999999999" x14ac:dyDescent="0.3">
      <c r="A65" s="708"/>
      <c r="B65" s="698" t="s">
        <v>1782</v>
      </c>
      <c r="C65" s="982" t="s">
        <v>1783</v>
      </c>
      <c r="D65" s="982"/>
      <c r="E65" s="982"/>
      <c r="F65" s="700" t="s">
        <v>1773</v>
      </c>
      <c r="G65" s="718">
        <v>89</v>
      </c>
      <c r="H65" s="701"/>
      <c r="I65" s="718">
        <v>89</v>
      </c>
      <c r="J65" s="711"/>
      <c r="K65" s="701"/>
      <c r="L65" s="706">
        <v>6947.21</v>
      </c>
      <c r="M65" s="701"/>
      <c r="N65" s="705">
        <v>311026.43</v>
      </c>
      <c r="AF65" s="684"/>
      <c r="AG65" s="693"/>
      <c r="AK65" s="696" t="s">
        <v>1783</v>
      </c>
      <c r="AM65" s="693"/>
    </row>
    <row r="66" spans="1:39" s="646" customFormat="1" ht="40.799999999999997" x14ac:dyDescent="0.3">
      <c r="A66" s="708"/>
      <c r="B66" s="698" t="s">
        <v>1784</v>
      </c>
      <c r="C66" s="982" t="s">
        <v>1785</v>
      </c>
      <c r="D66" s="982"/>
      <c r="E66" s="982"/>
      <c r="F66" s="700" t="s">
        <v>1773</v>
      </c>
      <c r="G66" s="718">
        <v>40</v>
      </c>
      <c r="H66" s="704">
        <v>0.85</v>
      </c>
      <c r="I66" s="718">
        <v>34</v>
      </c>
      <c r="J66" s="711"/>
      <c r="K66" s="701"/>
      <c r="L66" s="706">
        <v>2653.99</v>
      </c>
      <c r="M66" s="701"/>
      <c r="N66" s="705">
        <v>118819.09</v>
      </c>
      <c r="AF66" s="684"/>
      <c r="AG66" s="693"/>
      <c r="AK66" s="696" t="s">
        <v>1785</v>
      </c>
      <c r="AM66" s="693"/>
    </row>
    <row r="67" spans="1:39" s="646" customFormat="1" ht="14.4" x14ac:dyDescent="0.3">
      <c r="A67" s="719"/>
      <c r="B67" s="720"/>
      <c r="C67" s="985" t="s">
        <v>1776</v>
      </c>
      <c r="D67" s="985"/>
      <c r="E67" s="985"/>
      <c r="F67" s="687"/>
      <c r="G67" s="688"/>
      <c r="H67" s="688"/>
      <c r="I67" s="688"/>
      <c r="J67" s="691"/>
      <c r="K67" s="688"/>
      <c r="L67" s="721">
        <v>17407.05</v>
      </c>
      <c r="M67" s="715"/>
      <c r="N67" s="722">
        <v>779313.42</v>
      </c>
      <c r="AF67" s="684"/>
      <c r="AG67" s="693"/>
      <c r="AM67" s="693" t="s">
        <v>1776</v>
      </c>
    </row>
    <row r="68" spans="1:39" s="646" customFormat="1" ht="31.8" x14ac:dyDescent="0.3">
      <c r="A68" s="685" t="s">
        <v>23</v>
      </c>
      <c r="B68" s="686" t="s">
        <v>1786</v>
      </c>
      <c r="C68" s="985" t="s">
        <v>1787</v>
      </c>
      <c r="D68" s="985"/>
      <c r="E68" s="985"/>
      <c r="F68" s="687" t="s">
        <v>901</v>
      </c>
      <c r="G68" s="688">
        <v>5.3440000000000003</v>
      </c>
      <c r="H68" s="689">
        <v>1</v>
      </c>
      <c r="I68" s="690">
        <v>5.3440000000000003</v>
      </c>
      <c r="J68" s="691"/>
      <c r="K68" s="688"/>
      <c r="L68" s="691"/>
      <c r="M68" s="688"/>
      <c r="N68" s="692"/>
      <c r="AF68" s="684"/>
      <c r="AG68" s="693" t="s">
        <v>1787</v>
      </c>
      <c r="AM68" s="693"/>
    </row>
    <row r="69" spans="1:39" s="646" customFormat="1" ht="14.4" x14ac:dyDescent="0.3">
      <c r="A69" s="694"/>
      <c r="B69" s="695"/>
      <c r="C69" s="982" t="s">
        <v>1788</v>
      </c>
      <c r="D69" s="982"/>
      <c r="E69" s="982"/>
      <c r="F69" s="982"/>
      <c r="G69" s="982"/>
      <c r="H69" s="982"/>
      <c r="I69" s="982"/>
      <c r="J69" s="982"/>
      <c r="K69" s="982"/>
      <c r="L69" s="982"/>
      <c r="M69" s="982"/>
      <c r="N69" s="988"/>
      <c r="AF69" s="684"/>
      <c r="AG69" s="693"/>
      <c r="AH69" s="696" t="s">
        <v>1788</v>
      </c>
      <c r="AM69" s="693"/>
    </row>
    <row r="70" spans="1:39" s="646" customFormat="1" ht="21.6" x14ac:dyDescent="0.3">
      <c r="A70" s="697"/>
      <c r="B70" s="698" t="s">
        <v>1759</v>
      </c>
      <c r="C70" s="974" t="s">
        <v>1760</v>
      </c>
      <c r="D70" s="974"/>
      <c r="E70" s="974"/>
      <c r="F70" s="974"/>
      <c r="G70" s="974"/>
      <c r="H70" s="974"/>
      <c r="I70" s="974"/>
      <c r="J70" s="974"/>
      <c r="K70" s="974"/>
      <c r="L70" s="974"/>
      <c r="M70" s="974"/>
      <c r="N70" s="987"/>
      <c r="AF70" s="684"/>
      <c r="AG70" s="693"/>
      <c r="AI70" s="696" t="s">
        <v>1760</v>
      </c>
      <c r="AM70" s="693"/>
    </row>
    <row r="71" spans="1:39" s="646" customFormat="1" ht="52.2" x14ac:dyDescent="0.3">
      <c r="A71" s="697"/>
      <c r="B71" s="698" t="s">
        <v>1761</v>
      </c>
      <c r="C71" s="974" t="s">
        <v>1762</v>
      </c>
      <c r="D71" s="974"/>
      <c r="E71" s="974"/>
      <c r="F71" s="974"/>
      <c r="G71" s="974"/>
      <c r="H71" s="974"/>
      <c r="I71" s="974"/>
      <c r="J71" s="974"/>
      <c r="K71" s="974"/>
      <c r="L71" s="974"/>
      <c r="M71" s="974"/>
      <c r="N71" s="987"/>
      <c r="AF71" s="684"/>
      <c r="AG71" s="693"/>
      <c r="AI71" s="696" t="s">
        <v>1762</v>
      </c>
      <c r="AM71" s="693"/>
    </row>
    <row r="72" spans="1:39" s="646" customFormat="1" ht="14.4" x14ac:dyDescent="0.3">
      <c r="A72" s="699"/>
      <c r="B72" s="698" t="s">
        <v>18</v>
      </c>
      <c r="C72" s="982" t="s">
        <v>1763</v>
      </c>
      <c r="D72" s="982"/>
      <c r="E72" s="982"/>
      <c r="F72" s="700"/>
      <c r="G72" s="701"/>
      <c r="H72" s="701"/>
      <c r="I72" s="701"/>
      <c r="J72" s="702">
        <v>401.7</v>
      </c>
      <c r="K72" s="725">
        <v>1.3225</v>
      </c>
      <c r="L72" s="706">
        <v>2838.99</v>
      </c>
      <c r="M72" s="704">
        <v>44.77</v>
      </c>
      <c r="N72" s="705">
        <v>127101.58</v>
      </c>
      <c r="AF72" s="684"/>
      <c r="AG72" s="693"/>
      <c r="AJ72" s="696" t="s">
        <v>1763</v>
      </c>
      <c r="AM72" s="693"/>
    </row>
    <row r="73" spans="1:39" s="646" customFormat="1" ht="14.4" x14ac:dyDescent="0.3">
      <c r="A73" s="708"/>
      <c r="B73" s="698"/>
      <c r="C73" s="982" t="s">
        <v>1767</v>
      </c>
      <c r="D73" s="982"/>
      <c r="E73" s="982"/>
      <c r="F73" s="700" t="s">
        <v>695</v>
      </c>
      <c r="G73" s="704">
        <v>53.56</v>
      </c>
      <c r="H73" s="725">
        <v>1.3225</v>
      </c>
      <c r="I73" s="710">
        <v>378.53208640000003</v>
      </c>
      <c r="J73" s="711"/>
      <c r="K73" s="701"/>
      <c r="L73" s="711"/>
      <c r="M73" s="701"/>
      <c r="N73" s="712"/>
      <c r="AF73" s="684"/>
      <c r="AG73" s="693"/>
      <c r="AK73" s="696" t="s">
        <v>1767</v>
      </c>
      <c r="AM73" s="693"/>
    </row>
    <row r="74" spans="1:39" s="646" customFormat="1" ht="14.4" x14ac:dyDescent="0.3">
      <c r="A74" s="699"/>
      <c r="B74" s="698"/>
      <c r="C74" s="986" t="s">
        <v>1769</v>
      </c>
      <c r="D74" s="986"/>
      <c r="E74" s="986"/>
      <c r="F74" s="714"/>
      <c r="G74" s="715"/>
      <c r="H74" s="715"/>
      <c r="I74" s="715"/>
      <c r="J74" s="724">
        <v>401.7</v>
      </c>
      <c r="K74" s="715"/>
      <c r="L74" s="716">
        <v>2838.99</v>
      </c>
      <c r="M74" s="715"/>
      <c r="N74" s="717">
        <v>127101.58</v>
      </c>
      <c r="AF74" s="684"/>
      <c r="AG74" s="693"/>
      <c r="AL74" s="696" t="s">
        <v>1769</v>
      </c>
      <c r="AM74" s="693"/>
    </row>
    <row r="75" spans="1:39" s="646" customFormat="1" ht="14.4" x14ac:dyDescent="0.3">
      <c r="A75" s="708"/>
      <c r="B75" s="698"/>
      <c r="C75" s="982" t="s">
        <v>1770</v>
      </c>
      <c r="D75" s="982"/>
      <c r="E75" s="982"/>
      <c r="F75" s="700"/>
      <c r="G75" s="701"/>
      <c r="H75" s="701"/>
      <c r="I75" s="701"/>
      <c r="J75" s="711"/>
      <c r="K75" s="701"/>
      <c r="L75" s="706">
        <v>2838.99</v>
      </c>
      <c r="M75" s="701"/>
      <c r="N75" s="705">
        <v>127101.58</v>
      </c>
      <c r="AF75" s="684"/>
      <c r="AG75" s="693"/>
      <c r="AK75" s="696" t="s">
        <v>1770</v>
      </c>
      <c r="AM75" s="693"/>
    </row>
    <row r="76" spans="1:39" s="646" customFormat="1" ht="20.399999999999999" x14ac:dyDescent="0.3">
      <c r="A76" s="708"/>
      <c r="B76" s="698" t="s">
        <v>1782</v>
      </c>
      <c r="C76" s="982" t="s">
        <v>1783</v>
      </c>
      <c r="D76" s="982"/>
      <c r="E76" s="982"/>
      <c r="F76" s="700" t="s">
        <v>1773</v>
      </c>
      <c r="G76" s="718">
        <v>89</v>
      </c>
      <c r="H76" s="701"/>
      <c r="I76" s="718">
        <v>89</v>
      </c>
      <c r="J76" s="711"/>
      <c r="K76" s="701"/>
      <c r="L76" s="706">
        <v>2526.6999999999998</v>
      </c>
      <c r="M76" s="701"/>
      <c r="N76" s="705">
        <v>113120.41</v>
      </c>
      <c r="AF76" s="684"/>
      <c r="AG76" s="693"/>
      <c r="AK76" s="696" t="s">
        <v>1783</v>
      </c>
      <c r="AM76" s="693"/>
    </row>
    <row r="77" spans="1:39" s="646" customFormat="1" ht="40.799999999999997" x14ac:dyDescent="0.3">
      <c r="A77" s="708"/>
      <c r="B77" s="698" t="s">
        <v>1784</v>
      </c>
      <c r="C77" s="982" t="s">
        <v>1785</v>
      </c>
      <c r="D77" s="982"/>
      <c r="E77" s="982"/>
      <c r="F77" s="700" t="s">
        <v>1773</v>
      </c>
      <c r="G77" s="718">
        <v>40</v>
      </c>
      <c r="H77" s="704">
        <v>0.85</v>
      </c>
      <c r="I77" s="718">
        <v>34</v>
      </c>
      <c r="J77" s="711"/>
      <c r="K77" s="701"/>
      <c r="L77" s="702">
        <v>965.26</v>
      </c>
      <c r="M77" s="701"/>
      <c r="N77" s="705">
        <v>43214.54</v>
      </c>
      <c r="AF77" s="684"/>
      <c r="AG77" s="693"/>
      <c r="AK77" s="696" t="s">
        <v>1785</v>
      </c>
      <c r="AM77" s="693"/>
    </row>
    <row r="78" spans="1:39" s="646" customFormat="1" ht="14.4" x14ac:dyDescent="0.3">
      <c r="A78" s="719"/>
      <c r="B78" s="720"/>
      <c r="C78" s="985" t="s">
        <v>1776</v>
      </c>
      <c r="D78" s="985"/>
      <c r="E78" s="985"/>
      <c r="F78" s="687"/>
      <c r="G78" s="688"/>
      <c r="H78" s="688"/>
      <c r="I78" s="688"/>
      <c r="J78" s="691"/>
      <c r="K78" s="688"/>
      <c r="L78" s="721">
        <v>6330.95</v>
      </c>
      <c r="M78" s="715"/>
      <c r="N78" s="722">
        <v>283436.53000000003</v>
      </c>
      <c r="AF78" s="684"/>
      <c r="AG78" s="693"/>
      <c r="AM78" s="693" t="s">
        <v>1776</v>
      </c>
    </row>
    <row r="79" spans="1:39" s="646" customFormat="1" ht="31.8" x14ac:dyDescent="0.3">
      <c r="A79" s="685" t="s">
        <v>25</v>
      </c>
      <c r="B79" s="686" t="s">
        <v>1789</v>
      </c>
      <c r="C79" s="985" t="s">
        <v>889</v>
      </c>
      <c r="D79" s="985"/>
      <c r="E79" s="985"/>
      <c r="F79" s="687" t="s">
        <v>1790</v>
      </c>
      <c r="G79" s="688">
        <v>313.85399999999998</v>
      </c>
      <c r="H79" s="689">
        <v>1</v>
      </c>
      <c r="I79" s="690">
        <v>313.85399999999998</v>
      </c>
      <c r="J79" s="726">
        <v>2.91</v>
      </c>
      <c r="K79" s="688"/>
      <c r="L79" s="726">
        <v>913.32</v>
      </c>
      <c r="M79" s="727">
        <v>13.62</v>
      </c>
      <c r="N79" s="722">
        <v>12439.42</v>
      </c>
      <c r="AF79" s="684"/>
      <c r="AG79" s="693" t="s">
        <v>889</v>
      </c>
      <c r="AM79" s="693"/>
    </row>
    <row r="80" spans="1:39" s="646" customFormat="1" ht="14.4" x14ac:dyDescent="0.3">
      <c r="A80" s="694"/>
      <c r="B80" s="695"/>
      <c r="C80" s="982" t="s">
        <v>1791</v>
      </c>
      <c r="D80" s="982"/>
      <c r="E80" s="982"/>
      <c r="F80" s="982"/>
      <c r="G80" s="982"/>
      <c r="H80" s="982"/>
      <c r="I80" s="982"/>
      <c r="J80" s="982"/>
      <c r="K80" s="982"/>
      <c r="L80" s="982"/>
      <c r="M80" s="982"/>
      <c r="N80" s="988"/>
      <c r="AF80" s="684"/>
      <c r="AG80" s="693"/>
      <c r="AH80" s="696" t="s">
        <v>1791</v>
      </c>
      <c r="AM80" s="693"/>
    </row>
    <row r="81" spans="1:41" s="646" customFormat="1" ht="14.4" x14ac:dyDescent="0.3">
      <c r="A81" s="719"/>
      <c r="B81" s="720"/>
      <c r="C81" s="985" t="s">
        <v>1776</v>
      </c>
      <c r="D81" s="985"/>
      <c r="E81" s="985"/>
      <c r="F81" s="687"/>
      <c r="G81" s="688"/>
      <c r="H81" s="688"/>
      <c r="I81" s="688"/>
      <c r="J81" s="691"/>
      <c r="K81" s="688"/>
      <c r="L81" s="726">
        <v>913.32</v>
      </c>
      <c r="M81" s="715"/>
      <c r="N81" s="722">
        <v>12439.42</v>
      </c>
      <c r="AF81" s="684"/>
      <c r="AG81" s="693"/>
      <c r="AM81" s="693" t="s">
        <v>1776</v>
      </c>
    </row>
    <row r="82" spans="1:41" s="646" customFormat="1" ht="21.6" x14ac:dyDescent="0.3">
      <c r="A82" s="685" t="s">
        <v>43</v>
      </c>
      <c r="B82" s="686" t="s">
        <v>744</v>
      </c>
      <c r="C82" s="985" t="s">
        <v>1792</v>
      </c>
      <c r="D82" s="985"/>
      <c r="E82" s="985"/>
      <c r="F82" s="687" t="s">
        <v>745</v>
      </c>
      <c r="G82" s="688">
        <v>7782.36</v>
      </c>
      <c r="H82" s="689">
        <v>1</v>
      </c>
      <c r="I82" s="727">
        <v>7782.36</v>
      </c>
      <c r="J82" s="726">
        <v>162.38</v>
      </c>
      <c r="K82" s="688"/>
      <c r="L82" s="721">
        <v>1263699.6200000001</v>
      </c>
      <c r="M82" s="727">
        <v>8.16</v>
      </c>
      <c r="N82" s="722">
        <v>10311788.9</v>
      </c>
      <c r="AF82" s="684"/>
      <c r="AG82" s="693" t="s">
        <v>1792</v>
      </c>
      <c r="AM82" s="693"/>
    </row>
    <row r="83" spans="1:41" s="646" customFormat="1" ht="14.4" x14ac:dyDescent="0.3">
      <c r="A83" s="719"/>
      <c r="B83" s="720"/>
      <c r="C83" s="982" t="s">
        <v>1793</v>
      </c>
      <c r="D83" s="982"/>
      <c r="E83" s="982"/>
      <c r="F83" s="982"/>
      <c r="G83" s="982"/>
      <c r="H83" s="982"/>
      <c r="I83" s="982"/>
      <c r="J83" s="982"/>
      <c r="K83" s="982"/>
      <c r="L83" s="982"/>
      <c r="M83" s="982"/>
      <c r="N83" s="988"/>
      <c r="AF83" s="684"/>
      <c r="AG83" s="693"/>
      <c r="AM83" s="693"/>
      <c r="AN83" s="696" t="s">
        <v>1793</v>
      </c>
    </row>
    <row r="84" spans="1:41" s="646" customFormat="1" ht="14.4" x14ac:dyDescent="0.3">
      <c r="A84" s="694"/>
      <c r="B84" s="695"/>
      <c r="C84" s="982" t="s">
        <v>1794</v>
      </c>
      <c r="D84" s="982"/>
      <c r="E84" s="982"/>
      <c r="F84" s="982"/>
      <c r="G84" s="982"/>
      <c r="H84" s="982"/>
      <c r="I84" s="982"/>
      <c r="J84" s="982"/>
      <c r="K84" s="982"/>
      <c r="L84" s="982"/>
      <c r="M84" s="982"/>
      <c r="N84" s="988"/>
      <c r="AF84" s="684"/>
      <c r="AG84" s="693"/>
      <c r="AM84" s="693"/>
      <c r="AO84" s="696" t="s">
        <v>1794</v>
      </c>
    </row>
    <row r="85" spans="1:41" s="646" customFormat="1" ht="14.4" x14ac:dyDescent="0.3">
      <c r="A85" s="719"/>
      <c r="B85" s="720"/>
      <c r="C85" s="985" t="s">
        <v>1776</v>
      </c>
      <c r="D85" s="985"/>
      <c r="E85" s="985"/>
      <c r="F85" s="687"/>
      <c r="G85" s="688"/>
      <c r="H85" s="688"/>
      <c r="I85" s="688"/>
      <c r="J85" s="691"/>
      <c r="K85" s="688"/>
      <c r="L85" s="721">
        <v>1263699.6200000001</v>
      </c>
      <c r="M85" s="715"/>
      <c r="N85" s="722">
        <v>10311788.9</v>
      </c>
      <c r="AF85" s="684"/>
      <c r="AG85" s="693"/>
      <c r="AM85" s="693" t="s">
        <v>1776</v>
      </c>
    </row>
    <row r="86" spans="1:41" s="646" customFormat="1" ht="21.6" x14ac:dyDescent="0.3">
      <c r="A86" s="685" t="s">
        <v>76</v>
      </c>
      <c r="B86" s="686" t="s">
        <v>1795</v>
      </c>
      <c r="C86" s="985" t="s">
        <v>1796</v>
      </c>
      <c r="D86" s="985"/>
      <c r="E86" s="985"/>
      <c r="F86" s="687" t="s">
        <v>1060</v>
      </c>
      <c r="G86" s="688">
        <v>7.2786</v>
      </c>
      <c r="H86" s="689">
        <v>1</v>
      </c>
      <c r="I86" s="728">
        <v>7.2786</v>
      </c>
      <c r="J86" s="691"/>
      <c r="K86" s="688"/>
      <c r="L86" s="691"/>
      <c r="M86" s="688"/>
      <c r="N86" s="692"/>
      <c r="AF86" s="684"/>
      <c r="AG86" s="693" t="s">
        <v>1796</v>
      </c>
      <c r="AM86" s="693"/>
    </row>
    <row r="87" spans="1:41" s="646" customFormat="1" ht="14.4" x14ac:dyDescent="0.3">
      <c r="A87" s="694"/>
      <c r="B87" s="695"/>
      <c r="C87" s="982" t="s">
        <v>1797</v>
      </c>
      <c r="D87" s="982"/>
      <c r="E87" s="982"/>
      <c r="F87" s="982"/>
      <c r="G87" s="982"/>
      <c r="H87" s="982"/>
      <c r="I87" s="982"/>
      <c r="J87" s="982"/>
      <c r="K87" s="982"/>
      <c r="L87" s="982"/>
      <c r="M87" s="982"/>
      <c r="N87" s="988"/>
      <c r="AF87" s="684"/>
      <c r="AG87" s="693"/>
      <c r="AH87" s="696" t="s">
        <v>1797</v>
      </c>
      <c r="AM87" s="693"/>
    </row>
    <row r="88" spans="1:41" s="646" customFormat="1" ht="21.6" x14ac:dyDescent="0.3">
      <c r="A88" s="697"/>
      <c r="B88" s="698" t="s">
        <v>1759</v>
      </c>
      <c r="C88" s="974" t="s">
        <v>1760</v>
      </c>
      <c r="D88" s="974"/>
      <c r="E88" s="974"/>
      <c r="F88" s="974"/>
      <c r="G88" s="974"/>
      <c r="H88" s="974"/>
      <c r="I88" s="974"/>
      <c r="J88" s="974"/>
      <c r="K88" s="974"/>
      <c r="L88" s="974"/>
      <c r="M88" s="974"/>
      <c r="N88" s="987"/>
      <c r="AF88" s="684"/>
      <c r="AG88" s="693"/>
      <c r="AI88" s="696" t="s">
        <v>1760</v>
      </c>
      <c r="AM88" s="693"/>
    </row>
    <row r="89" spans="1:41" s="646" customFormat="1" ht="52.2" x14ac:dyDescent="0.3">
      <c r="A89" s="697"/>
      <c r="B89" s="698" t="s">
        <v>1761</v>
      </c>
      <c r="C89" s="974" t="s">
        <v>1762</v>
      </c>
      <c r="D89" s="974"/>
      <c r="E89" s="974"/>
      <c r="F89" s="974"/>
      <c r="G89" s="974"/>
      <c r="H89" s="974"/>
      <c r="I89" s="974"/>
      <c r="J89" s="974"/>
      <c r="K89" s="974"/>
      <c r="L89" s="974"/>
      <c r="M89" s="974"/>
      <c r="N89" s="987"/>
      <c r="AF89" s="684"/>
      <c r="AG89" s="693"/>
      <c r="AI89" s="696" t="s">
        <v>1762</v>
      </c>
      <c r="AM89" s="693"/>
    </row>
    <row r="90" spans="1:41" s="646" customFormat="1" ht="14.4" x14ac:dyDescent="0.3">
      <c r="A90" s="699"/>
      <c r="B90" s="698" t="s">
        <v>21</v>
      </c>
      <c r="C90" s="982" t="s">
        <v>1764</v>
      </c>
      <c r="D90" s="982"/>
      <c r="E90" s="982"/>
      <c r="F90" s="700"/>
      <c r="G90" s="701"/>
      <c r="H90" s="701"/>
      <c r="I90" s="701"/>
      <c r="J90" s="702">
        <v>18.190000000000001</v>
      </c>
      <c r="K90" s="725">
        <v>1.4375</v>
      </c>
      <c r="L90" s="702">
        <v>190.32</v>
      </c>
      <c r="M90" s="704">
        <v>13.24</v>
      </c>
      <c r="N90" s="705">
        <v>2519.84</v>
      </c>
      <c r="AF90" s="684"/>
      <c r="AG90" s="693"/>
      <c r="AJ90" s="696" t="s">
        <v>1764</v>
      </c>
      <c r="AM90" s="693"/>
    </row>
    <row r="91" spans="1:41" s="646" customFormat="1" ht="14.4" x14ac:dyDescent="0.3">
      <c r="A91" s="699"/>
      <c r="B91" s="698" t="s">
        <v>23</v>
      </c>
      <c r="C91" s="982" t="s">
        <v>1765</v>
      </c>
      <c r="D91" s="982"/>
      <c r="E91" s="982"/>
      <c r="F91" s="700"/>
      <c r="G91" s="701"/>
      <c r="H91" s="701"/>
      <c r="I91" s="701"/>
      <c r="J91" s="702">
        <v>3.11</v>
      </c>
      <c r="K91" s="725">
        <v>1.4375</v>
      </c>
      <c r="L91" s="702">
        <v>32.54</v>
      </c>
      <c r="M91" s="704">
        <v>44.77</v>
      </c>
      <c r="N91" s="705">
        <v>1456.82</v>
      </c>
      <c r="AF91" s="684"/>
      <c r="AG91" s="693"/>
      <c r="AJ91" s="696" t="s">
        <v>1765</v>
      </c>
      <c r="AM91" s="693"/>
    </row>
    <row r="92" spans="1:41" s="646" customFormat="1" ht="14.4" x14ac:dyDescent="0.3">
      <c r="A92" s="708"/>
      <c r="B92" s="698"/>
      <c r="C92" s="982" t="s">
        <v>1768</v>
      </c>
      <c r="D92" s="982"/>
      <c r="E92" s="982"/>
      <c r="F92" s="700" t="s">
        <v>695</v>
      </c>
      <c r="G92" s="704">
        <v>0.23</v>
      </c>
      <c r="H92" s="725">
        <v>1.4375</v>
      </c>
      <c r="I92" s="710">
        <v>2.4064871000000001</v>
      </c>
      <c r="J92" s="711"/>
      <c r="K92" s="701"/>
      <c r="L92" s="711"/>
      <c r="M92" s="701"/>
      <c r="N92" s="712"/>
      <c r="AF92" s="684"/>
      <c r="AG92" s="693"/>
      <c r="AK92" s="696" t="s">
        <v>1768</v>
      </c>
      <c r="AM92" s="693"/>
    </row>
    <row r="93" spans="1:41" s="646" customFormat="1" ht="14.4" x14ac:dyDescent="0.3">
      <c r="A93" s="699"/>
      <c r="B93" s="698"/>
      <c r="C93" s="986" t="s">
        <v>1769</v>
      </c>
      <c r="D93" s="986"/>
      <c r="E93" s="986"/>
      <c r="F93" s="714"/>
      <c r="G93" s="715"/>
      <c r="H93" s="715"/>
      <c r="I93" s="715"/>
      <c r="J93" s="724">
        <v>18.190000000000001</v>
      </c>
      <c r="K93" s="715"/>
      <c r="L93" s="724">
        <v>190.32</v>
      </c>
      <c r="M93" s="715"/>
      <c r="N93" s="717">
        <v>2519.84</v>
      </c>
      <c r="AF93" s="684"/>
      <c r="AG93" s="693"/>
      <c r="AL93" s="696" t="s">
        <v>1769</v>
      </c>
      <c r="AM93" s="693"/>
    </row>
    <row r="94" spans="1:41" s="646" customFormat="1" ht="14.4" x14ac:dyDescent="0.3">
      <c r="A94" s="708"/>
      <c r="B94" s="698"/>
      <c r="C94" s="982" t="s">
        <v>1770</v>
      </c>
      <c r="D94" s="982"/>
      <c r="E94" s="982"/>
      <c r="F94" s="700"/>
      <c r="G94" s="701"/>
      <c r="H94" s="701"/>
      <c r="I94" s="701"/>
      <c r="J94" s="711"/>
      <c r="K94" s="701"/>
      <c r="L94" s="702">
        <v>32.54</v>
      </c>
      <c r="M94" s="701"/>
      <c r="N94" s="705">
        <v>1456.82</v>
      </c>
      <c r="AF94" s="684"/>
      <c r="AG94" s="693"/>
      <c r="AK94" s="696" t="s">
        <v>1770</v>
      </c>
      <c r="AM94" s="693"/>
    </row>
    <row r="95" spans="1:41" s="646" customFormat="1" ht="21.6" x14ac:dyDescent="0.3">
      <c r="A95" s="708"/>
      <c r="B95" s="698" t="s">
        <v>1771</v>
      </c>
      <c r="C95" s="982" t="s">
        <v>1772</v>
      </c>
      <c r="D95" s="982"/>
      <c r="E95" s="982"/>
      <c r="F95" s="700" t="s">
        <v>1773</v>
      </c>
      <c r="G95" s="718">
        <v>92</v>
      </c>
      <c r="H95" s="701"/>
      <c r="I95" s="718">
        <v>92</v>
      </c>
      <c r="J95" s="711"/>
      <c r="K95" s="701"/>
      <c r="L95" s="702">
        <v>29.94</v>
      </c>
      <c r="M95" s="701"/>
      <c r="N95" s="705">
        <v>1340.27</v>
      </c>
      <c r="AF95" s="684"/>
      <c r="AG95" s="693"/>
      <c r="AK95" s="696" t="s">
        <v>1772</v>
      </c>
      <c r="AM95" s="693"/>
    </row>
    <row r="96" spans="1:41" s="646" customFormat="1" ht="40.799999999999997" x14ac:dyDescent="0.3">
      <c r="A96" s="708"/>
      <c r="B96" s="698" t="s">
        <v>1774</v>
      </c>
      <c r="C96" s="982" t="s">
        <v>1775</v>
      </c>
      <c r="D96" s="982"/>
      <c r="E96" s="982"/>
      <c r="F96" s="700" t="s">
        <v>1773</v>
      </c>
      <c r="G96" s="718">
        <v>46</v>
      </c>
      <c r="H96" s="704">
        <v>0.85</v>
      </c>
      <c r="I96" s="709">
        <v>39.1</v>
      </c>
      <c r="J96" s="711"/>
      <c r="K96" s="701"/>
      <c r="L96" s="702">
        <v>12.72</v>
      </c>
      <c r="M96" s="701"/>
      <c r="N96" s="707">
        <v>569.62</v>
      </c>
      <c r="AF96" s="684"/>
      <c r="AG96" s="693"/>
      <c r="AK96" s="696" t="s">
        <v>1775</v>
      </c>
      <c r="AM96" s="693"/>
    </row>
    <row r="97" spans="1:39" s="646" customFormat="1" ht="14.4" x14ac:dyDescent="0.3">
      <c r="A97" s="719"/>
      <c r="B97" s="720"/>
      <c r="C97" s="985" t="s">
        <v>1776</v>
      </c>
      <c r="D97" s="985"/>
      <c r="E97" s="985"/>
      <c r="F97" s="687"/>
      <c r="G97" s="688"/>
      <c r="H97" s="688"/>
      <c r="I97" s="688"/>
      <c r="J97" s="691"/>
      <c r="K97" s="688"/>
      <c r="L97" s="726">
        <v>232.98</v>
      </c>
      <c r="M97" s="715"/>
      <c r="N97" s="722">
        <v>4429.7299999999996</v>
      </c>
      <c r="AF97" s="684"/>
      <c r="AG97" s="693"/>
      <c r="AM97" s="693" t="s">
        <v>1776</v>
      </c>
    </row>
    <row r="98" spans="1:39" s="646" customFormat="1" ht="21.6" x14ac:dyDescent="0.3">
      <c r="A98" s="685" t="s">
        <v>77</v>
      </c>
      <c r="B98" s="686" t="s">
        <v>1798</v>
      </c>
      <c r="C98" s="985" t="s">
        <v>1799</v>
      </c>
      <c r="D98" s="985"/>
      <c r="E98" s="985"/>
      <c r="F98" s="687" t="s">
        <v>1060</v>
      </c>
      <c r="G98" s="688">
        <v>1.819642</v>
      </c>
      <c r="H98" s="689">
        <v>1</v>
      </c>
      <c r="I98" s="729">
        <v>1.819642</v>
      </c>
      <c r="J98" s="691"/>
      <c r="K98" s="688"/>
      <c r="L98" s="691"/>
      <c r="M98" s="688"/>
      <c r="N98" s="692"/>
      <c r="AF98" s="684"/>
      <c r="AG98" s="693" t="s">
        <v>1799</v>
      </c>
      <c r="AM98" s="693"/>
    </row>
    <row r="99" spans="1:39" s="646" customFormat="1" ht="14.4" x14ac:dyDescent="0.3">
      <c r="A99" s="694"/>
      <c r="B99" s="695"/>
      <c r="C99" s="982" t="s">
        <v>1800</v>
      </c>
      <c r="D99" s="982"/>
      <c r="E99" s="982"/>
      <c r="F99" s="982"/>
      <c r="G99" s="982"/>
      <c r="H99" s="982"/>
      <c r="I99" s="982"/>
      <c r="J99" s="982"/>
      <c r="K99" s="982"/>
      <c r="L99" s="982"/>
      <c r="M99" s="982"/>
      <c r="N99" s="988"/>
      <c r="AF99" s="684"/>
      <c r="AG99" s="693"/>
      <c r="AH99" s="696" t="s">
        <v>1800</v>
      </c>
      <c r="AM99" s="693"/>
    </row>
    <row r="100" spans="1:39" s="646" customFormat="1" ht="21.6" x14ac:dyDescent="0.3">
      <c r="A100" s="697"/>
      <c r="B100" s="698" t="s">
        <v>1759</v>
      </c>
      <c r="C100" s="974" t="s">
        <v>1760</v>
      </c>
      <c r="D100" s="974"/>
      <c r="E100" s="974"/>
      <c r="F100" s="974"/>
      <c r="G100" s="974"/>
      <c r="H100" s="974"/>
      <c r="I100" s="974"/>
      <c r="J100" s="974"/>
      <c r="K100" s="974"/>
      <c r="L100" s="974"/>
      <c r="M100" s="974"/>
      <c r="N100" s="987"/>
      <c r="AF100" s="684"/>
      <c r="AG100" s="693"/>
      <c r="AI100" s="696" t="s">
        <v>1760</v>
      </c>
      <c r="AM100" s="693"/>
    </row>
    <row r="101" spans="1:39" s="646" customFormat="1" ht="52.2" x14ac:dyDescent="0.3">
      <c r="A101" s="697"/>
      <c r="B101" s="698" t="s">
        <v>1761</v>
      </c>
      <c r="C101" s="974" t="s">
        <v>1762</v>
      </c>
      <c r="D101" s="974"/>
      <c r="E101" s="974"/>
      <c r="F101" s="974"/>
      <c r="G101" s="974"/>
      <c r="H101" s="974"/>
      <c r="I101" s="974"/>
      <c r="J101" s="974"/>
      <c r="K101" s="974"/>
      <c r="L101" s="974"/>
      <c r="M101" s="974"/>
      <c r="N101" s="987"/>
      <c r="AF101" s="684"/>
      <c r="AG101" s="693"/>
      <c r="AI101" s="696" t="s">
        <v>1762</v>
      </c>
      <c r="AM101" s="693"/>
    </row>
    <row r="102" spans="1:39" s="646" customFormat="1" ht="14.4" x14ac:dyDescent="0.3">
      <c r="A102" s="699"/>
      <c r="B102" s="698" t="s">
        <v>18</v>
      </c>
      <c r="C102" s="982" t="s">
        <v>1763</v>
      </c>
      <c r="D102" s="982"/>
      <c r="E102" s="982"/>
      <c r="F102" s="700"/>
      <c r="G102" s="701"/>
      <c r="H102" s="701"/>
      <c r="I102" s="701"/>
      <c r="J102" s="702">
        <v>737.85</v>
      </c>
      <c r="K102" s="725">
        <v>1.3225</v>
      </c>
      <c r="L102" s="706">
        <v>1775.62</v>
      </c>
      <c r="M102" s="704">
        <v>44.77</v>
      </c>
      <c r="N102" s="705">
        <v>79494.509999999995</v>
      </c>
      <c r="AF102" s="684"/>
      <c r="AG102" s="693"/>
      <c r="AJ102" s="696" t="s">
        <v>1763</v>
      </c>
      <c r="AM102" s="693"/>
    </row>
    <row r="103" spans="1:39" s="646" customFormat="1" ht="14.4" x14ac:dyDescent="0.3">
      <c r="A103" s="708"/>
      <c r="B103" s="698"/>
      <c r="C103" s="982" t="s">
        <v>1767</v>
      </c>
      <c r="D103" s="982"/>
      <c r="E103" s="982"/>
      <c r="F103" s="700" t="s">
        <v>695</v>
      </c>
      <c r="G103" s="709">
        <v>86.5</v>
      </c>
      <c r="H103" s="725">
        <v>1.3225</v>
      </c>
      <c r="I103" s="710">
        <v>208.1602211</v>
      </c>
      <c r="J103" s="711"/>
      <c r="K103" s="701"/>
      <c r="L103" s="711"/>
      <c r="M103" s="701"/>
      <c r="N103" s="712"/>
      <c r="AF103" s="684"/>
      <c r="AG103" s="693"/>
      <c r="AK103" s="696" t="s">
        <v>1767</v>
      </c>
      <c r="AM103" s="693"/>
    </row>
    <row r="104" spans="1:39" s="646" customFormat="1" ht="14.4" x14ac:dyDescent="0.3">
      <c r="A104" s="699"/>
      <c r="B104" s="698"/>
      <c r="C104" s="986" t="s">
        <v>1769</v>
      </c>
      <c r="D104" s="986"/>
      <c r="E104" s="986"/>
      <c r="F104" s="714"/>
      <c r="G104" s="715"/>
      <c r="H104" s="715"/>
      <c r="I104" s="715"/>
      <c r="J104" s="724">
        <v>737.85</v>
      </c>
      <c r="K104" s="715"/>
      <c r="L104" s="716">
        <v>1775.62</v>
      </c>
      <c r="M104" s="715"/>
      <c r="N104" s="717">
        <v>79494.509999999995</v>
      </c>
      <c r="AF104" s="684"/>
      <c r="AG104" s="693"/>
      <c r="AL104" s="696" t="s">
        <v>1769</v>
      </c>
      <c r="AM104" s="693"/>
    </row>
    <row r="105" spans="1:39" s="646" customFormat="1" ht="14.4" x14ac:dyDescent="0.3">
      <c r="A105" s="708"/>
      <c r="B105" s="698"/>
      <c r="C105" s="982" t="s">
        <v>1770</v>
      </c>
      <c r="D105" s="982"/>
      <c r="E105" s="982"/>
      <c r="F105" s="700"/>
      <c r="G105" s="701"/>
      <c r="H105" s="701"/>
      <c r="I105" s="701"/>
      <c r="J105" s="711"/>
      <c r="K105" s="701"/>
      <c r="L105" s="706">
        <v>1775.62</v>
      </c>
      <c r="M105" s="701"/>
      <c r="N105" s="705">
        <v>79494.509999999995</v>
      </c>
      <c r="AF105" s="684"/>
      <c r="AG105" s="693"/>
      <c r="AK105" s="696" t="s">
        <v>1770</v>
      </c>
      <c r="AM105" s="693"/>
    </row>
    <row r="106" spans="1:39" s="646" customFormat="1" ht="21.6" x14ac:dyDescent="0.3">
      <c r="A106" s="708"/>
      <c r="B106" s="698" t="s">
        <v>1771</v>
      </c>
      <c r="C106" s="982" t="s">
        <v>1772</v>
      </c>
      <c r="D106" s="982"/>
      <c r="E106" s="982"/>
      <c r="F106" s="700" t="s">
        <v>1773</v>
      </c>
      <c r="G106" s="718">
        <v>92</v>
      </c>
      <c r="H106" s="701"/>
      <c r="I106" s="718">
        <v>92</v>
      </c>
      <c r="J106" s="711"/>
      <c r="K106" s="701"/>
      <c r="L106" s="706">
        <v>1633.57</v>
      </c>
      <c r="M106" s="701"/>
      <c r="N106" s="705">
        <v>73134.95</v>
      </c>
      <c r="AF106" s="684"/>
      <c r="AG106" s="693"/>
      <c r="AK106" s="696" t="s">
        <v>1772</v>
      </c>
      <c r="AM106" s="693"/>
    </row>
    <row r="107" spans="1:39" s="646" customFormat="1" ht="40.799999999999997" x14ac:dyDescent="0.3">
      <c r="A107" s="708"/>
      <c r="B107" s="698" t="s">
        <v>1774</v>
      </c>
      <c r="C107" s="982" t="s">
        <v>1775</v>
      </c>
      <c r="D107" s="982"/>
      <c r="E107" s="982"/>
      <c r="F107" s="700" t="s">
        <v>1773</v>
      </c>
      <c r="G107" s="718">
        <v>46</v>
      </c>
      <c r="H107" s="704">
        <v>0.85</v>
      </c>
      <c r="I107" s="709">
        <v>39.1</v>
      </c>
      <c r="J107" s="711"/>
      <c r="K107" s="701"/>
      <c r="L107" s="702">
        <v>694.27</v>
      </c>
      <c r="M107" s="701"/>
      <c r="N107" s="705">
        <v>31082.35</v>
      </c>
      <c r="AF107" s="684"/>
      <c r="AG107" s="693"/>
      <c r="AK107" s="696" t="s">
        <v>1775</v>
      </c>
      <c r="AM107" s="693"/>
    </row>
    <row r="108" spans="1:39" s="646" customFormat="1" ht="14.4" x14ac:dyDescent="0.3">
      <c r="A108" s="719"/>
      <c r="B108" s="720"/>
      <c r="C108" s="985" t="s">
        <v>1776</v>
      </c>
      <c r="D108" s="985"/>
      <c r="E108" s="985"/>
      <c r="F108" s="687"/>
      <c r="G108" s="688"/>
      <c r="H108" s="688"/>
      <c r="I108" s="688"/>
      <c r="J108" s="691"/>
      <c r="K108" s="688"/>
      <c r="L108" s="721">
        <v>4103.46</v>
      </c>
      <c r="M108" s="715"/>
      <c r="N108" s="722">
        <v>183711.81</v>
      </c>
      <c r="AF108" s="684"/>
      <c r="AG108" s="693"/>
      <c r="AM108" s="693" t="s">
        <v>1776</v>
      </c>
    </row>
    <row r="109" spans="1:39" s="646" customFormat="1" ht="21.6" x14ac:dyDescent="0.3">
      <c r="A109" s="685" t="s">
        <v>78</v>
      </c>
      <c r="B109" s="686" t="s">
        <v>1801</v>
      </c>
      <c r="C109" s="985" t="s">
        <v>1802</v>
      </c>
      <c r="D109" s="985"/>
      <c r="E109" s="985"/>
      <c r="F109" s="687" t="s">
        <v>1060</v>
      </c>
      <c r="G109" s="688">
        <v>3.7080000000000002</v>
      </c>
      <c r="H109" s="689">
        <v>1</v>
      </c>
      <c r="I109" s="690">
        <v>3.7080000000000002</v>
      </c>
      <c r="J109" s="691"/>
      <c r="K109" s="688"/>
      <c r="L109" s="691"/>
      <c r="M109" s="688"/>
      <c r="N109" s="692"/>
      <c r="AF109" s="684"/>
      <c r="AG109" s="693" t="s">
        <v>1802</v>
      </c>
      <c r="AM109" s="693"/>
    </row>
    <row r="110" spans="1:39" s="646" customFormat="1" ht="14.4" x14ac:dyDescent="0.3">
      <c r="A110" s="694"/>
      <c r="B110" s="695"/>
      <c r="C110" s="982" t="s">
        <v>1803</v>
      </c>
      <c r="D110" s="982"/>
      <c r="E110" s="982"/>
      <c r="F110" s="982"/>
      <c r="G110" s="982"/>
      <c r="H110" s="982"/>
      <c r="I110" s="982"/>
      <c r="J110" s="982"/>
      <c r="K110" s="982"/>
      <c r="L110" s="982"/>
      <c r="M110" s="982"/>
      <c r="N110" s="988"/>
      <c r="AF110" s="684"/>
      <c r="AG110" s="693"/>
      <c r="AH110" s="696" t="s">
        <v>1803</v>
      </c>
      <c r="AM110" s="693"/>
    </row>
    <row r="111" spans="1:39" s="646" customFormat="1" ht="21.6" x14ac:dyDescent="0.3">
      <c r="A111" s="697"/>
      <c r="B111" s="698" t="s">
        <v>1759</v>
      </c>
      <c r="C111" s="974" t="s">
        <v>1760</v>
      </c>
      <c r="D111" s="974"/>
      <c r="E111" s="974"/>
      <c r="F111" s="974"/>
      <c r="G111" s="974"/>
      <c r="H111" s="974"/>
      <c r="I111" s="974"/>
      <c r="J111" s="974"/>
      <c r="K111" s="974"/>
      <c r="L111" s="974"/>
      <c r="M111" s="974"/>
      <c r="N111" s="987"/>
      <c r="AF111" s="684"/>
      <c r="AG111" s="693"/>
      <c r="AI111" s="696" t="s">
        <v>1760</v>
      </c>
      <c r="AM111" s="693"/>
    </row>
    <row r="112" spans="1:39" s="646" customFormat="1" ht="52.2" x14ac:dyDescent="0.3">
      <c r="A112" s="697"/>
      <c r="B112" s="698" t="s">
        <v>1761</v>
      </c>
      <c r="C112" s="974" t="s">
        <v>1762</v>
      </c>
      <c r="D112" s="974"/>
      <c r="E112" s="974"/>
      <c r="F112" s="974"/>
      <c r="G112" s="974"/>
      <c r="H112" s="974"/>
      <c r="I112" s="974"/>
      <c r="J112" s="974"/>
      <c r="K112" s="974"/>
      <c r="L112" s="974"/>
      <c r="M112" s="974"/>
      <c r="N112" s="987"/>
      <c r="AF112" s="684"/>
      <c r="AG112" s="693"/>
      <c r="AI112" s="696" t="s">
        <v>1762</v>
      </c>
      <c r="AM112" s="693"/>
    </row>
    <row r="113" spans="1:39" s="646" customFormat="1" ht="14.4" x14ac:dyDescent="0.3">
      <c r="A113" s="699"/>
      <c r="B113" s="698" t="s">
        <v>18</v>
      </c>
      <c r="C113" s="982" t="s">
        <v>1763</v>
      </c>
      <c r="D113" s="982"/>
      <c r="E113" s="982"/>
      <c r="F113" s="700"/>
      <c r="G113" s="701"/>
      <c r="H113" s="701"/>
      <c r="I113" s="701"/>
      <c r="J113" s="702">
        <v>41.57</v>
      </c>
      <c r="K113" s="725">
        <v>1.3225</v>
      </c>
      <c r="L113" s="702">
        <v>203.85</v>
      </c>
      <c r="M113" s="704">
        <v>44.77</v>
      </c>
      <c r="N113" s="705">
        <v>9126.36</v>
      </c>
      <c r="AF113" s="684"/>
      <c r="AG113" s="693"/>
      <c r="AJ113" s="696" t="s">
        <v>1763</v>
      </c>
      <c r="AM113" s="693"/>
    </row>
    <row r="114" spans="1:39" s="646" customFormat="1" ht="14.4" x14ac:dyDescent="0.3">
      <c r="A114" s="699"/>
      <c r="B114" s="698" t="s">
        <v>21</v>
      </c>
      <c r="C114" s="982" t="s">
        <v>1764</v>
      </c>
      <c r="D114" s="982"/>
      <c r="E114" s="982"/>
      <c r="F114" s="700"/>
      <c r="G114" s="701"/>
      <c r="H114" s="701"/>
      <c r="I114" s="701"/>
      <c r="J114" s="706">
        <v>1302.55</v>
      </c>
      <c r="K114" s="725">
        <v>1.4375</v>
      </c>
      <c r="L114" s="706">
        <v>6942.92</v>
      </c>
      <c r="M114" s="704">
        <v>13.24</v>
      </c>
      <c r="N114" s="705">
        <v>91924.26</v>
      </c>
      <c r="AF114" s="684"/>
      <c r="AG114" s="693"/>
      <c r="AJ114" s="696" t="s">
        <v>1764</v>
      </c>
      <c r="AM114" s="693"/>
    </row>
    <row r="115" spans="1:39" s="646" customFormat="1" ht="14.4" x14ac:dyDescent="0.3">
      <c r="A115" s="699"/>
      <c r="B115" s="698" t="s">
        <v>23</v>
      </c>
      <c r="C115" s="982" t="s">
        <v>1765</v>
      </c>
      <c r="D115" s="982"/>
      <c r="E115" s="982"/>
      <c r="F115" s="700"/>
      <c r="G115" s="701"/>
      <c r="H115" s="701"/>
      <c r="I115" s="701"/>
      <c r="J115" s="702">
        <v>152.55000000000001</v>
      </c>
      <c r="K115" s="725">
        <v>1.4375</v>
      </c>
      <c r="L115" s="702">
        <v>813.13</v>
      </c>
      <c r="M115" s="704">
        <v>44.77</v>
      </c>
      <c r="N115" s="705">
        <v>36403.83</v>
      </c>
      <c r="AF115" s="684"/>
      <c r="AG115" s="693"/>
      <c r="AJ115" s="696" t="s">
        <v>1765</v>
      </c>
      <c r="AM115" s="693"/>
    </row>
    <row r="116" spans="1:39" s="646" customFormat="1" ht="14.4" x14ac:dyDescent="0.3">
      <c r="A116" s="708"/>
      <c r="B116" s="698"/>
      <c r="C116" s="982" t="s">
        <v>1767</v>
      </c>
      <c r="D116" s="982"/>
      <c r="E116" s="982"/>
      <c r="F116" s="700" t="s">
        <v>695</v>
      </c>
      <c r="G116" s="704">
        <v>5.33</v>
      </c>
      <c r="H116" s="725">
        <v>1.3225</v>
      </c>
      <c r="I116" s="710">
        <v>26.137413899999999</v>
      </c>
      <c r="J116" s="711"/>
      <c r="K116" s="701"/>
      <c r="L116" s="711"/>
      <c r="M116" s="701"/>
      <c r="N116" s="712"/>
      <c r="AF116" s="684"/>
      <c r="AG116" s="693"/>
      <c r="AK116" s="696" t="s">
        <v>1767</v>
      </c>
      <c r="AM116" s="693"/>
    </row>
    <row r="117" spans="1:39" s="646" customFormat="1" ht="14.4" x14ac:dyDescent="0.3">
      <c r="A117" s="708"/>
      <c r="B117" s="698"/>
      <c r="C117" s="982" t="s">
        <v>1768</v>
      </c>
      <c r="D117" s="982"/>
      <c r="E117" s="982"/>
      <c r="F117" s="700" t="s">
        <v>695</v>
      </c>
      <c r="G117" s="709">
        <v>11.3</v>
      </c>
      <c r="H117" s="725">
        <v>1.4375</v>
      </c>
      <c r="I117" s="723">
        <v>60.231825000000001</v>
      </c>
      <c r="J117" s="711"/>
      <c r="K117" s="701"/>
      <c r="L117" s="711"/>
      <c r="M117" s="701"/>
      <c r="N117" s="712"/>
      <c r="AF117" s="684"/>
      <c r="AG117" s="693"/>
      <c r="AK117" s="696" t="s">
        <v>1768</v>
      </c>
      <c r="AM117" s="693"/>
    </row>
    <row r="118" spans="1:39" s="646" customFormat="1" ht="14.4" x14ac:dyDescent="0.3">
      <c r="A118" s="699"/>
      <c r="B118" s="698"/>
      <c r="C118" s="986" t="s">
        <v>1769</v>
      </c>
      <c r="D118" s="986"/>
      <c r="E118" s="986"/>
      <c r="F118" s="714"/>
      <c r="G118" s="715"/>
      <c r="H118" s="715"/>
      <c r="I118" s="715"/>
      <c r="J118" s="716">
        <v>1344.12</v>
      </c>
      <c r="K118" s="715"/>
      <c r="L118" s="716">
        <v>7146.77</v>
      </c>
      <c r="M118" s="715"/>
      <c r="N118" s="717">
        <v>101050.62</v>
      </c>
      <c r="AF118" s="684"/>
      <c r="AG118" s="693"/>
      <c r="AL118" s="696" t="s">
        <v>1769</v>
      </c>
      <c r="AM118" s="693"/>
    </row>
    <row r="119" spans="1:39" s="646" customFormat="1" ht="14.4" x14ac:dyDescent="0.3">
      <c r="A119" s="708"/>
      <c r="B119" s="698"/>
      <c r="C119" s="982" t="s">
        <v>1770</v>
      </c>
      <c r="D119" s="982"/>
      <c r="E119" s="982"/>
      <c r="F119" s="700"/>
      <c r="G119" s="701"/>
      <c r="H119" s="701"/>
      <c r="I119" s="701"/>
      <c r="J119" s="711"/>
      <c r="K119" s="701"/>
      <c r="L119" s="706">
        <v>1016.98</v>
      </c>
      <c r="M119" s="701"/>
      <c r="N119" s="705">
        <v>45530.19</v>
      </c>
      <c r="AF119" s="684"/>
      <c r="AG119" s="693"/>
      <c r="AK119" s="696" t="s">
        <v>1770</v>
      </c>
      <c r="AM119" s="693"/>
    </row>
    <row r="120" spans="1:39" s="646" customFormat="1" ht="21.6" x14ac:dyDescent="0.3">
      <c r="A120" s="708"/>
      <c r="B120" s="698" t="s">
        <v>1771</v>
      </c>
      <c r="C120" s="982" t="s">
        <v>1772</v>
      </c>
      <c r="D120" s="982"/>
      <c r="E120" s="982"/>
      <c r="F120" s="700" t="s">
        <v>1773</v>
      </c>
      <c r="G120" s="718">
        <v>92</v>
      </c>
      <c r="H120" s="701"/>
      <c r="I120" s="718">
        <v>92</v>
      </c>
      <c r="J120" s="711"/>
      <c r="K120" s="701"/>
      <c r="L120" s="702">
        <v>935.62</v>
      </c>
      <c r="M120" s="701"/>
      <c r="N120" s="705">
        <v>41887.769999999997</v>
      </c>
      <c r="AF120" s="684"/>
      <c r="AG120" s="693"/>
      <c r="AK120" s="696" t="s">
        <v>1772</v>
      </c>
      <c r="AM120" s="693"/>
    </row>
    <row r="121" spans="1:39" s="646" customFormat="1" ht="40.799999999999997" x14ac:dyDescent="0.3">
      <c r="A121" s="708"/>
      <c r="B121" s="698" t="s">
        <v>1774</v>
      </c>
      <c r="C121" s="982" t="s">
        <v>1775</v>
      </c>
      <c r="D121" s="982"/>
      <c r="E121" s="982"/>
      <c r="F121" s="700" t="s">
        <v>1773</v>
      </c>
      <c r="G121" s="718">
        <v>46</v>
      </c>
      <c r="H121" s="704">
        <v>0.85</v>
      </c>
      <c r="I121" s="709">
        <v>39.1</v>
      </c>
      <c r="J121" s="711"/>
      <c r="K121" s="701"/>
      <c r="L121" s="702">
        <v>397.64</v>
      </c>
      <c r="M121" s="701"/>
      <c r="N121" s="705">
        <v>17802.3</v>
      </c>
      <c r="AF121" s="684"/>
      <c r="AG121" s="693"/>
      <c r="AK121" s="696" t="s">
        <v>1775</v>
      </c>
      <c r="AM121" s="693"/>
    </row>
    <row r="122" spans="1:39" s="646" customFormat="1" ht="14.4" x14ac:dyDescent="0.3">
      <c r="A122" s="719"/>
      <c r="B122" s="720"/>
      <c r="C122" s="985" t="s">
        <v>1776</v>
      </c>
      <c r="D122" s="985"/>
      <c r="E122" s="985"/>
      <c r="F122" s="687"/>
      <c r="G122" s="688"/>
      <c r="H122" s="688"/>
      <c r="I122" s="688"/>
      <c r="J122" s="691"/>
      <c r="K122" s="688"/>
      <c r="L122" s="721">
        <v>8480.0300000000007</v>
      </c>
      <c r="M122" s="715"/>
      <c r="N122" s="722">
        <v>160740.69</v>
      </c>
      <c r="AF122" s="684"/>
      <c r="AG122" s="693"/>
      <c r="AM122" s="693" t="s">
        <v>1776</v>
      </c>
    </row>
    <row r="123" spans="1:39" s="646" customFormat="1" ht="21.6" x14ac:dyDescent="0.3">
      <c r="A123" s="685" t="s">
        <v>79</v>
      </c>
      <c r="B123" s="686" t="s">
        <v>1798</v>
      </c>
      <c r="C123" s="985" t="s">
        <v>1799</v>
      </c>
      <c r="D123" s="985"/>
      <c r="E123" s="985"/>
      <c r="F123" s="687" t="s">
        <v>1060</v>
      </c>
      <c r="G123" s="688">
        <v>0.92700000000000005</v>
      </c>
      <c r="H123" s="689">
        <v>1</v>
      </c>
      <c r="I123" s="690">
        <v>0.92700000000000005</v>
      </c>
      <c r="J123" s="691"/>
      <c r="K123" s="688"/>
      <c r="L123" s="691"/>
      <c r="M123" s="688"/>
      <c r="N123" s="692"/>
      <c r="AF123" s="684"/>
      <c r="AG123" s="693" t="s">
        <v>1799</v>
      </c>
      <c r="AM123" s="693"/>
    </row>
    <row r="124" spans="1:39" s="646" customFormat="1" ht="14.4" x14ac:dyDescent="0.3">
      <c r="A124" s="694"/>
      <c r="B124" s="695"/>
      <c r="C124" s="982" t="s">
        <v>1804</v>
      </c>
      <c r="D124" s="982"/>
      <c r="E124" s="982"/>
      <c r="F124" s="982"/>
      <c r="G124" s="982"/>
      <c r="H124" s="982"/>
      <c r="I124" s="982"/>
      <c r="J124" s="982"/>
      <c r="K124" s="982"/>
      <c r="L124" s="982"/>
      <c r="M124" s="982"/>
      <c r="N124" s="988"/>
      <c r="AF124" s="684"/>
      <c r="AG124" s="693"/>
      <c r="AH124" s="696" t="s">
        <v>1804</v>
      </c>
      <c r="AM124" s="693"/>
    </row>
    <row r="125" spans="1:39" s="646" customFormat="1" ht="21.6" x14ac:dyDescent="0.3">
      <c r="A125" s="697"/>
      <c r="B125" s="698" t="s">
        <v>1759</v>
      </c>
      <c r="C125" s="974" t="s">
        <v>1760</v>
      </c>
      <c r="D125" s="974"/>
      <c r="E125" s="974"/>
      <c r="F125" s="974"/>
      <c r="G125" s="974"/>
      <c r="H125" s="974"/>
      <c r="I125" s="974"/>
      <c r="J125" s="974"/>
      <c r="K125" s="974"/>
      <c r="L125" s="974"/>
      <c r="M125" s="974"/>
      <c r="N125" s="987"/>
      <c r="AF125" s="684"/>
      <c r="AG125" s="693"/>
      <c r="AI125" s="696" t="s">
        <v>1760</v>
      </c>
      <c r="AM125" s="693"/>
    </row>
    <row r="126" spans="1:39" s="646" customFormat="1" ht="52.2" x14ac:dyDescent="0.3">
      <c r="A126" s="697"/>
      <c r="B126" s="698" t="s">
        <v>1761</v>
      </c>
      <c r="C126" s="974" t="s">
        <v>1762</v>
      </c>
      <c r="D126" s="974"/>
      <c r="E126" s="974"/>
      <c r="F126" s="974"/>
      <c r="G126" s="974"/>
      <c r="H126" s="974"/>
      <c r="I126" s="974"/>
      <c r="J126" s="974"/>
      <c r="K126" s="974"/>
      <c r="L126" s="974"/>
      <c r="M126" s="974"/>
      <c r="N126" s="987"/>
      <c r="AF126" s="684"/>
      <c r="AG126" s="693"/>
      <c r="AI126" s="696" t="s">
        <v>1762</v>
      </c>
      <c r="AM126" s="693"/>
    </row>
    <row r="127" spans="1:39" s="646" customFormat="1" ht="14.4" x14ac:dyDescent="0.3">
      <c r="A127" s="699"/>
      <c r="B127" s="698" t="s">
        <v>18</v>
      </c>
      <c r="C127" s="982" t="s">
        <v>1763</v>
      </c>
      <c r="D127" s="982"/>
      <c r="E127" s="982"/>
      <c r="F127" s="700"/>
      <c r="G127" s="701"/>
      <c r="H127" s="701"/>
      <c r="I127" s="701"/>
      <c r="J127" s="702">
        <v>737.85</v>
      </c>
      <c r="K127" s="725">
        <v>1.3225</v>
      </c>
      <c r="L127" s="702">
        <v>904.57</v>
      </c>
      <c r="M127" s="704">
        <v>44.77</v>
      </c>
      <c r="N127" s="705">
        <v>40497.599999999999</v>
      </c>
      <c r="AF127" s="684"/>
      <c r="AG127" s="693"/>
      <c r="AJ127" s="696" t="s">
        <v>1763</v>
      </c>
      <c r="AM127" s="693"/>
    </row>
    <row r="128" spans="1:39" s="646" customFormat="1" ht="14.4" x14ac:dyDescent="0.3">
      <c r="A128" s="708"/>
      <c r="B128" s="698"/>
      <c r="C128" s="982" t="s">
        <v>1767</v>
      </c>
      <c r="D128" s="982"/>
      <c r="E128" s="982"/>
      <c r="F128" s="700" t="s">
        <v>695</v>
      </c>
      <c r="G128" s="709">
        <v>86.5</v>
      </c>
      <c r="H128" s="725">
        <v>1.3225</v>
      </c>
      <c r="I128" s="710">
        <v>106.04532380000001</v>
      </c>
      <c r="J128" s="711"/>
      <c r="K128" s="701"/>
      <c r="L128" s="711"/>
      <c r="M128" s="701"/>
      <c r="N128" s="712"/>
      <c r="AF128" s="684"/>
      <c r="AG128" s="693"/>
      <c r="AK128" s="696" t="s">
        <v>1767</v>
      </c>
      <c r="AM128" s="693"/>
    </row>
    <row r="129" spans="1:39" s="646" customFormat="1" ht="14.4" x14ac:dyDescent="0.3">
      <c r="A129" s="699"/>
      <c r="B129" s="698"/>
      <c r="C129" s="986" t="s">
        <v>1769</v>
      </c>
      <c r="D129" s="986"/>
      <c r="E129" s="986"/>
      <c r="F129" s="714"/>
      <c r="G129" s="715"/>
      <c r="H129" s="715"/>
      <c r="I129" s="715"/>
      <c r="J129" s="724">
        <v>737.85</v>
      </c>
      <c r="K129" s="715"/>
      <c r="L129" s="724">
        <v>904.57</v>
      </c>
      <c r="M129" s="715"/>
      <c r="N129" s="717">
        <v>40497.599999999999</v>
      </c>
      <c r="AF129" s="684"/>
      <c r="AG129" s="693"/>
      <c r="AL129" s="696" t="s">
        <v>1769</v>
      </c>
      <c r="AM129" s="693"/>
    </row>
    <row r="130" spans="1:39" s="646" customFormat="1" ht="14.4" x14ac:dyDescent="0.3">
      <c r="A130" s="708"/>
      <c r="B130" s="698"/>
      <c r="C130" s="982" t="s">
        <v>1770</v>
      </c>
      <c r="D130" s="982"/>
      <c r="E130" s="982"/>
      <c r="F130" s="700"/>
      <c r="G130" s="701"/>
      <c r="H130" s="701"/>
      <c r="I130" s="701"/>
      <c r="J130" s="711"/>
      <c r="K130" s="701"/>
      <c r="L130" s="702">
        <v>904.57</v>
      </c>
      <c r="M130" s="701"/>
      <c r="N130" s="705">
        <v>40497.599999999999</v>
      </c>
      <c r="AF130" s="684"/>
      <c r="AG130" s="693"/>
      <c r="AK130" s="696" t="s">
        <v>1770</v>
      </c>
      <c r="AM130" s="693"/>
    </row>
    <row r="131" spans="1:39" s="646" customFormat="1" ht="21.6" x14ac:dyDescent="0.3">
      <c r="A131" s="708"/>
      <c r="B131" s="698" t="s">
        <v>1771</v>
      </c>
      <c r="C131" s="982" t="s">
        <v>1772</v>
      </c>
      <c r="D131" s="982"/>
      <c r="E131" s="982"/>
      <c r="F131" s="700" t="s">
        <v>1773</v>
      </c>
      <c r="G131" s="718">
        <v>92</v>
      </c>
      <c r="H131" s="701"/>
      <c r="I131" s="718">
        <v>92</v>
      </c>
      <c r="J131" s="711"/>
      <c r="K131" s="701"/>
      <c r="L131" s="702">
        <v>832.2</v>
      </c>
      <c r="M131" s="701"/>
      <c r="N131" s="705">
        <v>37257.79</v>
      </c>
      <c r="AF131" s="684"/>
      <c r="AG131" s="693"/>
      <c r="AK131" s="696" t="s">
        <v>1772</v>
      </c>
      <c r="AM131" s="693"/>
    </row>
    <row r="132" spans="1:39" s="646" customFormat="1" ht="40.799999999999997" x14ac:dyDescent="0.3">
      <c r="A132" s="708"/>
      <c r="B132" s="698" t="s">
        <v>1774</v>
      </c>
      <c r="C132" s="982" t="s">
        <v>1775</v>
      </c>
      <c r="D132" s="982"/>
      <c r="E132" s="982"/>
      <c r="F132" s="700" t="s">
        <v>1773</v>
      </c>
      <c r="G132" s="718">
        <v>46</v>
      </c>
      <c r="H132" s="704">
        <v>0.85</v>
      </c>
      <c r="I132" s="709">
        <v>39.1</v>
      </c>
      <c r="J132" s="711"/>
      <c r="K132" s="701"/>
      <c r="L132" s="702">
        <v>353.69</v>
      </c>
      <c r="M132" s="701"/>
      <c r="N132" s="705">
        <v>15834.56</v>
      </c>
      <c r="AF132" s="684"/>
      <c r="AG132" s="693"/>
      <c r="AK132" s="696" t="s">
        <v>1775</v>
      </c>
      <c r="AM132" s="693"/>
    </row>
    <row r="133" spans="1:39" s="646" customFormat="1" ht="14.4" x14ac:dyDescent="0.3">
      <c r="A133" s="719"/>
      <c r="B133" s="720"/>
      <c r="C133" s="985" t="s">
        <v>1776</v>
      </c>
      <c r="D133" s="985"/>
      <c r="E133" s="985"/>
      <c r="F133" s="687"/>
      <c r="G133" s="688"/>
      <c r="H133" s="688"/>
      <c r="I133" s="688"/>
      <c r="J133" s="691"/>
      <c r="K133" s="688"/>
      <c r="L133" s="721">
        <v>2090.46</v>
      </c>
      <c r="M133" s="715"/>
      <c r="N133" s="722">
        <v>93589.95</v>
      </c>
      <c r="AF133" s="684"/>
      <c r="AG133" s="693"/>
      <c r="AM133" s="693" t="s">
        <v>1776</v>
      </c>
    </row>
    <row r="134" spans="1:39" s="646" customFormat="1" ht="21.6" x14ac:dyDescent="0.3">
      <c r="A134" s="685" t="s">
        <v>80</v>
      </c>
      <c r="B134" s="686" t="s">
        <v>1805</v>
      </c>
      <c r="C134" s="985" t="s">
        <v>1806</v>
      </c>
      <c r="D134" s="985"/>
      <c r="E134" s="985"/>
      <c r="F134" s="687" t="s">
        <v>901</v>
      </c>
      <c r="G134" s="688">
        <v>5.9813999999999998</v>
      </c>
      <c r="H134" s="689">
        <v>1</v>
      </c>
      <c r="I134" s="728">
        <v>5.9813999999999998</v>
      </c>
      <c r="J134" s="691"/>
      <c r="K134" s="688"/>
      <c r="L134" s="691"/>
      <c r="M134" s="688"/>
      <c r="N134" s="692"/>
      <c r="AF134" s="684"/>
      <c r="AG134" s="693" t="s">
        <v>1806</v>
      </c>
      <c r="AM134" s="693"/>
    </row>
    <row r="135" spans="1:39" s="646" customFormat="1" ht="14.4" x14ac:dyDescent="0.3">
      <c r="A135" s="694"/>
      <c r="B135" s="695"/>
      <c r="C135" s="982" t="s">
        <v>1807</v>
      </c>
      <c r="D135" s="982"/>
      <c r="E135" s="982"/>
      <c r="F135" s="982"/>
      <c r="G135" s="982"/>
      <c r="H135" s="982"/>
      <c r="I135" s="982"/>
      <c r="J135" s="982"/>
      <c r="K135" s="982"/>
      <c r="L135" s="982"/>
      <c r="M135" s="982"/>
      <c r="N135" s="988"/>
      <c r="AF135" s="684"/>
      <c r="AG135" s="693"/>
      <c r="AH135" s="696" t="s">
        <v>1807</v>
      </c>
      <c r="AM135" s="693"/>
    </row>
    <row r="136" spans="1:39" s="646" customFormat="1" ht="21.6" x14ac:dyDescent="0.3">
      <c r="A136" s="697"/>
      <c r="B136" s="698" t="s">
        <v>1759</v>
      </c>
      <c r="C136" s="974" t="s">
        <v>1760</v>
      </c>
      <c r="D136" s="974"/>
      <c r="E136" s="974"/>
      <c r="F136" s="974"/>
      <c r="G136" s="974"/>
      <c r="H136" s="974"/>
      <c r="I136" s="974"/>
      <c r="J136" s="974"/>
      <c r="K136" s="974"/>
      <c r="L136" s="974"/>
      <c r="M136" s="974"/>
      <c r="N136" s="987"/>
      <c r="AF136" s="684"/>
      <c r="AG136" s="693"/>
      <c r="AI136" s="696" t="s">
        <v>1760</v>
      </c>
      <c r="AM136" s="693"/>
    </row>
    <row r="137" spans="1:39" s="646" customFormat="1" ht="52.2" x14ac:dyDescent="0.3">
      <c r="A137" s="697"/>
      <c r="B137" s="698" t="s">
        <v>1761</v>
      </c>
      <c r="C137" s="974" t="s">
        <v>1762</v>
      </c>
      <c r="D137" s="974"/>
      <c r="E137" s="974"/>
      <c r="F137" s="974"/>
      <c r="G137" s="974"/>
      <c r="H137" s="974"/>
      <c r="I137" s="974"/>
      <c r="J137" s="974"/>
      <c r="K137" s="974"/>
      <c r="L137" s="974"/>
      <c r="M137" s="974"/>
      <c r="N137" s="987"/>
      <c r="AF137" s="684"/>
      <c r="AG137" s="693"/>
      <c r="AI137" s="696" t="s">
        <v>1762</v>
      </c>
      <c r="AM137" s="693"/>
    </row>
    <row r="138" spans="1:39" s="646" customFormat="1" ht="14.4" x14ac:dyDescent="0.3">
      <c r="A138" s="699"/>
      <c r="B138" s="698" t="s">
        <v>18</v>
      </c>
      <c r="C138" s="982" t="s">
        <v>1763</v>
      </c>
      <c r="D138" s="982"/>
      <c r="E138" s="982"/>
      <c r="F138" s="700"/>
      <c r="G138" s="701"/>
      <c r="H138" s="701"/>
      <c r="I138" s="701"/>
      <c r="J138" s="702">
        <v>115.49</v>
      </c>
      <c r="K138" s="725">
        <v>1.3225</v>
      </c>
      <c r="L138" s="702">
        <v>913.57</v>
      </c>
      <c r="M138" s="704">
        <v>44.77</v>
      </c>
      <c r="N138" s="705">
        <v>40900.53</v>
      </c>
      <c r="AF138" s="684"/>
      <c r="AG138" s="693"/>
      <c r="AJ138" s="696" t="s">
        <v>1763</v>
      </c>
      <c r="AM138" s="693"/>
    </row>
    <row r="139" spans="1:39" s="646" customFormat="1" ht="14.4" x14ac:dyDescent="0.3">
      <c r="A139" s="699"/>
      <c r="B139" s="698" t="s">
        <v>21</v>
      </c>
      <c r="C139" s="982" t="s">
        <v>1764</v>
      </c>
      <c r="D139" s="982"/>
      <c r="E139" s="982"/>
      <c r="F139" s="700"/>
      <c r="G139" s="701"/>
      <c r="H139" s="701"/>
      <c r="I139" s="701"/>
      <c r="J139" s="706">
        <v>3262.79</v>
      </c>
      <c r="K139" s="725">
        <v>1.4375</v>
      </c>
      <c r="L139" s="706">
        <v>28054.32</v>
      </c>
      <c r="M139" s="704">
        <v>13.24</v>
      </c>
      <c r="N139" s="705">
        <v>371439.2</v>
      </c>
      <c r="AF139" s="684"/>
      <c r="AG139" s="693"/>
      <c r="AJ139" s="696" t="s">
        <v>1764</v>
      </c>
      <c r="AM139" s="693"/>
    </row>
    <row r="140" spans="1:39" s="646" customFormat="1" ht="14.4" x14ac:dyDescent="0.3">
      <c r="A140" s="699"/>
      <c r="B140" s="698" t="s">
        <v>23</v>
      </c>
      <c r="C140" s="982" t="s">
        <v>1765</v>
      </c>
      <c r="D140" s="982"/>
      <c r="E140" s="982"/>
      <c r="F140" s="700"/>
      <c r="G140" s="701"/>
      <c r="H140" s="701"/>
      <c r="I140" s="701"/>
      <c r="J140" s="702">
        <v>171.22</v>
      </c>
      <c r="K140" s="725">
        <v>1.4375</v>
      </c>
      <c r="L140" s="706">
        <v>1472.19</v>
      </c>
      <c r="M140" s="704">
        <v>44.77</v>
      </c>
      <c r="N140" s="705">
        <v>65909.95</v>
      </c>
      <c r="AF140" s="684"/>
      <c r="AG140" s="693"/>
      <c r="AJ140" s="696" t="s">
        <v>1765</v>
      </c>
      <c r="AM140" s="693"/>
    </row>
    <row r="141" spans="1:39" s="646" customFormat="1" ht="14.4" x14ac:dyDescent="0.3">
      <c r="A141" s="699"/>
      <c r="B141" s="698" t="s">
        <v>25</v>
      </c>
      <c r="C141" s="982" t="s">
        <v>1766</v>
      </c>
      <c r="D141" s="982"/>
      <c r="E141" s="982"/>
      <c r="F141" s="700"/>
      <c r="G141" s="701"/>
      <c r="H141" s="701"/>
      <c r="I141" s="701"/>
      <c r="J141" s="702">
        <v>12.2</v>
      </c>
      <c r="K141" s="701"/>
      <c r="L141" s="702">
        <v>72.97</v>
      </c>
      <c r="M141" s="704">
        <v>8.16</v>
      </c>
      <c r="N141" s="707">
        <v>595.44000000000005</v>
      </c>
      <c r="AF141" s="684"/>
      <c r="AG141" s="693"/>
      <c r="AJ141" s="696" t="s">
        <v>1766</v>
      </c>
      <c r="AM141" s="693"/>
    </row>
    <row r="142" spans="1:39" s="646" customFormat="1" ht="14.4" x14ac:dyDescent="0.3">
      <c r="A142" s="708"/>
      <c r="B142" s="698"/>
      <c r="C142" s="982" t="s">
        <v>1767</v>
      </c>
      <c r="D142" s="982"/>
      <c r="E142" s="982"/>
      <c r="F142" s="700" t="s">
        <v>695</v>
      </c>
      <c r="G142" s="709">
        <v>14.4</v>
      </c>
      <c r="H142" s="725">
        <v>1.3225</v>
      </c>
      <c r="I142" s="710">
        <v>113.9097816</v>
      </c>
      <c r="J142" s="711"/>
      <c r="K142" s="701"/>
      <c r="L142" s="711"/>
      <c r="M142" s="701"/>
      <c r="N142" s="712"/>
      <c r="AF142" s="684"/>
      <c r="AG142" s="693"/>
      <c r="AK142" s="696" t="s">
        <v>1767</v>
      </c>
      <c r="AM142" s="693"/>
    </row>
    <row r="143" spans="1:39" s="646" customFormat="1" ht="14.4" x14ac:dyDescent="0.3">
      <c r="A143" s="708"/>
      <c r="B143" s="698"/>
      <c r="C143" s="982" t="s">
        <v>1768</v>
      </c>
      <c r="D143" s="982"/>
      <c r="E143" s="982"/>
      <c r="F143" s="700" t="s">
        <v>695</v>
      </c>
      <c r="G143" s="704">
        <v>13.88</v>
      </c>
      <c r="H143" s="725">
        <v>1.4375</v>
      </c>
      <c r="I143" s="710">
        <v>119.3438835</v>
      </c>
      <c r="J143" s="711"/>
      <c r="K143" s="701"/>
      <c r="L143" s="711"/>
      <c r="M143" s="701"/>
      <c r="N143" s="712"/>
      <c r="AF143" s="684"/>
      <c r="AG143" s="693"/>
      <c r="AK143" s="696" t="s">
        <v>1768</v>
      </c>
      <c r="AM143" s="693"/>
    </row>
    <row r="144" spans="1:39" s="646" customFormat="1" ht="14.4" x14ac:dyDescent="0.3">
      <c r="A144" s="699"/>
      <c r="B144" s="698"/>
      <c r="C144" s="986" t="s">
        <v>1769</v>
      </c>
      <c r="D144" s="986"/>
      <c r="E144" s="986"/>
      <c r="F144" s="714"/>
      <c r="G144" s="715"/>
      <c r="H144" s="715"/>
      <c r="I144" s="715"/>
      <c r="J144" s="716">
        <v>3390.48</v>
      </c>
      <c r="K144" s="715"/>
      <c r="L144" s="716">
        <v>29040.86</v>
      </c>
      <c r="M144" s="715"/>
      <c r="N144" s="717">
        <v>412935.17</v>
      </c>
      <c r="AF144" s="684"/>
      <c r="AG144" s="693"/>
      <c r="AL144" s="696" t="s">
        <v>1769</v>
      </c>
      <c r="AM144" s="693"/>
    </row>
    <row r="145" spans="1:41" s="646" customFormat="1" ht="14.4" x14ac:dyDescent="0.3">
      <c r="A145" s="708"/>
      <c r="B145" s="698"/>
      <c r="C145" s="982" t="s">
        <v>1770</v>
      </c>
      <c r="D145" s="982"/>
      <c r="E145" s="982"/>
      <c r="F145" s="700"/>
      <c r="G145" s="701"/>
      <c r="H145" s="701"/>
      <c r="I145" s="701"/>
      <c r="J145" s="711"/>
      <c r="K145" s="701"/>
      <c r="L145" s="706">
        <v>2385.7600000000002</v>
      </c>
      <c r="M145" s="701"/>
      <c r="N145" s="705">
        <v>106810.48</v>
      </c>
      <c r="AF145" s="684"/>
      <c r="AG145" s="693"/>
      <c r="AK145" s="696" t="s">
        <v>1770</v>
      </c>
      <c r="AM145" s="693"/>
    </row>
    <row r="146" spans="1:41" s="646" customFormat="1" ht="40.799999999999997" x14ac:dyDescent="0.3">
      <c r="A146" s="708"/>
      <c r="B146" s="698" t="s">
        <v>1808</v>
      </c>
      <c r="C146" s="982" t="s">
        <v>1809</v>
      </c>
      <c r="D146" s="982"/>
      <c r="E146" s="982"/>
      <c r="F146" s="700" t="s">
        <v>1773</v>
      </c>
      <c r="G146" s="718">
        <v>147</v>
      </c>
      <c r="H146" s="701"/>
      <c r="I146" s="718">
        <v>147</v>
      </c>
      <c r="J146" s="711"/>
      <c r="K146" s="701"/>
      <c r="L146" s="706">
        <v>3507.07</v>
      </c>
      <c r="M146" s="701"/>
      <c r="N146" s="705">
        <v>157011.41</v>
      </c>
      <c r="AF146" s="684"/>
      <c r="AG146" s="693"/>
      <c r="AK146" s="696" t="s">
        <v>1809</v>
      </c>
      <c r="AM146" s="693"/>
    </row>
    <row r="147" spans="1:41" s="646" customFormat="1" ht="51" x14ac:dyDescent="0.3">
      <c r="A147" s="708"/>
      <c r="B147" s="698" t="s">
        <v>1810</v>
      </c>
      <c r="C147" s="982" t="s">
        <v>1811</v>
      </c>
      <c r="D147" s="982"/>
      <c r="E147" s="982"/>
      <c r="F147" s="700" t="s">
        <v>1773</v>
      </c>
      <c r="G147" s="718">
        <v>134</v>
      </c>
      <c r="H147" s="704">
        <v>0.85</v>
      </c>
      <c r="I147" s="709">
        <v>113.9</v>
      </c>
      <c r="J147" s="711"/>
      <c r="K147" s="701"/>
      <c r="L147" s="706">
        <v>2717.38</v>
      </c>
      <c r="M147" s="701"/>
      <c r="N147" s="705">
        <v>121657.14</v>
      </c>
      <c r="AF147" s="684"/>
      <c r="AG147" s="693"/>
      <c r="AK147" s="696" t="s">
        <v>1811</v>
      </c>
      <c r="AM147" s="693"/>
    </row>
    <row r="148" spans="1:41" s="646" customFormat="1" ht="14.4" x14ac:dyDescent="0.3">
      <c r="A148" s="719"/>
      <c r="B148" s="720"/>
      <c r="C148" s="985" t="s">
        <v>1776</v>
      </c>
      <c r="D148" s="985"/>
      <c r="E148" s="985"/>
      <c r="F148" s="687"/>
      <c r="G148" s="688"/>
      <c r="H148" s="688"/>
      <c r="I148" s="688"/>
      <c r="J148" s="691"/>
      <c r="K148" s="688"/>
      <c r="L148" s="721">
        <v>35265.31</v>
      </c>
      <c r="M148" s="715"/>
      <c r="N148" s="722">
        <v>691603.72</v>
      </c>
      <c r="AF148" s="684"/>
      <c r="AG148" s="693"/>
      <c r="AM148" s="693" t="s">
        <v>1776</v>
      </c>
    </row>
    <row r="149" spans="1:41" s="646" customFormat="1" ht="20.399999999999999" x14ac:dyDescent="0.3">
      <c r="A149" s="685" t="s">
        <v>81</v>
      </c>
      <c r="B149" s="686" t="s">
        <v>766</v>
      </c>
      <c r="C149" s="985" t="s">
        <v>1812</v>
      </c>
      <c r="D149" s="985"/>
      <c r="E149" s="985"/>
      <c r="F149" s="687" t="s">
        <v>745</v>
      </c>
      <c r="G149" s="688">
        <v>657.95399999999995</v>
      </c>
      <c r="H149" s="689">
        <v>1</v>
      </c>
      <c r="I149" s="690">
        <v>657.95399999999995</v>
      </c>
      <c r="J149" s="726">
        <v>99.98</v>
      </c>
      <c r="K149" s="690">
        <v>1.012</v>
      </c>
      <c r="L149" s="721">
        <v>66571.63</v>
      </c>
      <c r="M149" s="727">
        <v>8.16</v>
      </c>
      <c r="N149" s="722">
        <v>543224.5</v>
      </c>
      <c r="AF149" s="684"/>
      <c r="AG149" s="693" t="s">
        <v>1812</v>
      </c>
      <c r="AM149" s="693"/>
    </row>
    <row r="150" spans="1:41" s="646" customFormat="1" ht="14.4" x14ac:dyDescent="0.3">
      <c r="A150" s="719"/>
      <c r="B150" s="720"/>
      <c r="C150" s="982" t="s">
        <v>1793</v>
      </c>
      <c r="D150" s="982"/>
      <c r="E150" s="982"/>
      <c r="F150" s="982"/>
      <c r="G150" s="982"/>
      <c r="H150" s="982"/>
      <c r="I150" s="982"/>
      <c r="J150" s="982"/>
      <c r="K150" s="982"/>
      <c r="L150" s="982"/>
      <c r="M150" s="982"/>
      <c r="N150" s="988"/>
      <c r="AF150" s="684"/>
      <c r="AG150" s="693"/>
      <c r="AM150" s="693"/>
      <c r="AN150" s="696" t="s">
        <v>1793</v>
      </c>
    </row>
    <row r="151" spans="1:41" s="646" customFormat="1" ht="14.4" x14ac:dyDescent="0.3">
      <c r="A151" s="694"/>
      <c r="B151" s="695"/>
      <c r="C151" s="982" t="s">
        <v>1813</v>
      </c>
      <c r="D151" s="982"/>
      <c r="E151" s="982"/>
      <c r="F151" s="982"/>
      <c r="G151" s="982"/>
      <c r="H151" s="982"/>
      <c r="I151" s="982"/>
      <c r="J151" s="982"/>
      <c r="K151" s="982"/>
      <c r="L151" s="982"/>
      <c r="M151" s="982"/>
      <c r="N151" s="988"/>
      <c r="AF151" s="684"/>
      <c r="AG151" s="693"/>
      <c r="AH151" s="696" t="s">
        <v>1813</v>
      </c>
      <c r="AM151" s="693"/>
    </row>
    <row r="152" spans="1:41" s="646" customFormat="1" ht="14.4" x14ac:dyDescent="0.3">
      <c r="A152" s="694"/>
      <c r="B152" s="695"/>
      <c r="C152" s="982" t="s">
        <v>1814</v>
      </c>
      <c r="D152" s="982"/>
      <c r="E152" s="982"/>
      <c r="F152" s="982"/>
      <c r="G152" s="982"/>
      <c r="H152" s="982"/>
      <c r="I152" s="982"/>
      <c r="J152" s="982"/>
      <c r="K152" s="982"/>
      <c r="L152" s="982"/>
      <c r="M152" s="982"/>
      <c r="N152" s="988"/>
      <c r="AF152" s="684"/>
      <c r="AG152" s="693"/>
      <c r="AM152" s="693"/>
      <c r="AO152" s="696" t="s">
        <v>1814</v>
      </c>
    </row>
    <row r="153" spans="1:41" s="646" customFormat="1" ht="14.4" x14ac:dyDescent="0.3">
      <c r="A153" s="697"/>
      <c r="B153" s="698"/>
      <c r="C153" s="974" t="s">
        <v>1815</v>
      </c>
      <c r="D153" s="974"/>
      <c r="E153" s="974"/>
      <c r="F153" s="974"/>
      <c r="G153" s="974"/>
      <c r="H153" s="974"/>
      <c r="I153" s="974"/>
      <c r="J153" s="974"/>
      <c r="K153" s="974"/>
      <c r="L153" s="974"/>
      <c r="M153" s="974"/>
      <c r="N153" s="987"/>
      <c r="AF153" s="684"/>
      <c r="AG153" s="693"/>
      <c r="AI153" s="696" t="s">
        <v>1815</v>
      </c>
      <c r="AM153" s="693"/>
    </row>
    <row r="154" spans="1:41" s="646" customFormat="1" ht="14.4" x14ac:dyDescent="0.3">
      <c r="A154" s="719"/>
      <c r="B154" s="720"/>
      <c r="C154" s="985" t="s">
        <v>1776</v>
      </c>
      <c r="D154" s="985"/>
      <c r="E154" s="985"/>
      <c r="F154" s="687"/>
      <c r="G154" s="688"/>
      <c r="H154" s="688"/>
      <c r="I154" s="688"/>
      <c r="J154" s="691"/>
      <c r="K154" s="688"/>
      <c r="L154" s="721">
        <v>66571.63</v>
      </c>
      <c r="M154" s="715"/>
      <c r="N154" s="722">
        <v>543224.5</v>
      </c>
      <c r="AF154" s="684"/>
      <c r="AG154" s="693"/>
      <c r="AM154" s="693" t="s">
        <v>1776</v>
      </c>
    </row>
    <row r="155" spans="1:41" s="646" customFormat="1" ht="21.6" x14ac:dyDescent="0.3">
      <c r="A155" s="685" t="s">
        <v>54</v>
      </c>
      <c r="B155" s="686" t="s">
        <v>1816</v>
      </c>
      <c r="C155" s="985" t="s">
        <v>1817</v>
      </c>
      <c r="D155" s="985"/>
      <c r="E155" s="985"/>
      <c r="F155" s="687" t="s">
        <v>901</v>
      </c>
      <c r="G155" s="688">
        <v>36.15</v>
      </c>
      <c r="H155" s="689">
        <v>1</v>
      </c>
      <c r="I155" s="727">
        <v>36.15</v>
      </c>
      <c r="J155" s="691"/>
      <c r="K155" s="688"/>
      <c r="L155" s="691"/>
      <c r="M155" s="688"/>
      <c r="N155" s="692"/>
      <c r="AF155" s="684"/>
      <c r="AG155" s="693" t="s">
        <v>1817</v>
      </c>
      <c r="AM155" s="693"/>
    </row>
    <row r="156" spans="1:41" s="646" customFormat="1" ht="14.4" x14ac:dyDescent="0.3">
      <c r="A156" s="694"/>
      <c r="B156" s="695"/>
      <c r="C156" s="982" t="s">
        <v>1818</v>
      </c>
      <c r="D156" s="982"/>
      <c r="E156" s="982"/>
      <c r="F156" s="982"/>
      <c r="G156" s="982"/>
      <c r="H156" s="982"/>
      <c r="I156" s="982"/>
      <c r="J156" s="982"/>
      <c r="K156" s="982"/>
      <c r="L156" s="982"/>
      <c r="M156" s="982"/>
      <c r="N156" s="988"/>
      <c r="AF156" s="684"/>
      <c r="AG156" s="693"/>
      <c r="AH156" s="696" t="s">
        <v>1818</v>
      </c>
      <c r="AM156" s="693"/>
    </row>
    <row r="157" spans="1:41" s="646" customFormat="1" ht="21.6" x14ac:dyDescent="0.3">
      <c r="A157" s="697"/>
      <c r="B157" s="698" t="s">
        <v>1759</v>
      </c>
      <c r="C157" s="974" t="s">
        <v>1760</v>
      </c>
      <c r="D157" s="974"/>
      <c r="E157" s="974"/>
      <c r="F157" s="974"/>
      <c r="G157" s="974"/>
      <c r="H157" s="974"/>
      <c r="I157" s="974"/>
      <c r="J157" s="974"/>
      <c r="K157" s="974"/>
      <c r="L157" s="974"/>
      <c r="M157" s="974"/>
      <c r="N157" s="987"/>
      <c r="AF157" s="684"/>
      <c r="AG157" s="693"/>
      <c r="AI157" s="696" t="s">
        <v>1760</v>
      </c>
      <c r="AM157" s="693"/>
    </row>
    <row r="158" spans="1:41" s="646" customFormat="1" ht="52.2" x14ac:dyDescent="0.3">
      <c r="A158" s="697"/>
      <c r="B158" s="698" t="s">
        <v>1761</v>
      </c>
      <c r="C158" s="974" t="s">
        <v>1762</v>
      </c>
      <c r="D158" s="974"/>
      <c r="E158" s="974"/>
      <c r="F158" s="974"/>
      <c r="G158" s="974"/>
      <c r="H158" s="974"/>
      <c r="I158" s="974"/>
      <c r="J158" s="974"/>
      <c r="K158" s="974"/>
      <c r="L158" s="974"/>
      <c r="M158" s="974"/>
      <c r="N158" s="987"/>
      <c r="AF158" s="684"/>
      <c r="AG158" s="693"/>
      <c r="AI158" s="696" t="s">
        <v>1762</v>
      </c>
      <c r="AM158" s="693"/>
    </row>
    <row r="159" spans="1:41" s="646" customFormat="1" ht="14.4" x14ac:dyDescent="0.3">
      <c r="A159" s="699"/>
      <c r="B159" s="698" t="s">
        <v>18</v>
      </c>
      <c r="C159" s="982" t="s">
        <v>1763</v>
      </c>
      <c r="D159" s="982"/>
      <c r="E159" s="982"/>
      <c r="F159" s="700"/>
      <c r="G159" s="701"/>
      <c r="H159" s="701"/>
      <c r="I159" s="701"/>
      <c r="J159" s="702">
        <v>173.23</v>
      </c>
      <c r="K159" s="725">
        <v>1.3225</v>
      </c>
      <c r="L159" s="706">
        <v>8281.84</v>
      </c>
      <c r="M159" s="704">
        <v>44.77</v>
      </c>
      <c r="N159" s="705">
        <v>370777.98</v>
      </c>
      <c r="AF159" s="684"/>
      <c r="AG159" s="693"/>
      <c r="AJ159" s="696" t="s">
        <v>1763</v>
      </c>
      <c r="AM159" s="693"/>
    </row>
    <row r="160" spans="1:41" s="646" customFormat="1" ht="14.4" x14ac:dyDescent="0.3">
      <c r="A160" s="699"/>
      <c r="B160" s="698" t="s">
        <v>21</v>
      </c>
      <c r="C160" s="982" t="s">
        <v>1764</v>
      </c>
      <c r="D160" s="982"/>
      <c r="E160" s="982"/>
      <c r="F160" s="700"/>
      <c r="G160" s="701"/>
      <c r="H160" s="701"/>
      <c r="I160" s="701"/>
      <c r="J160" s="706">
        <v>5268.76</v>
      </c>
      <c r="K160" s="725">
        <v>1.4375</v>
      </c>
      <c r="L160" s="706">
        <v>273794.40999999997</v>
      </c>
      <c r="M160" s="704">
        <v>13.24</v>
      </c>
      <c r="N160" s="705">
        <v>3625037.99</v>
      </c>
      <c r="AF160" s="684"/>
      <c r="AG160" s="693"/>
      <c r="AJ160" s="696" t="s">
        <v>1764</v>
      </c>
      <c r="AM160" s="693"/>
    </row>
    <row r="161" spans="1:41" s="646" customFormat="1" ht="14.4" x14ac:dyDescent="0.3">
      <c r="A161" s="699"/>
      <c r="B161" s="698" t="s">
        <v>23</v>
      </c>
      <c r="C161" s="982" t="s">
        <v>1765</v>
      </c>
      <c r="D161" s="982"/>
      <c r="E161" s="982"/>
      <c r="F161" s="700"/>
      <c r="G161" s="701"/>
      <c r="H161" s="701"/>
      <c r="I161" s="701"/>
      <c r="J161" s="702">
        <v>267.67</v>
      </c>
      <c r="K161" s="725">
        <v>1.4375</v>
      </c>
      <c r="L161" s="706">
        <v>13909.64</v>
      </c>
      <c r="M161" s="704">
        <v>44.77</v>
      </c>
      <c r="N161" s="705">
        <v>622734.57999999996</v>
      </c>
      <c r="AF161" s="684"/>
      <c r="AG161" s="693"/>
      <c r="AJ161" s="696" t="s">
        <v>1765</v>
      </c>
      <c r="AM161" s="693"/>
    </row>
    <row r="162" spans="1:41" s="646" customFormat="1" ht="14.4" x14ac:dyDescent="0.3">
      <c r="A162" s="699"/>
      <c r="B162" s="698" t="s">
        <v>25</v>
      </c>
      <c r="C162" s="982" t="s">
        <v>1766</v>
      </c>
      <c r="D162" s="982"/>
      <c r="E162" s="982"/>
      <c r="F162" s="700"/>
      <c r="G162" s="701"/>
      <c r="H162" s="701"/>
      <c r="I162" s="701"/>
      <c r="J162" s="702">
        <v>17.079999999999998</v>
      </c>
      <c r="K162" s="701"/>
      <c r="L162" s="702">
        <v>617.44000000000005</v>
      </c>
      <c r="M162" s="704">
        <v>8.16</v>
      </c>
      <c r="N162" s="705">
        <v>5038.3100000000004</v>
      </c>
      <c r="AF162" s="684"/>
      <c r="AG162" s="693"/>
      <c r="AJ162" s="696" t="s">
        <v>1766</v>
      </c>
      <c r="AM162" s="693"/>
    </row>
    <row r="163" spans="1:41" s="646" customFormat="1" ht="14.4" x14ac:dyDescent="0.3">
      <c r="A163" s="708"/>
      <c r="B163" s="698"/>
      <c r="C163" s="982" t="s">
        <v>1767</v>
      </c>
      <c r="D163" s="982"/>
      <c r="E163" s="982"/>
      <c r="F163" s="700" t="s">
        <v>695</v>
      </c>
      <c r="G163" s="709">
        <v>21.6</v>
      </c>
      <c r="H163" s="725">
        <v>1.3225</v>
      </c>
      <c r="I163" s="725">
        <v>1032.6609000000001</v>
      </c>
      <c r="J163" s="711"/>
      <c r="K163" s="701"/>
      <c r="L163" s="711"/>
      <c r="M163" s="701"/>
      <c r="N163" s="712"/>
      <c r="AF163" s="684"/>
      <c r="AG163" s="693"/>
      <c r="AK163" s="696" t="s">
        <v>1767</v>
      </c>
      <c r="AM163" s="693"/>
    </row>
    <row r="164" spans="1:41" s="646" customFormat="1" ht="14.4" x14ac:dyDescent="0.3">
      <c r="A164" s="708"/>
      <c r="B164" s="698"/>
      <c r="C164" s="982" t="s">
        <v>1768</v>
      </c>
      <c r="D164" s="982"/>
      <c r="E164" s="982"/>
      <c r="F164" s="700" t="s">
        <v>695</v>
      </c>
      <c r="G164" s="709">
        <v>20.6</v>
      </c>
      <c r="H164" s="725">
        <v>1.4375</v>
      </c>
      <c r="I164" s="723">
        <v>1070.4918749999999</v>
      </c>
      <c r="J164" s="711"/>
      <c r="K164" s="701"/>
      <c r="L164" s="711"/>
      <c r="M164" s="701"/>
      <c r="N164" s="712"/>
      <c r="AF164" s="684"/>
      <c r="AG164" s="693"/>
      <c r="AK164" s="696" t="s">
        <v>1768</v>
      </c>
      <c r="AM164" s="693"/>
    </row>
    <row r="165" spans="1:41" s="646" customFormat="1" ht="14.4" x14ac:dyDescent="0.3">
      <c r="A165" s="699"/>
      <c r="B165" s="698"/>
      <c r="C165" s="986" t="s">
        <v>1769</v>
      </c>
      <c r="D165" s="986"/>
      <c r="E165" s="986"/>
      <c r="F165" s="714"/>
      <c r="G165" s="715"/>
      <c r="H165" s="715"/>
      <c r="I165" s="715"/>
      <c r="J165" s="716">
        <v>5459.07</v>
      </c>
      <c r="K165" s="715"/>
      <c r="L165" s="716">
        <v>282693.69</v>
      </c>
      <c r="M165" s="715"/>
      <c r="N165" s="717">
        <v>4000854.28</v>
      </c>
      <c r="AF165" s="684"/>
      <c r="AG165" s="693"/>
      <c r="AL165" s="696" t="s">
        <v>1769</v>
      </c>
      <c r="AM165" s="693"/>
    </row>
    <row r="166" spans="1:41" s="646" customFormat="1" ht="14.4" x14ac:dyDescent="0.3">
      <c r="A166" s="708"/>
      <c r="B166" s="698"/>
      <c r="C166" s="982" t="s">
        <v>1770</v>
      </c>
      <c r="D166" s="982"/>
      <c r="E166" s="982"/>
      <c r="F166" s="700"/>
      <c r="G166" s="701"/>
      <c r="H166" s="701"/>
      <c r="I166" s="701"/>
      <c r="J166" s="711"/>
      <c r="K166" s="701"/>
      <c r="L166" s="706">
        <v>22191.48</v>
      </c>
      <c r="M166" s="701"/>
      <c r="N166" s="705">
        <v>993512.56</v>
      </c>
      <c r="AF166" s="684"/>
      <c r="AG166" s="693"/>
      <c r="AK166" s="696" t="s">
        <v>1770</v>
      </c>
      <c r="AM166" s="693"/>
    </row>
    <row r="167" spans="1:41" s="646" customFormat="1" ht="40.799999999999997" x14ac:dyDescent="0.3">
      <c r="A167" s="708"/>
      <c r="B167" s="698" t="s">
        <v>1808</v>
      </c>
      <c r="C167" s="982" t="s">
        <v>1809</v>
      </c>
      <c r="D167" s="982"/>
      <c r="E167" s="982"/>
      <c r="F167" s="700" t="s">
        <v>1773</v>
      </c>
      <c r="G167" s="718">
        <v>147</v>
      </c>
      <c r="H167" s="701"/>
      <c r="I167" s="718">
        <v>147</v>
      </c>
      <c r="J167" s="711"/>
      <c r="K167" s="701"/>
      <c r="L167" s="706">
        <v>32621.48</v>
      </c>
      <c r="M167" s="701"/>
      <c r="N167" s="705">
        <v>1460463.46</v>
      </c>
      <c r="AF167" s="684"/>
      <c r="AG167" s="693"/>
      <c r="AK167" s="696" t="s">
        <v>1809</v>
      </c>
      <c r="AM167" s="693"/>
    </row>
    <row r="168" spans="1:41" s="646" customFormat="1" ht="51" x14ac:dyDescent="0.3">
      <c r="A168" s="708"/>
      <c r="B168" s="698" t="s">
        <v>1810</v>
      </c>
      <c r="C168" s="982" t="s">
        <v>1811</v>
      </c>
      <c r="D168" s="982"/>
      <c r="E168" s="982"/>
      <c r="F168" s="700" t="s">
        <v>1773</v>
      </c>
      <c r="G168" s="718">
        <v>134</v>
      </c>
      <c r="H168" s="704">
        <v>0.85</v>
      </c>
      <c r="I168" s="709">
        <v>113.9</v>
      </c>
      <c r="J168" s="711"/>
      <c r="K168" s="701"/>
      <c r="L168" s="706">
        <v>25276.1</v>
      </c>
      <c r="M168" s="701"/>
      <c r="N168" s="705">
        <v>1131610.81</v>
      </c>
      <c r="AF168" s="684"/>
      <c r="AG168" s="693"/>
      <c r="AK168" s="696" t="s">
        <v>1811</v>
      </c>
      <c r="AM168" s="693"/>
    </row>
    <row r="169" spans="1:41" s="646" customFormat="1" ht="14.4" x14ac:dyDescent="0.3">
      <c r="A169" s="719"/>
      <c r="B169" s="720"/>
      <c r="C169" s="985" t="s">
        <v>1776</v>
      </c>
      <c r="D169" s="985"/>
      <c r="E169" s="985"/>
      <c r="F169" s="687"/>
      <c r="G169" s="688"/>
      <c r="H169" s="688"/>
      <c r="I169" s="688"/>
      <c r="J169" s="691"/>
      <c r="K169" s="688"/>
      <c r="L169" s="721">
        <v>340591.27</v>
      </c>
      <c r="M169" s="715"/>
      <c r="N169" s="722">
        <v>6592928.5499999998</v>
      </c>
      <c r="AF169" s="684"/>
      <c r="AG169" s="693"/>
      <c r="AM169" s="693" t="s">
        <v>1776</v>
      </c>
    </row>
    <row r="170" spans="1:41" s="646" customFormat="1" ht="21.6" x14ac:dyDescent="0.3">
      <c r="A170" s="685" t="s">
        <v>84</v>
      </c>
      <c r="B170" s="686" t="s">
        <v>766</v>
      </c>
      <c r="C170" s="985" t="s">
        <v>1819</v>
      </c>
      <c r="D170" s="985"/>
      <c r="E170" s="985"/>
      <c r="F170" s="687" t="s">
        <v>745</v>
      </c>
      <c r="G170" s="688">
        <v>4554.8999999999996</v>
      </c>
      <c r="H170" s="689">
        <v>1</v>
      </c>
      <c r="I170" s="730">
        <v>4554.8999999999996</v>
      </c>
      <c r="J170" s="726">
        <v>493.16</v>
      </c>
      <c r="K170" s="690">
        <v>1.012</v>
      </c>
      <c r="L170" s="721">
        <v>2273250.02</v>
      </c>
      <c r="M170" s="727">
        <v>8.16</v>
      </c>
      <c r="N170" s="722">
        <v>18549720.16</v>
      </c>
      <c r="AF170" s="684"/>
      <c r="AG170" s="693" t="s">
        <v>1819</v>
      </c>
      <c r="AM170" s="693"/>
    </row>
    <row r="171" spans="1:41" s="646" customFormat="1" ht="14.4" x14ac:dyDescent="0.3">
      <c r="A171" s="719"/>
      <c r="B171" s="720"/>
      <c r="C171" s="982" t="s">
        <v>1793</v>
      </c>
      <c r="D171" s="982"/>
      <c r="E171" s="982"/>
      <c r="F171" s="982"/>
      <c r="G171" s="982"/>
      <c r="H171" s="982"/>
      <c r="I171" s="982"/>
      <c r="J171" s="982"/>
      <c r="K171" s="982"/>
      <c r="L171" s="982"/>
      <c r="M171" s="982"/>
      <c r="N171" s="988"/>
      <c r="AF171" s="684"/>
      <c r="AG171" s="693"/>
      <c r="AM171" s="693"/>
      <c r="AN171" s="696" t="s">
        <v>1793</v>
      </c>
    </row>
    <row r="172" spans="1:41" s="646" customFormat="1" ht="14.4" x14ac:dyDescent="0.3">
      <c r="A172" s="694"/>
      <c r="B172" s="695"/>
      <c r="C172" s="982" t="s">
        <v>1820</v>
      </c>
      <c r="D172" s="982"/>
      <c r="E172" s="982"/>
      <c r="F172" s="982"/>
      <c r="G172" s="982"/>
      <c r="H172" s="982"/>
      <c r="I172" s="982"/>
      <c r="J172" s="982"/>
      <c r="K172" s="982"/>
      <c r="L172" s="982"/>
      <c r="M172" s="982"/>
      <c r="N172" s="988"/>
      <c r="AF172" s="684"/>
      <c r="AG172" s="693"/>
      <c r="AH172" s="696" t="s">
        <v>1820</v>
      </c>
      <c r="AM172" s="693"/>
    </row>
    <row r="173" spans="1:41" s="646" customFormat="1" ht="14.4" x14ac:dyDescent="0.3">
      <c r="A173" s="694"/>
      <c r="B173" s="695"/>
      <c r="C173" s="982" t="s">
        <v>1821</v>
      </c>
      <c r="D173" s="982"/>
      <c r="E173" s="982"/>
      <c r="F173" s="982"/>
      <c r="G173" s="982"/>
      <c r="H173" s="982"/>
      <c r="I173" s="982"/>
      <c r="J173" s="982"/>
      <c r="K173" s="982"/>
      <c r="L173" s="982"/>
      <c r="M173" s="982"/>
      <c r="N173" s="988"/>
      <c r="AF173" s="684"/>
      <c r="AG173" s="693"/>
      <c r="AM173" s="693"/>
      <c r="AO173" s="696" t="s">
        <v>1821</v>
      </c>
    </row>
    <row r="174" spans="1:41" s="646" customFormat="1" ht="14.4" x14ac:dyDescent="0.3">
      <c r="A174" s="697"/>
      <c r="B174" s="698"/>
      <c r="C174" s="974" t="s">
        <v>1815</v>
      </c>
      <c r="D174" s="974"/>
      <c r="E174" s="974"/>
      <c r="F174" s="974"/>
      <c r="G174" s="974"/>
      <c r="H174" s="974"/>
      <c r="I174" s="974"/>
      <c r="J174" s="974"/>
      <c r="K174" s="974"/>
      <c r="L174" s="974"/>
      <c r="M174" s="974"/>
      <c r="N174" s="987"/>
      <c r="AF174" s="684"/>
      <c r="AG174" s="693"/>
      <c r="AI174" s="696" t="s">
        <v>1815</v>
      </c>
      <c r="AM174" s="693"/>
    </row>
    <row r="175" spans="1:41" s="646" customFormat="1" ht="14.4" x14ac:dyDescent="0.3">
      <c r="A175" s="719"/>
      <c r="B175" s="720"/>
      <c r="C175" s="985" t="s">
        <v>1776</v>
      </c>
      <c r="D175" s="985"/>
      <c r="E175" s="985"/>
      <c r="F175" s="687"/>
      <c r="G175" s="688"/>
      <c r="H175" s="688"/>
      <c r="I175" s="688"/>
      <c r="J175" s="691"/>
      <c r="K175" s="688"/>
      <c r="L175" s="721">
        <v>2273250.02</v>
      </c>
      <c r="M175" s="715"/>
      <c r="N175" s="722">
        <v>18549720.16</v>
      </c>
      <c r="AF175" s="684"/>
      <c r="AG175" s="693"/>
      <c r="AM175" s="693" t="s">
        <v>1776</v>
      </c>
    </row>
    <row r="176" spans="1:41" s="646" customFormat="1" ht="0" hidden="1" customHeight="1" x14ac:dyDescent="0.3">
      <c r="A176" s="731"/>
      <c r="B176" s="732"/>
      <c r="C176" s="732"/>
      <c r="D176" s="732"/>
      <c r="E176" s="732"/>
      <c r="F176" s="733"/>
      <c r="G176" s="733"/>
      <c r="H176" s="733"/>
      <c r="I176" s="733"/>
      <c r="J176" s="734"/>
      <c r="K176" s="733"/>
      <c r="L176" s="734"/>
      <c r="M176" s="701"/>
      <c r="N176" s="734"/>
      <c r="AF176" s="684"/>
      <c r="AG176" s="693"/>
      <c r="AM176" s="693"/>
    </row>
    <row r="177" spans="1:43" s="646" customFormat="1" ht="14.4" x14ac:dyDescent="0.3">
      <c r="A177" s="735"/>
      <c r="B177" s="736"/>
      <c r="C177" s="985" t="s">
        <v>1822</v>
      </c>
      <c r="D177" s="985"/>
      <c r="E177" s="985"/>
      <c r="F177" s="985"/>
      <c r="G177" s="985"/>
      <c r="H177" s="985"/>
      <c r="I177" s="985"/>
      <c r="J177" s="985"/>
      <c r="K177" s="985"/>
      <c r="L177" s="737"/>
      <c r="M177" s="738"/>
      <c r="N177" s="739"/>
      <c r="AF177" s="684"/>
      <c r="AG177" s="693"/>
      <c r="AM177" s="693"/>
      <c r="AP177" s="693" t="s">
        <v>1822</v>
      </c>
    </row>
    <row r="178" spans="1:43" s="646" customFormat="1" ht="14.4" x14ac:dyDescent="0.3">
      <c r="A178" s="740"/>
      <c r="B178" s="698"/>
      <c r="C178" s="982" t="s">
        <v>1823</v>
      </c>
      <c r="D178" s="982"/>
      <c r="E178" s="982"/>
      <c r="F178" s="982"/>
      <c r="G178" s="982"/>
      <c r="H178" s="982"/>
      <c r="I178" s="982"/>
      <c r="J178" s="982"/>
      <c r="K178" s="982"/>
      <c r="L178" s="741">
        <v>3975193.84</v>
      </c>
      <c r="M178" s="742"/>
      <c r="N178" s="743"/>
      <c r="AF178" s="684"/>
      <c r="AG178" s="693"/>
      <c r="AM178" s="693"/>
      <c r="AP178" s="693"/>
      <c r="AQ178" s="696" t="s">
        <v>1823</v>
      </c>
    </row>
    <row r="179" spans="1:43" s="646" customFormat="1" ht="14.4" x14ac:dyDescent="0.3">
      <c r="A179" s="740"/>
      <c r="B179" s="698"/>
      <c r="C179" s="982" t="s">
        <v>1824</v>
      </c>
      <c r="D179" s="982"/>
      <c r="E179" s="982"/>
      <c r="F179" s="982"/>
      <c r="G179" s="982"/>
      <c r="H179" s="982"/>
      <c r="I179" s="982"/>
      <c r="J179" s="982"/>
      <c r="K179" s="982"/>
      <c r="L179" s="744"/>
      <c r="M179" s="742"/>
      <c r="N179" s="743"/>
      <c r="AF179" s="684"/>
      <c r="AG179" s="693"/>
      <c r="AM179" s="693"/>
      <c r="AP179" s="693"/>
      <c r="AQ179" s="696" t="s">
        <v>1824</v>
      </c>
    </row>
    <row r="180" spans="1:43" s="646" customFormat="1" ht="14.4" x14ac:dyDescent="0.3">
      <c r="A180" s="740"/>
      <c r="B180" s="698"/>
      <c r="C180" s="982" t="s">
        <v>1825</v>
      </c>
      <c r="D180" s="982"/>
      <c r="E180" s="982"/>
      <c r="F180" s="982"/>
      <c r="G180" s="982"/>
      <c r="H180" s="982"/>
      <c r="I180" s="982"/>
      <c r="J180" s="982"/>
      <c r="K180" s="982"/>
      <c r="L180" s="741">
        <v>23698.02</v>
      </c>
      <c r="M180" s="742"/>
      <c r="N180" s="743"/>
      <c r="AF180" s="684"/>
      <c r="AG180" s="693"/>
      <c r="AM180" s="693"/>
      <c r="AP180" s="693"/>
      <c r="AQ180" s="696" t="s">
        <v>1825</v>
      </c>
    </row>
    <row r="181" spans="1:43" s="646" customFormat="1" ht="14.4" x14ac:dyDescent="0.3">
      <c r="A181" s="740"/>
      <c r="B181" s="698"/>
      <c r="C181" s="982" t="s">
        <v>1826</v>
      </c>
      <c r="D181" s="982"/>
      <c r="E181" s="982"/>
      <c r="F181" s="982"/>
      <c r="G181" s="982"/>
      <c r="H181" s="982"/>
      <c r="I181" s="982"/>
      <c r="J181" s="982"/>
      <c r="K181" s="982"/>
      <c r="L181" s="741">
        <v>347260.02</v>
      </c>
      <c r="M181" s="742"/>
      <c r="N181" s="743"/>
      <c r="AF181" s="684"/>
      <c r="AG181" s="693"/>
      <c r="AM181" s="693"/>
      <c r="AP181" s="693"/>
      <c r="AQ181" s="696" t="s">
        <v>1826</v>
      </c>
    </row>
    <row r="182" spans="1:43" s="646" customFormat="1" ht="14.4" x14ac:dyDescent="0.3">
      <c r="A182" s="740"/>
      <c r="B182" s="698"/>
      <c r="C182" s="982" t="s">
        <v>1827</v>
      </c>
      <c r="D182" s="982"/>
      <c r="E182" s="982"/>
      <c r="F182" s="982"/>
      <c r="G182" s="982"/>
      <c r="H182" s="982"/>
      <c r="I182" s="982"/>
      <c r="J182" s="982"/>
      <c r="K182" s="982"/>
      <c r="L182" s="741">
        <v>21550.25</v>
      </c>
      <c r="M182" s="742"/>
      <c r="N182" s="743"/>
      <c r="AF182" s="684"/>
      <c r="AG182" s="693"/>
      <c r="AM182" s="693"/>
      <c r="AP182" s="693"/>
      <c r="AQ182" s="696" t="s">
        <v>1827</v>
      </c>
    </row>
    <row r="183" spans="1:43" s="646" customFormat="1" ht="14.4" x14ac:dyDescent="0.3">
      <c r="A183" s="740"/>
      <c r="B183" s="698"/>
      <c r="C183" s="982" t="s">
        <v>1828</v>
      </c>
      <c r="D183" s="982"/>
      <c r="E183" s="982"/>
      <c r="F183" s="982"/>
      <c r="G183" s="982"/>
      <c r="H183" s="982"/>
      <c r="I183" s="982"/>
      <c r="J183" s="982"/>
      <c r="K183" s="982"/>
      <c r="L183" s="741">
        <v>3604235.8</v>
      </c>
      <c r="M183" s="742"/>
      <c r="N183" s="743"/>
      <c r="AF183" s="684"/>
      <c r="AG183" s="693"/>
      <c r="AM183" s="693"/>
      <c r="AP183" s="693"/>
      <c r="AQ183" s="696" t="s">
        <v>1828</v>
      </c>
    </row>
    <row r="184" spans="1:43" s="646" customFormat="1" ht="14.4" x14ac:dyDescent="0.3">
      <c r="A184" s="740"/>
      <c r="B184" s="698"/>
      <c r="C184" s="982" t="s">
        <v>1829</v>
      </c>
      <c r="D184" s="982"/>
      <c r="E184" s="982"/>
      <c r="F184" s="982"/>
      <c r="G184" s="982"/>
      <c r="H184" s="982"/>
      <c r="I184" s="982"/>
      <c r="J184" s="982"/>
      <c r="K184" s="982"/>
      <c r="L184" s="741">
        <v>4065553.36</v>
      </c>
      <c r="M184" s="742"/>
      <c r="N184" s="743"/>
      <c r="AF184" s="684"/>
      <c r="AG184" s="693"/>
      <c r="AM184" s="693"/>
      <c r="AP184" s="693"/>
      <c r="AQ184" s="696" t="s">
        <v>1829</v>
      </c>
    </row>
    <row r="185" spans="1:43" s="646" customFormat="1" ht="14.4" x14ac:dyDescent="0.3">
      <c r="A185" s="740"/>
      <c r="B185" s="698"/>
      <c r="C185" s="982" t="s">
        <v>1830</v>
      </c>
      <c r="D185" s="982"/>
      <c r="E185" s="982"/>
      <c r="F185" s="982"/>
      <c r="G185" s="982"/>
      <c r="H185" s="982"/>
      <c r="I185" s="982"/>
      <c r="J185" s="982"/>
      <c r="K185" s="982"/>
      <c r="L185" s="741">
        <v>4064640.04</v>
      </c>
      <c r="M185" s="742"/>
      <c r="N185" s="743"/>
      <c r="AF185" s="684"/>
      <c r="AG185" s="693"/>
      <c r="AM185" s="693"/>
      <c r="AP185" s="693"/>
      <c r="AQ185" s="696" t="s">
        <v>1830</v>
      </c>
    </row>
    <row r="186" spans="1:43" s="646" customFormat="1" ht="14.4" x14ac:dyDescent="0.3">
      <c r="A186" s="740"/>
      <c r="B186" s="698"/>
      <c r="C186" s="982" t="s">
        <v>1831</v>
      </c>
      <c r="D186" s="982"/>
      <c r="E186" s="982"/>
      <c r="F186" s="982"/>
      <c r="G186" s="982"/>
      <c r="H186" s="982"/>
      <c r="I186" s="982"/>
      <c r="J186" s="982"/>
      <c r="K186" s="982"/>
      <c r="L186" s="744"/>
      <c r="M186" s="742"/>
      <c r="N186" s="743"/>
      <c r="AF186" s="684"/>
      <c r="AG186" s="693"/>
      <c r="AM186" s="693"/>
      <c r="AP186" s="693"/>
      <c r="AQ186" s="696" t="s">
        <v>1831</v>
      </c>
    </row>
    <row r="187" spans="1:43" s="646" customFormat="1" ht="14.4" x14ac:dyDescent="0.3">
      <c r="A187" s="740"/>
      <c r="B187" s="698"/>
      <c r="C187" s="982" t="s">
        <v>1832</v>
      </c>
      <c r="D187" s="982"/>
      <c r="E187" s="982"/>
      <c r="F187" s="982"/>
      <c r="G187" s="982"/>
      <c r="H187" s="982"/>
      <c r="I187" s="982"/>
      <c r="J187" s="982"/>
      <c r="K187" s="982"/>
      <c r="L187" s="741">
        <v>23698.02</v>
      </c>
      <c r="M187" s="742"/>
      <c r="N187" s="743"/>
      <c r="AF187" s="684"/>
      <c r="AG187" s="693"/>
      <c r="AM187" s="693"/>
      <c r="AP187" s="693"/>
      <c r="AQ187" s="696" t="s">
        <v>1832</v>
      </c>
    </row>
    <row r="188" spans="1:43" s="646" customFormat="1" ht="14.4" x14ac:dyDescent="0.3">
      <c r="A188" s="740"/>
      <c r="B188" s="698"/>
      <c r="C188" s="982" t="s">
        <v>1833</v>
      </c>
      <c r="D188" s="982"/>
      <c r="E188" s="982"/>
      <c r="F188" s="982"/>
      <c r="G188" s="982"/>
      <c r="H188" s="982"/>
      <c r="I188" s="982"/>
      <c r="J188" s="982"/>
      <c r="K188" s="982"/>
      <c r="L188" s="741">
        <v>346346.7</v>
      </c>
      <c r="M188" s="742"/>
      <c r="N188" s="743"/>
      <c r="AF188" s="684"/>
      <c r="AG188" s="693"/>
      <c r="AM188" s="693"/>
      <c r="AP188" s="693"/>
      <c r="AQ188" s="696" t="s">
        <v>1833</v>
      </c>
    </row>
    <row r="189" spans="1:43" s="646" customFormat="1" ht="14.4" x14ac:dyDescent="0.3">
      <c r="A189" s="740"/>
      <c r="B189" s="698"/>
      <c r="C189" s="982" t="s">
        <v>1834</v>
      </c>
      <c r="D189" s="982"/>
      <c r="E189" s="982"/>
      <c r="F189" s="982"/>
      <c r="G189" s="982"/>
      <c r="H189" s="982"/>
      <c r="I189" s="982"/>
      <c r="J189" s="982"/>
      <c r="K189" s="982"/>
      <c r="L189" s="741">
        <v>21550.25</v>
      </c>
      <c r="M189" s="742"/>
      <c r="N189" s="743"/>
      <c r="AF189" s="684"/>
      <c r="AG189" s="693"/>
      <c r="AM189" s="693"/>
      <c r="AP189" s="693"/>
      <c r="AQ189" s="696" t="s">
        <v>1834</v>
      </c>
    </row>
    <row r="190" spans="1:43" s="646" customFormat="1" ht="14.4" x14ac:dyDescent="0.3">
      <c r="A190" s="740"/>
      <c r="B190" s="698"/>
      <c r="C190" s="982" t="s">
        <v>1835</v>
      </c>
      <c r="D190" s="982"/>
      <c r="E190" s="982"/>
      <c r="F190" s="982"/>
      <c r="G190" s="982"/>
      <c r="H190" s="982"/>
      <c r="I190" s="982"/>
      <c r="J190" s="982"/>
      <c r="K190" s="982"/>
      <c r="L190" s="741">
        <v>3604235.8</v>
      </c>
      <c r="M190" s="742"/>
      <c r="N190" s="743"/>
      <c r="AF190" s="684"/>
      <c r="AG190" s="693"/>
      <c r="AM190" s="693"/>
      <c r="AP190" s="693"/>
      <c r="AQ190" s="696" t="s">
        <v>1835</v>
      </c>
    </row>
    <row r="191" spans="1:43" s="646" customFormat="1" ht="14.4" x14ac:dyDescent="0.3">
      <c r="A191" s="740"/>
      <c r="B191" s="698"/>
      <c r="C191" s="982" t="s">
        <v>1836</v>
      </c>
      <c r="D191" s="982"/>
      <c r="E191" s="982"/>
      <c r="F191" s="982"/>
      <c r="G191" s="982"/>
      <c r="H191" s="982"/>
      <c r="I191" s="982"/>
      <c r="J191" s="982"/>
      <c r="K191" s="982"/>
      <c r="L191" s="741">
        <v>54826.55</v>
      </c>
      <c r="M191" s="742"/>
      <c r="N191" s="743"/>
      <c r="AF191" s="684"/>
      <c r="AG191" s="693"/>
      <c r="AM191" s="693"/>
      <c r="AP191" s="693"/>
      <c r="AQ191" s="696" t="s">
        <v>1836</v>
      </c>
    </row>
    <row r="192" spans="1:43" s="646" customFormat="1" ht="14.4" x14ac:dyDescent="0.3">
      <c r="A192" s="740"/>
      <c r="B192" s="698"/>
      <c r="C192" s="982" t="s">
        <v>1837</v>
      </c>
      <c r="D192" s="982"/>
      <c r="E192" s="982"/>
      <c r="F192" s="982"/>
      <c r="G192" s="982"/>
      <c r="H192" s="982"/>
      <c r="I192" s="982"/>
      <c r="J192" s="982"/>
      <c r="K192" s="982"/>
      <c r="L192" s="741">
        <v>35532.97</v>
      </c>
      <c r="M192" s="742"/>
      <c r="N192" s="743"/>
      <c r="AF192" s="684"/>
      <c r="AG192" s="693"/>
      <c r="AM192" s="693"/>
      <c r="AP192" s="693"/>
      <c r="AQ192" s="696" t="s">
        <v>1837</v>
      </c>
    </row>
    <row r="193" spans="1:44" s="646" customFormat="1" ht="14.4" x14ac:dyDescent="0.3">
      <c r="A193" s="740"/>
      <c r="B193" s="698"/>
      <c r="C193" s="982" t="s">
        <v>1838</v>
      </c>
      <c r="D193" s="982"/>
      <c r="E193" s="982"/>
      <c r="F193" s="982"/>
      <c r="G193" s="982"/>
      <c r="H193" s="982"/>
      <c r="I193" s="982"/>
      <c r="J193" s="982"/>
      <c r="K193" s="982"/>
      <c r="L193" s="745">
        <v>913.32</v>
      </c>
      <c r="M193" s="742"/>
      <c r="N193" s="743"/>
      <c r="AF193" s="684"/>
      <c r="AG193" s="693"/>
      <c r="AM193" s="693"/>
      <c r="AP193" s="693"/>
      <c r="AQ193" s="696" t="s">
        <v>1838</v>
      </c>
    </row>
    <row r="194" spans="1:44" s="646" customFormat="1" ht="14.4" x14ac:dyDescent="0.3">
      <c r="A194" s="740"/>
      <c r="B194" s="698"/>
      <c r="C194" s="982" t="s">
        <v>1839</v>
      </c>
      <c r="D194" s="982"/>
      <c r="E194" s="982"/>
      <c r="F194" s="982"/>
      <c r="G194" s="982"/>
      <c r="H194" s="982"/>
      <c r="I194" s="982"/>
      <c r="J194" s="982"/>
      <c r="K194" s="982"/>
      <c r="L194" s="741">
        <v>45248.27</v>
      </c>
      <c r="M194" s="742"/>
      <c r="N194" s="743"/>
      <c r="AF194" s="684"/>
      <c r="AG194" s="693"/>
      <c r="AM194" s="693"/>
      <c r="AP194" s="693"/>
      <c r="AQ194" s="696" t="s">
        <v>1839</v>
      </c>
    </row>
    <row r="195" spans="1:44" s="646" customFormat="1" ht="14.4" x14ac:dyDescent="0.3">
      <c r="A195" s="740"/>
      <c r="B195" s="698"/>
      <c r="C195" s="982" t="s">
        <v>1840</v>
      </c>
      <c r="D195" s="982"/>
      <c r="E195" s="982"/>
      <c r="F195" s="982"/>
      <c r="G195" s="982"/>
      <c r="H195" s="982"/>
      <c r="I195" s="982"/>
      <c r="J195" s="982"/>
      <c r="K195" s="982"/>
      <c r="L195" s="741">
        <v>54826.55</v>
      </c>
      <c r="M195" s="742"/>
      <c r="N195" s="743"/>
      <c r="AF195" s="684"/>
      <c r="AG195" s="693"/>
      <c r="AM195" s="693"/>
      <c r="AP195" s="693"/>
      <c r="AQ195" s="696" t="s">
        <v>1840</v>
      </c>
    </row>
    <row r="196" spans="1:44" s="646" customFormat="1" ht="14.4" x14ac:dyDescent="0.3">
      <c r="A196" s="740"/>
      <c r="B196" s="698"/>
      <c r="C196" s="982" t="s">
        <v>1841</v>
      </c>
      <c r="D196" s="982"/>
      <c r="E196" s="982"/>
      <c r="F196" s="982"/>
      <c r="G196" s="982"/>
      <c r="H196" s="982"/>
      <c r="I196" s="982"/>
      <c r="J196" s="982"/>
      <c r="K196" s="982"/>
      <c r="L196" s="741">
        <v>35532.97</v>
      </c>
      <c r="M196" s="742"/>
      <c r="N196" s="743"/>
      <c r="AF196" s="684"/>
      <c r="AG196" s="693"/>
      <c r="AM196" s="693"/>
      <c r="AP196" s="693"/>
      <c r="AQ196" s="696" t="s">
        <v>1841</v>
      </c>
    </row>
    <row r="197" spans="1:44" s="646" customFormat="1" ht="14.4" x14ac:dyDescent="0.3">
      <c r="A197" s="740"/>
      <c r="B197" s="746"/>
      <c r="C197" s="984" t="s">
        <v>1842</v>
      </c>
      <c r="D197" s="984"/>
      <c r="E197" s="984"/>
      <c r="F197" s="984"/>
      <c r="G197" s="984"/>
      <c r="H197" s="984"/>
      <c r="I197" s="984"/>
      <c r="J197" s="984"/>
      <c r="K197" s="984"/>
      <c r="L197" s="747">
        <v>4065553.36</v>
      </c>
      <c r="M197" s="748"/>
      <c r="N197" s="749"/>
      <c r="AF197" s="684"/>
      <c r="AG197" s="693"/>
      <c r="AM197" s="693"/>
      <c r="AP197" s="693"/>
      <c r="AR197" s="693" t="s">
        <v>1842</v>
      </c>
    </row>
    <row r="198" spans="1:44" s="646" customFormat="1" ht="14.4" x14ac:dyDescent="0.3">
      <c r="A198" s="992" t="s">
        <v>1843</v>
      </c>
      <c r="B198" s="993"/>
      <c r="C198" s="993"/>
      <c r="D198" s="993"/>
      <c r="E198" s="993"/>
      <c r="F198" s="993"/>
      <c r="G198" s="993"/>
      <c r="H198" s="993"/>
      <c r="I198" s="993"/>
      <c r="J198" s="993"/>
      <c r="K198" s="993"/>
      <c r="L198" s="993"/>
      <c r="M198" s="993"/>
      <c r="N198" s="994"/>
      <c r="AF198" s="684" t="s">
        <v>1843</v>
      </c>
      <c r="AG198" s="693"/>
      <c r="AM198" s="693"/>
      <c r="AP198" s="693"/>
      <c r="AR198" s="693"/>
    </row>
    <row r="199" spans="1:44" s="646" customFormat="1" ht="14.4" x14ac:dyDescent="0.3">
      <c r="A199" s="685" t="s">
        <v>85</v>
      </c>
      <c r="B199" s="686" t="s">
        <v>1844</v>
      </c>
      <c r="C199" s="985" t="s">
        <v>1845</v>
      </c>
      <c r="D199" s="985"/>
      <c r="E199" s="985"/>
      <c r="F199" s="687" t="s">
        <v>1846</v>
      </c>
      <c r="G199" s="688">
        <v>1</v>
      </c>
      <c r="H199" s="689">
        <v>1</v>
      </c>
      <c r="I199" s="689">
        <v>1</v>
      </c>
      <c r="J199" s="691"/>
      <c r="K199" s="688"/>
      <c r="L199" s="691"/>
      <c r="M199" s="688"/>
      <c r="N199" s="692"/>
      <c r="AF199" s="684"/>
      <c r="AG199" s="693" t="s">
        <v>1845</v>
      </c>
      <c r="AM199" s="693"/>
      <c r="AP199" s="693"/>
      <c r="AR199" s="693"/>
    </row>
    <row r="200" spans="1:44" s="646" customFormat="1" ht="52.2" x14ac:dyDescent="0.3">
      <c r="A200" s="697"/>
      <c r="B200" s="698" t="s">
        <v>1761</v>
      </c>
      <c r="C200" s="974" t="s">
        <v>1762</v>
      </c>
      <c r="D200" s="974"/>
      <c r="E200" s="974"/>
      <c r="F200" s="974"/>
      <c r="G200" s="974"/>
      <c r="H200" s="974"/>
      <c r="I200" s="974"/>
      <c r="J200" s="974"/>
      <c r="K200" s="974"/>
      <c r="L200" s="974"/>
      <c r="M200" s="974"/>
      <c r="N200" s="987"/>
      <c r="AF200" s="684"/>
      <c r="AG200" s="693"/>
      <c r="AI200" s="696" t="s">
        <v>1762</v>
      </c>
      <c r="AM200" s="693"/>
      <c r="AP200" s="693"/>
      <c r="AR200" s="693"/>
    </row>
    <row r="201" spans="1:44" s="646" customFormat="1" ht="14.4" x14ac:dyDescent="0.3">
      <c r="A201" s="699"/>
      <c r="B201" s="698" t="s">
        <v>18</v>
      </c>
      <c r="C201" s="982" t="s">
        <v>1763</v>
      </c>
      <c r="D201" s="982"/>
      <c r="E201" s="982"/>
      <c r="F201" s="700"/>
      <c r="G201" s="701"/>
      <c r="H201" s="701"/>
      <c r="I201" s="701"/>
      <c r="J201" s="702">
        <v>524.51</v>
      </c>
      <c r="K201" s="704">
        <v>1.1499999999999999</v>
      </c>
      <c r="L201" s="702">
        <v>603.19000000000005</v>
      </c>
      <c r="M201" s="704">
        <v>44.77</v>
      </c>
      <c r="N201" s="705">
        <v>27004.82</v>
      </c>
      <c r="AF201" s="684"/>
      <c r="AG201" s="693"/>
      <c r="AJ201" s="696" t="s">
        <v>1763</v>
      </c>
      <c r="AM201" s="693"/>
      <c r="AP201" s="693"/>
      <c r="AR201" s="693"/>
    </row>
    <row r="202" spans="1:44" s="646" customFormat="1" ht="14.4" x14ac:dyDescent="0.3">
      <c r="A202" s="699"/>
      <c r="B202" s="698" t="s">
        <v>21</v>
      </c>
      <c r="C202" s="982" t="s">
        <v>1764</v>
      </c>
      <c r="D202" s="982"/>
      <c r="E202" s="982"/>
      <c r="F202" s="700"/>
      <c r="G202" s="701"/>
      <c r="H202" s="701"/>
      <c r="I202" s="701"/>
      <c r="J202" s="706">
        <v>2487.8000000000002</v>
      </c>
      <c r="K202" s="704">
        <v>1.1499999999999999</v>
      </c>
      <c r="L202" s="706">
        <v>2860.97</v>
      </c>
      <c r="M202" s="704">
        <v>13.24</v>
      </c>
      <c r="N202" s="705">
        <v>37879.24</v>
      </c>
      <c r="AF202" s="684"/>
      <c r="AG202" s="693"/>
      <c r="AJ202" s="696" t="s">
        <v>1764</v>
      </c>
      <c r="AM202" s="693"/>
      <c r="AP202" s="693"/>
      <c r="AR202" s="693"/>
    </row>
    <row r="203" spans="1:44" s="646" customFormat="1" ht="14.4" x14ac:dyDescent="0.3">
      <c r="A203" s="699"/>
      <c r="B203" s="698" t="s">
        <v>23</v>
      </c>
      <c r="C203" s="982" t="s">
        <v>1765</v>
      </c>
      <c r="D203" s="982"/>
      <c r="E203" s="982"/>
      <c r="F203" s="700"/>
      <c r="G203" s="701"/>
      <c r="H203" s="701"/>
      <c r="I203" s="701"/>
      <c r="J203" s="702">
        <v>272.81</v>
      </c>
      <c r="K203" s="704">
        <v>1.1499999999999999</v>
      </c>
      <c r="L203" s="702">
        <v>313.73</v>
      </c>
      <c r="M203" s="704">
        <v>44.77</v>
      </c>
      <c r="N203" s="705">
        <v>14045.69</v>
      </c>
      <c r="AF203" s="684"/>
      <c r="AG203" s="693"/>
      <c r="AJ203" s="696" t="s">
        <v>1765</v>
      </c>
      <c r="AM203" s="693"/>
      <c r="AP203" s="693"/>
      <c r="AR203" s="693"/>
    </row>
    <row r="204" spans="1:44" s="646" customFormat="1" ht="14.4" x14ac:dyDescent="0.3">
      <c r="A204" s="708"/>
      <c r="B204" s="698"/>
      <c r="C204" s="982" t="s">
        <v>1767</v>
      </c>
      <c r="D204" s="982"/>
      <c r="E204" s="982"/>
      <c r="F204" s="700" t="s">
        <v>695</v>
      </c>
      <c r="G204" s="709">
        <v>65.400000000000006</v>
      </c>
      <c r="H204" s="704">
        <v>1.1499999999999999</v>
      </c>
      <c r="I204" s="704">
        <v>75.209999999999994</v>
      </c>
      <c r="J204" s="711"/>
      <c r="K204" s="701"/>
      <c r="L204" s="711"/>
      <c r="M204" s="701"/>
      <c r="N204" s="712"/>
      <c r="AF204" s="684"/>
      <c r="AG204" s="693"/>
      <c r="AK204" s="696" t="s">
        <v>1767</v>
      </c>
      <c r="AM204" s="693"/>
      <c r="AP204" s="693"/>
      <c r="AR204" s="693"/>
    </row>
    <row r="205" spans="1:44" s="646" customFormat="1" ht="14.4" x14ac:dyDescent="0.3">
      <c r="A205" s="708"/>
      <c r="B205" s="698"/>
      <c r="C205" s="982" t="s">
        <v>1768</v>
      </c>
      <c r="D205" s="982"/>
      <c r="E205" s="982"/>
      <c r="F205" s="700" t="s">
        <v>695</v>
      </c>
      <c r="G205" s="704">
        <v>21.88</v>
      </c>
      <c r="H205" s="704">
        <v>1.1499999999999999</v>
      </c>
      <c r="I205" s="703">
        <v>25.161999999999999</v>
      </c>
      <c r="J205" s="711"/>
      <c r="K205" s="701"/>
      <c r="L205" s="711"/>
      <c r="M205" s="701"/>
      <c r="N205" s="712"/>
      <c r="AF205" s="684"/>
      <c r="AG205" s="693"/>
      <c r="AK205" s="696" t="s">
        <v>1768</v>
      </c>
      <c r="AM205" s="693"/>
      <c r="AP205" s="693"/>
      <c r="AR205" s="693"/>
    </row>
    <row r="206" spans="1:44" s="646" customFormat="1" ht="14.4" x14ac:dyDescent="0.3">
      <c r="A206" s="699"/>
      <c r="B206" s="698"/>
      <c r="C206" s="986" t="s">
        <v>1769</v>
      </c>
      <c r="D206" s="986"/>
      <c r="E206" s="986"/>
      <c r="F206" s="714"/>
      <c r="G206" s="715"/>
      <c r="H206" s="715"/>
      <c r="I206" s="715"/>
      <c r="J206" s="716">
        <v>3012.31</v>
      </c>
      <c r="K206" s="715"/>
      <c r="L206" s="716">
        <v>3464.16</v>
      </c>
      <c r="M206" s="715"/>
      <c r="N206" s="717">
        <v>64884.06</v>
      </c>
      <c r="AF206" s="684"/>
      <c r="AG206" s="693"/>
      <c r="AL206" s="696" t="s">
        <v>1769</v>
      </c>
      <c r="AM206" s="693"/>
      <c r="AP206" s="693"/>
      <c r="AR206" s="693"/>
    </row>
    <row r="207" spans="1:44" s="646" customFormat="1" ht="14.4" x14ac:dyDescent="0.3">
      <c r="A207" s="708"/>
      <c r="B207" s="698"/>
      <c r="C207" s="982" t="s">
        <v>1770</v>
      </c>
      <c r="D207" s="982"/>
      <c r="E207" s="982"/>
      <c r="F207" s="700"/>
      <c r="G207" s="701"/>
      <c r="H207" s="701"/>
      <c r="I207" s="701"/>
      <c r="J207" s="711"/>
      <c r="K207" s="701"/>
      <c r="L207" s="702">
        <v>916.92</v>
      </c>
      <c r="M207" s="701"/>
      <c r="N207" s="705">
        <v>41050.51</v>
      </c>
      <c r="AF207" s="684"/>
      <c r="AG207" s="693"/>
      <c r="AK207" s="696" t="s">
        <v>1770</v>
      </c>
      <c r="AM207" s="693"/>
      <c r="AP207" s="693"/>
      <c r="AR207" s="693"/>
    </row>
    <row r="208" spans="1:44" s="646" customFormat="1" ht="20.399999999999999" x14ac:dyDescent="0.3">
      <c r="A208" s="708"/>
      <c r="B208" s="698" t="s">
        <v>1847</v>
      </c>
      <c r="C208" s="982" t="s">
        <v>1848</v>
      </c>
      <c r="D208" s="982"/>
      <c r="E208" s="982"/>
      <c r="F208" s="700" t="s">
        <v>1773</v>
      </c>
      <c r="G208" s="718">
        <v>109</v>
      </c>
      <c r="H208" s="701"/>
      <c r="I208" s="718">
        <v>109</v>
      </c>
      <c r="J208" s="711"/>
      <c r="K208" s="701"/>
      <c r="L208" s="702">
        <v>999.44</v>
      </c>
      <c r="M208" s="701"/>
      <c r="N208" s="705">
        <v>44745.06</v>
      </c>
      <c r="AF208" s="684"/>
      <c r="AG208" s="693"/>
      <c r="AK208" s="696" t="s">
        <v>1848</v>
      </c>
      <c r="AM208" s="693"/>
      <c r="AP208" s="693"/>
      <c r="AR208" s="693"/>
    </row>
    <row r="209" spans="1:44" s="646" customFormat="1" ht="40.799999999999997" x14ac:dyDescent="0.3">
      <c r="A209" s="708"/>
      <c r="B209" s="698" t="s">
        <v>1849</v>
      </c>
      <c r="C209" s="982" t="s">
        <v>1850</v>
      </c>
      <c r="D209" s="982"/>
      <c r="E209" s="982"/>
      <c r="F209" s="700" t="s">
        <v>1773</v>
      </c>
      <c r="G209" s="718">
        <v>65</v>
      </c>
      <c r="H209" s="704">
        <v>0.85</v>
      </c>
      <c r="I209" s="704">
        <v>55.25</v>
      </c>
      <c r="J209" s="711"/>
      <c r="K209" s="701"/>
      <c r="L209" s="702">
        <v>506.6</v>
      </c>
      <c r="M209" s="701"/>
      <c r="N209" s="705">
        <v>22680.41</v>
      </c>
      <c r="AF209" s="684"/>
      <c r="AG209" s="693"/>
      <c r="AK209" s="696" t="s">
        <v>1850</v>
      </c>
      <c r="AM209" s="693"/>
      <c r="AP209" s="693"/>
      <c r="AR209" s="693"/>
    </row>
    <row r="210" spans="1:44" s="646" customFormat="1" ht="14.4" x14ac:dyDescent="0.3">
      <c r="A210" s="719"/>
      <c r="B210" s="720"/>
      <c r="C210" s="985" t="s">
        <v>1776</v>
      </c>
      <c r="D210" s="985"/>
      <c r="E210" s="985"/>
      <c r="F210" s="687"/>
      <c r="G210" s="688"/>
      <c r="H210" s="688"/>
      <c r="I210" s="688"/>
      <c r="J210" s="691"/>
      <c r="K210" s="688"/>
      <c r="L210" s="721">
        <v>4970.2</v>
      </c>
      <c r="M210" s="715"/>
      <c r="N210" s="722">
        <v>132309.53</v>
      </c>
      <c r="AF210" s="684"/>
      <c r="AG210" s="693"/>
      <c r="AM210" s="693" t="s">
        <v>1776</v>
      </c>
      <c r="AP210" s="693"/>
      <c r="AR210" s="693"/>
    </row>
    <row r="211" spans="1:44" s="646" customFormat="1" ht="21.6" x14ac:dyDescent="0.3">
      <c r="A211" s="685" t="s">
        <v>90</v>
      </c>
      <c r="B211" s="686" t="s">
        <v>1851</v>
      </c>
      <c r="C211" s="985" t="s">
        <v>1852</v>
      </c>
      <c r="D211" s="985"/>
      <c r="E211" s="985"/>
      <c r="F211" s="687" t="s">
        <v>1853</v>
      </c>
      <c r="G211" s="688">
        <v>4</v>
      </c>
      <c r="H211" s="689">
        <v>1</v>
      </c>
      <c r="I211" s="689">
        <v>4</v>
      </c>
      <c r="J211" s="691"/>
      <c r="K211" s="688"/>
      <c r="L211" s="691"/>
      <c r="M211" s="688"/>
      <c r="N211" s="692"/>
      <c r="AF211" s="684"/>
      <c r="AG211" s="693" t="s">
        <v>1852</v>
      </c>
      <c r="AM211" s="693"/>
      <c r="AP211" s="693"/>
      <c r="AR211" s="693"/>
    </row>
    <row r="212" spans="1:44" s="646" customFormat="1" ht="52.2" x14ac:dyDescent="0.3">
      <c r="A212" s="697"/>
      <c r="B212" s="698" t="s">
        <v>1761</v>
      </c>
      <c r="C212" s="974" t="s">
        <v>1762</v>
      </c>
      <c r="D212" s="974"/>
      <c r="E212" s="974"/>
      <c r="F212" s="974"/>
      <c r="G212" s="974"/>
      <c r="H212" s="974"/>
      <c r="I212" s="974"/>
      <c r="J212" s="974"/>
      <c r="K212" s="974"/>
      <c r="L212" s="974"/>
      <c r="M212" s="974"/>
      <c r="N212" s="987"/>
      <c r="AF212" s="684"/>
      <c r="AG212" s="693"/>
      <c r="AI212" s="696" t="s">
        <v>1762</v>
      </c>
      <c r="AM212" s="693"/>
      <c r="AP212" s="693"/>
      <c r="AR212" s="693"/>
    </row>
    <row r="213" spans="1:44" s="646" customFormat="1" ht="14.4" x14ac:dyDescent="0.3">
      <c r="A213" s="699"/>
      <c r="B213" s="698" t="s">
        <v>18</v>
      </c>
      <c r="C213" s="982" t="s">
        <v>1763</v>
      </c>
      <c r="D213" s="982"/>
      <c r="E213" s="982"/>
      <c r="F213" s="700"/>
      <c r="G213" s="701"/>
      <c r="H213" s="701"/>
      <c r="I213" s="701"/>
      <c r="J213" s="702">
        <v>298.64</v>
      </c>
      <c r="K213" s="704">
        <v>1.1499999999999999</v>
      </c>
      <c r="L213" s="706">
        <v>1373.74</v>
      </c>
      <c r="M213" s="704">
        <v>44.77</v>
      </c>
      <c r="N213" s="705">
        <v>61502.34</v>
      </c>
      <c r="AF213" s="684"/>
      <c r="AG213" s="693"/>
      <c r="AJ213" s="696" t="s">
        <v>1763</v>
      </c>
      <c r="AM213" s="693"/>
      <c r="AP213" s="693"/>
      <c r="AR213" s="693"/>
    </row>
    <row r="214" spans="1:44" s="646" customFormat="1" ht="14.4" x14ac:dyDescent="0.3">
      <c r="A214" s="699"/>
      <c r="B214" s="698" t="s">
        <v>21</v>
      </c>
      <c r="C214" s="982" t="s">
        <v>1764</v>
      </c>
      <c r="D214" s="982"/>
      <c r="E214" s="982"/>
      <c r="F214" s="700"/>
      <c r="G214" s="701"/>
      <c r="H214" s="701"/>
      <c r="I214" s="701"/>
      <c r="J214" s="702">
        <v>128.02000000000001</v>
      </c>
      <c r="K214" s="704">
        <v>1.1499999999999999</v>
      </c>
      <c r="L214" s="702">
        <v>588.89</v>
      </c>
      <c r="M214" s="704">
        <v>13.24</v>
      </c>
      <c r="N214" s="705">
        <v>7796.9</v>
      </c>
      <c r="AF214" s="684"/>
      <c r="AG214" s="693"/>
      <c r="AJ214" s="696" t="s">
        <v>1764</v>
      </c>
      <c r="AM214" s="693"/>
      <c r="AP214" s="693"/>
      <c r="AR214" s="693"/>
    </row>
    <row r="215" spans="1:44" s="646" customFormat="1" ht="14.4" x14ac:dyDescent="0.3">
      <c r="A215" s="699"/>
      <c r="B215" s="698" t="s">
        <v>23</v>
      </c>
      <c r="C215" s="982" t="s">
        <v>1765</v>
      </c>
      <c r="D215" s="982"/>
      <c r="E215" s="982"/>
      <c r="F215" s="700"/>
      <c r="G215" s="701"/>
      <c r="H215" s="701"/>
      <c r="I215" s="701"/>
      <c r="J215" s="702">
        <v>19.84</v>
      </c>
      <c r="K215" s="704">
        <v>1.1499999999999999</v>
      </c>
      <c r="L215" s="702">
        <v>91.26</v>
      </c>
      <c r="M215" s="704">
        <v>44.77</v>
      </c>
      <c r="N215" s="705">
        <v>4085.71</v>
      </c>
      <c r="AF215" s="684"/>
      <c r="AG215" s="693"/>
      <c r="AJ215" s="696" t="s">
        <v>1765</v>
      </c>
      <c r="AM215" s="693"/>
      <c r="AP215" s="693"/>
      <c r="AR215" s="693"/>
    </row>
    <row r="216" spans="1:44" s="646" customFormat="1" ht="14.4" x14ac:dyDescent="0.3">
      <c r="A216" s="708"/>
      <c r="B216" s="698"/>
      <c r="C216" s="982" t="s">
        <v>1767</v>
      </c>
      <c r="D216" s="982"/>
      <c r="E216" s="982"/>
      <c r="F216" s="700" t="s">
        <v>695</v>
      </c>
      <c r="G216" s="704">
        <v>35.01</v>
      </c>
      <c r="H216" s="704">
        <v>1.1499999999999999</v>
      </c>
      <c r="I216" s="703">
        <v>161.04599999999999</v>
      </c>
      <c r="J216" s="711"/>
      <c r="K216" s="701"/>
      <c r="L216" s="711"/>
      <c r="M216" s="701"/>
      <c r="N216" s="712"/>
      <c r="AF216" s="684"/>
      <c r="AG216" s="693"/>
      <c r="AK216" s="696" t="s">
        <v>1767</v>
      </c>
      <c r="AM216" s="693"/>
      <c r="AP216" s="693"/>
      <c r="AR216" s="693"/>
    </row>
    <row r="217" spans="1:44" s="646" customFormat="1" ht="14.4" x14ac:dyDescent="0.3">
      <c r="A217" s="708"/>
      <c r="B217" s="698"/>
      <c r="C217" s="982" t="s">
        <v>1768</v>
      </c>
      <c r="D217" s="982"/>
      <c r="E217" s="982"/>
      <c r="F217" s="700" t="s">
        <v>695</v>
      </c>
      <c r="G217" s="704">
        <v>1.71</v>
      </c>
      <c r="H217" s="704">
        <v>1.1499999999999999</v>
      </c>
      <c r="I217" s="703">
        <v>7.8659999999999997</v>
      </c>
      <c r="J217" s="711"/>
      <c r="K217" s="701"/>
      <c r="L217" s="711"/>
      <c r="M217" s="701"/>
      <c r="N217" s="712"/>
      <c r="AF217" s="684"/>
      <c r="AG217" s="693"/>
      <c r="AK217" s="696" t="s">
        <v>1768</v>
      </c>
      <c r="AM217" s="693"/>
      <c r="AP217" s="693"/>
      <c r="AR217" s="693"/>
    </row>
    <row r="218" spans="1:44" s="646" customFormat="1" ht="14.4" x14ac:dyDescent="0.3">
      <c r="A218" s="699"/>
      <c r="B218" s="698"/>
      <c r="C218" s="986" t="s">
        <v>1769</v>
      </c>
      <c r="D218" s="986"/>
      <c r="E218" s="986"/>
      <c r="F218" s="714"/>
      <c r="G218" s="715"/>
      <c r="H218" s="715"/>
      <c r="I218" s="715"/>
      <c r="J218" s="724">
        <v>426.66</v>
      </c>
      <c r="K218" s="715"/>
      <c r="L218" s="716">
        <v>1962.63</v>
      </c>
      <c r="M218" s="715"/>
      <c r="N218" s="717">
        <v>69299.240000000005</v>
      </c>
      <c r="AF218" s="684"/>
      <c r="AG218" s="693"/>
      <c r="AL218" s="696" t="s">
        <v>1769</v>
      </c>
      <c r="AM218" s="693"/>
      <c r="AP218" s="693"/>
      <c r="AR218" s="693"/>
    </row>
    <row r="219" spans="1:44" s="646" customFormat="1" ht="14.4" x14ac:dyDescent="0.3">
      <c r="A219" s="708"/>
      <c r="B219" s="698"/>
      <c r="C219" s="982" t="s">
        <v>1770</v>
      </c>
      <c r="D219" s="982"/>
      <c r="E219" s="982"/>
      <c r="F219" s="700"/>
      <c r="G219" s="701"/>
      <c r="H219" s="701"/>
      <c r="I219" s="701"/>
      <c r="J219" s="711"/>
      <c r="K219" s="701"/>
      <c r="L219" s="706">
        <v>1465</v>
      </c>
      <c r="M219" s="701"/>
      <c r="N219" s="705">
        <v>65588.05</v>
      </c>
      <c r="AF219" s="684"/>
      <c r="AG219" s="693"/>
      <c r="AK219" s="696" t="s">
        <v>1770</v>
      </c>
      <c r="AM219" s="693"/>
      <c r="AP219" s="693"/>
      <c r="AR219" s="693"/>
    </row>
    <row r="220" spans="1:44" s="646" customFormat="1" ht="20.399999999999999" x14ac:dyDescent="0.3">
      <c r="A220" s="708"/>
      <c r="B220" s="698" t="s">
        <v>1847</v>
      </c>
      <c r="C220" s="982" t="s">
        <v>1848</v>
      </c>
      <c r="D220" s="982"/>
      <c r="E220" s="982"/>
      <c r="F220" s="700" t="s">
        <v>1773</v>
      </c>
      <c r="G220" s="718">
        <v>109</v>
      </c>
      <c r="H220" s="701"/>
      <c r="I220" s="718">
        <v>109</v>
      </c>
      <c r="J220" s="711"/>
      <c r="K220" s="701"/>
      <c r="L220" s="706">
        <v>1596.85</v>
      </c>
      <c r="M220" s="701"/>
      <c r="N220" s="705">
        <v>71490.97</v>
      </c>
      <c r="AF220" s="684"/>
      <c r="AG220" s="693"/>
      <c r="AK220" s="696" t="s">
        <v>1848</v>
      </c>
      <c r="AM220" s="693"/>
      <c r="AP220" s="693"/>
      <c r="AR220" s="693"/>
    </row>
    <row r="221" spans="1:44" s="646" customFormat="1" ht="40.799999999999997" x14ac:dyDescent="0.3">
      <c r="A221" s="708"/>
      <c r="B221" s="698" t="s">
        <v>1849</v>
      </c>
      <c r="C221" s="982" t="s">
        <v>1850</v>
      </c>
      <c r="D221" s="982"/>
      <c r="E221" s="982"/>
      <c r="F221" s="700" t="s">
        <v>1773</v>
      </c>
      <c r="G221" s="718">
        <v>65</v>
      </c>
      <c r="H221" s="704">
        <v>0.85</v>
      </c>
      <c r="I221" s="704">
        <v>55.25</v>
      </c>
      <c r="J221" s="711"/>
      <c r="K221" s="701"/>
      <c r="L221" s="702">
        <v>809.41</v>
      </c>
      <c r="M221" s="701"/>
      <c r="N221" s="705">
        <v>36237.4</v>
      </c>
      <c r="AF221" s="684"/>
      <c r="AG221" s="693"/>
      <c r="AK221" s="696" t="s">
        <v>1850</v>
      </c>
      <c r="AM221" s="693"/>
      <c r="AP221" s="693"/>
      <c r="AR221" s="693"/>
    </row>
    <row r="222" spans="1:44" s="646" customFormat="1" ht="14.4" x14ac:dyDescent="0.3">
      <c r="A222" s="719"/>
      <c r="B222" s="720"/>
      <c r="C222" s="985" t="s">
        <v>1776</v>
      </c>
      <c r="D222" s="985"/>
      <c r="E222" s="985"/>
      <c r="F222" s="687"/>
      <c r="G222" s="688"/>
      <c r="H222" s="688"/>
      <c r="I222" s="688"/>
      <c r="J222" s="691"/>
      <c r="K222" s="688"/>
      <c r="L222" s="721">
        <v>4368.8900000000003</v>
      </c>
      <c r="M222" s="715"/>
      <c r="N222" s="722">
        <v>177027.61</v>
      </c>
      <c r="AF222" s="684"/>
      <c r="AG222" s="693"/>
      <c r="AM222" s="693" t="s">
        <v>1776</v>
      </c>
      <c r="AP222" s="693"/>
      <c r="AR222" s="693"/>
    </row>
    <row r="223" spans="1:44" s="646" customFormat="1" ht="21.6" x14ac:dyDescent="0.3">
      <c r="A223" s="685" t="s">
        <v>20</v>
      </c>
      <c r="B223" s="686" t="s">
        <v>1854</v>
      </c>
      <c r="C223" s="985" t="s">
        <v>1855</v>
      </c>
      <c r="D223" s="985"/>
      <c r="E223" s="985"/>
      <c r="F223" s="687" t="s">
        <v>1856</v>
      </c>
      <c r="G223" s="688">
        <v>0.51400000000000001</v>
      </c>
      <c r="H223" s="689">
        <v>1</v>
      </c>
      <c r="I223" s="690">
        <v>0.51400000000000001</v>
      </c>
      <c r="J223" s="691"/>
      <c r="K223" s="688"/>
      <c r="L223" s="691"/>
      <c r="M223" s="688"/>
      <c r="N223" s="692"/>
      <c r="AF223" s="684"/>
      <c r="AG223" s="693" t="s">
        <v>1855</v>
      </c>
      <c r="AM223" s="693"/>
      <c r="AP223" s="693"/>
      <c r="AR223" s="693"/>
    </row>
    <row r="224" spans="1:44" s="646" customFormat="1" ht="14.4" x14ac:dyDescent="0.3">
      <c r="A224" s="694"/>
      <c r="B224" s="695"/>
      <c r="C224" s="982" t="s">
        <v>1857</v>
      </c>
      <c r="D224" s="982"/>
      <c r="E224" s="982"/>
      <c r="F224" s="982"/>
      <c r="G224" s="982"/>
      <c r="H224" s="982"/>
      <c r="I224" s="982"/>
      <c r="J224" s="982"/>
      <c r="K224" s="982"/>
      <c r="L224" s="982"/>
      <c r="M224" s="982"/>
      <c r="N224" s="988"/>
      <c r="AF224" s="684"/>
      <c r="AG224" s="693"/>
      <c r="AH224" s="696" t="s">
        <v>1857</v>
      </c>
      <c r="AM224" s="693"/>
      <c r="AP224" s="693"/>
      <c r="AR224" s="693"/>
    </row>
    <row r="225" spans="1:44" s="646" customFormat="1" ht="52.2" x14ac:dyDescent="0.3">
      <c r="A225" s="697"/>
      <c r="B225" s="698" t="s">
        <v>1761</v>
      </c>
      <c r="C225" s="974" t="s">
        <v>1762</v>
      </c>
      <c r="D225" s="974"/>
      <c r="E225" s="974"/>
      <c r="F225" s="974"/>
      <c r="G225" s="974"/>
      <c r="H225" s="974"/>
      <c r="I225" s="974"/>
      <c r="J225" s="974"/>
      <c r="K225" s="974"/>
      <c r="L225" s="974"/>
      <c r="M225" s="974"/>
      <c r="N225" s="987"/>
      <c r="AF225" s="684"/>
      <c r="AG225" s="693"/>
      <c r="AI225" s="696" t="s">
        <v>1762</v>
      </c>
      <c r="AM225" s="693"/>
      <c r="AP225" s="693"/>
      <c r="AR225" s="693"/>
    </row>
    <row r="226" spans="1:44" s="646" customFormat="1" ht="14.4" x14ac:dyDescent="0.3">
      <c r="A226" s="699"/>
      <c r="B226" s="698" t="s">
        <v>18</v>
      </c>
      <c r="C226" s="982" t="s">
        <v>1763</v>
      </c>
      <c r="D226" s="982"/>
      <c r="E226" s="982"/>
      <c r="F226" s="700"/>
      <c r="G226" s="701"/>
      <c r="H226" s="701"/>
      <c r="I226" s="701"/>
      <c r="J226" s="702">
        <v>657.76</v>
      </c>
      <c r="K226" s="704">
        <v>1.1499999999999999</v>
      </c>
      <c r="L226" s="702">
        <v>388.8</v>
      </c>
      <c r="M226" s="704">
        <v>44.77</v>
      </c>
      <c r="N226" s="705">
        <v>17406.580000000002</v>
      </c>
      <c r="AF226" s="684"/>
      <c r="AG226" s="693"/>
      <c r="AJ226" s="696" t="s">
        <v>1763</v>
      </c>
      <c r="AM226" s="693"/>
      <c r="AP226" s="693"/>
      <c r="AR226" s="693"/>
    </row>
    <row r="227" spans="1:44" s="646" customFormat="1" ht="14.4" x14ac:dyDescent="0.3">
      <c r="A227" s="699"/>
      <c r="B227" s="698" t="s">
        <v>21</v>
      </c>
      <c r="C227" s="982" t="s">
        <v>1764</v>
      </c>
      <c r="D227" s="982"/>
      <c r="E227" s="982"/>
      <c r="F227" s="700"/>
      <c r="G227" s="701"/>
      <c r="H227" s="701"/>
      <c r="I227" s="701"/>
      <c r="J227" s="706">
        <v>13775.43</v>
      </c>
      <c r="K227" s="704">
        <v>1.1499999999999999</v>
      </c>
      <c r="L227" s="706">
        <v>8142.66</v>
      </c>
      <c r="M227" s="704">
        <v>13.24</v>
      </c>
      <c r="N227" s="705">
        <v>107808.82</v>
      </c>
      <c r="AF227" s="684"/>
      <c r="AG227" s="693"/>
      <c r="AJ227" s="696" t="s">
        <v>1764</v>
      </c>
      <c r="AM227" s="693"/>
      <c r="AP227" s="693"/>
      <c r="AR227" s="693"/>
    </row>
    <row r="228" spans="1:44" s="646" customFormat="1" ht="14.4" x14ac:dyDescent="0.3">
      <c r="A228" s="699"/>
      <c r="B228" s="698" t="s">
        <v>23</v>
      </c>
      <c r="C228" s="982" t="s">
        <v>1765</v>
      </c>
      <c r="D228" s="982"/>
      <c r="E228" s="982"/>
      <c r="F228" s="700"/>
      <c r="G228" s="701"/>
      <c r="H228" s="701"/>
      <c r="I228" s="701"/>
      <c r="J228" s="702">
        <v>462.96</v>
      </c>
      <c r="K228" s="704">
        <v>1.1499999999999999</v>
      </c>
      <c r="L228" s="702">
        <v>273.66000000000003</v>
      </c>
      <c r="M228" s="704">
        <v>44.77</v>
      </c>
      <c r="N228" s="705">
        <v>12251.76</v>
      </c>
      <c r="AF228" s="684"/>
      <c r="AG228" s="693"/>
      <c r="AJ228" s="696" t="s">
        <v>1765</v>
      </c>
      <c r="AM228" s="693"/>
      <c r="AP228" s="693"/>
      <c r="AR228" s="693"/>
    </row>
    <row r="229" spans="1:44" s="646" customFormat="1" ht="14.4" x14ac:dyDescent="0.3">
      <c r="A229" s="708"/>
      <c r="B229" s="698"/>
      <c r="C229" s="982" t="s">
        <v>1767</v>
      </c>
      <c r="D229" s="982"/>
      <c r="E229" s="982"/>
      <c r="F229" s="700" t="s">
        <v>695</v>
      </c>
      <c r="G229" s="704">
        <v>72.52</v>
      </c>
      <c r="H229" s="704">
        <v>1.1499999999999999</v>
      </c>
      <c r="I229" s="723">
        <v>42.866571999999998</v>
      </c>
      <c r="J229" s="711"/>
      <c r="K229" s="701"/>
      <c r="L229" s="711"/>
      <c r="M229" s="701"/>
      <c r="N229" s="712"/>
      <c r="AF229" s="684"/>
      <c r="AG229" s="693"/>
      <c r="AK229" s="696" t="s">
        <v>1767</v>
      </c>
      <c r="AM229" s="693"/>
      <c r="AP229" s="693"/>
      <c r="AR229" s="693"/>
    </row>
    <row r="230" spans="1:44" s="646" customFormat="1" ht="14.4" x14ac:dyDescent="0.3">
      <c r="A230" s="708"/>
      <c r="B230" s="698"/>
      <c r="C230" s="982" t="s">
        <v>1768</v>
      </c>
      <c r="D230" s="982"/>
      <c r="E230" s="982"/>
      <c r="F230" s="700" t="s">
        <v>695</v>
      </c>
      <c r="G230" s="709">
        <v>31.4</v>
      </c>
      <c r="H230" s="704">
        <v>1.1499999999999999</v>
      </c>
      <c r="I230" s="713">
        <v>18.56054</v>
      </c>
      <c r="J230" s="711"/>
      <c r="K230" s="701"/>
      <c r="L230" s="711"/>
      <c r="M230" s="701"/>
      <c r="N230" s="712"/>
      <c r="AF230" s="684"/>
      <c r="AG230" s="693"/>
      <c r="AK230" s="696" t="s">
        <v>1768</v>
      </c>
      <c r="AM230" s="693"/>
      <c r="AP230" s="693"/>
      <c r="AR230" s="693"/>
    </row>
    <row r="231" spans="1:44" s="646" customFormat="1" ht="14.4" x14ac:dyDescent="0.3">
      <c r="A231" s="699"/>
      <c r="B231" s="698"/>
      <c r="C231" s="986" t="s">
        <v>1769</v>
      </c>
      <c r="D231" s="986"/>
      <c r="E231" s="986"/>
      <c r="F231" s="714"/>
      <c r="G231" s="715"/>
      <c r="H231" s="715"/>
      <c r="I231" s="715"/>
      <c r="J231" s="716">
        <v>14433.19</v>
      </c>
      <c r="K231" s="715"/>
      <c r="L231" s="716">
        <v>8531.4599999999991</v>
      </c>
      <c r="M231" s="715"/>
      <c r="N231" s="717">
        <v>125215.4</v>
      </c>
      <c r="AF231" s="684"/>
      <c r="AG231" s="693"/>
      <c r="AL231" s="696" t="s">
        <v>1769</v>
      </c>
      <c r="AM231" s="693"/>
      <c r="AP231" s="693"/>
      <c r="AR231" s="693"/>
    </row>
    <row r="232" spans="1:44" s="646" customFormat="1" ht="14.4" x14ac:dyDescent="0.3">
      <c r="A232" s="708"/>
      <c r="B232" s="698"/>
      <c r="C232" s="982" t="s">
        <v>1770</v>
      </c>
      <c r="D232" s="982"/>
      <c r="E232" s="982"/>
      <c r="F232" s="700"/>
      <c r="G232" s="701"/>
      <c r="H232" s="701"/>
      <c r="I232" s="701"/>
      <c r="J232" s="711"/>
      <c r="K232" s="701"/>
      <c r="L232" s="702">
        <v>662.46</v>
      </c>
      <c r="M232" s="701"/>
      <c r="N232" s="705">
        <v>29658.34</v>
      </c>
      <c r="AF232" s="684"/>
      <c r="AG232" s="693"/>
      <c r="AK232" s="696" t="s">
        <v>1770</v>
      </c>
      <c r="AM232" s="693"/>
      <c r="AP232" s="693"/>
      <c r="AR232" s="693"/>
    </row>
    <row r="233" spans="1:44" s="646" customFormat="1" ht="20.399999999999999" x14ac:dyDescent="0.3">
      <c r="A233" s="708"/>
      <c r="B233" s="698" t="s">
        <v>1847</v>
      </c>
      <c r="C233" s="982" t="s">
        <v>1848</v>
      </c>
      <c r="D233" s="982"/>
      <c r="E233" s="982"/>
      <c r="F233" s="700" t="s">
        <v>1773</v>
      </c>
      <c r="G233" s="718">
        <v>109</v>
      </c>
      <c r="H233" s="701"/>
      <c r="I233" s="718">
        <v>109</v>
      </c>
      <c r="J233" s="711"/>
      <c r="K233" s="701"/>
      <c r="L233" s="702">
        <v>722.08</v>
      </c>
      <c r="M233" s="701"/>
      <c r="N233" s="705">
        <v>32327.59</v>
      </c>
      <c r="AF233" s="684"/>
      <c r="AG233" s="693"/>
      <c r="AK233" s="696" t="s">
        <v>1848</v>
      </c>
      <c r="AM233" s="693"/>
      <c r="AP233" s="693"/>
      <c r="AR233" s="693"/>
    </row>
    <row r="234" spans="1:44" s="646" customFormat="1" ht="40.799999999999997" x14ac:dyDescent="0.3">
      <c r="A234" s="708"/>
      <c r="B234" s="698" t="s">
        <v>1849</v>
      </c>
      <c r="C234" s="982" t="s">
        <v>1850</v>
      </c>
      <c r="D234" s="982"/>
      <c r="E234" s="982"/>
      <c r="F234" s="700" t="s">
        <v>1773</v>
      </c>
      <c r="G234" s="718">
        <v>65</v>
      </c>
      <c r="H234" s="704">
        <v>0.85</v>
      </c>
      <c r="I234" s="704">
        <v>55.25</v>
      </c>
      <c r="J234" s="711"/>
      <c r="K234" s="701"/>
      <c r="L234" s="702">
        <v>366.01</v>
      </c>
      <c r="M234" s="701"/>
      <c r="N234" s="705">
        <v>16386.23</v>
      </c>
      <c r="AF234" s="684"/>
      <c r="AG234" s="693"/>
      <c r="AK234" s="696" t="s">
        <v>1850</v>
      </c>
      <c r="AM234" s="693"/>
      <c r="AP234" s="693"/>
      <c r="AR234" s="693"/>
    </row>
    <row r="235" spans="1:44" s="646" customFormat="1" ht="14.4" x14ac:dyDescent="0.3">
      <c r="A235" s="719"/>
      <c r="B235" s="720"/>
      <c r="C235" s="985" t="s">
        <v>1776</v>
      </c>
      <c r="D235" s="985"/>
      <c r="E235" s="985"/>
      <c r="F235" s="687"/>
      <c r="G235" s="688"/>
      <c r="H235" s="688"/>
      <c r="I235" s="688"/>
      <c r="J235" s="691"/>
      <c r="K235" s="688"/>
      <c r="L235" s="721">
        <v>9619.5499999999993</v>
      </c>
      <c r="M235" s="715"/>
      <c r="N235" s="722">
        <v>173929.22</v>
      </c>
      <c r="AF235" s="684"/>
      <c r="AG235" s="693"/>
      <c r="AM235" s="693" t="s">
        <v>1776</v>
      </c>
      <c r="AP235" s="693"/>
      <c r="AR235" s="693"/>
    </row>
    <row r="236" spans="1:44" s="646" customFormat="1" ht="31.8" x14ac:dyDescent="0.3">
      <c r="A236" s="685" t="s">
        <v>22</v>
      </c>
      <c r="B236" s="686" t="s">
        <v>1858</v>
      </c>
      <c r="C236" s="985" t="s">
        <v>1859</v>
      </c>
      <c r="D236" s="985"/>
      <c r="E236" s="985"/>
      <c r="F236" s="687" t="s">
        <v>1856</v>
      </c>
      <c r="G236" s="688">
        <v>0.29499999999999998</v>
      </c>
      <c r="H236" s="689">
        <v>1</v>
      </c>
      <c r="I236" s="690">
        <v>0.29499999999999998</v>
      </c>
      <c r="J236" s="691"/>
      <c r="K236" s="688"/>
      <c r="L236" s="691"/>
      <c r="M236" s="688"/>
      <c r="N236" s="692"/>
      <c r="AF236" s="684"/>
      <c r="AG236" s="693" t="s">
        <v>1859</v>
      </c>
      <c r="AM236" s="693"/>
      <c r="AP236" s="693"/>
      <c r="AR236" s="693"/>
    </row>
    <row r="237" spans="1:44" s="646" customFormat="1" ht="14.4" x14ac:dyDescent="0.3">
      <c r="A237" s="694"/>
      <c r="B237" s="695"/>
      <c r="C237" s="982" t="s">
        <v>1860</v>
      </c>
      <c r="D237" s="982"/>
      <c r="E237" s="982"/>
      <c r="F237" s="982"/>
      <c r="G237" s="982"/>
      <c r="H237" s="982"/>
      <c r="I237" s="982"/>
      <c r="J237" s="982"/>
      <c r="K237" s="982"/>
      <c r="L237" s="982"/>
      <c r="M237" s="982"/>
      <c r="N237" s="988"/>
      <c r="AF237" s="684"/>
      <c r="AG237" s="693"/>
      <c r="AH237" s="696" t="s">
        <v>1860</v>
      </c>
      <c r="AM237" s="693"/>
      <c r="AP237" s="693"/>
      <c r="AR237" s="693"/>
    </row>
    <row r="238" spans="1:44" s="646" customFormat="1" ht="52.2" x14ac:dyDescent="0.3">
      <c r="A238" s="697"/>
      <c r="B238" s="698" t="s">
        <v>1761</v>
      </c>
      <c r="C238" s="974" t="s">
        <v>1762</v>
      </c>
      <c r="D238" s="974"/>
      <c r="E238" s="974"/>
      <c r="F238" s="974"/>
      <c r="G238" s="974"/>
      <c r="H238" s="974"/>
      <c r="I238" s="974"/>
      <c r="J238" s="974"/>
      <c r="K238" s="974"/>
      <c r="L238" s="974"/>
      <c r="M238" s="974"/>
      <c r="N238" s="987"/>
      <c r="AF238" s="684"/>
      <c r="AG238" s="693"/>
      <c r="AI238" s="696" t="s">
        <v>1762</v>
      </c>
      <c r="AM238" s="693"/>
      <c r="AP238" s="693"/>
      <c r="AR238" s="693"/>
    </row>
    <row r="239" spans="1:44" s="646" customFormat="1" ht="14.4" x14ac:dyDescent="0.3">
      <c r="A239" s="699"/>
      <c r="B239" s="698" t="s">
        <v>18</v>
      </c>
      <c r="C239" s="982" t="s">
        <v>1763</v>
      </c>
      <c r="D239" s="982"/>
      <c r="E239" s="982"/>
      <c r="F239" s="700"/>
      <c r="G239" s="701"/>
      <c r="H239" s="701"/>
      <c r="I239" s="701"/>
      <c r="J239" s="706">
        <v>12277.2</v>
      </c>
      <c r="K239" s="704">
        <v>1.1499999999999999</v>
      </c>
      <c r="L239" s="706">
        <v>4165.04</v>
      </c>
      <c r="M239" s="704">
        <v>44.77</v>
      </c>
      <c r="N239" s="705">
        <v>186468.84</v>
      </c>
      <c r="AF239" s="684"/>
      <c r="AG239" s="693"/>
      <c r="AJ239" s="696" t="s">
        <v>1763</v>
      </c>
      <c r="AM239" s="693"/>
      <c r="AP239" s="693"/>
      <c r="AR239" s="693"/>
    </row>
    <row r="240" spans="1:44" s="646" customFormat="1" ht="14.4" x14ac:dyDescent="0.3">
      <c r="A240" s="699"/>
      <c r="B240" s="698" t="s">
        <v>21</v>
      </c>
      <c r="C240" s="982" t="s">
        <v>1764</v>
      </c>
      <c r="D240" s="982"/>
      <c r="E240" s="982"/>
      <c r="F240" s="700"/>
      <c r="G240" s="701"/>
      <c r="H240" s="701"/>
      <c r="I240" s="701"/>
      <c r="J240" s="706">
        <v>4629.76</v>
      </c>
      <c r="K240" s="704">
        <v>1.1499999999999999</v>
      </c>
      <c r="L240" s="706">
        <v>1570.65</v>
      </c>
      <c r="M240" s="704">
        <v>13.24</v>
      </c>
      <c r="N240" s="705">
        <v>20795.41</v>
      </c>
      <c r="AF240" s="684"/>
      <c r="AG240" s="693"/>
      <c r="AJ240" s="696" t="s">
        <v>1764</v>
      </c>
      <c r="AM240" s="693"/>
      <c r="AP240" s="693"/>
      <c r="AR240" s="693"/>
    </row>
    <row r="241" spans="1:44" s="646" customFormat="1" ht="14.4" x14ac:dyDescent="0.3">
      <c r="A241" s="699"/>
      <c r="B241" s="698" t="s">
        <v>23</v>
      </c>
      <c r="C241" s="982" t="s">
        <v>1765</v>
      </c>
      <c r="D241" s="982"/>
      <c r="E241" s="982"/>
      <c r="F241" s="700"/>
      <c r="G241" s="701"/>
      <c r="H241" s="701"/>
      <c r="I241" s="701"/>
      <c r="J241" s="702">
        <v>552.20000000000005</v>
      </c>
      <c r="K241" s="704">
        <v>1.1499999999999999</v>
      </c>
      <c r="L241" s="702">
        <v>187.33</v>
      </c>
      <c r="M241" s="704">
        <v>44.77</v>
      </c>
      <c r="N241" s="705">
        <v>8386.76</v>
      </c>
      <c r="AF241" s="684"/>
      <c r="AG241" s="693"/>
      <c r="AJ241" s="696" t="s">
        <v>1765</v>
      </c>
      <c r="AM241" s="693"/>
      <c r="AP241" s="693"/>
      <c r="AR241" s="693"/>
    </row>
    <row r="242" spans="1:44" s="646" customFormat="1" ht="14.4" x14ac:dyDescent="0.3">
      <c r="A242" s="708"/>
      <c r="B242" s="698"/>
      <c r="C242" s="982" t="s">
        <v>1767</v>
      </c>
      <c r="D242" s="982"/>
      <c r="E242" s="982"/>
      <c r="F242" s="700" t="s">
        <v>695</v>
      </c>
      <c r="G242" s="718">
        <v>1560</v>
      </c>
      <c r="H242" s="704">
        <v>1.1499999999999999</v>
      </c>
      <c r="I242" s="704">
        <v>529.23</v>
      </c>
      <c r="J242" s="711"/>
      <c r="K242" s="701"/>
      <c r="L242" s="711"/>
      <c r="M242" s="701"/>
      <c r="N242" s="712"/>
      <c r="AF242" s="684"/>
      <c r="AG242" s="693"/>
      <c r="AK242" s="696" t="s">
        <v>1767</v>
      </c>
      <c r="AM242" s="693"/>
      <c r="AP242" s="693"/>
      <c r="AR242" s="693"/>
    </row>
    <row r="243" spans="1:44" s="646" customFormat="1" ht="14.4" x14ac:dyDescent="0.3">
      <c r="A243" s="708"/>
      <c r="B243" s="698"/>
      <c r="C243" s="982" t="s">
        <v>1768</v>
      </c>
      <c r="D243" s="982"/>
      <c r="E243" s="982"/>
      <c r="F243" s="700" t="s">
        <v>695</v>
      </c>
      <c r="G243" s="718">
        <v>44</v>
      </c>
      <c r="H243" s="704">
        <v>1.1499999999999999</v>
      </c>
      <c r="I243" s="703">
        <v>14.927</v>
      </c>
      <c r="J243" s="711"/>
      <c r="K243" s="701"/>
      <c r="L243" s="711"/>
      <c r="M243" s="701"/>
      <c r="N243" s="712"/>
      <c r="AF243" s="684"/>
      <c r="AG243" s="693"/>
      <c r="AK243" s="696" t="s">
        <v>1768</v>
      </c>
      <c r="AM243" s="693"/>
      <c r="AP243" s="693"/>
      <c r="AR243" s="693"/>
    </row>
    <row r="244" spans="1:44" s="646" customFormat="1" ht="14.4" x14ac:dyDescent="0.3">
      <c r="A244" s="699"/>
      <c r="B244" s="698"/>
      <c r="C244" s="986" t="s">
        <v>1769</v>
      </c>
      <c r="D244" s="986"/>
      <c r="E244" s="986"/>
      <c r="F244" s="714"/>
      <c r="G244" s="715"/>
      <c r="H244" s="715"/>
      <c r="I244" s="715"/>
      <c r="J244" s="716">
        <v>16906.96</v>
      </c>
      <c r="K244" s="715"/>
      <c r="L244" s="716">
        <v>5735.69</v>
      </c>
      <c r="M244" s="715"/>
      <c r="N244" s="717">
        <v>207264.25</v>
      </c>
      <c r="AF244" s="684"/>
      <c r="AG244" s="693"/>
      <c r="AL244" s="696" t="s">
        <v>1769</v>
      </c>
      <c r="AM244" s="693"/>
      <c r="AP244" s="693"/>
      <c r="AR244" s="693"/>
    </row>
    <row r="245" spans="1:44" s="646" customFormat="1" ht="14.4" x14ac:dyDescent="0.3">
      <c r="A245" s="708"/>
      <c r="B245" s="698"/>
      <c r="C245" s="982" t="s">
        <v>1770</v>
      </c>
      <c r="D245" s="982"/>
      <c r="E245" s="982"/>
      <c r="F245" s="700"/>
      <c r="G245" s="701"/>
      <c r="H245" s="701"/>
      <c r="I245" s="701"/>
      <c r="J245" s="711"/>
      <c r="K245" s="701"/>
      <c r="L245" s="706">
        <v>4352.37</v>
      </c>
      <c r="M245" s="701"/>
      <c r="N245" s="705">
        <v>194855.6</v>
      </c>
      <c r="AF245" s="684"/>
      <c r="AG245" s="693"/>
      <c r="AK245" s="696" t="s">
        <v>1770</v>
      </c>
      <c r="AM245" s="693"/>
      <c r="AP245" s="693"/>
      <c r="AR245" s="693"/>
    </row>
    <row r="246" spans="1:44" s="646" customFormat="1" ht="20.399999999999999" x14ac:dyDescent="0.3">
      <c r="A246" s="708"/>
      <c r="B246" s="698" t="s">
        <v>1847</v>
      </c>
      <c r="C246" s="982" t="s">
        <v>1848</v>
      </c>
      <c r="D246" s="982"/>
      <c r="E246" s="982"/>
      <c r="F246" s="700" t="s">
        <v>1773</v>
      </c>
      <c r="G246" s="718">
        <v>109</v>
      </c>
      <c r="H246" s="701"/>
      <c r="I246" s="718">
        <v>109</v>
      </c>
      <c r="J246" s="711"/>
      <c r="K246" s="701"/>
      <c r="L246" s="706">
        <v>4744.08</v>
      </c>
      <c r="M246" s="701"/>
      <c r="N246" s="705">
        <v>212392.6</v>
      </c>
      <c r="AF246" s="684"/>
      <c r="AG246" s="693"/>
      <c r="AK246" s="696" t="s">
        <v>1848</v>
      </c>
      <c r="AM246" s="693"/>
      <c r="AP246" s="693"/>
      <c r="AR246" s="693"/>
    </row>
    <row r="247" spans="1:44" s="646" customFormat="1" ht="40.799999999999997" x14ac:dyDescent="0.3">
      <c r="A247" s="708"/>
      <c r="B247" s="698" t="s">
        <v>1849</v>
      </c>
      <c r="C247" s="982" t="s">
        <v>1850</v>
      </c>
      <c r="D247" s="982"/>
      <c r="E247" s="982"/>
      <c r="F247" s="700" t="s">
        <v>1773</v>
      </c>
      <c r="G247" s="718">
        <v>65</v>
      </c>
      <c r="H247" s="704">
        <v>0.85</v>
      </c>
      <c r="I247" s="704">
        <v>55.25</v>
      </c>
      <c r="J247" s="711"/>
      <c r="K247" s="701"/>
      <c r="L247" s="706">
        <v>2404.6799999999998</v>
      </c>
      <c r="M247" s="701"/>
      <c r="N247" s="705">
        <v>107657.72</v>
      </c>
      <c r="AF247" s="684"/>
      <c r="AG247" s="693"/>
      <c r="AK247" s="696" t="s">
        <v>1850</v>
      </c>
      <c r="AM247" s="693"/>
      <c r="AP247" s="693"/>
      <c r="AR247" s="693"/>
    </row>
    <row r="248" spans="1:44" s="646" customFormat="1" ht="14.4" x14ac:dyDescent="0.3">
      <c r="A248" s="719"/>
      <c r="B248" s="720"/>
      <c r="C248" s="985" t="s">
        <v>1776</v>
      </c>
      <c r="D248" s="985"/>
      <c r="E248" s="985"/>
      <c r="F248" s="687"/>
      <c r="G248" s="688"/>
      <c r="H248" s="688"/>
      <c r="I248" s="688"/>
      <c r="J248" s="691"/>
      <c r="K248" s="688"/>
      <c r="L248" s="721">
        <v>12884.45</v>
      </c>
      <c r="M248" s="715"/>
      <c r="N248" s="722">
        <v>527314.56999999995</v>
      </c>
      <c r="AF248" s="684"/>
      <c r="AG248" s="693"/>
      <c r="AM248" s="693" t="s">
        <v>1776</v>
      </c>
      <c r="AP248" s="693"/>
      <c r="AR248" s="693"/>
    </row>
    <row r="249" spans="1:44" s="646" customFormat="1" ht="21.6" x14ac:dyDescent="0.3">
      <c r="A249" s="685" t="s">
        <v>91</v>
      </c>
      <c r="B249" s="686" t="s">
        <v>1861</v>
      </c>
      <c r="C249" s="985" t="s">
        <v>1184</v>
      </c>
      <c r="D249" s="985"/>
      <c r="E249" s="985"/>
      <c r="F249" s="687" t="s">
        <v>1790</v>
      </c>
      <c r="G249" s="688">
        <v>163.95</v>
      </c>
      <c r="H249" s="689">
        <v>1</v>
      </c>
      <c r="I249" s="727">
        <v>163.95</v>
      </c>
      <c r="J249" s="726">
        <v>8.39</v>
      </c>
      <c r="K249" s="688"/>
      <c r="L249" s="721">
        <v>1375.54</v>
      </c>
      <c r="M249" s="727">
        <v>13.24</v>
      </c>
      <c r="N249" s="722">
        <v>18212.150000000001</v>
      </c>
      <c r="AF249" s="684"/>
      <c r="AG249" s="693" t="s">
        <v>1184</v>
      </c>
      <c r="AM249" s="693"/>
      <c r="AP249" s="693"/>
      <c r="AR249" s="693"/>
    </row>
    <row r="250" spans="1:44" s="646" customFormat="1" ht="14.4" x14ac:dyDescent="0.3">
      <c r="A250" s="719"/>
      <c r="B250" s="720"/>
      <c r="C250" s="982" t="s">
        <v>1862</v>
      </c>
      <c r="D250" s="982"/>
      <c r="E250" s="982"/>
      <c r="F250" s="982"/>
      <c r="G250" s="982"/>
      <c r="H250" s="982"/>
      <c r="I250" s="982"/>
      <c r="J250" s="982"/>
      <c r="K250" s="982"/>
      <c r="L250" s="982"/>
      <c r="M250" s="982"/>
      <c r="N250" s="988"/>
      <c r="AF250" s="684"/>
      <c r="AG250" s="693"/>
      <c r="AM250" s="693"/>
      <c r="AN250" s="696" t="s">
        <v>1862</v>
      </c>
      <c r="AP250" s="693"/>
      <c r="AR250" s="693"/>
    </row>
    <row r="251" spans="1:44" s="646" customFormat="1" ht="14.4" x14ac:dyDescent="0.3">
      <c r="A251" s="719"/>
      <c r="B251" s="720"/>
      <c r="C251" s="985" t="s">
        <v>1776</v>
      </c>
      <c r="D251" s="985"/>
      <c r="E251" s="985"/>
      <c r="F251" s="687"/>
      <c r="G251" s="688"/>
      <c r="H251" s="688"/>
      <c r="I251" s="688"/>
      <c r="J251" s="691"/>
      <c r="K251" s="688"/>
      <c r="L251" s="721">
        <v>1375.54</v>
      </c>
      <c r="M251" s="715"/>
      <c r="N251" s="722">
        <v>18212.150000000001</v>
      </c>
      <c r="AF251" s="684"/>
      <c r="AG251" s="693"/>
      <c r="AM251" s="693" t="s">
        <v>1776</v>
      </c>
      <c r="AP251" s="693"/>
      <c r="AR251" s="693"/>
    </row>
    <row r="252" spans="1:44" s="646" customFormat="1" ht="31.8" x14ac:dyDescent="0.3">
      <c r="A252" s="685" t="s">
        <v>24</v>
      </c>
      <c r="B252" s="686" t="s">
        <v>1863</v>
      </c>
      <c r="C252" s="985" t="s">
        <v>1185</v>
      </c>
      <c r="D252" s="985"/>
      <c r="E252" s="985"/>
      <c r="F252" s="687" t="s">
        <v>1790</v>
      </c>
      <c r="G252" s="688">
        <v>45.91</v>
      </c>
      <c r="H252" s="689">
        <v>1</v>
      </c>
      <c r="I252" s="727">
        <v>45.91</v>
      </c>
      <c r="J252" s="726">
        <v>22.33</v>
      </c>
      <c r="K252" s="688"/>
      <c r="L252" s="721">
        <v>1025.17</v>
      </c>
      <c r="M252" s="727">
        <v>13.24</v>
      </c>
      <c r="N252" s="722">
        <v>13573.25</v>
      </c>
      <c r="AF252" s="684"/>
      <c r="AG252" s="693" t="s">
        <v>1185</v>
      </c>
      <c r="AM252" s="693"/>
      <c r="AP252" s="693"/>
      <c r="AR252" s="693"/>
    </row>
    <row r="253" spans="1:44" s="646" customFormat="1" ht="14.4" x14ac:dyDescent="0.3">
      <c r="A253" s="719"/>
      <c r="B253" s="720"/>
      <c r="C253" s="982" t="s">
        <v>1862</v>
      </c>
      <c r="D253" s="982"/>
      <c r="E253" s="982"/>
      <c r="F253" s="982"/>
      <c r="G253" s="982"/>
      <c r="H253" s="982"/>
      <c r="I253" s="982"/>
      <c r="J253" s="982"/>
      <c r="K253" s="982"/>
      <c r="L253" s="982"/>
      <c r="M253" s="982"/>
      <c r="N253" s="988"/>
      <c r="AF253" s="684"/>
      <c r="AG253" s="693"/>
      <c r="AM253" s="693"/>
      <c r="AN253" s="696" t="s">
        <v>1862</v>
      </c>
      <c r="AP253" s="693"/>
      <c r="AR253" s="693"/>
    </row>
    <row r="254" spans="1:44" s="646" customFormat="1" ht="14.4" x14ac:dyDescent="0.3">
      <c r="A254" s="719"/>
      <c r="B254" s="720"/>
      <c r="C254" s="985" t="s">
        <v>1776</v>
      </c>
      <c r="D254" s="985"/>
      <c r="E254" s="985"/>
      <c r="F254" s="687"/>
      <c r="G254" s="688"/>
      <c r="H254" s="688"/>
      <c r="I254" s="688"/>
      <c r="J254" s="691"/>
      <c r="K254" s="688"/>
      <c r="L254" s="721">
        <v>1025.17</v>
      </c>
      <c r="M254" s="715"/>
      <c r="N254" s="722">
        <v>13573.25</v>
      </c>
      <c r="AF254" s="684"/>
      <c r="AG254" s="693"/>
      <c r="AM254" s="693" t="s">
        <v>1776</v>
      </c>
      <c r="AP254" s="693"/>
      <c r="AR254" s="693"/>
    </row>
    <row r="255" spans="1:44" s="646" customFormat="1" ht="31.8" x14ac:dyDescent="0.3">
      <c r="A255" s="685" t="s">
        <v>102</v>
      </c>
      <c r="B255" s="686" t="s">
        <v>1864</v>
      </c>
      <c r="C255" s="985" t="s">
        <v>1187</v>
      </c>
      <c r="D255" s="985"/>
      <c r="E255" s="985"/>
      <c r="F255" s="687" t="s">
        <v>1790</v>
      </c>
      <c r="G255" s="688">
        <v>209.86</v>
      </c>
      <c r="H255" s="689">
        <v>1</v>
      </c>
      <c r="I255" s="727">
        <v>209.86</v>
      </c>
      <c r="J255" s="726">
        <v>3.86</v>
      </c>
      <c r="K255" s="688"/>
      <c r="L255" s="726">
        <v>810.06</v>
      </c>
      <c r="M255" s="727">
        <v>13.62</v>
      </c>
      <c r="N255" s="722">
        <v>11033.02</v>
      </c>
      <c r="AF255" s="684"/>
      <c r="AG255" s="693" t="s">
        <v>1187</v>
      </c>
      <c r="AM255" s="693"/>
      <c r="AP255" s="693"/>
      <c r="AR255" s="693"/>
    </row>
    <row r="256" spans="1:44" s="646" customFormat="1" ht="14.4" x14ac:dyDescent="0.3">
      <c r="A256" s="694"/>
      <c r="B256" s="695"/>
      <c r="C256" s="982" t="s">
        <v>1865</v>
      </c>
      <c r="D256" s="982"/>
      <c r="E256" s="982"/>
      <c r="F256" s="982"/>
      <c r="G256" s="982"/>
      <c r="H256" s="982"/>
      <c r="I256" s="982"/>
      <c r="J256" s="982"/>
      <c r="K256" s="982"/>
      <c r="L256" s="982"/>
      <c r="M256" s="982"/>
      <c r="N256" s="988"/>
      <c r="AF256" s="684"/>
      <c r="AG256" s="693"/>
      <c r="AH256" s="696" t="s">
        <v>1865</v>
      </c>
      <c r="AM256" s="693"/>
      <c r="AP256" s="693"/>
      <c r="AR256" s="693"/>
    </row>
    <row r="257" spans="1:44" s="646" customFormat="1" ht="14.4" x14ac:dyDescent="0.3">
      <c r="A257" s="719"/>
      <c r="B257" s="720"/>
      <c r="C257" s="985" t="s">
        <v>1776</v>
      </c>
      <c r="D257" s="985"/>
      <c r="E257" s="985"/>
      <c r="F257" s="687"/>
      <c r="G257" s="688"/>
      <c r="H257" s="688"/>
      <c r="I257" s="688"/>
      <c r="J257" s="691"/>
      <c r="K257" s="688"/>
      <c r="L257" s="726">
        <v>810.06</v>
      </c>
      <c r="M257" s="715"/>
      <c r="N257" s="722">
        <v>11033.02</v>
      </c>
      <c r="AF257" s="684"/>
      <c r="AG257" s="693"/>
      <c r="AM257" s="693" t="s">
        <v>1776</v>
      </c>
      <c r="AP257" s="693"/>
      <c r="AR257" s="693"/>
    </row>
    <row r="258" spans="1:44" s="646" customFormat="1" ht="31.8" x14ac:dyDescent="0.3">
      <c r="A258" s="685" t="s">
        <v>107</v>
      </c>
      <c r="B258" s="686" t="s">
        <v>1866</v>
      </c>
      <c r="C258" s="985" t="s">
        <v>1188</v>
      </c>
      <c r="D258" s="985"/>
      <c r="E258" s="985"/>
      <c r="F258" s="687" t="s">
        <v>1790</v>
      </c>
      <c r="G258" s="688">
        <v>45.91</v>
      </c>
      <c r="H258" s="689">
        <v>1</v>
      </c>
      <c r="I258" s="727">
        <v>45.91</v>
      </c>
      <c r="J258" s="726">
        <v>22.33</v>
      </c>
      <c r="K258" s="688"/>
      <c r="L258" s="721">
        <v>1025.17</v>
      </c>
      <c r="M258" s="727">
        <v>13.24</v>
      </c>
      <c r="N258" s="722">
        <v>13573.25</v>
      </c>
      <c r="AF258" s="684"/>
      <c r="AG258" s="693" t="s">
        <v>1188</v>
      </c>
      <c r="AM258" s="693"/>
      <c r="AP258" s="693"/>
      <c r="AR258" s="693"/>
    </row>
    <row r="259" spans="1:44" s="646" customFormat="1" ht="14.4" x14ac:dyDescent="0.3">
      <c r="A259" s="719"/>
      <c r="B259" s="720"/>
      <c r="C259" s="982" t="s">
        <v>1862</v>
      </c>
      <c r="D259" s="982"/>
      <c r="E259" s="982"/>
      <c r="F259" s="982"/>
      <c r="G259" s="982"/>
      <c r="H259" s="982"/>
      <c r="I259" s="982"/>
      <c r="J259" s="982"/>
      <c r="K259" s="982"/>
      <c r="L259" s="982"/>
      <c r="M259" s="982"/>
      <c r="N259" s="988"/>
      <c r="AF259" s="684"/>
      <c r="AG259" s="693"/>
      <c r="AM259" s="693"/>
      <c r="AN259" s="696" t="s">
        <v>1862</v>
      </c>
      <c r="AP259" s="693"/>
      <c r="AR259" s="693"/>
    </row>
    <row r="260" spans="1:44" s="646" customFormat="1" ht="14.4" x14ac:dyDescent="0.3">
      <c r="A260" s="719"/>
      <c r="B260" s="720"/>
      <c r="C260" s="985" t="s">
        <v>1776</v>
      </c>
      <c r="D260" s="985"/>
      <c r="E260" s="985"/>
      <c r="F260" s="687"/>
      <c r="G260" s="688"/>
      <c r="H260" s="688"/>
      <c r="I260" s="688"/>
      <c r="J260" s="691"/>
      <c r="K260" s="688"/>
      <c r="L260" s="721">
        <v>1025.17</v>
      </c>
      <c r="M260" s="715"/>
      <c r="N260" s="722">
        <v>13573.25</v>
      </c>
      <c r="AF260" s="684"/>
      <c r="AG260" s="693"/>
      <c r="AM260" s="693" t="s">
        <v>1776</v>
      </c>
      <c r="AP260" s="693"/>
      <c r="AR260" s="693"/>
    </row>
    <row r="261" spans="1:44" s="646" customFormat="1" ht="21.6" x14ac:dyDescent="0.3">
      <c r="A261" s="685" t="s">
        <v>109</v>
      </c>
      <c r="B261" s="686" t="s">
        <v>1867</v>
      </c>
      <c r="C261" s="985" t="s">
        <v>1190</v>
      </c>
      <c r="D261" s="985"/>
      <c r="E261" s="985"/>
      <c r="F261" s="687" t="s">
        <v>1790</v>
      </c>
      <c r="G261" s="688">
        <v>163.95</v>
      </c>
      <c r="H261" s="689">
        <v>1</v>
      </c>
      <c r="I261" s="727">
        <v>163.95</v>
      </c>
      <c r="J261" s="726">
        <v>8.39</v>
      </c>
      <c r="K261" s="688"/>
      <c r="L261" s="721">
        <v>1375.54</v>
      </c>
      <c r="M261" s="727">
        <v>13.24</v>
      </c>
      <c r="N261" s="722">
        <v>18212.150000000001</v>
      </c>
      <c r="AF261" s="684"/>
      <c r="AG261" s="693" t="s">
        <v>1190</v>
      </c>
      <c r="AM261" s="693"/>
      <c r="AP261" s="693"/>
      <c r="AR261" s="693"/>
    </row>
    <row r="262" spans="1:44" s="646" customFormat="1" ht="14.4" x14ac:dyDescent="0.3">
      <c r="A262" s="719"/>
      <c r="B262" s="720"/>
      <c r="C262" s="982" t="s">
        <v>1862</v>
      </c>
      <c r="D262" s="982"/>
      <c r="E262" s="982"/>
      <c r="F262" s="982"/>
      <c r="G262" s="982"/>
      <c r="H262" s="982"/>
      <c r="I262" s="982"/>
      <c r="J262" s="982"/>
      <c r="K262" s="982"/>
      <c r="L262" s="982"/>
      <c r="M262" s="982"/>
      <c r="N262" s="988"/>
      <c r="AF262" s="684"/>
      <c r="AG262" s="693"/>
      <c r="AM262" s="693"/>
      <c r="AN262" s="696" t="s">
        <v>1862</v>
      </c>
      <c r="AP262" s="693"/>
      <c r="AR262" s="693"/>
    </row>
    <row r="263" spans="1:44" s="646" customFormat="1" ht="14.4" x14ac:dyDescent="0.3">
      <c r="A263" s="719"/>
      <c r="B263" s="720"/>
      <c r="C263" s="985" t="s">
        <v>1776</v>
      </c>
      <c r="D263" s="985"/>
      <c r="E263" s="985"/>
      <c r="F263" s="687"/>
      <c r="G263" s="688"/>
      <c r="H263" s="688"/>
      <c r="I263" s="688"/>
      <c r="J263" s="691"/>
      <c r="K263" s="688"/>
      <c r="L263" s="721">
        <v>1375.54</v>
      </c>
      <c r="M263" s="715"/>
      <c r="N263" s="722">
        <v>18212.150000000001</v>
      </c>
      <c r="AF263" s="684"/>
      <c r="AG263" s="693"/>
      <c r="AM263" s="693" t="s">
        <v>1776</v>
      </c>
      <c r="AP263" s="693"/>
      <c r="AR263" s="693"/>
    </row>
    <row r="264" spans="1:44" s="646" customFormat="1" ht="31.8" x14ac:dyDescent="0.3">
      <c r="A264" s="685" t="s">
        <v>110</v>
      </c>
      <c r="B264" s="686" t="s">
        <v>1868</v>
      </c>
      <c r="C264" s="985" t="s">
        <v>1191</v>
      </c>
      <c r="D264" s="985"/>
      <c r="E264" s="985"/>
      <c r="F264" s="687" t="s">
        <v>1790</v>
      </c>
      <c r="G264" s="688">
        <v>255.36</v>
      </c>
      <c r="H264" s="689">
        <v>1</v>
      </c>
      <c r="I264" s="727">
        <v>255.36</v>
      </c>
      <c r="J264" s="726">
        <v>17.95</v>
      </c>
      <c r="K264" s="688"/>
      <c r="L264" s="721">
        <v>4583.71</v>
      </c>
      <c r="M264" s="727">
        <v>13.24</v>
      </c>
      <c r="N264" s="722">
        <v>60688.32</v>
      </c>
      <c r="AF264" s="684"/>
      <c r="AG264" s="693" t="s">
        <v>1191</v>
      </c>
      <c r="AM264" s="693"/>
      <c r="AP264" s="693"/>
      <c r="AR264" s="693"/>
    </row>
    <row r="265" spans="1:44" s="646" customFormat="1" ht="14.4" x14ac:dyDescent="0.3">
      <c r="A265" s="719"/>
      <c r="B265" s="720"/>
      <c r="C265" s="982" t="s">
        <v>1862</v>
      </c>
      <c r="D265" s="982"/>
      <c r="E265" s="982"/>
      <c r="F265" s="982"/>
      <c r="G265" s="982"/>
      <c r="H265" s="982"/>
      <c r="I265" s="982"/>
      <c r="J265" s="982"/>
      <c r="K265" s="982"/>
      <c r="L265" s="982"/>
      <c r="M265" s="982"/>
      <c r="N265" s="988"/>
      <c r="AF265" s="684"/>
      <c r="AG265" s="693"/>
      <c r="AM265" s="693"/>
      <c r="AN265" s="696" t="s">
        <v>1862</v>
      </c>
      <c r="AP265" s="693"/>
      <c r="AR265" s="693"/>
    </row>
    <row r="266" spans="1:44" s="646" customFormat="1" ht="14.4" x14ac:dyDescent="0.3">
      <c r="A266" s="719"/>
      <c r="B266" s="720"/>
      <c r="C266" s="985" t="s">
        <v>1776</v>
      </c>
      <c r="D266" s="985"/>
      <c r="E266" s="985"/>
      <c r="F266" s="687"/>
      <c r="G266" s="688"/>
      <c r="H266" s="688"/>
      <c r="I266" s="688"/>
      <c r="J266" s="691"/>
      <c r="K266" s="688"/>
      <c r="L266" s="721">
        <v>4583.71</v>
      </c>
      <c r="M266" s="715"/>
      <c r="N266" s="722">
        <v>60688.32</v>
      </c>
      <c r="AF266" s="684"/>
      <c r="AG266" s="693"/>
      <c r="AM266" s="693" t="s">
        <v>1776</v>
      </c>
      <c r="AP266" s="693"/>
      <c r="AR266" s="693"/>
    </row>
    <row r="267" spans="1:44" s="646" customFormat="1" ht="21.6" x14ac:dyDescent="0.3">
      <c r="A267" s="685" t="s">
        <v>111</v>
      </c>
      <c r="B267" s="686" t="s">
        <v>1869</v>
      </c>
      <c r="C267" s="985" t="s">
        <v>1193</v>
      </c>
      <c r="D267" s="985"/>
      <c r="E267" s="985"/>
      <c r="F267" s="687" t="s">
        <v>1790</v>
      </c>
      <c r="G267" s="688">
        <v>68.17</v>
      </c>
      <c r="H267" s="689">
        <v>1</v>
      </c>
      <c r="I267" s="727">
        <v>68.17</v>
      </c>
      <c r="J267" s="726">
        <v>10.88</v>
      </c>
      <c r="K267" s="688"/>
      <c r="L267" s="726">
        <v>741.69</v>
      </c>
      <c r="M267" s="727">
        <v>13.24</v>
      </c>
      <c r="N267" s="722">
        <v>9819.98</v>
      </c>
      <c r="AF267" s="684"/>
      <c r="AG267" s="693" t="s">
        <v>1193</v>
      </c>
      <c r="AM267" s="693"/>
      <c r="AP267" s="693"/>
      <c r="AR267" s="693"/>
    </row>
    <row r="268" spans="1:44" s="646" customFormat="1" ht="14.4" x14ac:dyDescent="0.3">
      <c r="A268" s="719"/>
      <c r="B268" s="720"/>
      <c r="C268" s="982" t="s">
        <v>1862</v>
      </c>
      <c r="D268" s="982"/>
      <c r="E268" s="982"/>
      <c r="F268" s="982"/>
      <c r="G268" s="982"/>
      <c r="H268" s="982"/>
      <c r="I268" s="982"/>
      <c r="J268" s="982"/>
      <c r="K268" s="982"/>
      <c r="L268" s="982"/>
      <c r="M268" s="982"/>
      <c r="N268" s="988"/>
      <c r="AF268" s="684"/>
      <c r="AG268" s="693"/>
      <c r="AM268" s="693"/>
      <c r="AN268" s="696" t="s">
        <v>1862</v>
      </c>
      <c r="AP268" s="693"/>
      <c r="AR268" s="693"/>
    </row>
    <row r="269" spans="1:44" s="646" customFormat="1" ht="14.4" x14ac:dyDescent="0.3">
      <c r="A269" s="719"/>
      <c r="B269" s="720"/>
      <c r="C269" s="985" t="s">
        <v>1776</v>
      </c>
      <c r="D269" s="985"/>
      <c r="E269" s="985"/>
      <c r="F269" s="687"/>
      <c r="G269" s="688"/>
      <c r="H269" s="688"/>
      <c r="I269" s="688"/>
      <c r="J269" s="691"/>
      <c r="K269" s="688"/>
      <c r="L269" s="726">
        <v>741.69</v>
      </c>
      <c r="M269" s="715"/>
      <c r="N269" s="722">
        <v>9819.98</v>
      </c>
      <c r="AF269" s="684"/>
      <c r="AG269" s="693"/>
      <c r="AM269" s="693" t="s">
        <v>1776</v>
      </c>
      <c r="AP269" s="693"/>
      <c r="AR269" s="693"/>
    </row>
    <row r="270" spans="1:44" s="646" customFormat="1" ht="31.8" x14ac:dyDescent="0.3">
      <c r="A270" s="685" t="s">
        <v>112</v>
      </c>
      <c r="B270" s="686" t="s">
        <v>1870</v>
      </c>
      <c r="C270" s="985" t="s">
        <v>1194</v>
      </c>
      <c r="D270" s="985"/>
      <c r="E270" s="985"/>
      <c r="F270" s="687" t="s">
        <v>1790</v>
      </c>
      <c r="G270" s="688">
        <v>914.13599999999997</v>
      </c>
      <c r="H270" s="689">
        <v>1</v>
      </c>
      <c r="I270" s="690">
        <v>914.13599999999997</v>
      </c>
      <c r="J270" s="726">
        <v>3.28</v>
      </c>
      <c r="K270" s="688"/>
      <c r="L270" s="721">
        <v>2998.37</v>
      </c>
      <c r="M270" s="727">
        <v>13.24</v>
      </c>
      <c r="N270" s="722">
        <v>39698.42</v>
      </c>
      <c r="AF270" s="684"/>
      <c r="AG270" s="693" t="s">
        <v>1194</v>
      </c>
      <c r="AM270" s="693"/>
      <c r="AP270" s="693"/>
      <c r="AR270" s="693"/>
    </row>
    <row r="271" spans="1:44" s="646" customFormat="1" ht="14.4" x14ac:dyDescent="0.3">
      <c r="A271" s="694"/>
      <c r="B271" s="695"/>
      <c r="C271" s="982" t="s">
        <v>1871</v>
      </c>
      <c r="D271" s="982"/>
      <c r="E271" s="982"/>
      <c r="F271" s="982"/>
      <c r="G271" s="982"/>
      <c r="H271" s="982"/>
      <c r="I271" s="982"/>
      <c r="J271" s="982"/>
      <c r="K271" s="982"/>
      <c r="L271" s="982"/>
      <c r="M271" s="982"/>
      <c r="N271" s="988"/>
      <c r="AF271" s="684"/>
      <c r="AG271" s="693"/>
      <c r="AH271" s="696" t="s">
        <v>1871</v>
      </c>
      <c r="AM271" s="693"/>
      <c r="AP271" s="693"/>
      <c r="AR271" s="693"/>
    </row>
    <row r="272" spans="1:44" s="646" customFormat="1" ht="14.4" x14ac:dyDescent="0.3">
      <c r="A272" s="719"/>
      <c r="B272" s="720"/>
      <c r="C272" s="985" t="s">
        <v>1776</v>
      </c>
      <c r="D272" s="985"/>
      <c r="E272" s="985"/>
      <c r="F272" s="687"/>
      <c r="G272" s="688"/>
      <c r="H272" s="688"/>
      <c r="I272" s="688"/>
      <c r="J272" s="691"/>
      <c r="K272" s="688"/>
      <c r="L272" s="721">
        <v>2998.37</v>
      </c>
      <c r="M272" s="715"/>
      <c r="N272" s="722">
        <v>39698.42</v>
      </c>
      <c r="AF272" s="684"/>
      <c r="AG272" s="693"/>
      <c r="AM272" s="693" t="s">
        <v>1776</v>
      </c>
      <c r="AP272" s="693"/>
      <c r="AR272" s="693"/>
    </row>
    <row r="273" spans="1:44" s="646" customFormat="1" ht="31.8" x14ac:dyDescent="0.3">
      <c r="A273" s="685" t="s">
        <v>113</v>
      </c>
      <c r="B273" s="686" t="s">
        <v>1872</v>
      </c>
      <c r="C273" s="985" t="s">
        <v>1195</v>
      </c>
      <c r="D273" s="985"/>
      <c r="E273" s="985"/>
      <c r="F273" s="687" t="s">
        <v>1790</v>
      </c>
      <c r="G273" s="688">
        <v>228.53399999999999</v>
      </c>
      <c r="H273" s="689">
        <v>1</v>
      </c>
      <c r="I273" s="690">
        <v>228.53399999999999</v>
      </c>
      <c r="J273" s="726">
        <v>42.98</v>
      </c>
      <c r="K273" s="688"/>
      <c r="L273" s="721">
        <v>9822.39</v>
      </c>
      <c r="M273" s="727">
        <v>13.24</v>
      </c>
      <c r="N273" s="722">
        <v>130048.44</v>
      </c>
      <c r="AF273" s="684"/>
      <c r="AG273" s="693" t="s">
        <v>1195</v>
      </c>
      <c r="AM273" s="693"/>
      <c r="AP273" s="693"/>
      <c r="AR273" s="693"/>
    </row>
    <row r="274" spans="1:44" s="646" customFormat="1" ht="14.4" x14ac:dyDescent="0.3">
      <c r="A274" s="694"/>
      <c r="B274" s="695"/>
      <c r="C274" s="982" t="s">
        <v>1873</v>
      </c>
      <c r="D274" s="982"/>
      <c r="E274" s="982"/>
      <c r="F274" s="982"/>
      <c r="G274" s="982"/>
      <c r="H274" s="982"/>
      <c r="I274" s="982"/>
      <c r="J274" s="982"/>
      <c r="K274" s="982"/>
      <c r="L274" s="982"/>
      <c r="M274" s="982"/>
      <c r="N274" s="988"/>
      <c r="AF274" s="684"/>
      <c r="AG274" s="693"/>
      <c r="AH274" s="696" t="s">
        <v>1873</v>
      </c>
      <c r="AM274" s="693"/>
      <c r="AP274" s="693"/>
      <c r="AR274" s="693"/>
    </row>
    <row r="275" spans="1:44" s="646" customFormat="1" ht="14.4" x14ac:dyDescent="0.3">
      <c r="A275" s="719"/>
      <c r="B275" s="720"/>
      <c r="C275" s="985" t="s">
        <v>1776</v>
      </c>
      <c r="D275" s="985"/>
      <c r="E275" s="985"/>
      <c r="F275" s="687"/>
      <c r="G275" s="688"/>
      <c r="H275" s="688"/>
      <c r="I275" s="688"/>
      <c r="J275" s="691"/>
      <c r="K275" s="688"/>
      <c r="L275" s="721">
        <v>9822.39</v>
      </c>
      <c r="M275" s="715"/>
      <c r="N275" s="722">
        <v>130048.44</v>
      </c>
      <c r="AF275" s="684"/>
      <c r="AG275" s="693"/>
      <c r="AM275" s="693" t="s">
        <v>1776</v>
      </c>
      <c r="AP275" s="693"/>
      <c r="AR275" s="693"/>
    </row>
    <row r="276" spans="1:44" s="646" customFormat="1" ht="21.6" x14ac:dyDescent="0.3">
      <c r="A276" s="685" t="s">
        <v>114</v>
      </c>
      <c r="B276" s="686" t="s">
        <v>744</v>
      </c>
      <c r="C276" s="985" t="s">
        <v>1792</v>
      </c>
      <c r="D276" s="985"/>
      <c r="E276" s="985"/>
      <c r="F276" s="687" t="s">
        <v>745</v>
      </c>
      <c r="G276" s="688">
        <v>850.57</v>
      </c>
      <c r="H276" s="689">
        <v>1</v>
      </c>
      <c r="I276" s="727">
        <v>850.57</v>
      </c>
      <c r="J276" s="726">
        <v>162.38</v>
      </c>
      <c r="K276" s="688"/>
      <c r="L276" s="721">
        <v>138115.56</v>
      </c>
      <c r="M276" s="727">
        <v>8.16</v>
      </c>
      <c r="N276" s="722">
        <v>1127022.97</v>
      </c>
      <c r="AF276" s="684"/>
      <c r="AG276" s="693" t="s">
        <v>1792</v>
      </c>
      <c r="AM276" s="693"/>
      <c r="AP276" s="693"/>
      <c r="AR276" s="693"/>
    </row>
    <row r="277" spans="1:44" s="646" customFormat="1" ht="14.4" x14ac:dyDescent="0.3">
      <c r="A277" s="719"/>
      <c r="B277" s="720"/>
      <c r="C277" s="982" t="s">
        <v>1793</v>
      </c>
      <c r="D277" s="982"/>
      <c r="E277" s="982"/>
      <c r="F277" s="982"/>
      <c r="G277" s="982"/>
      <c r="H277" s="982"/>
      <c r="I277" s="982"/>
      <c r="J277" s="982"/>
      <c r="K277" s="982"/>
      <c r="L277" s="982"/>
      <c r="M277" s="982"/>
      <c r="N277" s="988"/>
      <c r="AF277" s="684"/>
      <c r="AG277" s="693"/>
      <c r="AM277" s="693"/>
      <c r="AN277" s="696" t="s">
        <v>1793</v>
      </c>
      <c r="AP277" s="693"/>
      <c r="AR277" s="693"/>
    </row>
    <row r="278" spans="1:44" s="646" customFormat="1" ht="14.4" x14ac:dyDescent="0.3">
      <c r="A278" s="694"/>
      <c r="B278" s="695"/>
      <c r="C278" s="982" t="s">
        <v>1874</v>
      </c>
      <c r="D278" s="982"/>
      <c r="E278" s="982"/>
      <c r="F278" s="982"/>
      <c r="G278" s="982"/>
      <c r="H278" s="982"/>
      <c r="I278" s="982"/>
      <c r="J278" s="982"/>
      <c r="K278" s="982"/>
      <c r="L278" s="982"/>
      <c r="M278" s="982"/>
      <c r="N278" s="988"/>
      <c r="AF278" s="684"/>
      <c r="AG278" s="693"/>
      <c r="AH278" s="696" t="s">
        <v>1874</v>
      </c>
      <c r="AM278" s="693"/>
      <c r="AP278" s="693"/>
      <c r="AR278" s="693"/>
    </row>
    <row r="279" spans="1:44" s="646" customFormat="1" ht="14.4" x14ac:dyDescent="0.3">
      <c r="A279" s="694"/>
      <c r="B279" s="695"/>
      <c r="C279" s="982" t="s">
        <v>1794</v>
      </c>
      <c r="D279" s="982"/>
      <c r="E279" s="982"/>
      <c r="F279" s="982"/>
      <c r="G279" s="982"/>
      <c r="H279" s="982"/>
      <c r="I279" s="982"/>
      <c r="J279" s="982"/>
      <c r="K279" s="982"/>
      <c r="L279" s="982"/>
      <c r="M279" s="982"/>
      <c r="N279" s="988"/>
      <c r="AF279" s="684"/>
      <c r="AG279" s="693"/>
      <c r="AM279" s="693"/>
      <c r="AO279" s="696" t="s">
        <v>1794</v>
      </c>
      <c r="AP279" s="693"/>
      <c r="AR279" s="693"/>
    </row>
    <row r="280" spans="1:44" s="646" customFormat="1" ht="14.4" x14ac:dyDescent="0.3">
      <c r="A280" s="719"/>
      <c r="B280" s="720"/>
      <c r="C280" s="985" t="s">
        <v>1776</v>
      </c>
      <c r="D280" s="985"/>
      <c r="E280" s="985"/>
      <c r="F280" s="687"/>
      <c r="G280" s="688"/>
      <c r="H280" s="688"/>
      <c r="I280" s="688"/>
      <c r="J280" s="691"/>
      <c r="K280" s="688"/>
      <c r="L280" s="721">
        <v>138115.56</v>
      </c>
      <c r="M280" s="715"/>
      <c r="N280" s="722">
        <v>1127022.97</v>
      </c>
      <c r="AF280" s="684"/>
      <c r="AG280" s="693"/>
      <c r="AM280" s="693" t="s">
        <v>1776</v>
      </c>
      <c r="AP280" s="693"/>
      <c r="AR280" s="693"/>
    </row>
    <row r="281" spans="1:44" s="646" customFormat="1" ht="0" hidden="1" customHeight="1" x14ac:dyDescent="0.3">
      <c r="A281" s="731"/>
      <c r="B281" s="732"/>
      <c r="C281" s="732"/>
      <c r="D281" s="732"/>
      <c r="E281" s="732"/>
      <c r="F281" s="733"/>
      <c r="G281" s="733"/>
      <c r="H281" s="733"/>
      <c r="I281" s="733"/>
      <c r="J281" s="734"/>
      <c r="K281" s="733"/>
      <c r="L281" s="734"/>
      <c r="M281" s="701"/>
      <c r="N281" s="734"/>
      <c r="AF281" s="684"/>
      <c r="AG281" s="693"/>
      <c r="AM281" s="693"/>
      <c r="AP281" s="693"/>
      <c r="AR281" s="693"/>
    </row>
    <row r="282" spans="1:44" s="646" customFormat="1" ht="14.4" x14ac:dyDescent="0.3">
      <c r="A282" s="735"/>
      <c r="B282" s="736"/>
      <c r="C282" s="985" t="s">
        <v>1875</v>
      </c>
      <c r="D282" s="985"/>
      <c r="E282" s="985"/>
      <c r="F282" s="985"/>
      <c r="G282" s="985"/>
      <c r="H282" s="985"/>
      <c r="I282" s="985"/>
      <c r="J282" s="985"/>
      <c r="K282" s="985"/>
      <c r="L282" s="737"/>
      <c r="M282" s="738"/>
      <c r="N282" s="739"/>
      <c r="AF282" s="684"/>
      <c r="AG282" s="693"/>
      <c r="AM282" s="693"/>
      <c r="AP282" s="693" t="s">
        <v>1875</v>
      </c>
      <c r="AR282" s="693"/>
    </row>
    <row r="283" spans="1:44" s="646" customFormat="1" ht="14.4" x14ac:dyDescent="0.3">
      <c r="A283" s="740"/>
      <c r="B283" s="698"/>
      <c r="C283" s="982" t="s">
        <v>1823</v>
      </c>
      <c r="D283" s="982"/>
      <c r="E283" s="982"/>
      <c r="F283" s="982"/>
      <c r="G283" s="982"/>
      <c r="H283" s="982"/>
      <c r="I283" s="982"/>
      <c r="J283" s="982"/>
      <c r="K283" s="982"/>
      <c r="L283" s="741">
        <v>181567.14</v>
      </c>
      <c r="M283" s="742"/>
      <c r="N283" s="743"/>
      <c r="AF283" s="684"/>
      <c r="AG283" s="693"/>
      <c r="AM283" s="693"/>
      <c r="AP283" s="693"/>
      <c r="AQ283" s="696" t="s">
        <v>1823</v>
      </c>
      <c r="AR283" s="693"/>
    </row>
    <row r="284" spans="1:44" s="646" customFormat="1" ht="14.4" x14ac:dyDescent="0.3">
      <c r="A284" s="740"/>
      <c r="B284" s="698"/>
      <c r="C284" s="982" t="s">
        <v>1824</v>
      </c>
      <c r="D284" s="982"/>
      <c r="E284" s="982"/>
      <c r="F284" s="982"/>
      <c r="G284" s="982"/>
      <c r="H284" s="982"/>
      <c r="I284" s="982"/>
      <c r="J284" s="982"/>
      <c r="K284" s="982"/>
      <c r="L284" s="744"/>
      <c r="M284" s="742"/>
      <c r="N284" s="743"/>
      <c r="AF284" s="684"/>
      <c r="AG284" s="693"/>
      <c r="AM284" s="693"/>
      <c r="AP284" s="693"/>
      <c r="AQ284" s="696" t="s">
        <v>1824</v>
      </c>
      <c r="AR284" s="693"/>
    </row>
    <row r="285" spans="1:44" s="646" customFormat="1" ht="14.4" x14ac:dyDescent="0.3">
      <c r="A285" s="740"/>
      <c r="B285" s="698"/>
      <c r="C285" s="982" t="s">
        <v>1825</v>
      </c>
      <c r="D285" s="982"/>
      <c r="E285" s="982"/>
      <c r="F285" s="982"/>
      <c r="G285" s="982"/>
      <c r="H285" s="982"/>
      <c r="I285" s="982"/>
      <c r="J285" s="982"/>
      <c r="K285" s="982"/>
      <c r="L285" s="741">
        <v>6530.77</v>
      </c>
      <c r="M285" s="742"/>
      <c r="N285" s="743"/>
      <c r="AF285" s="684"/>
      <c r="AG285" s="693"/>
      <c r="AM285" s="693"/>
      <c r="AP285" s="693"/>
      <c r="AQ285" s="696" t="s">
        <v>1825</v>
      </c>
      <c r="AR285" s="693"/>
    </row>
    <row r="286" spans="1:44" s="646" customFormat="1" ht="14.4" x14ac:dyDescent="0.3">
      <c r="A286" s="740"/>
      <c r="B286" s="698"/>
      <c r="C286" s="982" t="s">
        <v>1826</v>
      </c>
      <c r="D286" s="982"/>
      <c r="E286" s="982"/>
      <c r="F286" s="982"/>
      <c r="G286" s="982"/>
      <c r="H286" s="982"/>
      <c r="I286" s="982"/>
      <c r="J286" s="982"/>
      <c r="K286" s="982"/>
      <c r="L286" s="741">
        <v>16161.54</v>
      </c>
      <c r="M286" s="742"/>
      <c r="N286" s="743"/>
      <c r="AF286" s="684"/>
      <c r="AG286" s="693"/>
      <c r="AM286" s="693"/>
      <c r="AP286" s="693"/>
      <c r="AQ286" s="696" t="s">
        <v>1826</v>
      </c>
      <c r="AR286" s="693"/>
    </row>
    <row r="287" spans="1:44" s="646" customFormat="1" ht="14.4" x14ac:dyDescent="0.3">
      <c r="A287" s="740"/>
      <c r="B287" s="698"/>
      <c r="C287" s="982" t="s">
        <v>1827</v>
      </c>
      <c r="D287" s="982"/>
      <c r="E287" s="982"/>
      <c r="F287" s="982"/>
      <c r="G287" s="982"/>
      <c r="H287" s="982"/>
      <c r="I287" s="982"/>
      <c r="J287" s="982"/>
      <c r="K287" s="982"/>
      <c r="L287" s="745">
        <v>865.98</v>
      </c>
      <c r="M287" s="742"/>
      <c r="N287" s="743"/>
      <c r="AF287" s="684"/>
      <c r="AG287" s="693"/>
      <c r="AM287" s="693"/>
      <c r="AP287" s="693"/>
      <c r="AQ287" s="696" t="s">
        <v>1827</v>
      </c>
      <c r="AR287" s="693"/>
    </row>
    <row r="288" spans="1:44" s="646" customFormat="1" ht="14.4" x14ac:dyDescent="0.3">
      <c r="A288" s="740"/>
      <c r="B288" s="698"/>
      <c r="C288" s="982" t="s">
        <v>1828</v>
      </c>
      <c r="D288" s="982"/>
      <c r="E288" s="982"/>
      <c r="F288" s="982"/>
      <c r="G288" s="982"/>
      <c r="H288" s="982"/>
      <c r="I288" s="982"/>
      <c r="J288" s="982"/>
      <c r="K288" s="982"/>
      <c r="L288" s="741">
        <v>148242.38</v>
      </c>
      <c r="M288" s="742"/>
      <c r="N288" s="743"/>
      <c r="AF288" s="684"/>
      <c r="AG288" s="693"/>
      <c r="AM288" s="693"/>
      <c r="AP288" s="693"/>
      <c r="AQ288" s="696" t="s">
        <v>1828</v>
      </c>
      <c r="AR288" s="693"/>
    </row>
    <row r="289" spans="1:44" s="646" customFormat="1" ht="14.4" x14ac:dyDescent="0.3">
      <c r="A289" s="740"/>
      <c r="B289" s="698"/>
      <c r="C289" s="982" t="s">
        <v>1876</v>
      </c>
      <c r="D289" s="982"/>
      <c r="E289" s="982"/>
      <c r="F289" s="982"/>
      <c r="G289" s="982"/>
      <c r="H289" s="982"/>
      <c r="I289" s="982"/>
      <c r="J289" s="982"/>
      <c r="K289" s="982"/>
      <c r="L289" s="741">
        <v>10632.45</v>
      </c>
      <c r="M289" s="742"/>
      <c r="N289" s="743"/>
      <c r="AF289" s="684"/>
      <c r="AG289" s="693"/>
      <c r="AM289" s="693"/>
      <c r="AP289" s="693"/>
      <c r="AQ289" s="696" t="s">
        <v>1876</v>
      </c>
      <c r="AR289" s="693"/>
    </row>
    <row r="290" spans="1:44" s="646" customFormat="1" ht="14.4" x14ac:dyDescent="0.3">
      <c r="A290" s="740"/>
      <c r="B290" s="698"/>
      <c r="C290" s="982" t="s">
        <v>1829</v>
      </c>
      <c r="D290" s="982"/>
      <c r="E290" s="982"/>
      <c r="F290" s="982"/>
      <c r="G290" s="982"/>
      <c r="H290" s="982"/>
      <c r="I290" s="982"/>
      <c r="J290" s="982"/>
      <c r="K290" s="982"/>
      <c r="L290" s="741">
        <v>193716.29</v>
      </c>
      <c r="M290" s="742"/>
      <c r="N290" s="743"/>
      <c r="AF290" s="684"/>
      <c r="AG290" s="693"/>
      <c r="AM290" s="693"/>
      <c r="AP290" s="693"/>
      <c r="AQ290" s="696" t="s">
        <v>1829</v>
      </c>
      <c r="AR290" s="693"/>
    </row>
    <row r="291" spans="1:44" s="646" customFormat="1" ht="14.4" x14ac:dyDescent="0.3">
      <c r="A291" s="740"/>
      <c r="B291" s="698"/>
      <c r="C291" s="982" t="s">
        <v>1830</v>
      </c>
      <c r="D291" s="982"/>
      <c r="E291" s="982"/>
      <c r="F291" s="982"/>
      <c r="G291" s="982"/>
      <c r="H291" s="982"/>
      <c r="I291" s="982"/>
      <c r="J291" s="982"/>
      <c r="K291" s="982"/>
      <c r="L291" s="741">
        <v>180085.47</v>
      </c>
      <c r="M291" s="742"/>
      <c r="N291" s="743"/>
      <c r="AF291" s="684"/>
      <c r="AG291" s="693"/>
      <c r="AM291" s="693"/>
      <c r="AP291" s="693"/>
      <c r="AQ291" s="696" t="s">
        <v>1830</v>
      </c>
      <c r="AR291" s="693"/>
    </row>
    <row r="292" spans="1:44" s="646" customFormat="1" ht="14.4" x14ac:dyDescent="0.3">
      <c r="A292" s="740"/>
      <c r="B292" s="698"/>
      <c r="C292" s="982" t="s">
        <v>1831</v>
      </c>
      <c r="D292" s="982"/>
      <c r="E292" s="982"/>
      <c r="F292" s="982"/>
      <c r="G292" s="982"/>
      <c r="H292" s="982"/>
      <c r="I292" s="982"/>
      <c r="J292" s="982"/>
      <c r="K292" s="982"/>
      <c r="L292" s="744"/>
      <c r="M292" s="742"/>
      <c r="N292" s="743"/>
      <c r="AF292" s="684"/>
      <c r="AG292" s="693"/>
      <c r="AM292" s="693"/>
      <c r="AP292" s="693"/>
      <c r="AQ292" s="696" t="s">
        <v>1831</v>
      </c>
      <c r="AR292" s="693"/>
    </row>
    <row r="293" spans="1:44" s="646" customFormat="1" ht="14.4" x14ac:dyDescent="0.3">
      <c r="A293" s="740"/>
      <c r="B293" s="698"/>
      <c r="C293" s="982" t="s">
        <v>1832</v>
      </c>
      <c r="D293" s="982"/>
      <c r="E293" s="982"/>
      <c r="F293" s="982"/>
      <c r="G293" s="982"/>
      <c r="H293" s="982"/>
      <c r="I293" s="982"/>
      <c r="J293" s="982"/>
      <c r="K293" s="982"/>
      <c r="L293" s="741">
        <v>6530.77</v>
      </c>
      <c r="M293" s="742"/>
      <c r="N293" s="743"/>
      <c r="AF293" s="684"/>
      <c r="AG293" s="693"/>
      <c r="AM293" s="693"/>
      <c r="AP293" s="693"/>
      <c r="AQ293" s="696" t="s">
        <v>1832</v>
      </c>
      <c r="AR293" s="693"/>
    </row>
    <row r="294" spans="1:44" s="646" customFormat="1" ht="14.4" x14ac:dyDescent="0.3">
      <c r="A294" s="740"/>
      <c r="B294" s="698"/>
      <c r="C294" s="982" t="s">
        <v>1833</v>
      </c>
      <c r="D294" s="982"/>
      <c r="E294" s="982"/>
      <c r="F294" s="982"/>
      <c r="G294" s="982"/>
      <c r="H294" s="982"/>
      <c r="I294" s="982"/>
      <c r="J294" s="982"/>
      <c r="K294" s="982"/>
      <c r="L294" s="741">
        <v>13163.17</v>
      </c>
      <c r="M294" s="742"/>
      <c r="N294" s="743"/>
      <c r="AF294" s="684"/>
      <c r="AG294" s="693"/>
      <c r="AM294" s="693"/>
      <c r="AP294" s="693"/>
      <c r="AQ294" s="696" t="s">
        <v>1833</v>
      </c>
      <c r="AR294" s="693"/>
    </row>
    <row r="295" spans="1:44" s="646" customFormat="1" ht="14.4" x14ac:dyDescent="0.3">
      <c r="A295" s="740"/>
      <c r="B295" s="698"/>
      <c r="C295" s="982" t="s">
        <v>1834</v>
      </c>
      <c r="D295" s="982"/>
      <c r="E295" s="982"/>
      <c r="F295" s="982"/>
      <c r="G295" s="982"/>
      <c r="H295" s="982"/>
      <c r="I295" s="982"/>
      <c r="J295" s="982"/>
      <c r="K295" s="982"/>
      <c r="L295" s="745">
        <v>865.98</v>
      </c>
      <c r="M295" s="742"/>
      <c r="N295" s="743"/>
      <c r="AF295" s="684"/>
      <c r="AG295" s="693"/>
      <c r="AM295" s="693"/>
      <c r="AP295" s="693"/>
      <c r="AQ295" s="696" t="s">
        <v>1834</v>
      </c>
      <c r="AR295" s="693"/>
    </row>
    <row r="296" spans="1:44" s="646" customFormat="1" ht="14.4" x14ac:dyDescent="0.3">
      <c r="A296" s="740"/>
      <c r="B296" s="698"/>
      <c r="C296" s="982" t="s">
        <v>1835</v>
      </c>
      <c r="D296" s="982"/>
      <c r="E296" s="982"/>
      <c r="F296" s="982"/>
      <c r="G296" s="982"/>
      <c r="H296" s="982"/>
      <c r="I296" s="982"/>
      <c r="J296" s="982"/>
      <c r="K296" s="982"/>
      <c r="L296" s="741">
        <v>148242.38</v>
      </c>
      <c r="M296" s="742"/>
      <c r="N296" s="743"/>
      <c r="AF296" s="684"/>
      <c r="AG296" s="693"/>
      <c r="AM296" s="693"/>
      <c r="AP296" s="693"/>
      <c r="AQ296" s="696" t="s">
        <v>1835</v>
      </c>
      <c r="AR296" s="693"/>
    </row>
    <row r="297" spans="1:44" s="646" customFormat="1" ht="14.4" x14ac:dyDescent="0.3">
      <c r="A297" s="740"/>
      <c r="B297" s="698"/>
      <c r="C297" s="982" t="s">
        <v>1836</v>
      </c>
      <c r="D297" s="982"/>
      <c r="E297" s="982"/>
      <c r="F297" s="982"/>
      <c r="G297" s="982"/>
      <c r="H297" s="982"/>
      <c r="I297" s="982"/>
      <c r="J297" s="982"/>
      <c r="K297" s="982"/>
      <c r="L297" s="741">
        <v>8062.45</v>
      </c>
      <c r="M297" s="742"/>
      <c r="N297" s="743"/>
      <c r="AF297" s="684"/>
      <c r="AG297" s="693"/>
      <c r="AM297" s="693"/>
      <c r="AP297" s="693"/>
      <c r="AQ297" s="696" t="s">
        <v>1836</v>
      </c>
      <c r="AR297" s="693"/>
    </row>
    <row r="298" spans="1:44" s="646" customFormat="1" ht="14.4" x14ac:dyDescent="0.3">
      <c r="A298" s="740"/>
      <c r="B298" s="698"/>
      <c r="C298" s="982" t="s">
        <v>1837</v>
      </c>
      <c r="D298" s="982"/>
      <c r="E298" s="982"/>
      <c r="F298" s="982"/>
      <c r="G298" s="982"/>
      <c r="H298" s="982"/>
      <c r="I298" s="982"/>
      <c r="J298" s="982"/>
      <c r="K298" s="982"/>
      <c r="L298" s="741">
        <v>4086.7</v>
      </c>
      <c r="M298" s="742"/>
      <c r="N298" s="743"/>
      <c r="AF298" s="684"/>
      <c r="AG298" s="693"/>
      <c r="AM298" s="693"/>
      <c r="AP298" s="693"/>
      <c r="AQ298" s="696" t="s">
        <v>1837</v>
      </c>
      <c r="AR298" s="693"/>
    </row>
    <row r="299" spans="1:44" s="646" customFormat="1" ht="14.4" x14ac:dyDescent="0.3">
      <c r="A299" s="740"/>
      <c r="B299" s="698"/>
      <c r="C299" s="982" t="s">
        <v>1838</v>
      </c>
      <c r="D299" s="982"/>
      <c r="E299" s="982"/>
      <c r="F299" s="982"/>
      <c r="G299" s="982"/>
      <c r="H299" s="982"/>
      <c r="I299" s="982"/>
      <c r="J299" s="982"/>
      <c r="K299" s="982"/>
      <c r="L299" s="741">
        <v>2998.37</v>
      </c>
      <c r="M299" s="742"/>
      <c r="N299" s="743"/>
      <c r="AF299" s="684"/>
      <c r="AG299" s="693"/>
      <c r="AM299" s="693"/>
      <c r="AP299" s="693"/>
      <c r="AQ299" s="696" t="s">
        <v>1838</v>
      </c>
      <c r="AR299" s="693"/>
    </row>
    <row r="300" spans="1:44" s="646" customFormat="1" ht="14.4" x14ac:dyDescent="0.3">
      <c r="A300" s="740"/>
      <c r="B300" s="698"/>
      <c r="C300" s="982" t="s">
        <v>1877</v>
      </c>
      <c r="D300" s="982"/>
      <c r="E300" s="982"/>
      <c r="F300" s="982"/>
      <c r="G300" s="982"/>
      <c r="H300" s="982"/>
      <c r="I300" s="982"/>
      <c r="J300" s="982"/>
      <c r="K300" s="982"/>
      <c r="L300" s="741">
        <v>10632.45</v>
      </c>
      <c r="M300" s="742"/>
      <c r="N300" s="743"/>
      <c r="AF300" s="684"/>
      <c r="AG300" s="693"/>
      <c r="AM300" s="693"/>
      <c r="AP300" s="693"/>
      <c r="AQ300" s="696" t="s">
        <v>1877</v>
      </c>
      <c r="AR300" s="693"/>
    </row>
    <row r="301" spans="1:44" s="646" customFormat="1" ht="14.4" x14ac:dyDescent="0.3">
      <c r="A301" s="740"/>
      <c r="B301" s="698"/>
      <c r="C301" s="982" t="s">
        <v>1839</v>
      </c>
      <c r="D301" s="982"/>
      <c r="E301" s="982"/>
      <c r="F301" s="982"/>
      <c r="G301" s="982"/>
      <c r="H301" s="982"/>
      <c r="I301" s="982"/>
      <c r="J301" s="982"/>
      <c r="K301" s="982"/>
      <c r="L301" s="741">
        <v>7396.75</v>
      </c>
      <c r="M301" s="742"/>
      <c r="N301" s="743"/>
      <c r="AF301" s="684"/>
      <c r="AG301" s="693"/>
      <c r="AM301" s="693"/>
      <c r="AP301" s="693"/>
      <c r="AQ301" s="696" t="s">
        <v>1839</v>
      </c>
      <c r="AR301" s="693"/>
    </row>
    <row r="302" spans="1:44" s="646" customFormat="1" ht="14.4" x14ac:dyDescent="0.3">
      <c r="A302" s="740"/>
      <c r="B302" s="698"/>
      <c r="C302" s="982" t="s">
        <v>1840</v>
      </c>
      <c r="D302" s="982"/>
      <c r="E302" s="982"/>
      <c r="F302" s="982"/>
      <c r="G302" s="982"/>
      <c r="H302" s="982"/>
      <c r="I302" s="982"/>
      <c r="J302" s="982"/>
      <c r="K302" s="982"/>
      <c r="L302" s="741">
        <v>8062.45</v>
      </c>
      <c r="M302" s="742"/>
      <c r="N302" s="743"/>
      <c r="AF302" s="684"/>
      <c r="AG302" s="693"/>
      <c r="AM302" s="693"/>
      <c r="AP302" s="693"/>
      <c r="AQ302" s="696" t="s">
        <v>1840</v>
      </c>
      <c r="AR302" s="693"/>
    </row>
    <row r="303" spans="1:44" s="646" customFormat="1" ht="14.4" x14ac:dyDescent="0.3">
      <c r="A303" s="740"/>
      <c r="B303" s="698"/>
      <c r="C303" s="982" t="s">
        <v>1841</v>
      </c>
      <c r="D303" s="982"/>
      <c r="E303" s="982"/>
      <c r="F303" s="982"/>
      <c r="G303" s="982"/>
      <c r="H303" s="982"/>
      <c r="I303" s="982"/>
      <c r="J303" s="982"/>
      <c r="K303" s="982"/>
      <c r="L303" s="741">
        <v>4086.7</v>
      </c>
      <c r="M303" s="742"/>
      <c r="N303" s="743"/>
      <c r="AF303" s="684"/>
      <c r="AG303" s="693"/>
      <c r="AM303" s="693"/>
      <c r="AP303" s="693"/>
      <c r="AQ303" s="696" t="s">
        <v>1841</v>
      </c>
      <c r="AR303" s="693"/>
    </row>
    <row r="304" spans="1:44" s="646" customFormat="1" ht="14.4" x14ac:dyDescent="0.3">
      <c r="A304" s="740"/>
      <c r="B304" s="746"/>
      <c r="C304" s="984" t="s">
        <v>1878</v>
      </c>
      <c r="D304" s="984"/>
      <c r="E304" s="984"/>
      <c r="F304" s="984"/>
      <c r="G304" s="984"/>
      <c r="H304" s="984"/>
      <c r="I304" s="984"/>
      <c r="J304" s="984"/>
      <c r="K304" s="984"/>
      <c r="L304" s="747">
        <v>193716.29</v>
      </c>
      <c r="M304" s="748"/>
      <c r="N304" s="749"/>
      <c r="AF304" s="684"/>
      <c r="AG304" s="693"/>
      <c r="AM304" s="693"/>
      <c r="AP304" s="693"/>
      <c r="AR304" s="693" t="s">
        <v>1878</v>
      </c>
    </row>
    <row r="305" spans="1:44" s="646" customFormat="1" ht="14.4" x14ac:dyDescent="0.3">
      <c r="A305" s="992" t="s">
        <v>1879</v>
      </c>
      <c r="B305" s="993"/>
      <c r="C305" s="993"/>
      <c r="D305" s="993"/>
      <c r="E305" s="993"/>
      <c r="F305" s="993"/>
      <c r="G305" s="993"/>
      <c r="H305" s="993"/>
      <c r="I305" s="993"/>
      <c r="J305" s="993"/>
      <c r="K305" s="993"/>
      <c r="L305" s="993"/>
      <c r="M305" s="993"/>
      <c r="N305" s="994"/>
      <c r="AF305" s="684" t="s">
        <v>1879</v>
      </c>
      <c r="AG305" s="693"/>
      <c r="AM305" s="693"/>
      <c r="AP305" s="693"/>
      <c r="AR305" s="693"/>
    </row>
    <row r="306" spans="1:44" s="646" customFormat="1" ht="42" x14ac:dyDescent="0.3">
      <c r="A306" s="685" t="s">
        <v>115</v>
      </c>
      <c r="B306" s="686" t="s">
        <v>1880</v>
      </c>
      <c r="C306" s="985" t="s">
        <v>1881</v>
      </c>
      <c r="D306" s="985"/>
      <c r="E306" s="985"/>
      <c r="F306" s="687" t="s">
        <v>1856</v>
      </c>
      <c r="G306" s="688">
        <v>0.95399999999999996</v>
      </c>
      <c r="H306" s="689">
        <v>1</v>
      </c>
      <c r="I306" s="690">
        <v>0.95399999999999996</v>
      </c>
      <c r="J306" s="691"/>
      <c r="K306" s="688"/>
      <c r="L306" s="691"/>
      <c r="M306" s="688"/>
      <c r="N306" s="692"/>
      <c r="AF306" s="684"/>
      <c r="AG306" s="693" t="s">
        <v>1881</v>
      </c>
      <c r="AM306" s="693"/>
      <c r="AP306" s="693"/>
      <c r="AR306" s="693"/>
    </row>
    <row r="307" spans="1:44" s="646" customFormat="1" ht="14.4" x14ac:dyDescent="0.3">
      <c r="A307" s="694"/>
      <c r="B307" s="695"/>
      <c r="C307" s="982" t="s">
        <v>1882</v>
      </c>
      <c r="D307" s="982"/>
      <c r="E307" s="982"/>
      <c r="F307" s="982"/>
      <c r="G307" s="982"/>
      <c r="H307" s="982"/>
      <c r="I307" s="982"/>
      <c r="J307" s="982"/>
      <c r="K307" s="982"/>
      <c r="L307" s="982"/>
      <c r="M307" s="982"/>
      <c r="N307" s="988"/>
      <c r="AF307" s="684"/>
      <c r="AG307" s="693"/>
      <c r="AH307" s="696" t="s">
        <v>1882</v>
      </c>
      <c r="AM307" s="693"/>
      <c r="AP307" s="693"/>
      <c r="AR307" s="693"/>
    </row>
    <row r="308" spans="1:44" s="646" customFormat="1" ht="21.6" x14ac:dyDescent="0.3">
      <c r="A308" s="697"/>
      <c r="B308" s="698" t="s">
        <v>1759</v>
      </c>
      <c r="C308" s="974" t="s">
        <v>1760</v>
      </c>
      <c r="D308" s="974"/>
      <c r="E308" s="974"/>
      <c r="F308" s="974"/>
      <c r="G308" s="974"/>
      <c r="H308" s="974"/>
      <c r="I308" s="974"/>
      <c r="J308" s="974"/>
      <c r="K308" s="974"/>
      <c r="L308" s="974"/>
      <c r="M308" s="974"/>
      <c r="N308" s="987"/>
      <c r="AF308" s="684"/>
      <c r="AG308" s="693"/>
      <c r="AI308" s="696" t="s">
        <v>1760</v>
      </c>
      <c r="AM308" s="693"/>
      <c r="AP308" s="693"/>
      <c r="AR308" s="693"/>
    </row>
    <row r="309" spans="1:44" s="646" customFormat="1" ht="52.2" x14ac:dyDescent="0.3">
      <c r="A309" s="697"/>
      <c r="B309" s="698" t="s">
        <v>1761</v>
      </c>
      <c r="C309" s="974" t="s">
        <v>1762</v>
      </c>
      <c r="D309" s="974"/>
      <c r="E309" s="974"/>
      <c r="F309" s="974"/>
      <c r="G309" s="974"/>
      <c r="H309" s="974"/>
      <c r="I309" s="974"/>
      <c r="J309" s="974"/>
      <c r="K309" s="974"/>
      <c r="L309" s="974"/>
      <c r="M309" s="974"/>
      <c r="N309" s="987"/>
      <c r="AF309" s="684"/>
      <c r="AG309" s="693"/>
      <c r="AI309" s="696" t="s">
        <v>1762</v>
      </c>
      <c r="AM309" s="693"/>
      <c r="AP309" s="693"/>
      <c r="AR309" s="693"/>
    </row>
    <row r="310" spans="1:44" s="646" customFormat="1" ht="14.4" x14ac:dyDescent="0.3">
      <c r="A310" s="699"/>
      <c r="B310" s="698" t="s">
        <v>18</v>
      </c>
      <c r="C310" s="982" t="s">
        <v>1763</v>
      </c>
      <c r="D310" s="982"/>
      <c r="E310" s="982"/>
      <c r="F310" s="700"/>
      <c r="G310" s="701"/>
      <c r="H310" s="701"/>
      <c r="I310" s="701"/>
      <c r="J310" s="706">
        <v>9639.6</v>
      </c>
      <c r="K310" s="725">
        <v>1.3225</v>
      </c>
      <c r="L310" s="706">
        <v>12161.95</v>
      </c>
      <c r="M310" s="704">
        <v>44.77</v>
      </c>
      <c r="N310" s="705">
        <v>544490.5</v>
      </c>
      <c r="AF310" s="684"/>
      <c r="AG310" s="693"/>
      <c r="AJ310" s="696" t="s">
        <v>1763</v>
      </c>
      <c r="AM310" s="693"/>
      <c r="AP310" s="693"/>
      <c r="AR310" s="693"/>
    </row>
    <row r="311" spans="1:44" s="646" customFormat="1" ht="14.4" x14ac:dyDescent="0.3">
      <c r="A311" s="699"/>
      <c r="B311" s="698" t="s">
        <v>21</v>
      </c>
      <c r="C311" s="982" t="s">
        <v>1764</v>
      </c>
      <c r="D311" s="982"/>
      <c r="E311" s="982"/>
      <c r="F311" s="700"/>
      <c r="G311" s="701"/>
      <c r="H311" s="701"/>
      <c r="I311" s="701"/>
      <c r="J311" s="706">
        <v>23560.16</v>
      </c>
      <c r="K311" s="725">
        <v>1.4375</v>
      </c>
      <c r="L311" s="706">
        <v>32309.81</v>
      </c>
      <c r="M311" s="704">
        <v>13.24</v>
      </c>
      <c r="N311" s="705">
        <v>427781.88</v>
      </c>
      <c r="AF311" s="684"/>
      <c r="AG311" s="693"/>
      <c r="AJ311" s="696" t="s">
        <v>1764</v>
      </c>
      <c r="AM311" s="693"/>
      <c r="AP311" s="693"/>
      <c r="AR311" s="693"/>
    </row>
    <row r="312" spans="1:44" s="646" customFormat="1" ht="14.4" x14ac:dyDescent="0.3">
      <c r="A312" s="699"/>
      <c r="B312" s="698" t="s">
        <v>23</v>
      </c>
      <c r="C312" s="982" t="s">
        <v>1765</v>
      </c>
      <c r="D312" s="982"/>
      <c r="E312" s="982"/>
      <c r="F312" s="700"/>
      <c r="G312" s="701"/>
      <c r="H312" s="701"/>
      <c r="I312" s="701"/>
      <c r="J312" s="706">
        <v>1283.78</v>
      </c>
      <c r="K312" s="725">
        <v>1.4375</v>
      </c>
      <c r="L312" s="706">
        <v>1760.54</v>
      </c>
      <c r="M312" s="704">
        <v>44.77</v>
      </c>
      <c r="N312" s="705">
        <v>78819.38</v>
      </c>
      <c r="AF312" s="684"/>
      <c r="AG312" s="693"/>
      <c r="AJ312" s="696" t="s">
        <v>1765</v>
      </c>
      <c r="AM312" s="693"/>
      <c r="AP312" s="693"/>
      <c r="AR312" s="693"/>
    </row>
    <row r="313" spans="1:44" s="646" customFormat="1" ht="14.4" x14ac:dyDescent="0.3">
      <c r="A313" s="699"/>
      <c r="B313" s="698" t="s">
        <v>25</v>
      </c>
      <c r="C313" s="982" t="s">
        <v>1766</v>
      </c>
      <c r="D313" s="982"/>
      <c r="E313" s="982"/>
      <c r="F313" s="700"/>
      <c r="G313" s="701"/>
      <c r="H313" s="701"/>
      <c r="I313" s="701"/>
      <c r="J313" s="706">
        <v>1731974.32</v>
      </c>
      <c r="K313" s="701"/>
      <c r="L313" s="706">
        <v>1652303.5</v>
      </c>
      <c r="M313" s="704">
        <v>8.16</v>
      </c>
      <c r="N313" s="705">
        <v>13482796.560000001</v>
      </c>
      <c r="AF313" s="684"/>
      <c r="AG313" s="693"/>
      <c r="AJ313" s="696" t="s">
        <v>1766</v>
      </c>
      <c r="AM313" s="693"/>
      <c r="AP313" s="693"/>
      <c r="AR313" s="693"/>
    </row>
    <row r="314" spans="1:44" s="646" customFormat="1" ht="14.4" x14ac:dyDescent="0.3">
      <c r="A314" s="708"/>
      <c r="B314" s="698"/>
      <c r="C314" s="982" t="s">
        <v>1767</v>
      </c>
      <c r="D314" s="982"/>
      <c r="E314" s="982"/>
      <c r="F314" s="700" t="s">
        <v>695</v>
      </c>
      <c r="G314" s="718">
        <v>1160</v>
      </c>
      <c r="H314" s="725">
        <v>1.3225</v>
      </c>
      <c r="I314" s="725">
        <v>1463.5314000000001</v>
      </c>
      <c r="J314" s="711"/>
      <c r="K314" s="701"/>
      <c r="L314" s="711"/>
      <c r="M314" s="701"/>
      <c r="N314" s="712"/>
      <c r="AF314" s="684"/>
      <c r="AG314" s="693"/>
      <c r="AK314" s="696" t="s">
        <v>1767</v>
      </c>
      <c r="AM314" s="693"/>
      <c r="AP314" s="693"/>
      <c r="AR314" s="693"/>
    </row>
    <row r="315" spans="1:44" s="646" customFormat="1" ht="14.4" x14ac:dyDescent="0.3">
      <c r="A315" s="708"/>
      <c r="B315" s="698"/>
      <c r="C315" s="982" t="s">
        <v>1768</v>
      </c>
      <c r="D315" s="982"/>
      <c r="E315" s="982"/>
      <c r="F315" s="700" t="s">
        <v>695</v>
      </c>
      <c r="G315" s="709">
        <v>105.2</v>
      </c>
      <c r="H315" s="725">
        <v>1.4375</v>
      </c>
      <c r="I315" s="713">
        <v>144.26865000000001</v>
      </c>
      <c r="J315" s="711"/>
      <c r="K315" s="701"/>
      <c r="L315" s="711"/>
      <c r="M315" s="701"/>
      <c r="N315" s="712"/>
      <c r="AF315" s="684"/>
      <c r="AG315" s="693"/>
      <c r="AK315" s="696" t="s">
        <v>1768</v>
      </c>
      <c r="AM315" s="693"/>
      <c r="AP315" s="693"/>
      <c r="AR315" s="693"/>
    </row>
    <row r="316" spans="1:44" s="646" customFormat="1" ht="14.4" x14ac:dyDescent="0.3">
      <c r="A316" s="699"/>
      <c r="B316" s="698"/>
      <c r="C316" s="986" t="s">
        <v>1769</v>
      </c>
      <c r="D316" s="986"/>
      <c r="E316" s="986"/>
      <c r="F316" s="714"/>
      <c r="G316" s="715"/>
      <c r="H316" s="715"/>
      <c r="I316" s="715"/>
      <c r="J316" s="716">
        <v>1765174.08</v>
      </c>
      <c r="K316" s="715"/>
      <c r="L316" s="716">
        <v>1696775.26</v>
      </c>
      <c r="M316" s="715"/>
      <c r="N316" s="717">
        <v>14455068.939999999</v>
      </c>
      <c r="AF316" s="684"/>
      <c r="AG316" s="693"/>
      <c r="AL316" s="696" t="s">
        <v>1769</v>
      </c>
      <c r="AM316" s="693"/>
      <c r="AP316" s="693"/>
      <c r="AR316" s="693"/>
    </row>
    <row r="317" spans="1:44" s="646" customFormat="1" ht="14.4" x14ac:dyDescent="0.3">
      <c r="A317" s="708"/>
      <c r="B317" s="698"/>
      <c r="C317" s="982" t="s">
        <v>1770</v>
      </c>
      <c r="D317" s="982"/>
      <c r="E317" s="982"/>
      <c r="F317" s="700"/>
      <c r="G317" s="701"/>
      <c r="H317" s="701"/>
      <c r="I317" s="701"/>
      <c r="J317" s="711"/>
      <c r="K317" s="701"/>
      <c r="L317" s="706">
        <v>13922.49</v>
      </c>
      <c r="M317" s="701"/>
      <c r="N317" s="705">
        <v>623309.88</v>
      </c>
      <c r="AF317" s="684"/>
      <c r="AG317" s="693"/>
      <c r="AK317" s="696" t="s">
        <v>1770</v>
      </c>
      <c r="AM317" s="693"/>
      <c r="AP317" s="693"/>
      <c r="AR317" s="693"/>
    </row>
    <row r="318" spans="1:44" s="646" customFormat="1" ht="20.399999999999999" x14ac:dyDescent="0.3">
      <c r="A318" s="708"/>
      <c r="B318" s="698" t="s">
        <v>1847</v>
      </c>
      <c r="C318" s="982" t="s">
        <v>1848</v>
      </c>
      <c r="D318" s="982"/>
      <c r="E318" s="982"/>
      <c r="F318" s="700" t="s">
        <v>1773</v>
      </c>
      <c r="G318" s="718">
        <v>109</v>
      </c>
      <c r="H318" s="701"/>
      <c r="I318" s="718">
        <v>109</v>
      </c>
      <c r="J318" s="711"/>
      <c r="K318" s="701"/>
      <c r="L318" s="706">
        <v>15175.51</v>
      </c>
      <c r="M318" s="701"/>
      <c r="N318" s="705">
        <v>679407.77</v>
      </c>
      <c r="AF318" s="684"/>
      <c r="AG318" s="693"/>
      <c r="AK318" s="696" t="s">
        <v>1848</v>
      </c>
      <c r="AM318" s="693"/>
      <c r="AP318" s="693"/>
      <c r="AR318" s="693"/>
    </row>
    <row r="319" spans="1:44" s="646" customFormat="1" ht="40.799999999999997" x14ac:dyDescent="0.3">
      <c r="A319" s="708"/>
      <c r="B319" s="698" t="s">
        <v>1849</v>
      </c>
      <c r="C319" s="982" t="s">
        <v>1850</v>
      </c>
      <c r="D319" s="982"/>
      <c r="E319" s="982"/>
      <c r="F319" s="700" t="s">
        <v>1773</v>
      </c>
      <c r="G319" s="718">
        <v>65</v>
      </c>
      <c r="H319" s="704">
        <v>0.85</v>
      </c>
      <c r="I319" s="704">
        <v>55.25</v>
      </c>
      <c r="J319" s="711"/>
      <c r="K319" s="701"/>
      <c r="L319" s="706">
        <v>7692.18</v>
      </c>
      <c r="M319" s="701"/>
      <c r="N319" s="705">
        <v>344378.71</v>
      </c>
      <c r="AF319" s="684"/>
      <c r="AG319" s="693"/>
      <c r="AK319" s="696" t="s">
        <v>1850</v>
      </c>
      <c r="AM319" s="693"/>
      <c r="AP319" s="693"/>
      <c r="AR319" s="693"/>
    </row>
    <row r="320" spans="1:44" s="646" customFormat="1" ht="14.4" x14ac:dyDescent="0.3">
      <c r="A320" s="719"/>
      <c r="B320" s="720"/>
      <c r="C320" s="985" t="s">
        <v>1776</v>
      </c>
      <c r="D320" s="985"/>
      <c r="E320" s="985"/>
      <c r="F320" s="687"/>
      <c r="G320" s="688"/>
      <c r="H320" s="688"/>
      <c r="I320" s="688"/>
      <c r="J320" s="691"/>
      <c r="K320" s="688"/>
      <c r="L320" s="721">
        <v>1719642.95</v>
      </c>
      <c r="M320" s="715"/>
      <c r="N320" s="722">
        <v>15478855.42</v>
      </c>
      <c r="AF320" s="684"/>
      <c r="AG320" s="693"/>
      <c r="AM320" s="693" t="s">
        <v>1776</v>
      </c>
      <c r="AP320" s="693"/>
      <c r="AR320" s="693"/>
    </row>
    <row r="321" spans="1:44" s="646" customFormat="1" ht="14.4" x14ac:dyDescent="0.3">
      <c r="A321" s="685" t="s">
        <v>116</v>
      </c>
      <c r="B321" s="686" t="s">
        <v>1883</v>
      </c>
      <c r="C321" s="985" t="s">
        <v>1555</v>
      </c>
      <c r="D321" s="985"/>
      <c r="E321" s="985"/>
      <c r="F321" s="687" t="s">
        <v>883</v>
      </c>
      <c r="G321" s="688">
        <v>-1908</v>
      </c>
      <c r="H321" s="689">
        <v>1</v>
      </c>
      <c r="I321" s="689">
        <v>-1908</v>
      </c>
      <c r="J321" s="726">
        <v>351.2</v>
      </c>
      <c r="K321" s="688"/>
      <c r="L321" s="721">
        <v>-670089.6</v>
      </c>
      <c r="M321" s="727">
        <v>8.16</v>
      </c>
      <c r="N321" s="722">
        <v>-5467931.1399999997</v>
      </c>
      <c r="AF321" s="684"/>
      <c r="AG321" s="693" t="s">
        <v>1555</v>
      </c>
      <c r="AM321" s="693"/>
      <c r="AP321" s="693"/>
      <c r="AR321" s="693"/>
    </row>
    <row r="322" spans="1:44" s="646" customFormat="1" ht="14.4" x14ac:dyDescent="0.3">
      <c r="A322" s="719"/>
      <c r="B322" s="720"/>
      <c r="C322" s="982" t="s">
        <v>1884</v>
      </c>
      <c r="D322" s="982"/>
      <c r="E322" s="982"/>
      <c r="F322" s="982"/>
      <c r="G322" s="982"/>
      <c r="H322" s="982"/>
      <c r="I322" s="982"/>
      <c r="J322" s="982"/>
      <c r="K322" s="982"/>
      <c r="L322" s="982"/>
      <c r="M322" s="982"/>
      <c r="N322" s="988"/>
      <c r="AF322" s="684"/>
      <c r="AG322" s="693"/>
      <c r="AM322" s="693"/>
      <c r="AN322" s="696" t="s">
        <v>1884</v>
      </c>
      <c r="AP322" s="693"/>
      <c r="AR322" s="693"/>
    </row>
    <row r="323" spans="1:44" s="646" customFormat="1" ht="14.4" x14ac:dyDescent="0.3">
      <c r="A323" s="719"/>
      <c r="B323" s="720"/>
      <c r="C323" s="985" t="s">
        <v>1776</v>
      </c>
      <c r="D323" s="985"/>
      <c r="E323" s="985"/>
      <c r="F323" s="687"/>
      <c r="G323" s="688"/>
      <c r="H323" s="688"/>
      <c r="I323" s="688"/>
      <c r="J323" s="691"/>
      <c r="K323" s="688"/>
      <c r="L323" s="721">
        <v>-670089.6</v>
      </c>
      <c r="M323" s="715"/>
      <c r="N323" s="722">
        <v>-5467931.1399999997</v>
      </c>
      <c r="AF323" s="684"/>
      <c r="AG323" s="693"/>
      <c r="AM323" s="693" t="s">
        <v>1776</v>
      </c>
      <c r="AP323" s="693"/>
      <c r="AR323" s="693"/>
    </row>
    <row r="324" spans="1:44" s="646" customFormat="1" ht="20.399999999999999" x14ac:dyDescent="0.3">
      <c r="A324" s="685" t="s">
        <v>50</v>
      </c>
      <c r="B324" s="686" t="s">
        <v>1198</v>
      </c>
      <c r="C324" s="985" t="s">
        <v>1885</v>
      </c>
      <c r="D324" s="985"/>
      <c r="E324" s="985"/>
      <c r="F324" s="687" t="s">
        <v>224</v>
      </c>
      <c r="G324" s="688">
        <v>126.51600000000001</v>
      </c>
      <c r="H324" s="689">
        <v>1</v>
      </c>
      <c r="I324" s="690">
        <v>126.51600000000001</v>
      </c>
      <c r="J324" s="721">
        <v>16758.580000000002</v>
      </c>
      <c r="K324" s="690">
        <v>1.012</v>
      </c>
      <c r="L324" s="721">
        <v>2145671.25</v>
      </c>
      <c r="M324" s="727">
        <v>8.16</v>
      </c>
      <c r="N324" s="722">
        <v>17508677.399999999</v>
      </c>
      <c r="AF324" s="684"/>
      <c r="AG324" s="693" t="s">
        <v>1885</v>
      </c>
      <c r="AM324" s="693"/>
      <c r="AP324" s="693"/>
      <c r="AR324" s="693"/>
    </row>
    <row r="325" spans="1:44" s="646" customFormat="1" ht="14.4" x14ac:dyDescent="0.3">
      <c r="A325" s="719"/>
      <c r="B325" s="720"/>
      <c r="C325" s="982" t="s">
        <v>1793</v>
      </c>
      <c r="D325" s="982"/>
      <c r="E325" s="982"/>
      <c r="F325" s="982"/>
      <c r="G325" s="982"/>
      <c r="H325" s="982"/>
      <c r="I325" s="982"/>
      <c r="J325" s="982"/>
      <c r="K325" s="982"/>
      <c r="L325" s="982"/>
      <c r="M325" s="982"/>
      <c r="N325" s="988"/>
      <c r="AF325" s="684"/>
      <c r="AG325" s="693"/>
      <c r="AM325" s="693"/>
      <c r="AN325" s="696" t="s">
        <v>1793</v>
      </c>
      <c r="AP325" s="693"/>
      <c r="AR325" s="693"/>
    </row>
    <row r="326" spans="1:44" s="646" customFormat="1" ht="14.4" x14ac:dyDescent="0.3">
      <c r="A326" s="694"/>
      <c r="B326" s="695"/>
      <c r="C326" s="982" t="s">
        <v>1886</v>
      </c>
      <c r="D326" s="982"/>
      <c r="E326" s="982"/>
      <c r="F326" s="982"/>
      <c r="G326" s="982"/>
      <c r="H326" s="982"/>
      <c r="I326" s="982"/>
      <c r="J326" s="982"/>
      <c r="K326" s="982"/>
      <c r="L326" s="982"/>
      <c r="M326" s="982"/>
      <c r="N326" s="988"/>
      <c r="AF326" s="684"/>
      <c r="AG326" s="693"/>
      <c r="AH326" s="696" t="s">
        <v>1886</v>
      </c>
      <c r="AM326" s="693"/>
      <c r="AP326" s="693"/>
      <c r="AR326" s="693"/>
    </row>
    <row r="327" spans="1:44" s="646" customFormat="1" ht="14.4" x14ac:dyDescent="0.3">
      <c r="A327" s="694"/>
      <c r="B327" s="695"/>
      <c r="C327" s="982" t="s">
        <v>1887</v>
      </c>
      <c r="D327" s="982"/>
      <c r="E327" s="982"/>
      <c r="F327" s="982"/>
      <c r="G327" s="982"/>
      <c r="H327" s="982"/>
      <c r="I327" s="982"/>
      <c r="J327" s="982"/>
      <c r="K327" s="982"/>
      <c r="L327" s="982"/>
      <c r="M327" s="982"/>
      <c r="N327" s="988"/>
      <c r="AF327" s="684"/>
      <c r="AG327" s="693"/>
      <c r="AM327" s="693"/>
      <c r="AO327" s="696" t="s">
        <v>1887</v>
      </c>
      <c r="AP327" s="693"/>
      <c r="AR327" s="693"/>
    </row>
    <row r="328" spans="1:44" s="646" customFormat="1" ht="14.4" x14ac:dyDescent="0.3">
      <c r="A328" s="697"/>
      <c r="B328" s="698"/>
      <c r="C328" s="974" t="s">
        <v>1888</v>
      </c>
      <c r="D328" s="974"/>
      <c r="E328" s="974"/>
      <c r="F328" s="974"/>
      <c r="G328" s="974"/>
      <c r="H328" s="974"/>
      <c r="I328" s="974"/>
      <c r="J328" s="974"/>
      <c r="K328" s="974"/>
      <c r="L328" s="974"/>
      <c r="M328" s="974"/>
      <c r="N328" s="987"/>
      <c r="AF328" s="684"/>
      <c r="AG328" s="693"/>
      <c r="AI328" s="696" t="s">
        <v>1888</v>
      </c>
      <c r="AM328" s="693"/>
      <c r="AP328" s="693"/>
      <c r="AR328" s="693"/>
    </row>
    <row r="329" spans="1:44" s="646" customFormat="1" ht="14.4" x14ac:dyDescent="0.3">
      <c r="A329" s="719"/>
      <c r="B329" s="720"/>
      <c r="C329" s="985" t="s">
        <v>1776</v>
      </c>
      <c r="D329" s="985"/>
      <c r="E329" s="985"/>
      <c r="F329" s="687"/>
      <c r="G329" s="688"/>
      <c r="H329" s="688"/>
      <c r="I329" s="688"/>
      <c r="J329" s="691"/>
      <c r="K329" s="688"/>
      <c r="L329" s="721">
        <v>2145671.25</v>
      </c>
      <c r="M329" s="715"/>
      <c r="N329" s="722">
        <v>17508677.399999999</v>
      </c>
      <c r="AF329" s="684"/>
      <c r="AG329" s="693"/>
      <c r="AM329" s="693" t="s">
        <v>1776</v>
      </c>
      <c r="AP329" s="693"/>
      <c r="AR329" s="693"/>
    </row>
    <row r="330" spans="1:44" s="646" customFormat="1" ht="14.4" x14ac:dyDescent="0.3">
      <c r="A330" s="685" t="s">
        <v>126</v>
      </c>
      <c r="B330" s="686" t="s">
        <v>1889</v>
      </c>
      <c r="C330" s="985" t="s">
        <v>1890</v>
      </c>
      <c r="D330" s="985"/>
      <c r="E330" s="985"/>
      <c r="F330" s="687" t="s">
        <v>1846</v>
      </c>
      <c r="G330" s="688">
        <v>-1755.36</v>
      </c>
      <c r="H330" s="689">
        <v>1</v>
      </c>
      <c r="I330" s="727">
        <v>-1755.36</v>
      </c>
      <c r="J330" s="726">
        <v>287.60000000000002</v>
      </c>
      <c r="K330" s="688"/>
      <c r="L330" s="721">
        <v>-504841.54</v>
      </c>
      <c r="M330" s="727">
        <v>8.16</v>
      </c>
      <c r="N330" s="722">
        <v>-4119506.97</v>
      </c>
      <c r="AF330" s="684"/>
      <c r="AG330" s="693" t="s">
        <v>1890</v>
      </c>
      <c r="AM330" s="693"/>
      <c r="AP330" s="693"/>
      <c r="AR330" s="693"/>
    </row>
    <row r="331" spans="1:44" s="646" customFormat="1" ht="14.4" x14ac:dyDescent="0.3">
      <c r="A331" s="719"/>
      <c r="B331" s="720"/>
      <c r="C331" s="982" t="s">
        <v>1884</v>
      </c>
      <c r="D331" s="982"/>
      <c r="E331" s="982"/>
      <c r="F331" s="982"/>
      <c r="G331" s="982"/>
      <c r="H331" s="982"/>
      <c r="I331" s="982"/>
      <c r="J331" s="982"/>
      <c r="K331" s="982"/>
      <c r="L331" s="982"/>
      <c r="M331" s="982"/>
      <c r="N331" s="988"/>
      <c r="AF331" s="684"/>
      <c r="AG331" s="693"/>
      <c r="AM331" s="693"/>
      <c r="AN331" s="696" t="s">
        <v>1884</v>
      </c>
      <c r="AP331" s="693"/>
      <c r="AR331" s="693"/>
    </row>
    <row r="332" spans="1:44" s="646" customFormat="1" ht="14.4" x14ac:dyDescent="0.3">
      <c r="A332" s="719"/>
      <c r="B332" s="720"/>
      <c r="C332" s="985" t="s">
        <v>1776</v>
      </c>
      <c r="D332" s="985"/>
      <c r="E332" s="985"/>
      <c r="F332" s="687"/>
      <c r="G332" s="688"/>
      <c r="H332" s="688"/>
      <c r="I332" s="688"/>
      <c r="J332" s="691"/>
      <c r="K332" s="688"/>
      <c r="L332" s="721">
        <v>-504841.54</v>
      </c>
      <c r="M332" s="715"/>
      <c r="N332" s="722">
        <v>-4119506.97</v>
      </c>
      <c r="AF332" s="684"/>
      <c r="AG332" s="693"/>
      <c r="AM332" s="693" t="s">
        <v>1776</v>
      </c>
      <c r="AP332" s="693"/>
      <c r="AR332" s="693"/>
    </row>
    <row r="333" spans="1:44" s="646" customFormat="1" ht="31.8" x14ac:dyDescent="0.3">
      <c r="A333" s="685" t="s">
        <v>132</v>
      </c>
      <c r="B333" s="686" t="s">
        <v>1200</v>
      </c>
      <c r="C333" s="985" t="s">
        <v>1891</v>
      </c>
      <c r="D333" s="985"/>
      <c r="E333" s="985"/>
      <c r="F333" s="687" t="s">
        <v>1846</v>
      </c>
      <c r="G333" s="688">
        <v>1755</v>
      </c>
      <c r="H333" s="689">
        <v>1</v>
      </c>
      <c r="I333" s="689">
        <v>1755</v>
      </c>
      <c r="J333" s="726">
        <v>245.1</v>
      </c>
      <c r="K333" s="690">
        <v>1.012</v>
      </c>
      <c r="L333" s="721">
        <v>435312.31</v>
      </c>
      <c r="M333" s="727">
        <v>8.16</v>
      </c>
      <c r="N333" s="722">
        <v>3552148.45</v>
      </c>
      <c r="AF333" s="684"/>
      <c r="AG333" s="693" t="s">
        <v>1891</v>
      </c>
      <c r="AM333" s="693"/>
      <c r="AP333" s="693"/>
      <c r="AR333" s="693"/>
    </row>
    <row r="334" spans="1:44" s="646" customFormat="1" ht="14.4" x14ac:dyDescent="0.3">
      <c r="A334" s="719"/>
      <c r="B334" s="720"/>
      <c r="C334" s="982" t="s">
        <v>1793</v>
      </c>
      <c r="D334" s="982"/>
      <c r="E334" s="982"/>
      <c r="F334" s="982"/>
      <c r="G334" s="982"/>
      <c r="H334" s="982"/>
      <c r="I334" s="982"/>
      <c r="J334" s="982"/>
      <c r="K334" s="982"/>
      <c r="L334" s="982"/>
      <c r="M334" s="982"/>
      <c r="N334" s="988"/>
      <c r="AF334" s="684"/>
      <c r="AG334" s="693"/>
      <c r="AM334" s="693"/>
      <c r="AN334" s="696" t="s">
        <v>1793</v>
      </c>
      <c r="AP334" s="693"/>
      <c r="AR334" s="693"/>
    </row>
    <row r="335" spans="1:44" s="646" customFormat="1" ht="14.4" x14ac:dyDescent="0.3">
      <c r="A335" s="694"/>
      <c r="B335" s="695"/>
      <c r="C335" s="982" t="s">
        <v>1892</v>
      </c>
      <c r="D335" s="982"/>
      <c r="E335" s="982"/>
      <c r="F335" s="982"/>
      <c r="G335" s="982"/>
      <c r="H335" s="982"/>
      <c r="I335" s="982"/>
      <c r="J335" s="982"/>
      <c r="K335" s="982"/>
      <c r="L335" s="982"/>
      <c r="M335" s="982"/>
      <c r="N335" s="988"/>
      <c r="AF335" s="684"/>
      <c r="AG335" s="693"/>
      <c r="AM335" s="693"/>
      <c r="AO335" s="696" t="s">
        <v>1892</v>
      </c>
      <c r="AP335" s="693"/>
      <c r="AR335" s="693"/>
    </row>
    <row r="336" spans="1:44" s="646" customFormat="1" ht="14.4" x14ac:dyDescent="0.3">
      <c r="A336" s="697"/>
      <c r="B336" s="698"/>
      <c r="C336" s="974" t="s">
        <v>1888</v>
      </c>
      <c r="D336" s="974"/>
      <c r="E336" s="974"/>
      <c r="F336" s="974"/>
      <c r="G336" s="974"/>
      <c r="H336" s="974"/>
      <c r="I336" s="974"/>
      <c r="J336" s="974"/>
      <c r="K336" s="974"/>
      <c r="L336" s="974"/>
      <c r="M336" s="974"/>
      <c r="N336" s="987"/>
      <c r="AF336" s="684"/>
      <c r="AG336" s="693"/>
      <c r="AI336" s="696" t="s">
        <v>1888</v>
      </c>
      <c r="AM336" s="693"/>
      <c r="AP336" s="693"/>
      <c r="AR336" s="693"/>
    </row>
    <row r="337" spans="1:44" s="646" customFormat="1" ht="14.4" x14ac:dyDescent="0.3">
      <c r="A337" s="719"/>
      <c r="B337" s="720"/>
      <c r="C337" s="985" t="s">
        <v>1776</v>
      </c>
      <c r="D337" s="985"/>
      <c r="E337" s="985"/>
      <c r="F337" s="687"/>
      <c r="G337" s="688"/>
      <c r="H337" s="688"/>
      <c r="I337" s="688"/>
      <c r="J337" s="691"/>
      <c r="K337" s="688"/>
      <c r="L337" s="721">
        <v>435312.31</v>
      </c>
      <c r="M337" s="715"/>
      <c r="N337" s="722">
        <v>3552148.45</v>
      </c>
      <c r="AF337" s="684"/>
      <c r="AG337" s="693"/>
      <c r="AM337" s="693" t="s">
        <v>1776</v>
      </c>
      <c r="AP337" s="693"/>
      <c r="AR337" s="693"/>
    </row>
    <row r="338" spans="1:44" s="646" customFormat="1" ht="14.4" x14ac:dyDescent="0.3">
      <c r="A338" s="685" t="s">
        <v>138</v>
      </c>
      <c r="B338" s="686" t="s">
        <v>1893</v>
      </c>
      <c r="C338" s="985" t="s">
        <v>1552</v>
      </c>
      <c r="D338" s="985"/>
      <c r="E338" s="985"/>
      <c r="F338" s="687" t="s">
        <v>1846</v>
      </c>
      <c r="G338" s="688">
        <v>-305.27999999999997</v>
      </c>
      <c r="H338" s="689">
        <v>1</v>
      </c>
      <c r="I338" s="727">
        <v>-305.27999999999997</v>
      </c>
      <c r="J338" s="726">
        <v>145.30000000000001</v>
      </c>
      <c r="K338" s="688"/>
      <c r="L338" s="721">
        <v>-44357.18</v>
      </c>
      <c r="M338" s="727">
        <v>8.16</v>
      </c>
      <c r="N338" s="722">
        <v>-361954.59</v>
      </c>
      <c r="AF338" s="684"/>
      <c r="AG338" s="693" t="s">
        <v>1552</v>
      </c>
      <c r="AM338" s="693"/>
      <c r="AP338" s="693"/>
      <c r="AR338" s="693"/>
    </row>
    <row r="339" spans="1:44" s="646" customFormat="1" ht="14.4" x14ac:dyDescent="0.3">
      <c r="A339" s="719"/>
      <c r="B339" s="720"/>
      <c r="C339" s="982" t="s">
        <v>1884</v>
      </c>
      <c r="D339" s="982"/>
      <c r="E339" s="982"/>
      <c r="F339" s="982"/>
      <c r="G339" s="982"/>
      <c r="H339" s="982"/>
      <c r="I339" s="982"/>
      <c r="J339" s="982"/>
      <c r="K339" s="982"/>
      <c r="L339" s="982"/>
      <c r="M339" s="982"/>
      <c r="N339" s="988"/>
      <c r="AF339" s="684"/>
      <c r="AG339" s="693"/>
      <c r="AM339" s="693"/>
      <c r="AN339" s="696" t="s">
        <v>1884</v>
      </c>
      <c r="AP339" s="693"/>
      <c r="AR339" s="693"/>
    </row>
    <row r="340" spans="1:44" s="646" customFormat="1" ht="14.4" x14ac:dyDescent="0.3">
      <c r="A340" s="719"/>
      <c r="B340" s="720"/>
      <c r="C340" s="985" t="s">
        <v>1776</v>
      </c>
      <c r="D340" s="985"/>
      <c r="E340" s="985"/>
      <c r="F340" s="687"/>
      <c r="G340" s="688"/>
      <c r="H340" s="688"/>
      <c r="I340" s="688"/>
      <c r="J340" s="691"/>
      <c r="K340" s="688"/>
      <c r="L340" s="721">
        <v>-44357.18</v>
      </c>
      <c r="M340" s="715"/>
      <c r="N340" s="722">
        <v>-361954.59</v>
      </c>
      <c r="AF340" s="684"/>
      <c r="AG340" s="693"/>
      <c r="AM340" s="693" t="s">
        <v>1776</v>
      </c>
      <c r="AP340" s="693"/>
      <c r="AR340" s="693"/>
    </row>
    <row r="341" spans="1:44" s="646" customFormat="1" ht="20.399999999999999" x14ac:dyDescent="0.3">
      <c r="A341" s="685" t="s">
        <v>144</v>
      </c>
      <c r="B341" s="686" t="s">
        <v>1202</v>
      </c>
      <c r="C341" s="985" t="s">
        <v>1894</v>
      </c>
      <c r="D341" s="985"/>
      <c r="E341" s="985"/>
      <c r="F341" s="687" t="s">
        <v>224</v>
      </c>
      <c r="G341" s="688">
        <v>5.7229999999999999</v>
      </c>
      <c r="H341" s="689">
        <v>1</v>
      </c>
      <c r="I341" s="690">
        <v>5.7229999999999999</v>
      </c>
      <c r="J341" s="721">
        <v>28084.15</v>
      </c>
      <c r="K341" s="690">
        <v>1.012</v>
      </c>
      <c r="L341" s="721">
        <v>162654.29999999999</v>
      </c>
      <c r="M341" s="727">
        <v>8.16</v>
      </c>
      <c r="N341" s="722">
        <v>1327259.0900000001</v>
      </c>
      <c r="AF341" s="684"/>
      <c r="AG341" s="693" t="s">
        <v>1894</v>
      </c>
      <c r="AM341" s="693"/>
      <c r="AP341" s="693"/>
      <c r="AR341" s="693"/>
    </row>
    <row r="342" spans="1:44" s="646" customFormat="1" ht="14.4" x14ac:dyDescent="0.3">
      <c r="A342" s="719"/>
      <c r="B342" s="720"/>
      <c r="C342" s="982" t="s">
        <v>1793</v>
      </c>
      <c r="D342" s="982"/>
      <c r="E342" s="982"/>
      <c r="F342" s="982"/>
      <c r="G342" s="982"/>
      <c r="H342" s="982"/>
      <c r="I342" s="982"/>
      <c r="J342" s="982"/>
      <c r="K342" s="982"/>
      <c r="L342" s="982"/>
      <c r="M342" s="982"/>
      <c r="N342" s="988"/>
      <c r="AF342" s="684"/>
      <c r="AG342" s="693"/>
      <c r="AM342" s="693"/>
      <c r="AN342" s="696" t="s">
        <v>1793</v>
      </c>
      <c r="AP342" s="693"/>
      <c r="AR342" s="693"/>
    </row>
    <row r="343" spans="1:44" s="646" customFormat="1" ht="14.4" x14ac:dyDescent="0.3">
      <c r="A343" s="694"/>
      <c r="B343" s="695"/>
      <c r="C343" s="982" t="s">
        <v>1895</v>
      </c>
      <c r="D343" s="982"/>
      <c r="E343" s="982"/>
      <c r="F343" s="982"/>
      <c r="G343" s="982"/>
      <c r="H343" s="982"/>
      <c r="I343" s="982"/>
      <c r="J343" s="982"/>
      <c r="K343" s="982"/>
      <c r="L343" s="982"/>
      <c r="M343" s="982"/>
      <c r="N343" s="988"/>
      <c r="AF343" s="684"/>
      <c r="AG343" s="693"/>
      <c r="AM343" s="693"/>
      <c r="AO343" s="696" t="s">
        <v>1895</v>
      </c>
      <c r="AP343" s="693"/>
      <c r="AR343" s="693"/>
    </row>
    <row r="344" spans="1:44" s="646" customFormat="1" ht="14.4" x14ac:dyDescent="0.3">
      <c r="A344" s="697"/>
      <c r="B344" s="698"/>
      <c r="C344" s="974" t="s">
        <v>1888</v>
      </c>
      <c r="D344" s="974"/>
      <c r="E344" s="974"/>
      <c r="F344" s="974"/>
      <c r="G344" s="974"/>
      <c r="H344" s="974"/>
      <c r="I344" s="974"/>
      <c r="J344" s="974"/>
      <c r="K344" s="974"/>
      <c r="L344" s="974"/>
      <c r="M344" s="974"/>
      <c r="N344" s="987"/>
      <c r="AF344" s="684"/>
      <c r="AG344" s="693"/>
      <c r="AI344" s="696" t="s">
        <v>1888</v>
      </c>
      <c r="AM344" s="693"/>
      <c r="AP344" s="693"/>
      <c r="AR344" s="693"/>
    </row>
    <row r="345" spans="1:44" s="646" customFormat="1" ht="14.4" x14ac:dyDescent="0.3">
      <c r="A345" s="719"/>
      <c r="B345" s="720"/>
      <c r="C345" s="985" t="s">
        <v>1776</v>
      </c>
      <c r="D345" s="985"/>
      <c r="E345" s="985"/>
      <c r="F345" s="687"/>
      <c r="G345" s="688"/>
      <c r="H345" s="688"/>
      <c r="I345" s="688"/>
      <c r="J345" s="691"/>
      <c r="K345" s="688"/>
      <c r="L345" s="721">
        <v>162654.29999999999</v>
      </c>
      <c r="M345" s="715"/>
      <c r="N345" s="722">
        <v>1327259.0900000001</v>
      </c>
      <c r="AF345" s="684"/>
      <c r="AG345" s="693"/>
      <c r="AM345" s="693" t="s">
        <v>1776</v>
      </c>
      <c r="AP345" s="693"/>
      <c r="AR345" s="693"/>
    </row>
    <row r="346" spans="1:44" s="646" customFormat="1" ht="21.6" x14ac:dyDescent="0.3">
      <c r="A346" s="685" t="s">
        <v>150</v>
      </c>
      <c r="B346" s="686" t="s">
        <v>1896</v>
      </c>
      <c r="C346" s="985" t="s">
        <v>1897</v>
      </c>
      <c r="D346" s="985"/>
      <c r="E346" s="985"/>
      <c r="F346" s="687" t="s">
        <v>1846</v>
      </c>
      <c r="G346" s="688">
        <v>-3510.72</v>
      </c>
      <c r="H346" s="689">
        <v>1</v>
      </c>
      <c r="I346" s="727">
        <v>-3510.72</v>
      </c>
      <c r="J346" s="726">
        <v>66.400000000000006</v>
      </c>
      <c r="K346" s="688"/>
      <c r="L346" s="721">
        <v>-233111.81</v>
      </c>
      <c r="M346" s="727">
        <v>8.16</v>
      </c>
      <c r="N346" s="722">
        <v>-1902192.37</v>
      </c>
      <c r="AF346" s="684"/>
      <c r="AG346" s="693" t="s">
        <v>1897</v>
      </c>
      <c r="AM346" s="693"/>
      <c r="AP346" s="693"/>
      <c r="AR346" s="693"/>
    </row>
    <row r="347" spans="1:44" s="646" customFormat="1" ht="14.4" x14ac:dyDescent="0.3">
      <c r="A347" s="719"/>
      <c r="B347" s="720"/>
      <c r="C347" s="982" t="s">
        <v>1884</v>
      </c>
      <c r="D347" s="982"/>
      <c r="E347" s="982"/>
      <c r="F347" s="982"/>
      <c r="G347" s="982"/>
      <c r="H347" s="982"/>
      <c r="I347" s="982"/>
      <c r="J347" s="982"/>
      <c r="K347" s="982"/>
      <c r="L347" s="982"/>
      <c r="M347" s="982"/>
      <c r="N347" s="988"/>
      <c r="AF347" s="684"/>
      <c r="AG347" s="693"/>
      <c r="AM347" s="693"/>
      <c r="AN347" s="696" t="s">
        <v>1884</v>
      </c>
      <c r="AP347" s="693"/>
      <c r="AR347" s="693"/>
    </row>
    <row r="348" spans="1:44" s="646" customFormat="1" ht="14.4" x14ac:dyDescent="0.3">
      <c r="A348" s="719"/>
      <c r="B348" s="720"/>
      <c r="C348" s="985" t="s">
        <v>1776</v>
      </c>
      <c r="D348" s="985"/>
      <c r="E348" s="985"/>
      <c r="F348" s="687"/>
      <c r="G348" s="688"/>
      <c r="H348" s="688"/>
      <c r="I348" s="688"/>
      <c r="J348" s="691"/>
      <c r="K348" s="688"/>
      <c r="L348" s="721">
        <v>-233111.81</v>
      </c>
      <c r="M348" s="715"/>
      <c r="N348" s="722">
        <v>-1902192.37</v>
      </c>
      <c r="AF348" s="684"/>
      <c r="AG348" s="693"/>
      <c r="AM348" s="693" t="s">
        <v>1776</v>
      </c>
      <c r="AP348" s="693"/>
      <c r="AR348" s="693"/>
    </row>
    <row r="349" spans="1:44" s="646" customFormat="1" ht="21.6" x14ac:dyDescent="0.3">
      <c r="A349" s="685" t="s">
        <v>155</v>
      </c>
      <c r="B349" s="686" t="s">
        <v>1898</v>
      </c>
      <c r="C349" s="985" t="s">
        <v>1899</v>
      </c>
      <c r="D349" s="985"/>
      <c r="E349" s="985"/>
      <c r="F349" s="687" t="s">
        <v>224</v>
      </c>
      <c r="G349" s="688">
        <v>-3.282</v>
      </c>
      <c r="H349" s="689">
        <v>1</v>
      </c>
      <c r="I349" s="690">
        <v>-3.282</v>
      </c>
      <c r="J349" s="721">
        <v>11859</v>
      </c>
      <c r="K349" s="688"/>
      <c r="L349" s="721">
        <v>-38921.24</v>
      </c>
      <c r="M349" s="727">
        <v>8.16</v>
      </c>
      <c r="N349" s="722">
        <v>-317597.32</v>
      </c>
      <c r="AF349" s="684"/>
      <c r="AG349" s="693" t="s">
        <v>1899</v>
      </c>
      <c r="AM349" s="693"/>
      <c r="AP349" s="693"/>
      <c r="AR349" s="693"/>
    </row>
    <row r="350" spans="1:44" s="646" customFormat="1" ht="14.4" x14ac:dyDescent="0.3">
      <c r="A350" s="719"/>
      <c r="B350" s="720"/>
      <c r="C350" s="982" t="s">
        <v>1884</v>
      </c>
      <c r="D350" s="982"/>
      <c r="E350" s="982"/>
      <c r="F350" s="982"/>
      <c r="G350" s="982"/>
      <c r="H350" s="982"/>
      <c r="I350" s="982"/>
      <c r="J350" s="982"/>
      <c r="K350" s="982"/>
      <c r="L350" s="982"/>
      <c r="M350" s="982"/>
      <c r="N350" s="988"/>
      <c r="AF350" s="684"/>
      <c r="AG350" s="693"/>
      <c r="AM350" s="693"/>
      <c r="AN350" s="696" t="s">
        <v>1884</v>
      </c>
      <c r="AP350" s="693"/>
      <c r="AR350" s="693"/>
    </row>
    <row r="351" spans="1:44" s="646" customFormat="1" ht="14.4" x14ac:dyDescent="0.3">
      <c r="A351" s="719"/>
      <c r="B351" s="720"/>
      <c r="C351" s="985" t="s">
        <v>1776</v>
      </c>
      <c r="D351" s="985"/>
      <c r="E351" s="985"/>
      <c r="F351" s="687"/>
      <c r="G351" s="688"/>
      <c r="H351" s="688"/>
      <c r="I351" s="688"/>
      <c r="J351" s="691"/>
      <c r="K351" s="688"/>
      <c r="L351" s="721">
        <v>-38921.24</v>
      </c>
      <c r="M351" s="715"/>
      <c r="N351" s="722">
        <v>-317597.32</v>
      </c>
      <c r="AF351" s="684"/>
      <c r="AG351" s="693"/>
      <c r="AM351" s="693" t="s">
        <v>1776</v>
      </c>
      <c r="AP351" s="693"/>
      <c r="AR351" s="693"/>
    </row>
    <row r="352" spans="1:44" s="646" customFormat="1" ht="14.4" x14ac:dyDescent="0.3">
      <c r="A352" s="685" t="s">
        <v>160</v>
      </c>
      <c r="B352" s="686" t="s">
        <v>1900</v>
      </c>
      <c r="C352" s="985" t="s">
        <v>1901</v>
      </c>
      <c r="D352" s="985"/>
      <c r="E352" s="985"/>
      <c r="F352" s="687" t="s">
        <v>224</v>
      </c>
      <c r="G352" s="688">
        <v>-7.9089999999999998</v>
      </c>
      <c r="H352" s="689">
        <v>1</v>
      </c>
      <c r="I352" s="690">
        <v>-7.9089999999999998</v>
      </c>
      <c r="J352" s="721">
        <v>11856</v>
      </c>
      <c r="K352" s="688"/>
      <c r="L352" s="721">
        <v>-93769.1</v>
      </c>
      <c r="M352" s="727">
        <v>8.16</v>
      </c>
      <c r="N352" s="722">
        <v>-765155.86</v>
      </c>
      <c r="AF352" s="684"/>
      <c r="AG352" s="693" t="s">
        <v>1901</v>
      </c>
      <c r="AM352" s="693"/>
      <c r="AP352" s="693"/>
      <c r="AR352" s="693"/>
    </row>
    <row r="353" spans="1:44" s="646" customFormat="1" ht="14.4" x14ac:dyDescent="0.3">
      <c r="A353" s="719"/>
      <c r="B353" s="720"/>
      <c r="C353" s="982" t="s">
        <v>1884</v>
      </c>
      <c r="D353" s="982"/>
      <c r="E353" s="982"/>
      <c r="F353" s="982"/>
      <c r="G353" s="982"/>
      <c r="H353" s="982"/>
      <c r="I353" s="982"/>
      <c r="J353" s="982"/>
      <c r="K353" s="982"/>
      <c r="L353" s="982"/>
      <c r="M353" s="982"/>
      <c r="N353" s="988"/>
      <c r="AF353" s="684"/>
      <c r="AG353" s="693"/>
      <c r="AM353" s="693"/>
      <c r="AN353" s="696" t="s">
        <v>1884</v>
      </c>
      <c r="AP353" s="693"/>
      <c r="AR353" s="693"/>
    </row>
    <row r="354" spans="1:44" s="646" customFormat="1" ht="14.4" x14ac:dyDescent="0.3">
      <c r="A354" s="719"/>
      <c r="B354" s="720"/>
      <c r="C354" s="985" t="s">
        <v>1776</v>
      </c>
      <c r="D354" s="985"/>
      <c r="E354" s="985"/>
      <c r="F354" s="687"/>
      <c r="G354" s="688"/>
      <c r="H354" s="688"/>
      <c r="I354" s="688"/>
      <c r="J354" s="691"/>
      <c r="K354" s="688"/>
      <c r="L354" s="721">
        <v>-93769.1</v>
      </c>
      <c r="M354" s="715"/>
      <c r="N354" s="722">
        <v>-765155.86</v>
      </c>
      <c r="AF354" s="684"/>
      <c r="AG354" s="693"/>
      <c r="AM354" s="693" t="s">
        <v>1776</v>
      </c>
      <c r="AP354" s="693"/>
      <c r="AR354" s="693"/>
    </row>
    <row r="355" spans="1:44" s="646" customFormat="1" ht="21.6" x14ac:dyDescent="0.3">
      <c r="A355" s="685" t="s">
        <v>1902</v>
      </c>
      <c r="B355" s="686" t="s">
        <v>1903</v>
      </c>
      <c r="C355" s="985" t="s">
        <v>1904</v>
      </c>
      <c r="D355" s="985"/>
      <c r="E355" s="985"/>
      <c r="F355" s="687" t="s">
        <v>1846</v>
      </c>
      <c r="G355" s="688">
        <v>-3510.72</v>
      </c>
      <c r="H355" s="689">
        <v>1</v>
      </c>
      <c r="I355" s="727">
        <v>-3510.72</v>
      </c>
      <c r="J355" s="726">
        <v>5.5</v>
      </c>
      <c r="K355" s="688"/>
      <c r="L355" s="721">
        <v>-19308.96</v>
      </c>
      <c r="M355" s="727">
        <v>8.16</v>
      </c>
      <c r="N355" s="722">
        <v>-157561.10999999999</v>
      </c>
      <c r="AF355" s="684"/>
      <c r="AG355" s="693" t="s">
        <v>1904</v>
      </c>
      <c r="AM355" s="693"/>
      <c r="AP355" s="693"/>
      <c r="AR355" s="693"/>
    </row>
    <row r="356" spans="1:44" s="646" customFormat="1" ht="14.4" x14ac:dyDescent="0.3">
      <c r="A356" s="719"/>
      <c r="B356" s="720"/>
      <c r="C356" s="982" t="s">
        <v>1884</v>
      </c>
      <c r="D356" s="982"/>
      <c r="E356" s="982"/>
      <c r="F356" s="982"/>
      <c r="G356" s="982"/>
      <c r="H356" s="982"/>
      <c r="I356" s="982"/>
      <c r="J356" s="982"/>
      <c r="K356" s="982"/>
      <c r="L356" s="982"/>
      <c r="M356" s="982"/>
      <c r="N356" s="988"/>
      <c r="AF356" s="684"/>
      <c r="AG356" s="693"/>
      <c r="AM356" s="693"/>
      <c r="AN356" s="696" t="s">
        <v>1884</v>
      </c>
      <c r="AP356" s="693"/>
      <c r="AR356" s="693"/>
    </row>
    <row r="357" spans="1:44" s="646" customFormat="1" ht="14.4" x14ac:dyDescent="0.3">
      <c r="A357" s="719"/>
      <c r="B357" s="720"/>
      <c r="C357" s="985" t="s">
        <v>1776</v>
      </c>
      <c r="D357" s="985"/>
      <c r="E357" s="985"/>
      <c r="F357" s="687"/>
      <c r="G357" s="688"/>
      <c r="H357" s="688"/>
      <c r="I357" s="688"/>
      <c r="J357" s="691"/>
      <c r="K357" s="688"/>
      <c r="L357" s="721">
        <v>-19308.96</v>
      </c>
      <c r="M357" s="715"/>
      <c r="N357" s="722">
        <v>-157561.10999999999</v>
      </c>
      <c r="AF357" s="684"/>
      <c r="AG357" s="693"/>
      <c r="AM357" s="693" t="s">
        <v>1776</v>
      </c>
      <c r="AP357" s="693"/>
      <c r="AR357" s="693"/>
    </row>
    <row r="358" spans="1:44" s="646" customFormat="1" ht="42" x14ac:dyDescent="0.3">
      <c r="A358" s="685" t="s">
        <v>1905</v>
      </c>
      <c r="B358" s="686" t="s">
        <v>1207</v>
      </c>
      <c r="C358" s="985" t="s">
        <v>1906</v>
      </c>
      <c r="D358" s="985"/>
      <c r="E358" s="985"/>
      <c r="F358" s="687" t="s">
        <v>1853</v>
      </c>
      <c r="G358" s="688">
        <v>3511</v>
      </c>
      <c r="H358" s="689">
        <v>1</v>
      </c>
      <c r="I358" s="689">
        <v>3511</v>
      </c>
      <c r="J358" s="726">
        <v>368.67</v>
      </c>
      <c r="K358" s="690">
        <v>1.012</v>
      </c>
      <c r="L358" s="721">
        <v>1309933.17</v>
      </c>
      <c r="M358" s="727">
        <v>8.16</v>
      </c>
      <c r="N358" s="722">
        <v>10689054.67</v>
      </c>
      <c r="AF358" s="684"/>
      <c r="AG358" s="693" t="s">
        <v>1906</v>
      </c>
      <c r="AM358" s="693"/>
      <c r="AP358" s="693"/>
      <c r="AR358" s="693"/>
    </row>
    <row r="359" spans="1:44" s="646" customFormat="1" ht="14.4" x14ac:dyDescent="0.3">
      <c r="A359" s="719"/>
      <c r="B359" s="720"/>
      <c r="C359" s="982" t="s">
        <v>1793</v>
      </c>
      <c r="D359" s="982"/>
      <c r="E359" s="982"/>
      <c r="F359" s="982"/>
      <c r="G359" s="982"/>
      <c r="H359" s="982"/>
      <c r="I359" s="982"/>
      <c r="J359" s="982"/>
      <c r="K359" s="982"/>
      <c r="L359" s="982"/>
      <c r="M359" s="982"/>
      <c r="N359" s="988"/>
      <c r="AF359" s="684"/>
      <c r="AG359" s="693"/>
      <c r="AM359" s="693"/>
      <c r="AN359" s="696" t="s">
        <v>1793</v>
      </c>
      <c r="AP359" s="693"/>
      <c r="AR359" s="693"/>
    </row>
    <row r="360" spans="1:44" s="646" customFormat="1" ht="14.4" x14ac:dyDescent="0.3">
      <c r="A360" s="694"/>
      <c r="B360" s="695"/>
      <c r="C360" s="982" t="s">
        <v>1907</v>
      </c>
      <c r="D360" s="982"/>
      <c r="E360" s="982"/>
      <c r="F360" s="982"/>
      <c r="G360" s="982"/>
      <c r="H360" s="982"/>
      <c r="I360" s="982"/>
      <c r="J360" s="982"/>
      <c r="K360" s="982"/>
      <c r="L360" s="982"/>
      <c r="M360" s="982"/>
      <c r="N360" s="988"/>
      <c r="AF360" s="684"/>
      <c r="AG360" s="693"/>
      <c r="AM360" s="693"/>
      <c r="AO360" s="696" t="s">
        <v>1907</v>
      </c>
      <c r="AP360" s="693"/>
      <c r="AR360" s="693"/>
    </row>
    <row r="361" spans="1:44" s="646" customFormat="1" ht="14.4" x14ac:dyDescent="0.3">
      <c r="A361" s="697"/>
      <c r="B361" s="698"/>
      <c r="C361" s="974" t="s">
        <v>1888</v>
      </c>
      <c r="D361" s="974"/>
      <c r="E361" s="974"/>
      <c r="F361" s="974"/>
      <c r="G361" s="974"/>
      <c r="H361" s="974"/>
      <c r="I361" s="974"/>
      <c r="J361" s="974"/>
      <c r="K361" s="974"/>
      <c r="L361" s="974"/>
      <c r="M361" s="974"/>
      <c r="N361" s="987"/>
      <c r="AF361" s="684"/>
      <c r="AG361" s="693"/>
      <c r="AI361" s="696" t="s">
        <v>1888</v>
      </c>
      <c r="AM361" s="693"/>
      <c r="AP361" s="693"/>
      <c r="AR361" s="693"/>
    </row>
    <row r="362" spans="1:44" s="646" customFormat="1" ht="14.4" x14ac:dyDescent="0.3">
      <c r="A362" s="719"/>
      <c r="B362" s="720"/>
      <c r="C362" s="985" t="s">
        <v>1776</v>
      </c>
      <c r="D362" s="985"/>
      <c r="E362" s="985"/>
      <c r="F362" s="687"/>
      <c r="G362" s="688"/>
      <c r="H362" s="688"/>
      <c r="I362" s="688"/>
      <c r="J362" s="691"/>
      <c r="K362" s="688"/>
      <c r="L362" s="721">
        <v>1309933.17</v>
      </c>
      <c r="M362" s="715"/>
      <c r="N362" s="722">
        <v>10689054.67</v>
      </c>
      <c r="AF362" s="684"/>
      <c r="AG362" s="693"/>
      <c r="AM362" s="693" t="s">
        <v>1776</v>
      </c>
      <c r="AP362" s="693"/>
      <c r="AR362" s="693"/>
    </row>
    <row r="363" spans="1:44" s="646" customFormat="1" ht="42" x14ac:dyDescent="0.3">
      <c r="A363" s="685" t="s">
        <v>1908</v>
      </c>
      <c r="B363" s="686" t="s">
        <v>1880</v>
      </c>
      <c r="C363" s="985" t="s">
        <v>1909</v>
      </c>
      <c r="D363" s="985"/>
      <c r="E363" s="985"/>
      <c r="F363" s="687" t="s">
        <v>1856</v>
      </c>
      <c r="G363" s="688">
        <v>0.25700000000000001</v>
      </c>
      <c r="H363" s="689">
        <v>1</v>
      </c>
      <c r="I363" s="690">
        <v>0.25700000000000001</v>
      </c>
      <c r="J363" s="691"/>
      <c r="K363" s="688"/>
      <c r="L363" s="691"/>
      <c r="M363" s="688"/>
      <c r="N363" s="692"/>
      <c r="AF363" s="684"/>
      <c r="AG363" s="693" t="s">
        <v>1909</v>
      </c>
      <c r="AM363" s="693"/>
      <c r="AP363" s="693"/>
      <c r="AR363" s="693"/>
    </row>
    <row r="364" spans="1:44" s="646" customFormat="1" ht="14.4" x14ac:dyDescent="0.3">
      <c r="A364" s="694"/>
      <c r="B364" s="695"/>
      <c r="C364" s="982" t="s">
        <v>1910</v>
      </c>
      <c r="D364" s="982"/>
      <c r="E364" s="982"/>
      <c r="F364" s="982"/>
      <c r="G364" s="982"/>
      <c r="H364" s="982"/>
      <c r="I364" s="982"/>
      <c r="J364" s="982"/>
      <c r="K364" s="982"/>
      <c r="L364" s="982"/>
      <c r="M364" s="982"/>
      <c r="N364" s="988"/>
      <c r="AF364" s="684"/>
      <c r="AG364" s="693"/>
      <c r="AH364" s="696" t="s">
        <v>1910</v>
      </c>
      <c r="AM364" s="693"/>
      <c r="AP364" s="693"/>
      <c r="AR364" s="693"/>
    </row>
    <row r="365" spans="1:44" s="646" customFormat="1" ht="21.6" x14ac:dyDescent="0.3">
      <c r="A365" s="697"/>
      <c r="B365" s="698" t="s">
        <v>1759</v>
      </c>
      <c r="C365" s="974" t="s">
        <v>1760</v>
      </c>
      <c r="D365" s="974"/>
      <c r="E365" s="974"/>
      <c r="F365" s="974"/>
      <c r="G365" s="974"/>
      <c r="H365" s="974"/>
      <c r="I365" s="974"/>
      <c r="J365" s="974"/>
      <c r="K365" s="974"/>
      <c r="L365" s="974"/>
      <c r="M365" s="974"/>
      <c r="N365" s="987"/>
      <c r="AF365" s="684"/>
      <c r="AG365" s="693"/>
      <c r="AI365" s="696" t="s">
        <v>1760</v>
      </c>
      <c r="AM365" s="693"/>
      <c r="AP365" s="693"/>
      <c r="AR365" s="693"/>
    </row>
    <row r="366" spans="1:44" s="646" customFormat="1" ht="52.2" x14ac:dyDescent="0.3">
      <c r="A366" s="697"/>
      <c r="B366" s="698" t="s">
        <v>1761</v>
      </c>
      <c r="C366" s="974" t="s">
        <v>1762</v>
      </c>
      <c r="D366" s="974"/>
      <c r="E366" s="974"/>
      <c r="F366" s="974"/>
      <c r="G366" s="974"/>
      <c r="H366" s="974"/>
      <c r="I366" s="974"/>
      <c r="J366" s="974"/>
      <c r="K366" s="974"/>
      <c r="L366" s="974"/>
      <c r="M366" s="974"/>
      <c r="N366" s="987"/>
      <c r="AF366" s="684"/>
      <c r="AG366" s="693"/>
      <c r="AI366" s="696" t="s">
        <v>1762</v>
      </c>
      <c r="AM366" s="693"/>
      <c r="AP366" s="693"/>
      <c r="AR366" s="693"/>
    </row>
    <row r="367" spans="1:44" s="646" customFormat="1" ht="14.4" x14ac:dyDescent="0.3">
      <c r="A367" s="699"/>
      <c r="B367" s="698" t="s">
        <v>18</v>
      </c>
      <c r="C367" s="982" t="s">
        <v>1763</v>
      </c>
      <c r="D367" s="982"/>
      <c r="E367" s="982"/>
      <c r="F367" s="700"/>
      <c r="G367" s="701"/>
      <c r="H367" s="701"/>
      <c r="I367" s="701"/>
      <c r="J367" s="706">
        <v>9639.6</v>
      </c>
      <c r="K367" s="725">
        <v>1.3225</v>
      </c>
      <c r="L367" s="706">
        <v>3276.33</v>
      </c>
      <c r="M367" s="704">
        <v>44.77</v>
      </c>
      <c r="N367" s="705">
        <v>146681.29</v>
      </c>
      <c r="AF367" s="684"/>
      <c r="AG367" s="693"/>
      <c r="AJ367" s="696" t="s">
        <v>1763</v>
      </c>
      <c r="AM367" s="693"/>
      <c r="AP367" s="693"/>
      <c r="AR367" s="693"/>
    </row>
    <row r="368" spans="1:44" s="646" customFormat="1" ht="14.4" x14ac:dyDescent="0.3">
      <c r="A368" s="699"/>
      <c r="B368" s="698" t="s">
        <v>21</v>
      </c>
      <c r="C368" s="982" t="s">
        <v>1764</v>
      </c>
      <c r="D368" s="982"/>
      <c r="E368" s="982"/>
      <c r="F368" s="700"/>
      <c r="G368" s="701"/>
      <c r="H368" s="701"/>
      <c r="I368" s="701"/>
      <c r="J368" s="706">
        <v>23560.16</v>
      </c>
      <c r="K368" s="725">
        <v>1.4375</v>
      </c>
      <c r="L368" s="706">
        <v>8704.01</v>
      </c>
      <c r="M368" s="704">
        <v>13.24</v>
      </c>
      <c r="N368" s="705">
        <v>115241.09</v>
      </c>
      <c r="AF368" s="684"/>
      <c r="AG368" s="693"/>
      <c r="AJ368" s="696" t="s">
        <v>1764</v>
      </c>
      <c r="AM368" s="693"/>
      <c r="AP368" s="693"/>
      <c r="AR368" s="693"/>
    </row>
    <row r="369" spans="1:44" s="646" customFormat="1" ht="14.4" x14ac:dyDescent="0.3">
      <c r="A369" s="699"/>
      <c r="B369" s="698" t="s">
        <v>23</v>
      </c>
      <c r="C369" s="982" t="s">
        <v>1765</v>
      </c>
      <c r="D369" s="982"/>
      <c r="E369" s="982"/>
      <c r="F369" s="700"/>
      <c r="G369" s="701"/>
      <c r="H369" s="701"/>
      <c r="I369" s="701"/>
      <c r="J369" s="706">
        <v>1283.78</v>
      </c>
      <c r="K369" s="725">
        <v>1.4375</v>
      </c>
      <c r="L369" s="702">
        <v>474.28</v>
      </c>
      <c r="M369" s="704">
        <v>44.77</v>
      </c>
      <c r="N369" s="705">
        <v>21233.52</v>
      </c>
      <c r="AF369" s="684"/>
      <c r="AG369" s="693"/>
      <c r="AJ369" s="696" t="s">
        <v>1765</v>
      </c>
      <c r="AM369" s="693"/>
      <c r="AP369" s="693"/>
      <c r="AR369" s="693"/>
    </row>
    <row r="370" spans="1:44" s="646" customFormat="1" ht="14.4" x14ac:dyDescent="0.3">
      <c r="A370" s="699"/>
      <c r="B370" s="698" t="s">
        <v>25</v>
      </c>
      <c r="C370" s="982" t="s">
        <v>1766</v>
      </c>
      <c r="D370" s="982"/>
      <c r="E370" s="982"/>
      <c r="F370" s="700"/>
      <c r="G370" s="701"/>
      <c r="H370" s="701"/>
      <c r="I370" s="701"/>
      <c r="J370" s="706">
        <v>1731974.32</v>
      </c>
      <c r="K370" s="701"/>
      <c r="L370" s="706">
        <v>445117.4</v>
      </c>
      <c r="M370" s="704">
        <v>8.16</v>
      </c>
      <c r="N370" s="705">
        <v>3632157.98</v>
      </c>
      <c r="AF370" s="684"/>
      <c r="AG370" s="693"/>
      <c r="AJ370" s="696" t="s">
        <v>1766</v>
      </c>
      <c r="AM370" s="693"/>
      <c r="AP370" s="693"/>
      <c r="AR370" s="693"/>
    </row>
    <row r="371" spans="1:44" s="646" customFormat="1" ht="14.4" x14ac:dyDescent="0.3">
      <c r="A371" s="708"/>
      <c r="B371" s="698"/>
      <c r="C371" s="982" t="s">
        <v>1767</v>
      </c>
      <c r="D371" s="982"/>
      <c r="E371" s="982"/>
      <c r="F371" s="700" t="s">
        <v>695</v>
      </c>
      <c r="G371" s="718">
        <v>1160</v>
      </c>
      <c r="H371" s="725">
        <v>1.3225</v>
      </c>
      <c r="I371" s="725">
        <v>394.26369999999997</v>
      </c>
      <c r="J371" s="711"/>
      <c r="K371" s="701"/>
      <c r="L371" s="711"/>
      <c r="M371" s="701"/>
      <c r="N371" s="712"/>
      <c r="AF371" s="684"/>
      <c r="AG371" s="693"/>
      <c r="AK371" s="696" t="s">
        <v>1767</v>
      </c>
      <c r="AM371" s="693"/>
      <c r="AP371" s="693"/>
      <c r="AR371" s="693"/>
    </row>
    <row r="372" spans="1:44" s="646" customFormat="1" ht="14.4" x14ac:dyDescent="0.3">
      <c r="A372" s="708"/>
      <c r="B372" s="698"/>
      <c r="C372" s="982" t="s">
        <v>1768</v>
      </c>
      <c r="D372" s="982"/>
      <c r="E372" s="982"/>
      <c r="F372" s="700" t="s">
        <v>695</v>
      </c>
      <c r="G372" s="709">
        <v>105.2</v>
      </c>
      <c r="H372" s="725">
        <v>1.4375</v>
      </c>
      <c r="I372" s="723">
        <v>38.864825000000003</v>
      </c>
      <c r="J372" s="711"/>
      <c r="K372" s="701"/>
      <c r="L372" s="711"/>
      <c r="M372" s="701"/>
      <c r="N372" s="712"/>
      <c r="AF372" s="684"/>
      <c r="AG372" s="693"/>
      <c r="AK372" s="696" t="s">
        <v>1768</v>
      </c>
      <c r="AM372" s="693"/>
      <c r="AP372" s="693"/>
      <c r="AR372" s="693"/>
    </row>
    <row r="373" spans="1:44" s="646" customFormat="1" ht="14.4" x14ac:dyDescent="0.3">
      <c r="A373" s="699"/>
      <c r="B373" s="698"/>
      <c r="C373" s="986" t="s">
        <v>1769</v>
      </c>
      <c r="D373" s="986"/>
      <c r="E373" s="986"/>
      <c r="F373" s="714"/>
      <c r="G373" s="715"/>
      <c r="H373" s="715"/>
      <c r="I373" s="715"/>
      <c r="J373" s="716">
        <v>1765174.08</v>
      </c>
      <c r="K373" s="715"/>
      <c r="L373" s="716">
        <v>457097.74</v>
      </c>
      <c r="M373" s="715"/>
      <c r="N373" s="717">
        <v>3894080.36</v>
      </c>
      <c r="AF373" s="684"/>
      <c r="AG373" s="693"/>
      <c r="AL373" s="696" t="s">
        <v>1769</v>
      </c>
      <c r="AM373" s="693"/>
      <c r="AP373" s="693"/>
      <c r="AR373" s="693"/>
    </row>
    <row r="374" spans="1:44" s="646" customFormat="1" ht="14.4" x14ac:dyDescent="0.3">
      <c r="A374" s="708"/>
      <c r="B374" s="698"/>
      <c r="C374" s="982" t="s">
        <v>1770</v>
      </c>
      <c r="D374" s="982"/>
      <c r="E374" s="982"/>
      <c r="F374" s="700"/>
      <c r="G374" s="701"/>
      <c r="H374" s="701"/>
      <c r="I374" s="701"/>
      <c r="J374" s="711"/>
      <c r="K374" s="701"/>
      <c r="L374" s="706">
        <v>3750.61</v>
      </c>
      <c r="M374" s="701"/>
      <c r="N374" s="705">
        <v>167914.81</v>
      </c>
      <c r="AF374" s="684"/>
      <c r="AG374" s="693"/>
      <c r="AK374" s="696" t="s">
        <v>1770</v>
      </c>
      <c r="AM374" s="693"/>
      <c r="AP374" s="693"/>
      <c r="AR374" s="693"/>
    </row>
    <row r="375" spans="1:44" s="646" customFormat="1" ht="20.399999999999999" x14ac:dyDescent="0.3">
      <c r="A375" s="708"/>
      <c r="B375" s="698" t="s">
        <v>1847</v>
      </c>
      <c r="C375" s="982" t="s">
        <v>1848</v>
      </c>
      <c r="D375" s="982"/>
      <c r="E375" s="982"/>
      <c r="F375" s="700" t="s">
        <v>1773</v>
      </c>
      <c r="G375" s="718">
        <v>109</v>
      </c>
      <c r="H375" s="701"/>
      <c r="I375" s="718">
        <v>109</v>
      </c>
      <c r="J375" s="711"/>
      <c r="K375" s="701"/>
      <c r="L375" s="706">
        <v>4088.16</v>
      </c>
      <c r="M375" s="701"/>
      <c r="N375" s="705">
        <v>183027.14</v>
      </c>
      <c r="AF375" s="684"/>
      <c r="AG375" s="693"/>
      <c r="AK375" s="696" t="s">
        <v>1848</v>
      </c>
      <c r="AM375" s="693"/>
      <c r="AP375" s="693"/>
      <c r="AR375" s="693"/>
    </row>
    <row r="376" spans="1:44" s="646" customFormat="1" ht="40.799999999999997" x14ac:dyDescent="0.3">
      <c r="A376" s="708"/>
      <c r="B376" s="698" t="s">
        <v>1849</v>
      </c>
      <c r="C376" s="982" t="s">
        <v>1850</v>
      </c>
      <c r="D376" s="982"/>
      <c r="E376" s="982"/>
      <c r="F376" s="700" t="s">
        <v>1773</v>
      </c>
      <c r="G376" s="718">
        <v>65</v>
      </c>
      <c r="H376" s="704">
        <v>0.85</v>
      </c>
      <c r="I376" s="704">
        <v>55.25</v>
      </c>
      <c r="J376" s="711"/>
      <c r="K376" s="701"/>
      <c r="L376" s="706">
        <v>2072.21</v>
      </c>
      <c r="M376" s="701"/>
      <c r="N376" s="705">
        <v>92772.93</v>
      </c>
      <c r="AF376" s="684"/>
      <c r="AG376" s="693"/>
      <c r="AK376" s="696" t="s">
        <v>1850</v>
      </c>
      <c r="AM376" s="693"/>
      <c r="AP376" s="693"/>
      <c r="AR376" s="693"/>
    </row>
    <row r="377" spans="1:44" s="646" customFormat="1" ht="14.4" x14ac:dyDescent="0.3">
      <c r="A377" s="719"/>
      <c r="B377" s="720"/>
      <c r="C377" s="985" t="s">
        <v>1776</v>
      </c>
      <c r="D377" s="985"/>
      <c r="E377" s="985"/>
      <c r="F377" s="687"/>
      <c r="G377" s="688"/>
      <c r="H377" s="688"/>
      <c r="I377" s="688"/>
      <c r="J377" s="691"/>
      <c r="K377" s="688"/>
      <c r="L377" s="721">
        <v>463258.11</v>
      </c>
      <c r="M377" s="715"/>
      <c r="N377" s="722">
        <v>4169880.43</v>
      </c>
      <c r="AF377" s="684"/>
      <c r="AG377" s="693"/>
      <c r="AM377" s="693" t="s">
        <v>1776</v>
      </c>
      <c r="AP377" s="693"/>
      <c r="AR377" s="693"/>
    </row>
    <row r="378" spans="1:44" s="646" customFormat="1" ht="14.4" x14ac:dyDescent="0.3">
      <c r="A378" s="685" t="s">
        <v>1911</v>
      </c>
      <c r="B378" s="686" t="s">
        <v>1893</v>
      </c>
      <c r="C378" s="985" t="s">
        <v>1552</v>
      </c>
      <c r="D378" s="985"/>
      <c r="E378" s="985"/>
      <c r="F378" s="687" t="s">
        <v>1846</v>
      </c>
      <c r="G378" s="688">
        <v>-82.24</v>
      </c>
      <c r="H378" s="689">
        <v>1</v>
      </c>
      <c r="I378" s="727">
        <v>-82.24</v>
      </c>
      <c r="J378" s="726">
        <v>145.30000000000001</v>
      </c>
      <c r="K378" s="688"/>
      <c r="L378" s="721">
        <v>-11949.47</v>
      </c>
      <c r="M378" s="727">
        <v>8.16</v>
      </c>
      <c r="N378" s="722">
        <v>-97507.68</v>
      </c>
      <c r="AF378" s="684"/>
      <c r="AG378" s="693" t="s">
        <v>1552</v>
      </c>
      <c r="AM378" s="693"/>
      <c r="AP378" s="693"/>
      <c r="AR378" s="693"/>
    </row>
    <row r="379" spans="1:44" s="646" customFormat="1" ht="14.4" x14ac:dyDescent="0.3">
      <c r="A379" s="719"/>
      <c r="B379" s="720"/>
      <c r="C379" s="982" t="s">
        <v>1884</v>
      </c>
      <c r="D379" s="982"/>
      <c r="E379" s="982"/>
      <c r="F379" s="982"/>
      <c r="G379" s="982"/>
      <c r="H379" s="982"/>
      <c r="I379" s="982"/>
      <c r="J379" s="982"/>
      <c r="K379" s="982"/>
      <c r="L379" s="982"/>
      <c r="M379" s="982"/>
      <c r="N379" s="988"/>
      <c r="AF379" s="684"/>
      <c r="AG379" s="693"/>
      <c r="AM379" s="693"/>
      <c r="AN379" s="696" t="s">
        <v>1884</v>
      </c>
      <c r="AP379" s="693"/>
      <c r="AR379" s="693"/>
    </row>
    <row r="380" spans="1:44" s="646" customFormat="1" ht="14.4" x14ac:dyDescent="0.3">
      <c r="A380" s="719"/>
      <c r="B380" s="720"/>
      <c r="C380" s="985" t="s">
        <v>1776</v>
      </c>
      <c r="D380" s="985"/>
      <c r="E380" s="985"/>
      <c r="F380" s="687"/>
      <c r="G380" s="688"/>
      <c r="H380" s="688"/>
      <c r="I380" s="688"/>
      <c r="J380" s="691"/>
      <c r="K380" s="688"/>
      <c r="L380" s="721">
        <v>-11949.47</v>
      </c>
      <c r="M380" s="715"/>
      <c r="N380" s="722">
        <v>-97507.68</v>
      </c>
      <c r="AF380" s="684"/>
      <c r="AG380" s="693"/>
      <c r="AM380" s="693" t="s">
        <v>1776</v>
      </c>
      <c r="AP380" s="693"/>
      <c r="AR380" s="693"/>
    </row>
    <row r="381" spans="1:44" s="646" customFormat="1" ht="21.6" x14ac:dyDescent="0.3">
      <c r="A381" s="685" t="s">
        <v>1912</v>
      </c>
      <c r="B381" s="686" t="s">
        <v>1202</v>
      </c>
      <c r="C381" s="985" t="s">
        <v>1913</v>
      </c>
      <c r="D381" s="985"/>
      <c r="E381" s="985"/>
      <c r="F381" s="687" t="s">
        <v>224</v>
      </c>
      <c r="G381" s="688">
        <v>1.18</v>
      </c>
      <c r="H381" s="689">
        <v>1</v>
      </c>
      <c r="I381" s="727">
        <v>1.18</v>
      </c>
      <c r="J381" s="721">
        <v>28084.15</v>
      </c>
      <c r="K381" s="690">
        <v>1.012</v>
      </c>
      <c r="L381" s="721">
        <v>33536.97</v>
      </c>
      <c r="M381" s="727">
        <v>8.16</v>
      </c>
      <c r="N381" s="722">
        <v>273661.68</v>
      </c>
      <c r="AF381" s="684"/>
      <c r="AG381" s="693" t="s">
        <v>1913</v>
      </c>
      <c r="AM381" s="693"/>
      <c r="AP381" s="693"/>
      <c r="AR381" s="693"/>
    </row>
    <row r="382" spans="1:44" s="646" customFormat="1" ht="14.4" x14ac:dyDescent="0.3">
      <c r="A382" s="719"/>
      <c r="B382" s="720"/>
      <c r="C382" s="982" t="s">
        <v>1793</v>
      </c>
      <c r="D382" s="982"/>
      <c r="E382" s="982"/>
      <c r="F382" s="982"/>
      <c r="G382" s="982"/>
      <c r="H382" s="982"/>
      <c r="I382" s="982"/>
      <c r="J382" s="982"/>
      <c r="K382" s="982"/>
      <c r="L382" s="982"/>
      <c r="M382" s="982"/>
      <c r="N382" s="988"/>
      <c r="AF382" s="684"/>
      <c r="AG382" s="693"/>
      <c r="AM382" s="693"/>
      <c r="AN382" s="696" t="s">
        <v>1793</v>
      </c>
      <c r="AP382" s="693"/>
      <c r="AR382" s="693"/>
    </row>
    <row r="383" spans="1:44" s="646" customFormat="1" ht="14.4" x14ac:dyDescent="0.3">
      <c r="A383" s="694"/>
      <c r="B383" s="695"/>
      <c r="C383" s="982" t="s">
        <v>1914</v>
      </c>
      <c r="D383" s="982"/>
      <c r="E383" s="982"/>
      <c r="F383" s="982"/>
      <c r="G383" s="982"/>
      <c r="H383" s="982"/>
      <c r="I383" s="982"/>
      <c r="J383" s="982"/>
      <c r="K383" s="982"/>
      <c r="L383" s="982"/>
      <c r="M383" s="982"/>
      <c r="N383" s="988"/>
      <c r="AF383" s="684"/>
      <c r="AG383" s="693"/>
      <c r="AH383" s="696" t="s">
        <v>1914</v>
      </c>
      <c r="AM383" s="693"/>
      <c r="AP383" s="693"/>
      <c r="AR383" s="693"/>
    </row>
    <row r="384" spans="1:44" s="646" customFormat="1" ht="14.4" x14ac:dyDescent="0.3">
      <c r="A384" s="694"/>
      <c r="B384" s="695"/>
      <c r="C384" s="982" t="s">
        <v>1895</v>
      </c>
      <c r="D384" s="982"/>
      <c r="E384" s="982"/>
      <c r="F384" s="982"/>
      <c r="G384" s="982"/>
      <c r="H384" s="982"/>
      <c r="I384" s="982"/>
      <c r="J384" s="982"/>
      <c r="K384" s="982"/>
      <c r="L384" s="982"/>
      <c r="M384" s="982"/>
      <c r="N384" s="988"/>
      <c r="AF384" s="684"/>
      <c r="AG384" s="693"/>
      <c r="AM384" s="693"/>
      <c r="AO384" s="696" t="s">
        <v>1895</v>
      </c>
      <c r="AP384" s="693"/>
      <c r="AR384" s="693"/>
    </row>
    <row r="385" spans="1:44" s="646" customFormat="1" ht="14.4" x14ac:dyDescent="0.3">
      <c r="A385" s="697"/>
      <c r="B385" s="698"/>
      <c r="C385" s="974" t="s">
        <v>1888</v>
      </c>
      <c r="D385" s="974"/>
      <c r="E385" s="974"/>
      <c r="F385" s="974"/>
      <c r="G385" s="974"/>
      <c r="H385" s="974"/>
      <c r="I385" s="974"/>
      <c r="J385" s="974"/>
      <c r="K385" s="974"/>
      <c r="L385" s="974"/>
      <c r="M385" s="974"/>
      <c r="N385" s="987"/>
      <c r="AF385" s="684"/>
      <c r="AG385" s="693"/>
      <c r="AI385" s="696" t="s">
        <v>1888</v>
      </c>
      <c r="AM385" s="693"/>
      <c r="AP385" s="693"/>
      <c r="AR385" s="693"/>
    </row>
    <row r="386" spans="1:44" s="646" customFormat="1" ht="14.4" x14ac:dyDescent="0.3">
      <c r="A386" s="719"/>
      <c r="B386" s="720"/>
      <c r="C386" s="985" t="s">
        <v>1776</v>
      </c>
      <c r="D386" s="985"/>
      <c r="E386" s="985"/>
      <c r="F386" s="687"/>
      <c r="G386" s="688"/>
      <c r="H386" s="688"/>
      <c r="I386" s="688"/>
      <c r="J386" s="691"/>
      <c r="K386" s="688"/>
      <c r="L386" s="721">
        <v>33536.97</v>
      </c>
      <c r="M386" s="715"/>
      <c r="N386" s="722">
        <v>273661.68</v>
      </c>
      <c r="AF386" s="684"/>
      <c r="AG386" s="693"/>
      <c r="AM386" s="693" t="s">
        <v>1776</v>
      </c>
      <c r="AP386" s="693"/>
      <c r="AR386" s="693"/>
    </row>
    <row r="387" spans="1:44" s="646" customFormat="1" ht="14.4" x14ac:dyDescent="0.3">
      <c r="A387" s="685" t="s">
        <v>1915</v>
      </c>
      <c r="B387" s="686" t="s">
        <v>1883</v>
      </c>
      <c r="C387" s="985" t="s">
        <v>1555</v>
      </c>
      <c r="D387" s="985"/>
      <c r="E387" s="985"/>
      <c r="F387" s="687" t="s">
        <v>883</v>
      </c>
      <c r="G387" s="688">
        <v>-514</v>
      </c>
      <c r="H387" s="689">
        <v>1</v>
      </c>
      <c r="I387" s="689">
        <v>-514</v>
      </c>
      <c r="J387" s="726">
        <v>351.2</v>
      </c>
      <c r="K387" s="688"/>
      <c r="L387" s="721">
        <v>-180516.8</v>
      </c>
      <c r="M387" s="727">
        <v>8.16</v>
      </c>
      <c r="N387" s="722">
        <v>-1473017.09</v>
      </c>
      <c r="AF387" s="684"/>
      <c r="AG387" s="693" t="s">
        <v>1555</v>
      </c>
      <c r="AM387" s="693"/>
      <c r="AP387" s="693"/>
      <c r="AR387" s="693"/>
    </row>
    <row r="388" spans="1:44" s="646" customFormat="1" ht="14.4" x14ac:dyDescent="0.3">
      <c r="A388" s="719"/>
      <c r="B388" s="720"/>
      <c r="C388" s="982" t="s">
        <v>1884</v>
      </c>
      <c r="D388" s="982"/>
      <c r="E388" s="982"/>
      <c r="F388" s="982"/>
      <c r="G388" s="982"/>
      <c r="H388" s="982"/>
      <c r="I388" s="982"/>
      <c r="J388" s="982"/>
      <c r="K388" s="982"/>
      <c r="L388" s="982"/>
      <c r="M388" s="982"/>
      <c r="N388" s="988"/>
      <c r="AF388" s="684"/>
      <c r="AG388" s="693"/>
      <c r="AM388" s="693"/>
      <c r="AN388" s="696" t="s">
        <v>1884</v>
      </c>
      <c r="AP388" s="693"/>
      <c r="AR388" s="693"/>
    </row>
    <row r="389" spans="1:44" s="646" customFormat="1" ht="14.4" x14ac:dyDescent="0.3">
      <c r="A389" s="719"/>
      <c r="B389" s="720"/>
      <c r="C389" s="985" t="s">
        <v>1776</v>
      </c>
      <c r="D389" s="985"/>
      <c r="E389" s="985"/>
      <c r="F389" s="687"/>
      <c r="G389" s="688"/>
      <c r="H389" s="688"/>
      <c r="I389" s="688"/>
      <c r="J389" s="691"/>
      <c r="K389" s="688"/>
      <c r="L389" s="721">
        <v>-180516.8</v>
      </c>
      <c r="M389" s="715"/>
      <c r="N389" s="722">
        <v>-1473017.09</v>
      </c>
      <c r="AF389" s="684"/>
      <c r="AG389" s="693"/>
      <c r="AM389" s="693" t="s">
        <v>1776</v>
      </c>
      <c r="AP389" s="693"/>
      <c r="AR389" s="693"/>
    </row>
    <row r="390" spans="1:44" s="646" customFormat="1" ht="14.4" x14ac:dyDescent="0.3">
      <c r="A390" s="685" t="s">
        <v>1916</v>
      </c>
      <c r="B390" s="686" t="s">
        <v>1889</v>
      </c>
      <c r="C390" s="985" t="s">
        <v>1890</v>
      </c>
      <c r="D390" s="985"/>
      <c r="E390" s="985"/>
      <c r="F390" s="687" t="s">
        <v>1846</v>
      </c>
      <c r="G390" s="688">
        <v>-472.88</v>
      </c>
      <c r="H390" s="689">
        <v>1</v>
      </c>
      <c r="I390" s="727">
        <v>-472.88</v>
      </c>
      <c r="J390" s="726">
        <v>287.60000000000002</v>
      </c>
      <c r="K390" s="688"/>
      <c r="L390" s="721">
        <v>-136000.29</v>
      </c>
      <c r="M390" s="727">
        <v>8.16</v>
      </c>
      <c r="N390" s="722">
        <v>-1109762.3700000001</v>
      </c>
      <c r="AF390" s="684"/>
      <c r="AG390" s="693" t="s">
        <v>1890</v>
      </c>
      <c r="AM390" s="693"/>
      <c r="AP390" s="693"/>
      <c r="AR390" s="693"/>
    </row>
    <row r="391" spans="1:44" s="646" customFormat="1" ht="14.4" x14ac:dyDescent="0.3">
      <c r="A391" s="719"/>
      <c r="B391" s="720"/>
      <c r="C391" s="982" t="s">
        <v>1884</v>
      </c>
      <c r="D391" s="982"/>
      <c r="E391" s="982"/>
      <c r="F391" s="982"/>
      <c r="G391" s="982"/>
      <c r="H391" s="982"/>
      <c r="I391" s="982"/>
      <c r="J391" s="982"/>
      <c r="K391" s="982"/>
      <c r="L391" s="982"/>
      <c r="M391" s="982"/>
      <c r="N391" s="988"/>
      <c r="AF391" s="684"/>
      <c r="AG391" s="693"/>
      <c r="AM391" s="693"/>
      <c r="AN391" s="696" t="s">
        <v>1884</v>
      </c>
      <c r="AP391" s="693"/>
      <c r="AR391" s="693"/>
    </row>
    <row r="392" spans="1:44" s="646" customFormat="1" ht="14.4" x14ac:dyDescent="0.3">
      <c r="A392" s="719"/>
      <c r="B392" s="720"/>
      <c r="C392" s="985" t="s">
        <v>1776</v>
      </c>
      <c r="D392" s="985"/>
      <c r="E392" s="985"/>
      <c r="F392" s="687"/>
      <c r="G392" s="688"/>
      <c r="H392" s="688"/>
      <c r="I392" s="688"/>
      <c r="J392" s="691"/>
      <c r="K392" s="688"/>
      <c r="L392" s="721">
        <v>-136000.29</v>
      </c>
      <c r="M392" s="715"/>
      <c r="N392" s="722">
        <v>-1109762.3700000001</v>
      </c>
      <c r="AF392" s="684"/>
      <c r="AG392" s="693"/>
      <c r="AM392" s="693" t="s">
        <v>1776</v>
      </c>
      <c r="AP392" s="693"/>
      <c r="AR392" s="693"/>
    </row>
    <row r="393" spans="1:44" s="646" customFormat="1" ht="31.8" x14ac:dyDescent="0.3">
      <c r="A393" s="685" t="s">
        <v>1917</v>
      </c>
      <c r="B393" s="686" t="s">
        <v>1200</v>
      </c>
      <c r="C393" s="985" t="s">
        <v>1891</v>
      </c>
      <c r="D393" s="985"/>
      <c r="E393" s="985"/>
      <c r="F393" s="687" t="s">
        <v>1846</v>
      </c>
      <c r="G393" s="688">
        <v>474</v>
      </c>
      <c r="H393" s="689">
        <v>1</v>
      </c>
      <c r="I393" s="689">
        <v>474</v>
      </c>
      <c r="J393" s="726">
        <v>245.1</v>
      </c>
      <c r="K393" s="690">
        <v>1.012</v>
      </c>
      <c r="L393" s="721">
        <v>117571.53</v>
      </c>
      <c r="M393" s="727">
        <v>8.16</v>
      </c>
      <c r="N393" s="722">
        <v>959383.68</v>
      </c>
      <c r="AF393" s="684"/>
      <c r="AG393" s="693" t="s">
        <v>1891</v>
      </c>
      <c r="AM393" s="693"/>
      <c r="AP393" s="693"/>
      <c r="AR393" s="693"/>
    </row>
    <row r="394" spans="1:44" s="646" customFormat="1" ht="14.4" x14ac:dyDescent="0.3">
      <c r="A394" s="719"/>
      <c r="B394" s="720"/>
      <c r="C394" s="982" t="s">
        <v>1793</v>
      </c>
      <c r="D394" s="982"/>
      <c r="E394" s="982"/>
      <c r="F394" s="982"/>
      <c r="G394" s="982"/>
      <c r="H394" s="982"/>
      <c r="I394" s="982"/>
      <c r="J394" s="982"/>
      <c r="K394" s="982"/>
      <c r="L394" s="982"/>
      <c r="M394" s="982"/>
      <c r="N394" s="988"/>
      <c r="AF394" s="684"/>
      <c r="AG394" s="693"/>
      <c r="AM394" s="693"/>
      <c r="AN394" s="696" t="s">
        <v>1793</v>
      </c>
      <c r="AP394" s="693"/>
      <c r="AR394" s="693"/>
    </row>
    <row r="395" spans="1:44" s="646" customFormat="1" ht="14.4" x14ac:dyDescent="0.3">
      <c r="A395" s="694"/>
      <c r="B395" s="695"/>
      <c r="C395" s="982" t="s">
        <v>1892</v>
      </c>
      <c r="D395" s="982"/>
      <c r="E395" s="982"/>
      <c r="F395" s="982"/>
      <c r="G395" s="982"/>
      <c r="H395" s="982"/>
      <c r="I395" s="982"/>
      <c r="J395" s="982"/>
      <c r="K395" s="982"/>
      <c r="L395" s="982"/>
      <c r="M395" s="982"/>
      <c r="N395" s="988"/>
      <c r="AF395" s="684"/>
      <c r="AG395" s="693"/>
      <c r="AM395" s="693"/>
      <c r="AO395" s="696" t="s">
        <v>1892</v>
      </c>
      <c r="AP395" s="693"/>
      <c r="AR395" s="693"/>
    </row>
    <row r="396" spans="1:44" s="646" customFormat="1" ht="14.4" x14ac:dyDescent="0.3">
      <c r="A396" s="697"/>
      <c r="B396" s="698"/>
      <c r="C396" s="974" t="s">
        <v>1888</v>
      </c>
      <c r="D396" s="974"/>
      <c r="E396" s="974"/>
      <c r="F396" s="974"/>
      <c r="G396" s="974"/>
      <c r="H396" s="974"/>
      <c r="I396" s="974"/>
      <c r="J396" s="974"/>
      <c r="K396" s="974"/>
      <c r="L396" s="974"/>
      <c r="M396" s="974"/>
      <c r="N396" s="987"/>
      <c r="AF396" s="684"/>
      <c r="AG396" s="693"/>
      <c r="AI396" s="696" t="s">
        <v>1888</v>
      </c>
      <c r="AM396" s="693"/>
      <c r="AP396" s="693"/>
      <c r="AR396" s="693"/>
    </row>
    <row r="397" spans="1:44" s="646" customFormat="1" ht="14.4" x14ac:dyDescent="0.3">
      <c r="A397" s="719"/>
      <c r="B397" s="720"/>
      <c r="C397" s="985" t="s">
        <v>1776</v>
      </c>
      <c r="D397" s="985"/>
      <c r="E397" s="985"/>
      <c r="F397" s="687"/>
      <c r="G397" s="688"/>
      <c r="H397" s="688"/>
      <c r="I397" s="688"/>
      <c r="J397" s="691"/>
      <c r="K397" s="688"/>
      <c r="L397" s="721">
        <v>117571.53</v>
      </c>
      <c r="M397" s="715"/>
      <c r="N397" s="722">
        <v>959383.68</v>
      </c>
      <c r="AF397" s="684"/>
      <c r="AG397" s="693"/>
      <c r="AM397" s="693" t="s">
        <v>1776</v>
      </c>
      <c r="AP397" s="693"/>
      <c r="AR397" s="693"/>
    </row>
    <row r="398" spans="1:44" s="646" customFormat="1" ht="21.6" x14ac:dyDescent="0.3">
      <c r="A398" s="685" t="s">
        <v>1918</v>
      </c>
      <c r="B398" s="686" t="s">
        <v>1896</v>
      </c>
      <c r="C398" s="985" t="s">
        <v>1897</v>
      </c>
      <c r="D398" s="985"/>
      <c r="E398" s="985"/>
      <c r="F398" s="687" t="s">
        <v>1846</v>
      </c>
      <c r="G398" s="688">
        <v>-946</v>
      </c>
      <c r="H398" s="689">
        <v>1</v>
      </c>
      <c r="I398" s="689">
        <v>-946</v>
      </c>
      <c r="J398" s="726">
        <v>66.400000000000006</v>
      </c>
      <c r="K398" s="688"/>
      <c r="L398" s="721">
        <v>-62814.400000000001</v>
      </c>
      <c r="M398" s="727">
        <v>8.16</v>
      </c>
      <c r="N398" s="722">
        <v>-512565.5</v>
      </c>
      <c r="AF398" s="684"/>
      <c r="AG398" s="693" t="s">
        <v>1897</v>
      </c>
      <c r="AM398" s="693"/>
      <c r="AP398" s="693"/>
      <c r="AR398" s="693"/>
    </row>
    <row r="399" spans="1:44" s="646" customFormat="1" ht="14.4" x14ac:dyDescent="0.3">
      <c r="A399" s="719"/>
      <c r="B399" s="720"/>
      <c r="C399" s="982" t="s">
        <v>1884</v>
      </c>
      <c r="D399" s="982"/>
      <c r="E399" s="982"/>
      <c r="F399" s="982"/>
      <c r="G399" s="982"/>
      <c r="H399" s="982"/>
      <c r="I399" s="982"/>
      <c r="J399" s="982"/>
      <c r="K399" s="982"/>
      <c r="L399" s="982"/>
      <c r="M399" s="982"/>
      <c r="N399" s="988"/>
      <c r="AF399" s="684"/>
      <c r="AG399" s="693"/>
      <c r="AM399" s="693"/>
      <c r="AN399" s="696" t="s">
        <v>1884</v>
      </c>
      <c r="AP399" s="693"/>
      <c r="AR399" s="693"/>
    </row>
    <row r="400" spans="1:44" s="646" customFormat="1" ht="14.4" x14ac:dyDescent="0.3">
      <c r="A400" s="719"/>
      <c r="B400" s="720"/>
      <c r="C400" s="985" t="s">
        <v>1776</v>
      </c>
      <c r="D400" s="985"/>
      <c r="E400" s="985"/>
      <c r="F400" s="687"/>
      <c r="G400" s="688"/>
      <c r="H400" s="688"/>
      <c r="I400" s="688"/>
      <c r="J400" s="691"/>
      <c r="K400" s="688"/>
      <c r="L400" s="721">
        <v>-62814.400000000001</v>
      </c>
      <c r="M400" s="715"/>
      <c r="N400" s="722">
        <v>-512565.5</v>
      </c>
      <c r="AF400" s="684"/>
      <c r="AG400" s="693"/>
      <c r="AM400" s="693" t="s">
        <v>1776</v>
      </c>
      <c r="AP400" s="693"/>
      <c r="AR400" s="693"/>
    </row>
    <row r="401" spans="1:44" s="646" customFormat="1" ht="21.6" x14ac:dyDescent="0.3">
      <c r="A401" s="685" t="s">
        <v>1919</v>
      </c>
      <c r="B401" s="686" t="s">
        <v>1898</v>
      </c>
      <c r="C401" s="985" t="s">
        <v>1899</v>
      </c>
      <c r="D401" s="985"/>
      <c r="E401" s="985"/>
      <c r="F401" s="687" t="s">
        <v>224</v>
      </c>
      <c r="G401" s="688">
        <v>-0.88407999999999998</v>
      </c>
      <c r="H401" s="689">
        <v>1</v>
      </c>
      <c r="I401" s="750">
        <v>-0.88407999999999998</v>
      </c>
      <c r="J401" s="721">
        <v>11859</v>
      </c>
      <c r="K401" s="688"/>
      <c r="L401" s="721">
        <v>-10484.299999999999</v>
      </c>
      <c r="M401" s="727">
        <v>8.16</v>
      </c>
      <c r="N401" s="722">
        <v>-85551.89</v>
      </c>
      <c r="AF401" s="684"/>
      <c r="AG401" s="693" t="s">
        <v>1899</v>
      </c>
      <c r="AM401" s="693"/>
      <c r="AP401" s="693"/>
      <c r="AR401" s="693"/>
    </row>
    <row r="402" spans="1:44" s="646" customFormat="1" ht="14.4" x14ac:dyDescent="0.3">
      <c r="A402" s="719"/>
      <c r="B402" s="720"/>
      <c r="C402" s="982" t="s">
        <v>1884</v>
      </c>
      <c r="D402" s="982"/>
      <c r="E402" s="982"/>
      <c r="F402" s="982"/>
      <c r="G402" s="982"/>
      <c r="H402" s="982"/>
      <c r="I402" s="982"/>
      <c r="J402" s="982"/>
      <c r="K402" s="982"/>
      <c r="L402" s="982"/>
      <c r="M402" s="982"/>
      <c r="N402" s="988"/>
      <c r="AF402" s="684"/>
      <c r="AG402" s="693"/>
      <c r="AM402" s="693"/>
      <c r="AN402" s="696" t="s">
        <v>1884</v>
      </c>
      <c r="AP402" s="693"/>
      <c r="AR402" s="693"/>
    </row>
    <row r="403" spans="1:44" s="646" customFormat="1" ht="14.4" x14ac:dyDescent="0.3">
      <c r="A403" s="719"/>
      <c r="B403" s="720"/>
      <c r="C403" s="985" t="s">
        <v>1776</v>
      </c>
      <c r="D403" s="985"/>
      <c r="E403" s="985"/>
      <c r="F403" s="687"/>
      <c r="G403" s="688"/>
      <c r="H403" s="688"/>
      <c r="I403" s="688"/>
      <c r="J403" s="691"/>
      <c r="K403" s="688"/>
      <c r="L403" s="721">
        <v>-10484.299999999999</v>
      </c>
      <c r="M403" s="715"/>
      <c r="N403" s="722">
        <v>-85551.89</v>
      </c>
      <c r="AF403" s="684"/>
      <c r="AG403" s="693"/>
      <c r="AM403" s="693" t="s">
        <v>1776</v>
      </c>
      <c r="AP403" s="693"/>
      <c r="AR403" s="693"/>
    </row>
    <row r="404" spans="1:44" s="646" customFormat="1" ht="14.4" x14ac:dyDescent="0.3">
      <c r="A404" s="685" t="s">
        <v>1920</v>
      </c>
      <c r="B404" s="686" t="s">
        <v>1900</v>
      </c>
      <c r="C404" s="985" t="s">
        <v>1901</v>
      </c>
      <c r="D404" s="985"/>
      <c r="E404" s="985"/>
      <c r="F404" s="687" t="s">
        <v>224</v>
      </c>
      <c r="G404" s="688">
        <v>-2.1305299999999998</v>
      </c>
      <c r="H404" s="689">
        <v>1</v>
      </c>
      <c r="I404" s="750">
        <v>-2.1305299999999998</v>
      </c>
      <c r="J404" s="721">
        <v>11856</v>
      </c>
      <c r="K404" s="688"/>
      <c r="L404" s="721">
        <v>-25259.56</v>
      </c>
      <c r="M404" s="727">
        <v>8.16</v>
      </c>
      <c r="N404" s="722">
        <v>-206118.01</v>
      </c>
      <c r="AF404" s="684"/>
      <c r="AG404" s="693" t="s">
        <v>1901</v>
      </c>
      <c r="AM404" s="693"/>
      <c r="AP404" s="693"/>
      <c r="AR404" s="693"/>
    </row>
    <row r="405" spans="1:44" s="646" customFormat="1" ht="14.4" x14ac:dyDescent="0.3">
      <c r="A405" s="719"/>
      <c r="B405" s="720"/>
      <c r="C405" s="982" t="s">
        <v>1884</v>
      </c>
      <c r="D405" s="982"/>
      <c r="E405" s="982"/>
      <c r="F405" s="982"/>
      <c r="G405" s="982"/>
      <c r="H405" s="982"/>
      <c r="I405" s="982"/>
      <c r="J405" s="982"/>
      <c r="K405" s="982"/>
      <c r="L405" s="982"/>
      <c r="M405" s="982"/>
      <c r="N405" s="988"/>
      <c r="AF405" s="684"/>
      <c r="AG405" s="693"/>
      <c r="AM405" s="693"/>
      <c r="AN405" s="696" t="s">
        <v>1884</v>
      </c>
      <c r="AP405" s="693"/>
      <c r="AR405" s="693"/>
    </row>
    <row r="406" spans="1:44" s="646" customFormat="1" ht="14.4" x14ac:dyDescent="0.3">
      <c r="A406" s="719"/>
      <c r="B406" s="720"/>
      <c r="C406" s="985" t="s">
        <v>1776</v>
      </c>
      <c r="D406" s="985"/>
      <c r="E406" s="985"/>
      <c r="F406" s="687"/>
      <c r="G406" s="688"/>
      <c r="H406" s="688"/>
      <c r="I406" s="688"/>
      <c r="J406" s="691"/>
      <c r="K406" s="688"/>
      <c r="L406" s="721">
        <v>-25259.56</v>
      </c>
      <c r="M406" s="715"/>
      <c r="N406" s="722">
        <v>-206118.01</v>
      </c>
      <c r="AF406" s="684"/>
      <c r="AG406" s="693"/>
      <c r="AM406" s="693" t="s">
        <v>1776</v>
      </c>
      <c r="AP406" s="693"/>
      <c r="AR406" s="693"/>
    </row>
    <row r="407" spans="1:44" s="646" customFormat="1" ht="21.6" x14ac:dyDescent="0.3">
      <c r="A407" s="685" t="s">
        <v>1921</v>
      </c>
      <c r="B407" s="686" t="s">
        <v>1903</v>
      </c>
      <c r="C407" s="985" t="s">
        <v>1904</v>
      </c>
      <c r="D407" s="985"/>
      <c r="E407" s="985"/>
      <c r="F407" s="687" t="s">
        <v>1846</v>
      </c>
      <c r="G407" s="688">
        <v>-945.76</v>
      </c>
      <c r="H407" s="689">
        <v>1</v>
      </c>
      <c r="I407" s="727">
        <v>-945.76</v>
      </c>
      <c r="J407" s="726">
        <v>5.5</v>
      </c>
      <c r="K407" s="688"/>
      <c r="L407" s="721">
        <v>-5201.68</v>
      </c>
      <c r="M407" s="727">
        <v>8.16</v>
      </c>
      <c r="N407" s="722">
        <v>-42445.71</v>
      </c>
      <c r="AF407" s="684"/>
      <c r="AG407" s="693" t="s">
        <v>1904</v>
      </c>
      <c r="AM407" s="693"/>
      <c r="AP407" s="693"/>
      <c r="AR407" s="693"/>
    </row>
    <row r="408" spans="1:44" s="646" customFormat="1" ht="14.4" x14ac:dyDescent="0.3">
      <c r="A408" s="719"/>
      <c r="B408" s="720"/>
      <c r="C408" s="982" t="s">
        <v>1884</v>
      </c>
      <c r="D408" s="982"/>
      <c r="E408" s="982"/>
      <c r="F408" s="982"/>
      <c r="G408" s="982"/>
      <c r="H408" s="982"/>
      <c r="I408" s="982"/>
      <c r="J408" s="982"/>
      <c r="K408" s="982"/>
      <c r="L408" s="982"/>
      <c r="M408" s="982"/>
      <c r="N408" s="988"/>
      <c r="AF408" s="684"/>
      <c r="AG408" s="693"/>
      <c r="AM408" s="693"/>
      <c r="AN408" s="696" t="s">
        <v>1884</v>
      </c>
      <c r="AP408" s="693"/>
      <c r="AR408" s="693"/>
    </row>
    <row r="409" spans="1:44" s="646" customFormat="1" ht="14.4" x14ac:dyDescent="0.3">
      <c r="A409" s="719"/>
      <c r="B409" s="720"/>
      <c r="C409" s="985" t="s">
        <v>1776</v>
      </c>
      <c r="D409" s="985"/>
      <c r="E409" s="985"/>
      <c r="F409" s="687"/>
      <c r="G409" s="688"/>
      <c r="H409" s="688"/>
      <c r="I409" s="688"/>
      <c r="J409" s="691"/>
      <c r="K409" s="688"/>
      <c r="L409" s="721">
        <v>-5201.68</v>
      </c>
      <c r="M409" s="715"/>
      <c r="N409" s="722">
        <v>-42445.71</v>
      </c>
      <c r="AF409" s="684"/>
      <c r="AG409" s="693"/>
      <c r="AM409" s="693" t="s">
        <v>1776</v>
      </c>
      <c r="AP409" s="693"/>
      <c r="AR409" s="693"/>
    </row>
    <row r="410" spans="1:44" s="646" customFormat="1" ht="42" x14ac:dyDescent="0.3">
      <c r="A410" s="685" t="s">
        <v>1922</v>
      </c>
      <c r="B410" s="686" t="s">
        <v>1207</v>
      </c>
      <c r="C410" s="985" t="s">
        <v>1906</v>
      </c>
      <c r="D410" s="985"/>
      <c r="E410" s="985"/>
      <c r="F410" s="687" t="s">
        <v>1853</v>
      </c>
      <c r="G410" s="688">
        <v>949</v>
      </c>
      <c r="H410" s="689">
        <v>1</v>
      </c>
      <c r="I410" s="689">
        <v>949</v>
      </c>
      <c r="J410" s="726">
        <v>368.67</v>
      </c>
      <c r="K410" s="690">
        <v>1.012</v>
      </c>
      <c r="L410" s="721">
        <v>354066.24</v>
      </c>
      <c r="M410" s="727">
        <v>8.16</v>
      </c>
      <c r="N410" s="722">
        <v>2889180.52</v>
      </c>
      <c r="AF410" s="684"/>
      <c r="AG410" s="693" t="s">
        <v>1906</v>
      </c>
      <c r="AM410" s="693"/>
      <c r="AP410" s="693"/>
      <c r="AR410" s="693"/>
    </row>
    <row r="411" spans="1:44" s="646" customFormat="1" ht="14.4" x14ac:dyDescent="0.3">
      <c r="A411" s="719"/>
      <c r="B411" s="720"/>
      <c r="C411" s="982" t="s">
        <v>1793</v>
      </c>
      <c r="D411" s="982"/>
      <c r="E411" s="982"/>
      <c r="F411" s="982"/>
      <c r="G411" s="982"/>
      <c r="H411" s="982"/>
      <c r="I411" s="982"/>
      <c r="J411" s="982"/>
      <c r="K411" s="982"/>
      <c r="L411" s="982"/>
      <c r="M411" s="982"/>
      <c r="N411" s="988"/>
      <c r="AF411" s="684"/>
      <c r="AG411" s="693"/>
      <c r="AM411" s="693"/>
      <c r="AN411" s="696" t="s">
        <v>1793</v>
      </c>
      <c r="AP411" s="693"/>
      <c r="AR411" s="693"/>
    </row>
    <row r="412" spans="1:44" s="646" customFormat="1" ht="14.4" x14ac:dyDescent="0.3">
      <c r="A412" s="694"/>
      <c r="B412" s="695"/>
      <c r="C412" s="982" t="s">
        <v>1923</v>
      </c>
      <c r="D412" s="982"/>
      <c r="E412" s="982"/>
      <c r="F412" s="982"/>
      <c r="G412" s="982"/>
      <c r="H412" s="982"/>
      <c r="I412" s="982"/>
      <c r="J412" s="982"/>
      <c r="K412" s="982"/>
      <c r="L412" s="982"/>
      <c r="M412" s="982"/>
      <c r="N412" s="988"/>
      <c r="AF412" s="684"/>
      <c r="AG412" s="693"/>
      <c r="AH412" s="696" t="s">
        <v>1923</v>
      </c>
      <c r="AM412" s="693"/>
      <c r="AP412" s="693"/>
      <c r="AR412" s="693"/>
    </row>
    <row r="413" spans="1:44" s="646" customFormat="1" ht="14.4" x14ac:dyDescent="0.3">
      <c r="A413" s="694"/>
      <c r="B413" s="695"/>
      <c r="C413" s="982" t="s">
        <v>1907</v>
      </c>
      <c r="D413" s="982"/>
      <c r="E413" s="982"/>
      <c r="F413" s="982"/>
      <c r="G413" s="982"/>
      <c r="H413" s="982"/>
      <c r="I413" s="982"/>
      <c r="J413" s="982"/>
      <c r="K413" s="982"/>
      <c r="L413" s="982"/>
      <c r="M413" s="982"/>
      <c r="N413" s="988"/>
      <c r="AF413" s="684"/>
      <c r="AG413" s="693"/>
      <c r="AM413" s="693"/>
      <c r="AO413" s="696" t="s">
        <v>1907</v>
      </c>
      <c r="AP413" s="693"/>
      <c r="AR413" s="693"/>
    </row>
    <row r="414" spans="1:44" s="646" customFormat="1" ht="14.4" x14ac:dyDescent="0.3">
      <c r="A414" s="697"/>
      <c r="B414" s="698"/>
      <c r="C414" s="974" t="s">
        <v>1888</v>
      </c>
      <c r="D414" s="974"/>
      <c r="E414" s="974"/>
      <c r="F414" s="974"/>
      <c r="G414" s="974"/>
      <c r="H414" s="974"/>
      <c r="I414" s="974"/>
      <c r="J414" s="974"/>
      <c r="K414" s="974"/>
      <c r="L414" s="974"/>
      <c r="M414" s="974"/>
      <c r="N414" s="987"/>
      <c r="AF414" s="684"/>
      <c r="AG414" s="693"/>
      <c r="AI414" s="696" t="s">
        <v>1888</v>
      </c>
      <c r="AM414" s="693"/>
      <c r="AP414" s="693"/>
      <c r="AR414" s="693"/>
    </row>
    <row r="415" spans="1:44" s="646" customFormat="1" ht="14.4" x14ac:dyDescent="0.3">
      <c r="A415" s="719"/>
      <c r="B415" s="720"/>
      <c r="C415" s="985" t="s">
        <v>1776</v>
      </c>
      <c r="D415" s="985"/>
      <c r="E415" s="985"/>
      <c r="F415" s="687"/>
      <c r="G415" s="688"/>
      <c r="H415" s="688"/>
      <c r="I415" s="688"/>
      <c r="J415" s="691"/>
      <c r="K415" s="688"/>
      <c r="L415" s="721">
        <v>354066.24</v>
      </c>
      <c r="M415" s="715"/>
      <c r="N415" s="722">
        <v>2889180.52</v>
      </c>
      <c r="AF415" s="684"/>
      <c r="AG415" s="693"/>
      <c r="AM415" s="693" t="s">
        <v>1776</v>
      </c>
      <c r="AP415" s="693"/>
      <c r="AR415" s="693"/>
    </row>
    <row r="416" spans="1:44" s="646" customFormat="1" ht="31.8" x14ac:dyDescent="0.3">
      <c r="A416" s="685" t="s">
        <v>1924</v>
      </c>
      <c r="B416" s="686" t="s">
        <v>1925</v>
      </c>
      <c r="C416" s="985" t="s">
        <v>1926</v>
      </c>
      <c r="D416" s="985"/>
      <c r="E416" s="985"/>
      <c r="F416" s="687" t="s">
        <v>1856</v>
      </c>
      <c r="G416" s="688">
        <v>0.68799999999999994</v>
      </c>
      <c r="H416" s="689">
        <v>1</v>
      </c>
      <c r="I416" s="690">
        <v>0.68799999999999994</v>
      </c>
      <c r="J416" s="691"/>
      <c r="K416" s="688"/>
      <c r="L416" s="691"/>
      <c r="M416" s="688"/>
      <c r="N416" s="692"/>
      <c r="AF416" s="684"/>
      <c r="AG416" s="693" t="s">
        <v>1926</v>
      </c>
      <c r="AM416" s="693"/>
      <c r="AP416" s="693"/>
      <c r="AR416" s="693"/>
    </row>
    <row r="417" spans="1:44" s="646" customFormat="1" ht="14.4" x14ac:dyDescent="0.3">
      <c r="A417" s="694"/>
      <c r="B417" s="695"/>
      <c r="C417" s="982" t="s">
        <v>1927</v>
      </c>
      <c r="D417" s="982"/>
      <c r="E417" s="982"/>
      <c r="F417" s="982"/>
      <c r="G417" s="982"/>
      <c r="H417" s="982"/>
      <c r="I417" s="982"/>
      <c r="J417" s="982"/>
      <c r="K417" s="982"/>
      <c r="L417" s="982"/>
      <c r="M417" s="982"/>
      <c r="N417" s="988"/>
      <c r="AF417" s="684"/>
      <c r="AG417" s="693"/>
      <c r="AH417" s="696" t="s">
        <v>1927</v>
      </c>
      <c r="AM417" s="693"/>
      <c r="AP417" s="693"/>
      <c r="AR417" s="693"/>
    </row>
    <row r="418" spans="1:44" s="646" customFormat="1" ht="21.6" x14ac:dyDescent="0.3">
      <c r="A418" s="697"/>
      <c r="B418" s="698" t="s">
        <v>1759</v>
      </c>
      <c r="C418" s="974" t="s">
        <v>1760</v>
      </c>
      <c r="D418" s="974"/>
      <c r="E418" s="974"/>
      <c r="F418" s="974"/>
      <c r="G418" s="974"/>
      <c r="H418" s="974"/>
      <c r="I418" s="974"/>
      <c r="J418" s="974"/>
      <c r="K418" s="974"/>
      <c r="L418" s="974"/>
      <c r="M418" s="974"/>
      <c r="N418" s="987"/>
      <c r="AF418" s="684"/>
      <c r="AG418" s="693"/>
      <c r="AI418" s="696" t="s">
        <v>1760</v>
      </c>
      <c r="AM418" s="693"/>
      <c r="AP418" s="693"/>
      <c r="AR418" s="693"/>
    </row>
    <row r="419" spans="1:44" s="646" customFormat="1" ht="52.2" x14ac:dyDescent="0.3">
      <c r="A419" s="697"/>
      <c r="B419" s="698" t="s">
        <v>1761</v>
      </c>
      <c r="C419" s="974" t="s">
        <v>1762</v>
      </c>
      <c r="D419" s="974"/>
      <c r="E419" s="974"/>
      <c r="F419" s="974"/>
      <c r="G419" s="974"/>
      <c r="H419" s="974"/>
      <c r="I419" s="974"/>
      <c r="J419" s="974"/>
      <c r="K419" s="974"/>
      <c r="L419" s="974"/>
      <c r="M419" s="974"/>
      <c r="N419" s="987"/>
      <c r="AF419" s="684"/>
      <c r="AG419" s="693"/>
      <c r="AI419" s="696" t="s">
        <v>1762</v>
      </c>
      <c r="AM419" s="693"/>
      <c r="AP419" s="693"/>
      <c r="AR419" s="693"/>
    </row>
    <row r="420" spans="1:44" s="646" customFormat="1" ht="14.4" x14ac:dyDescent="0.3">
      <c r="A420" s="699"/>
      <c r="B420" s="698" t="s">
        <v>18</v>
      </c>
      <c r="C420" s="982" t="s">
        <v>1763</v>
      </c>
      <c r="D420" s="982"/>
      <c r="E420" s="982"/>
      <c r="F420" s="700"/>
      <c r="G420" s="701"/>
      <c r="H420" s="701"/>
      <c r="I420" s="701"/>
      <c r="J420" s="706">
        <v>9218</v>
      </c>
      <c r="K420" s="725">
        <v>1.3225</v>
      </c>
      <c r="L420" s="706">
        <v>8387.27</v>
      </c>
      <c r="M420" s="704">
        <v>44.77</v>
      </c>
      <c r="N420" s="705">
        <v>375498.08</v>
      </c>
      <c r="AF420" s="684"/>
      <c r="AG420" s="693"/>
      <c r="AJ420" s="696" t="s">
        <v>1763</v>
      </c>
      <c r="AM420" s="693"/>
      <c r="AP420" s="693"/>
      <c r="AR420" s="693"/>
    </row>
    <row r="421" spans="1:44" s="646" customFormat="1" ht="14.4" x14ac:dyDescent="0.3">
      <c r="A421" s="699"/>
      <c r="B421" s="698" t="s">
        <v>21</v>
      </c>
      <c r="C421" s="982" t="s">
        <v>1764</v>
      </c>
      <c r="D421" s="982"/>
      <c r="E421" s="982"/>
      <c r="F421" s="700"/>
      <c r="G421" s="701"/>
      <c r="H421" s="701"/>
      <c r="I421" s="701"/>
      <c r="J421" s="706">
        <v>40105.1</v>
      </c>
      <c r="K421" s="725">
        <v>1.4375</v>
      </c>
      <c r="L421" s="706">
        <v>39663.94</v>
      </c>
      <c r="M421" s="704">
        <v>13.24</v>
      </c>
      <c r="N421" s="705">
        <v>525150.56999999995</v>
      </c>
      <c r="AF421" s="684"/>
      <c r="AG421" s="693"/>
      <c r="AJ421" s="696" t="s">
        <v>1764</v>
      </c>
      <c r="AM421" s="693"/>
      <c r="AP421" s="693"/>
      <c r="AR421" s="693"/>
    </row>
    <row r="422" spans="1:44" s="646" customFormat="1" ht="14.4" x14ac:dyDescent="0.3">
      <c r="A422" s="699"/>
      <c r="B422" s="698" t="s">
        <v>23</v>
      </c>
      <c r="C422" s="982" t="s">
        <v>1765</v>
      </c>
      <c r="D422" s="982"/>
      <c r="E422" s="982"/>
      <c r="F422" s="700"/>
      <c r="G422" s="701"/>
      <c r="H422" s="701"/>
      <c r="I422" s="701"/>
      <c r="J422" s="706">
        <v>2629.93</v>
      </c>
      <c r="K422" s="725">
        <v>1.4375</v>
      </c>
      <c r="L422" s="706">
        <v>2601</v>
      </c>
      <c r="M422" s="704">
        <v>44.77</v>
      </c>
      <c r="N422" s="705">
        <v>116446.77</v>
      </c>
      <c r="AF422" s="684"/>
      <c r="AG422" s="693"/>
      <c r="AJ422" s="696" t="s">
        <v>1765</v>
      </c>
      <c r="AM422" s="693"/>
      <c r="AP422" s="693"/>
      <c r="AR422" s="693"/>
    </row>
    <row r="423" spans="1:44" s="646" customFormat="1" ht="14.4" x14ac:dyDescent="0.3">
      <c r="A423" s="699"/>
      <c r="B423" s="698" t="s">
        <v>25</v>
      </c>
      <c r="C423" s="982" t="s">
        <v>1766</v>
      </c>
      <c r="D423" s="982"/>
      <c r="E423" s="982"/>
      <c r="F423" s="700"/>
      <c r="G423" s="701"/>
      <c r="H423" s="701"/>
      <c r="I423" s="701"/>
      <c r="J423" s="706">
        <v>1477980.73</v>
      </c>
      <c r="K423" s="701"/>
      <c r="L423" s="706">
        <v>1016850.74</v>
      </c>
      <c r="M423" s="704">
        <v>8.16</v>
      </c>
      <c r="N423" s="705">
        <v>8297502.04</v>
      </c>
      <c r="AF423" s="684"/>
      <c r="AG423" s="693"/>
      <c r="AJ423" s="696" t="s">
        <v>1766</v>
      </c>
      <c r="AM423" s="693"/>
      <c r="AP423" s="693"/>
      <c r="AR423" s="693"/>
    </row>
    <row r="424" spans="1:44" s="646" customFormat="1" ht="14.4" x14ac:dyDescent="0.3">
      <c r="A424" s="708"/>
      <c r="B424" s="698"/>
      <c r="C424" s="982" t="s">
        <v>1767</v>
      </c>
      <c r="D424" s="982"/>
      <c r="E424" s="982"/>
      <c r="F424" s="700" t="s">
        <v>695</v>
      </c>
      <c r="G424" s="718">
        <v>1100</v>
      </c>
      <c r="H424" s="725">
        <v>1.3225</v>
      </c>
      <c r="I424" s="703">
        <v>1000.8680000000001</v>
      </c>
      <c r="J424" s="711"/>
      <c r="K424" s="701"/>
      <c r="L424" s="711"/>
      <c r="M424" s="701"/>
      <c r="N424" s="712"/>
      <c r="AF424" s="684"/>
      <c r="AG424" s="693"/>
      <c r="AK424" s="696" t="s">
        <v>1767</v>
      </c>
      <c r="AM424" s="693"/>
      <c r="AP424" s="693"/>
      <c r="AR424" s="693"/>
    </row>
    <row r="425" spans="1:44" s="646" customFormat="1" ht="14.4" x14ac:dyDescent="0.3">
      <c r="A425" s="708"/>
      <c r="B425" s="698"/>
      <c r="C425" s="982" t="s">
        <v>1768</v>
      </c>
      <c r="D425" s="982"/>
      <c r="E425" s="982"/>
      <c r="F425" s="700" t="s">
        <v>695</v>
      </c>
      <c r="G425" s="704">
        <v>213.68</v>
      </c>
      <c r="H425" s="725">
        <v>1.4375</v>
      </c>
      <c r="I425" s="713">
        <v>211.32952</v>
      </c>
      <c r="J425" s="711"/>
      <c r="K425" s="701"/>
      <c r="L425" s="711"/>
      <c r="M425" s="701"/>
      <c r="N425" s="712"/>
      <c r="AF425" s="684"/>
      <c r="AG425" s="693"/>
      <c r="AK425" s="696" t="s">
        <v>1768</v>
      </c>
      <c r="AM425" s="693"/>
      <c r="AP425" s="693"/>
      <c r="AR425" s="693"/>
    </row>
    <row r="426" spans="1:44" s="646" customFormat="1" ht="14.4" x14ac:dyDescent="0.3">
      <c r="A426" s="699"/>
      <c r="B426" s="698"/>
      <c r="C426" s="986" t="s">
        <v>1769</v>
      </c>
      <c r="D426" s="986"/>
      <c r="E426" s="986"/>
      <c r="F426" s="714"/>
      <c r="G426" s="715"/>
      <c r="H426" s="715"/>
      <c r="I426" s="715"/>
      <c r="J426" s="716">
        <v>1527303.83</v>
      </c>
      <c r="K426" s="715"/>
      <c r="L426" s="716">
        <v>1064901.95</v>
      </c>
      <c r="M426" s="715"/>
      <c r="N426" s="717">
        <v>9198150.6899999995</v>
      </c>
      <c r="AF426" s="684"/>
      <c r="AG426" s="693"/>
      <c r="AL426" s="696" t="s">
        <v>1769</v>
      </c>
      <c r="AM426" s="693"/>
      <c r="AP426" s="693"/>
      <c r="AR426" s="693"/>
    </row>
    <row r="427" spans="1:44" s="646" customFormat="1" ht="14.4" x14ac:dyDescent="0.3">
      <c r="A427" s="708"/>
      <c r="B427" s="698"/>
      <c r="C427" s="982" t="s">
        <v>1770</v>
      </c>
      <c r="D427" s="982"/>
      <c r="E427" s="982"/>
      <c r="F427" s="700"/>
      <c r="G427" s="701"/>
      <c r="H427" s="701"/>
      <c r="I427" s="701"/>
      <c r="J427" s="711"/>
      <c r="K427" s="701"/>
      <c r="L427" s="706">
        <v>10988.27</v>
      </c>
      <c r="M427" s="701"/>
      <c r="N427" s="705">
        <v>491944.85</v>
      </c>
      <c r="AF427" s="684"/>
      <c r="AG427" s="693"/>
      <c r="AK427" s="696" t="s">
        <v>1770</v>
      </c>
      <c r="AM427" s="693"/>
      <c r="AP427" s="693"/>
      <c r="AR427" s="693"/>
    </row>
    <row r="428" spans="1:44" s="646" customFormat="1" ht="20.399999999999999" x14ac:dyDescent="0.3">
      <c r="A428" s="708"/>
      <c r="B428" s="698" t="s">
        <v>1847</v>
      </c>
      <c r="C428" s="982" t="s">
        <v>1848</v>
      </c>
      <c r="D428" s="982"/>
      <c r="E428" s="982"/>
      <c r="F428" s="700" t="s">
        <v>1773</v>
      </c>
      <c r="G428" s="718">
        <v>109</v>
      </c>
      <c r="H428" s="701"/>
      <c r="I428" s="718">
        <v>109</v>
      </c>
      <c r="J428" s="711"/>
      <c r="K428" s="701"/>
      <c r="L428" s="706">
        <v>11977.21</v>
      </c>
      <c r="M428" s="701"/>
      <c r="N428" s="705">
        <v>536219.89</v>
      </c>
      <c r="AF428" s="684"/>
      <c r="AG428" s="693"/>
      <c r="AK428" s="696" t="s">
        <v>1848</v>
      </c>
      <c r="AM428" s="693"/>
      <c r="AP428" s="693"/>
      <c r="AR428" s="693"/>
    </row>
    <row r="429" spans="1:44" s="646" customFormat="1" ht="40.799999999999997" x14ac:dyDescent="0.3">
      <c r="A429" s="708"/>
      <c r="B429" s="698" t="s">
        <v>1849</v>
      </c>
      <c r="C429" s="982" t="s">
        <v>1850</v>
      </c>
      <c r="D429" s="982"/>
      <c r="E429" s="982"/>
      <c r="F429" s="700" t="s">
        <v>1773</v>
      </c>
      <c r="G429" s="718">
        <v>65</v>
      </c>
      <c r="H429" s="704">
        <v>0.85</v>
      </c>
      <c r="I429" s="704">
        <v>55.25</v>
      </c>
      <c r="J429" s="711"/>
      <c r="K429" s="701"/>
      <c r="L429" s="706">
        <v>6071.02</v>
      </c>
      <c r="M429" s="701"/>
      <c r="N429" s="705">
        <v>271799.53000000003</v>
      </c>
      <c r="AF429" s="684"/>
      <c r="AG429" s="693"/>
      <c r="AK429" s="696" t="s">
        <v>1850</v>
      </c>
      <c r="AM429" s="693"/>
      <c r="AP429" s="693"/>
      <c r="AR429" s="693"/>
    </row>
    <row r="430" spans="1:44" s="646" customFormat="1" ht="14.4" x14ac:dyDescent="0.3">
      <c r="A430" s="719"/>
      <c r="B430" s="720"/>
      <c r="C430" s="985" t="s">
        <v>1776</v>
      </c>
      <c r="D430" s="985"/>
      <c r="E430" s="985"/>
      <c r="F430" s="687"/>
      <c r="G430" s="688"/>
      <c r="H430" s="688"/>
      <c r="I430" s="688"/>
      <c r="J430" s="691"/>
      <c r="K430" s="688"/>
      <c r="L430" s="721">
        <v>1082950.18</v>
      </c>
      <c r="M430" s="715"/>
      <c r="N430" s="722">
        <v>10006170.109999999</v>
      </c>
      <c r="AF430" s="684"/>
      <c r="AG430" s="693"/>
      <c r="AM430" s="693" t="s">
        <v>1776</v>
      </c>
      <c r="AP430" s="693"/>
      <c r="AR430" s="693"/>
    </row>
    <row r="431" spans="1:44" s="646" customFormat="1" ht="14.4" x14ac:dyDescent="0.3">
      <c r="A431" s="685" t="s">
        <v>1928</v>
      </c>
      <c r="B431" s="686" t="s">
        <v>1883</v>
      </c>
      <c r="C431" s="985" t="s">
        <v>1555</v>
      </c>
      <c r="D431" s="985"/>
      <c r="E431" s="985"/>
      <c r="F431" s="687" t="s">
        <v>883</v>
      </c>
      <c r="G431" s="688">
        <v>-1376</v>
      </c>
      <c r="H431" s="689">
        <v>1</v>
      </c>
      <c r="I431" s="689">
        <v>-1376</v>
      </c>
      <c r="J431" s="726">
        <v>351.2</v>
      </c>
      <c r="K431" s="688"/>
      <c r="L431" s="721">
        <v>-483251.20000000001</v>
      </c>
      <c r="M431" s="727">
        <v>8.16</v>
      </c>
      <c r="N431" s="722">
        <v>-3943329.79</v>
      </c>
      <c r="AF431" s="684"/>
      <c r="AG431" s="693" t="s">
        <v>1555</v>
      </c>
      <c r="AM431" s="693"/>
      <c r="AP431" s="693"/>
      <c r="AR431" s="693"/>
    </row>
    <row r="432" spans="1:44" s="646" customFormat="1" ht="14.4" x14ac:dyDescent="0.3">
      <c r="A432" s="719"/>
      <c r="B432" s="720"/>
      <c r="C432" s="982" t="s">
        <v>1884</v>
      </c>
      <c r="D432" s="982"/>
      <c r="E432" s="982"/>
      <c r="F432" s="982"/>
      <c r="G432" s="982"/>
      <c r="H432" s="982"/>
      <c r="I432" s="982"/>
      <c r="J432" s="982"/>
      <c r="K432" s="982"/>
      <c r="L432" s="982"/>
      <c r="M432" s="982"/>
      <c r="N432" s="988"/>
      <c r="AF432" s="684"/>
      <c r="AG432" s="693"/>
      <c r="AM432" s="693"/>
      <c r="AN432" s="696" t="s">
        <v>1884</v>
      </c>
      <c r="AP432" s="693"/>
      <c r="AR432" s="693"/>
    </row>
    <row r="433" spans="1:44" s="646" customFormat="1" ht="14.4" x14ac:dyDescent="0.3">
      <c r="A433" s="719"/>
      <c r="B433" s="720"/>
      <c r="C433" s="985" t="s">
        <v>1776</v>
      </c>
      <c r="D433" s="985"/>
      <c r="E433" s="985"/>
      <c r="F433" s="687"/>
      <c r="G433" s="688"/>
      <c r="H433" s="688"/>
      <c r="I433" s="688"/>
      <c r="J433" s="691"/>
      <c r="K433" s="688"/>
      <c r="L433" s="721">
        <v>-483251.20000000001</v>
      </c>
      <c r="M433" s="715"/>
      <c r="N433" s="722">
        <v>-3943329.79</v>
      </c>
      <c r="AF433" s="684"/>
      <c r="AG433" s="693"/>
      <c r="AM433" s="693" t="s">
        <v>1776</v>
      </c>
      <c r="AP433" s="693"/>
      <c r="AR433" s="693"/>
    </row>
    <row r="434" spans="1:44" s="646" customFormat="1" ht="20.399999999999999" x14ac:dyDescent="0.3">
      <c r="A434" s="685" t="s">
        <v>1929</v>
      </c>
      <c r="B434" s="686" t="s">
        <v>1198</v>
      </c>
      <c r="C434" s="985" t="s">
        <v>1930</v>
      </c>
      <c r="D434" s="985"/>
      <c r="E434" s="985"/>
      <c r="F434" s="687" t="s">
        <v>224</v>
      </c>
      <c r="G434" s="688">
        <v>89.21</v>
      </c>
      <c r="H434" s="689">
        <v>1</v>
      </c>
      <c r="I434" s="727">
        <v>89.21</v>
      </c>
      <c r="J434" s="721">
        <v>16758.580000000002</v>
      </c>
      <c r="K434" s="690">
        <v>1.012</v>
      </c>
      <c r="L434" s="721">
        <v>1512973.32</v>
      </c>
      <c r="M434" s="727">
        <v>8.16</v>
      </c>
      <c r="N434" s="722">
        <v>12345862.289999999</v>
      </c>
      <c r="AF434" s="684"/>
      <c r="AG434" s="693" t="s">
        <v>1930</v>
      </c>
      <c r="AM434" s="693"/>
      <c r="AP434" s="693"/>
      <c r="AR434" s="693"/>
    </row>
    <row r="435" spans="1:44" s="646" customFormat="1" ht="14.4" x14ac:dyDescent="0.3">
      <c r="A435" s="719"/>
      <c r="B435" s="720"/>
      <c r="C435" s="982" t="s">
        <v>1793</v>
      </c>
      <c r="D435" s="982"/>
      <c r="E435" s="982"/>
      <c r="F435" s="982"/>
      <c r="G435" s="982"/>
      <c r="H435" s="982"/>
      <c r="I435" s="982"/>
      <c r="J435" s="982"/>
      <c r="K435" s="982"/>
      <c r="L435" s="982"/>
      <c r="M435" s="982"/>
      <c r="N435" s="988"/>
      <c r="AF435" s="684"/>
      <c r="AG435" s="693"/>
      <c r="AM435" s="693"/>
      <c r="AN435" s="696" t="s">
        <v>1793</v>
      </c>
      <c r="AP435" s="693"/>
      <c r="AR435" s="693"/>
    </row>
    <row r="436" spans="1:44" s="646" customFormat="1" ht="14.4" x14ac:dyDescent="0.3">
      <c r="A436" s="694"/>
      <c r="B436" s="695"/>
      <c r="C436" s="982" t="s">
        <v>1931</v>
      </c>
      <c r="D436" s="982"/>
      <c r="E436" s="982"/>
      <c r="F436" s="982"/>
      <c r="G436" s="982"/>
      <c r="H436" s="982"/>
      <c r="I436" s="982"/>
      <c r="J436" s="982"/>
      <c r="K436" s="982"/>
      <c r="L436" s="982"/>
      <c r="M436" s="982"/>
      <c r="N436" s="988"/>
      <c r="AF436" s="684"/>
      <c r="AG436" s="693"/>
      <c r="AH436" s="696" t="s">
        <v>1931</v>
      </c>
      <c r="AM436" s="693"/>
      <c r="AP436" s="693"/>
      <c r="AR436" s="693"/>
    </row>
    <row r="437" spans="1:44" s="646" customFormat="1" ht="14.4" x14ac:dyDescent="0.3">
      <c r="A437" s="694"/>
      <c r="B437" s="695"/>
      <c r="C437" s="982" t="s">
        <v>1887</v>
      </c>
      <c r="D437" s="982"/>
      <c r="E437" s="982"/>
      <c r="F437" s="982"/>
      <c r="G437" s="982"/>
      <c r="H437" s="982"/>
      <c r="I437" s="982"/>
      <c r="J437" s="982"/>
      <c r="K437" s="982"/>
      <c r="L437" s="982"/>
      <c r="M437" s="982"/>
      <c r="N437" s="988"/>
      <c r="AF437" s="684"/>
      <c r="AG437" s="693"/>
      <c r="AM437" s="693"/>
      <c r="AO437" s="696" t="s">
        <v>1887</v>
      </c>
      <c r="AP437" s="693"/>
      <c r="AR437" s="693"/>
    </row>
    <row r="438" spans="1:44" s="646" customFormat="1" ht="14.4" x14ac:dyDescent="0.3">
      <c r="A438" s="697"/>
      <c r="B438" s="698"/>
      <c r="C438" s="974" t="s">
        <v>1888</v>
      </c>
      <c r="D438" s="974"/>
      <c r="E438" s="974"/>
      <c r="F438" s="974"/>
      <c r="G438" s="974"/>
      <c r="H438" s="974"/>
      <c r="I438" s="974"/>
      <c r="J438" s="974"/>
      <c r="K438" s="974"/>
      <c r="L438" s="974"/>
      <c r="M438" s="974"/>
      <c r="N438" s="987"/>
      <c r="AF438" s="684"/>
      <c r="AG438" s="693"/>
      <c r="AI438" s="696" t="s">
        <v>1888</v>
      </c>
      <c r="AM438" s="693"/>
      <c r="AP438" s="693"/>
      <c r="AR438" s="693"/>
    </row>
    <row r="439" spans="1:44" s="646" customFormat="1" ht="14.4" x14ac:dyDescent="0.3">
      <c r="A439" s="719"/>
      <c r="B439" s="720"/>
      <c r="C439" s="985" t="s">
        <v>1776</v>
      </c>
      <c r="D439" s="985"/>
      <c r="E439" s="985"/>
      <c r="F439" s="687"/>
      <c r="G439" s="688"/>
      <c r="H439" s="688"/>
      <c r="I439" s="688"/>
      <c r="J439" s="691"/>
      <c r="K439" s="688"/>
      <c r="L439" s="721">
        <v>1512973.32</v>
      </c>
      <c r="M439" s="715"/>
      <c r="N439" s="722">
        <v>12345862.289999999</v>
      </c>
      <c r="AF439" s="684"/>
      <c r="AG439" s="693"/>
      <c r="AM439" s="693" t="s">
        <v>1776</v>
      </c>
      <c r="AP439" s="693"/>
      <c r="AR439" s="693"/>
    </row>
    <row r="440" spans="1:44" s="646" customFormat="1" ht="21.6" x14ac:dyDescent="0.3">
      <c r="A440" s="685" t="s">
        <v>1932</v>
      </c>
      <c r="B440" s="686" t="s">
        <v>1933</v>
      </c>
      <c r="C440" s="985" t="s">
        <v>1934</v>
      </c>
      <c r="D440" s="985"/>
      <c r="E440" s="985"/>
      <c r="F440" s="687" t="s">
        <v>1846</v>
      </c>
      <c r="G440" s="688">
        <v>-1266</v>
      </c>
      <c r="H440" s="689">
        <v>1</v>
      </c>
      <c r="I440" s="689">
        <v>-1266</v>
      </c>
      <c r="J440" s="726">
        <v>188.1</v>
      </c>
      <c r="K440" s="688"/>
      <c r="L440" s="721">
        <v>-238134.6</v>
      </c>
      <c r="M440" s="727">
        <v>8.16</v>
      </c>
      <c r="N440" s="722">
        <v>-1943178.34</v>
      </c>
      <c r="AF440" s="684"/>
      <c r="AG440" s="693" t="s">
        <v>1934</v>
      </c>
      <c r="AM440" s="693"/>
      <c r="AP440" s="693"/>
      <c r="AR440" s="693"/>
    </row>
    <row r="441" spans="1:44" s="646" customFormat="1" ht="14.4" x14ac:dyDescent="0.3">
      <c r="A441" s="719"/>
      <c r="B441" s="720"/>
      <c r="C441" s="982" t="s">
        <v>1884</v>
      </c>
      <c r="D441" s="982"/>
      <c r="E441" s="982"/>
      <c r="F441" s="982"/>
      <c r="G441" s="982"/>
      <c r="H441" s="982"/>
      <c r="I441" s="982"/>
      <c r="J441" s="982"/>
      <c r="K441" s="982"/>
      <c r="L441" s="982"/>
      <c r="M441" s="982"/>
      <c r="N441" s="988"/>
      <c r="AF441" s="684"/>
      <c r="AG441" s="693"/>
      <c r="AM441" s="693"/>
      <c r="AN441" s="696" t="s">
        <v>1884</v>
      </c>
      <c r="AP441" s="693"/>
      <c r="AR441" s="693"/>
    </row>
    <row r="442" spans="1:44" s="646" customFormat="1" ht="14.4" x14ac:dyDescent="0.3">
      <c r="A442" s="719"/>
      <c r="B442" s="720"/>
      <c r="C442" s="985" t="s">
        <v>1776</v>
      </c>
      <c r="D442" s="985"/>
      <c r="E442" s="985"/>
      <c r="F442" s="687"/>
      <c r="G442" s="688"/>
      <c r="H442" s="688"/>
      <c r="I442" s="688"/>
      <c r="J442" s="691"/>
      <c r="K442" s="688"/>
      <c r="L442" s="721">
        <v>-238134.6</v>
      </c>
      <c r="M442" s="715"/>
      <c r="N442" s="722">
        <v>-1943178.34</v>
      </c>
      <c r="AF442" s="684"/>
      <c r="AG442" s="693"/>
      <c r="AM442" s="693" t="s">
        <v>1776</v>
      </c>
      <c r="AP442" s="693"/>
      <c r="AR442" s="693"/>
    </row>
    <row r="443" spans="1:44" s="646" customFormat="1" ht="31.8" x14ac:dyDescent="0.3">
      <c r="A443" s="685" t="s">
        <v>1935</v>
      </c>
      <c r="B443" s="686" t="s">
        <v>1936</v>
      </c>
      <c r="C443" s="985" t="s">
        <v>1937</v>
      </c>
      <c r="D443" s="985"/>
      <c r="E443" s="985"/>
      <c r="F443" s="687" t="s">
        <v>1846</v>
      </c>
      <c r="G443" s="688">
        <v>1274</v>
      </c>
      <c r="H443" s="689">
        <v>1</v>
      </c>
      <c r="I443" s="689">
        <v>1274</v>
      </c>
      <c r="J443" s="726">
        <v>464.46</v>
      </c>
      <c r="K443" s="690">
        <v>1.012</v>
      </c>
      <c r="L443" s="721">
        <v>598822.69999999995</v>
      </c>
      <c r="M443" s="727">
        <v>8.16</v>
      </c>
      <c r="N443" s="722">
        <v>4886393.2300000004</v>
      </c>
      <c r="AF443" s="684"/>
      <c r="AG443" s="693" t="s">
        <v>1937</v>
      </c>
      <c r="AM443" s="693"/>
      <c r="AP443" s="693"/>
      <c r="AR443" s="693"/>
    </row>
    <row r="444" spans="1:44" s="646" customFormat="1" ht="14.4" x14ac:dyDescent="0.3">
      <c r="A444" s="719"/>
      <c r="B444" s="720"/>
      <c r="C444" s="982" t="s">
        <v>1793</v>
      </c>
      <c r="D444" s="982"/>
      <c r="E444" s="982"/>
      <c r="F444" s="982"/>
      <c r="G444" s="982"/>
      <c r="H444" s="982"/>
      <c r="I444" s="982"/>
      <c r="J444" s="982"/>
      <c r="K444" s="982"/>
      <c r="L444" s="982"/>
      <c r="M444" s="982"/>
      <c r="N444" s="988"/>
      <c r="AF444" s="684"/>
      <c r="AG444" s="693"/>
      <c r="AM444" s="693"/>
      <c r="AN444" s="696" t="s">
        <v>1793</v>
      </c>
      <c r="AP444" s="693"/>
      <c r="AR444" s="693"/>
    </row>
    <row r="445" spans="1:44" s="646" customFormat="1" ht="14.4" x14ac:dyDescent="0.3">
      <c r="A445" s="694"/>
      <c r="B445" s="695"/>
      <c r="C445" s="982" t="s">
        <v>1938</v>
      </c>
      <c r="D445" s="982"/>
      <c r="E445" s="982"/>
      <c r="F445" s="982"/>
      <c r="G445" s="982"/>
      <c r="H445" s="982"/>
      <c r="I445" s="982"/>
      <c r="J445" s="982"/>
      <c r="K445" s="982"/>
      <c r="L445" s="982"/>
      <c r="M445" s="982"/>
      <c r="N445" s="988"/>
      <c r="AF445" s="684"/>
      <c r="AG445" s="693"/>
      <c r="AM445" s="693"/>
      <c r="AO445" s="696" t="s">
        <v>1938</v>
      </c>
      <c r="AP445" s="693"/>
      <c r="AR445" s="693"/>
    </row>
    <row r="446" spans="1:44" s="646" customFormat="1" ht="14.4" x14ac:dyDescent="0.3">
      <c r="A446" s="697"/>
      <c r="B446" s="698"/>
      <c r="C446" s="974" t="s">
        <v>1888</v>
      </c>
      <c r="D446" s="974"/>
      <c r="E446" s="974"/>
      <c r="F446" s="974"/>
      <c r="G446" s="974"/>
      <c r="H446" s="974"/>
      <c r="I446" s="974"/>
      <c r="J446" s="974"/>
      <c r="K446" s="974"/>
      <c r="L446" s="974"/>
      <c r="M446" s="974"/>
      <c r="N446" s="987"/>
      <c r="AF446" s="684"/>
      <c r="AG446" s="693"/>
      <c r="AI446" s="696" t="s">
        <v>1888</v>
      </c>
      <c r="AM446" s="693"/>
      <c r="AP446" s="693"/>
      <c r="AR446" s="693"/>
    </row>
    <row r="447" spans="1:44" s="646" customFormat="1" ht="14.4" x14ac:dyDescent="0.3">
      <c r="A447" s="719"/>
      <c r="B447" s="720"/>
      <c r="C447" s="985" t="s">
        <v>1776</v>
      </c>
      <c r="D447" s="985"/>
      <c r="E447" s="985"/>
      <c r="F447" s="687"/>
      <c r="G447" s="688"/>
      <c r="H447" s="688"/>
      <c r="I447" s="688"/>
      <c r="J447" s="691"/>
      <c r="K447" s="688"/>
      <c r="L447" s="721">
        <v>598822.69999999995</v>
      </c>
      <c r="M447" s="715"/>
      <c r="N447" s="722">
        <v>4886393.2300000004</v>
      </c>
      <c r="AF447" s="684"/>
      <c r="AG447" s="693"/>
      <c r="AM447" s="693" t="s">
        <v>1776</v>
      </c>
      <c r="AP447" s="693"/>
      <c r="AR447" s="693"/>
    </row>
    <row r="448" spans="1:44" s="646" customFormat="1" ht="14.4" x14ac:dyDescent="0.3">
      <c r="A448" s="685" t="s">
        <v>1939</v>
      </c>
      <c r="B448" s="686" t="s">
        <v>1893</v>
      </c>
      <c r="C448" s="985" t="s">
        <v>1552</v>
      </c>
      <c r="D448" s="985"/>
      <c r="E448" s="985"/>
      <c r="F448" s="687" t="s">
        <v>1846</v>
      </c>
      <c r="G448" s="688">
        <v>-220</v>
      </c>
      <c r="H448" s="689">
        <v>1</v>
      </c>
      <c r="I448" s="689">
        <v>-220</v>
      </c>
      <c r="J448" s="726">
        <v>145.30000000000001</v>
      </c>
      <c r="K448" s="688"/>
      <c r="L448" s="721">
        <v>-31966</v>
      </c>
      <c r="M448" s="727">
        <v>8.16</v>
      </c>
      <c r="N448" s="722">
        <v>-260842.56</v>
      </c>
      <c r="AF448" s="684"/>
      <c r="AG448" s="693" t="s">
        <v>1552</v>
      </c>
      <c r="AM448" s="693"/>
      <c r="AP448" s="693"/>
      <c r="AR448" s="693"/>
    </row>
    <row r="449" spans="1:44" s="646" customFormat="1" ht="14.4" x14ac:dyDescent="0.3">
      <c r="A449" s="719"/>
      <c r="B449" s="720"/>
      <c r="C449" s="982" t="s">
        <v>1884</v>
      </c>
      <c r="D449" s="982"/>
      <c r="E449" s="982"/>
      <c r="F449" s="982"/>
      <c r="G449" s="982"/>
      <c r="H449" s="982"/>
      <c r="I449" s="982"/>
      <c r="J449" s="982"/>
      <c r="K449" s="982"/>
      <c r="L449" s="982"/>
      <c r="M449" s="982"/>
      <c r="N449" s="988"/>
      <c r="AF449" s="684"/>
      <c r="AG449" s="693"/>
      <c r="AM449" s="693"/>
      <c r="AN449" s="696" t="s">
        <v>1884</v>
      </c>
      <c r="AP449" s="693"/>
      <c r="AR449" s="693"/>
    </row>
    <row r="450" spans="1:44" s="646" customFormat="1" ht="14.4" x14ac:dyDescent="0.3">
      <c r="A450" s="719"/>
      <c r="B450" s="720"/>
      <c r="C450" s="985" t="s">
        <v>1776</v>
      </c>
      <c r="D450" s="985"/>
      <c r="E450" s="985"/>
      <c r="F450" s="687"/>
      <c r="G450" s="688"/>
      <c r="H450" s="688"/>
      <c r="I450" s="688"/>
      <c r="J450" s="691"/>
      <c r="K450" s="688"/>
      <c r="L450" s="721">
        <v>-31966</v>
      </c>
      <c r="M450" s="715"/>
      <c r="N450" s="722">
        <v>-260842.56</v>
      </c>
      <c r="AF450" s="684"/>
      <c r="AG450" s="693"/>
      <c r="AM450" s="693" t="s">
        <v>1776</v>
      </c>
      <c r="AP450" s="693"/>
      <c r="AR450" s="693"/>
    </row>
    <row r="451" spans="1:44" s="646" customFormat="1" ht="20.399999999999999" x14ac:dyDescent="0.3">
      <c r="A451" s="685" t="s">
        <v>1940</v>
      </c>
      <c r="B451" s="686" t="s">
        <v>1202</v>
      </c>
      <c r="C451" s="985" t="s">
        <v>1941</v>
      </c>
      <c r="D451" s="985"/>
      <c r="E451" s="985"/>
      <c r="F451" s="687" t="s">
        <v>224</v>
      </c>
      <c r="G451" s="688">
        <v>3.2450000000000001</v>
      </c>
      <c r="H451" s="689">
        <v>1</v>
      </c>
      <c r="I451" s="690">
        <v>3.2450000000000001</v>
      </c>
      <c r="J451" s="721">
        <v>28084.15</v>
      </c>
      <c r="K451" s="690">
        <v>1.012</v>
      </c>
      <c r="L451" s="721">
        <v>92226.66</v>
      </c>
      <c r="M451" s="727">
        <v>8.16</v>
      </c>
      <c r="N451" s="722">
        <v>752569.55</v>
      </c>
      <c r="AF451" s="684"/>
      <c r="AG451" s="693" t="s">
        <v>1941</v>
      </c>
      <c r="AM451" s="693"/>
      <c r="AP451" s="693"/>
      <c r="AR451" s="693"/>
    </row>
    <row r="452" spans="1:44" s="646" customFormat="1" ht="14.4" x14ac:dyDescent="0.3">
      <c r="A452" s="719"/>
      <c r="B452" s="720"/>
      <c r="C452" s="982" t="s">
        <v>1793</v>
      </c>
      <c r="D452" s="982"/>
      <c r="E452" s="982"/>
      <c r="F452" s="982"/>
      <c r="G452" s="982"/>
      <c r="H452" s="982"/>
      <c r="I452" s="982"/>
      <c r="J452" s="982"/>
      <c r="K452" s="982"/>
      <c r="L452" s="982"/>
      <c r="M452" s="982"/>
      <c r="N452" s="988"/>
      <c r="AF452" s="684"/>
      <c r="AG452" s="693"/>
      <c r="AM452" s="693"/>
      <c r="AN452" s="696" t="s">
        <v>1793</v>
      </c>
      <c r="AP452" s="693"/>
      <c r="AR452" s="693"/>
    </row>
    <row r="453" spans="1:44" s="646" customFormat="1" ht="14.4" x14ac:dyDescent="0.3">
      <c r="A453" s="694"/>
      <c r="B453" s="695"/>
      <c r="C453" s="982" t="s">
        <v>1942</v>
      </c>
      <c r="D453" s="982"/>
      <c r="E453" s="982"/>
      <c r="F453" s="982"/>
      <c r="G453" s="982"/>
      <c r="H453" s="982"/>
      <c r="I453" s="982"/>
      <c r="J453" s="982"/>
      <c r="K453" s="982"/>
      <c r="L453" s="982"/>
      <c r="M453" s="982"/>
      <c r="N453" s="988"/>
      <c r="AF453" s="684"/>
      <c r="AG453" s="693"/>
      <c r="AH453" s="696" t="s">
        <v>1942</v>
      </c>
      <c r="AM453" s="693"/>
      <c r="AP453" s="693"/>
      <c r="AR453" s="693"/>
    </row>
    <row r="454" spans="1:44" s="646" customFormat="1" ht="14.4" x14ac:dyDescent="0.3">
      <c r="A454" s="694"/>
      <c r="B454" s="695"/>
      <c r="C454" s="982" t="s">
        <v>1895</v>
      </c>
      <c r="D454" s="982"/>
      <c r="E454" s="982"/>
      <c r="F454" s="982"/>
      <c r="G454" s="982"/>
      <c r="H454" s="982"/>
      <c r="I454" s="982"/>
      <c r="J454" s="982"/>
      <c r="K454" s="982"/>
      <c r="L454" s="982"/>
      <c r="M454" s="982"/>
      <c r="N454" s="988"/>
      <c r="AF454" s="684"/>
      <c r="AG454" s="693"/>
      <c r="AM454" s="693"/>
      <c r="AO454" s="696" t="s">
        <v>1895</v>
      </c>
      <c r="AP454" s="693"/>
      <c r="AR454" s="693"/>
    </row>
    <row r="455" spans="1:44" s="646" customFormat="1" ht="14.4" x14ac:dyDescent="0.3">
      <c r="A455" s="697"/>
      <c r="B455" s="698"/>
      <c r="C455" s="974" t="s">
        <v>1888</v>
      </c>
      <c r="D455" s="974"/>
      <c r="E455" s="974"/>
      <c r="F455" s="974"/>
      <c r="G455" s="974"/>
      <c r="H455" s="974"/>
      <c r="I455" s="974"/>
      <c r="J455" s="974"/>
      <c r="K455" s="974"/>
      <c r="L455" s="974"/>
      <c r="M455" s="974"/>
      <c r="N455" s="987"/>
      <c r="AF455" s="684"/>
      <c r="AG455" s="693"/>
      <c r="AI455" s="696" t="s">
        <v>1888</v>
      </c>
      <c r="AM455" s="693"/>
      <c r="AP455" s="693"/>
      <c r="AR455" s="693"/>
    </row>
    <row r="456" spans="1:44" s="646" customFormat="1" ht="14.4" x14ac:dyDescent="0.3">
      <c r="A456" s="719"/>
      <c r="B456" s="720"/>
      <c r="C456" s="985" t="s">
        <v>1776</v>
      </c>
      <c r="D456" s="985"/>
      <c r="E456" s="985"/>
      <c r="F456" s="687"/>
      <c r="G456" s="688"/>
      <c r="H456" s="688"/>
      <c r="I456" s="688"/>
      <c r="J456" s="691"/>
      <c r="K456" s="688"/>
      <c r="L456" s="721">
        <v>92226.66</v>
      </c>
      <c r="M456" s="715"/>
      <c r="N456" s="722">
        <v>752569.55</v>
      </c>
      <c r="AF456" s="684"/>
      <c r="AG456" s="693"/>
      <c r="AM456" s="693" t="s">
        <v>1776</v>
      </c>
      <c r="AP456" s="693"/>
      <c r="AR456" s="693"/>
    </row>
    <row r="457" spans="1:44" s="646" customFormat="1" ht="21.6" x14ac:dyDescent="0.3">
      <c r="A457" s="685" t="s">
        <v>1943</v>
      </c>
      <c r="B457" s="686" t="s">
        <v>1944</v>
      </c>
      <c r="C457" s="985" t="s">
        <v>1945</v>
      </c>
      <c r="D457" s="985"/>
      <c r="E457" s="985"/>
      <c r="F457" s="687" t="s">
        <v>224</v>
      </c>
      <c r="G457" s="688">
        <v>-0.45400000000000001</v>
      </c>
      <c r="H457" s="689">
        <v>1</v>
      </c>
      <c r="I457" s="690">
        <v>-0.45400000000000001</v>
      </c>
      <c r="J457" s="721">
        <v>10424</v>
      </c>
      <c r="K457" s="688"/>
      <c r="L457" s="721">
        <v>-4732.5</v>
      </c>
      <c r="M457" s="727">
        <v>8.16</v>
      </c>
      <c r="N457" s="722">
        <v>-38617.199999999997</v>
      </c>
      <c r="AF457" s="684"/>
      <c r="AG457" s="693" t="s">
        <v>1945</v>
      </c>
      <c r="AM457" s="693"/>
      <c r="AP457" s="693"/>
      <c r="AR457" s="693"/>
    </row>
    <row r="458" spans="1:44" s="646" customFormat="1" ht="14.4" x14ac:dyDescent="0.3">
      <c r="A458" s="719"/>
      <c r="B458" s="720"/>
      <c r="C458" s="982" t="s">
        <v>1884</v>
      </c>
      <c r="D458" s="982"/>
      <c r="E458" s="982"/>
      <c r="F458" s="982"/>
      <c r="G458" s="982"/>
      <c r="H458" s="982"/>
      <c r="I458" s="982"/>
      <c r="J458" s="982"/>
      <c r="K458" s="982"/>
      <c r="L458" s="982"/>
      <c r="M458" s="982"/>
      <c r="N458" s="988"/>
      <c r="AF458" s="684"/>
      <c r="AG458" s="693"/>
      <c r="AM458" s="693"/>
      <c r="AN458" s="696" t="s">
        <v>1884</v>
      </c>
      <c r="AP458" s="693"/>
      <c r="AR458" s="693"/>
    </row>
    <row r="459" spans="1:44" s="646" customFormat="1" ht="14.4" x14ac:dyDescent="0.3">
      <c r="A459" s="719"/>
      <c r="B459" s="720"/>
      <c r="C459" s="985" t="s">
        <v>1776</v>
      </c>
      <c r="D459" s="985"/>
      <c r="E459" s="985"/>
      <c r="F459" s="687"/>
      <c r="G459" s="688"/>
      <c r="H459" s="688"/>
      <c r="I459" s="688"/>
      <c r="J459" s="691"/>
      <c r="K459" s="688"/>
      <c r="L459" s="721">
        <v>-4732.5</v>
      </c>
      <c r="M459" s="715"/>
      <c r="N459" s="722">
        <v>-38617.199999999997</v>
      </c>
      <c r="AF459" s="684"/>
      <c r="AG459" s="693"/>
      <c r="AM459" s="693" t="s">
        <v>1776</v>
      </c>
      <c r="AP459" s="693"/>
      <c r="AR459" s="693"/>
    </row>
    <row r="460" spans="1:44" s="646" customFormat="1" ht="21.6" x14ac:dyDescent="0.3">
      <c r="A460" s="685" t="s">
        <v>1946</v>
      </c>
      <c r="B460" s="686" t="s">
        <v>1898</v>
      </c>
      <c r="C460" s="985" t="s">
        <v>1899</v>
      </c>
      <c r="D460" s="985"/>
      <c r="E460" s="985"/>
      <c r="F460" s="687" t="s">
        <v>224</v>
      </c>
      <c r="G460" s="688">
        <v>-2.367</v>
      </c>
      <c r="H460" s="689">
        <v>1</v>
      </c>
      <c r="I460" s="690">
        <v>-2.367</v>
      </c>
      <c r="J460" s="721">
        <v>11859</v>
      </c>
      <c r="K460" s="688"/>
      <c r="L460" s="721">
        <v>-28070.25</v>
      </c>
      <c r="M460" s="727">
        <v>8.16</v>
      </c>
      <c r="N460" s="722">
        <v>-229053.24</v>
      </c>
      <c r="AF460" s="684"/>
      <c r="AG460" s="693" t="s">
        <v>1899</v>
      </c>
      <c r="AM460" s="693"/>
      <c r="AP460" s="693"/>
      <c r="AR460" s="693"/>
    </row>
    <row r="461" spans="1:44" s="646" customFormat="1" ht="14.4" x14ac:dyDescent="0.3">
      <c r="A461" s="719"/>
      <c r="B461" s="720"/>
      <c r="C461" s="982" t="s">
        <v>1884</v>
      </c>
      <c r="D461" s="982"/>
      <c r="E461" s="982"/>
      <c r="F461" s="982"/>
      <c r="G461" s="982"/>
      <c r="H461" s="982"/>
      <c r="I461" s="982"/>
      <c r="J461" s="982"/>
      <c r="K461" s="982"/>
      <c r="L461" s="982"/>
      <c r="M461" s="982"/>
      <c r="N461" s="988"/>
      <c r="AF461" s="684"/>
      <c r="AG461" s="693"/>
      <c r="AM461" s="693"/>
      <c r="AN461" s="696" t="s">
        <v>1884</v>
      </c>
      <c r="AP461" s="693"/>
      <c r="AR461" s="693"/>
    </row>
    <row r="462" spans="1:44" s="646" customFormat="1" ht="14.4" x14ac:dyDescent="0.3">
      <c r="A462" s="719"/>
      <c r="B462" s="720"/>
      <c r="C462" s="985" t="s">
        <v>1776</v>
      </c>
      <c r="D462" s="985"/>
      <c r="E462" s="985"/>
      <c r="F462" s="687"/>
      <c r="G462" s="688"/>
      <c r="H462" s="688"/>
      <c r="I462" s="688"/>
      <c r="J462" s="691"/>
      <c r="K462" s="688"/>
      <c r="L462" s="721">
        <v>-28070.25</v>
      </c>
      <c r="M462" s="715"/>
      <c r="N462" s="722">
        <v>-229053.24</v>
      </c>
      <c r="AF462" s="684"/>
      <c r="AG462" s="693"/>
      <c r="AM462" s="693" t="s">
        <v>1776</v>
      </c>
      <c r="AP462" s="693"/>
      <c r="AR462" s="693"/>
    </row>
    <row r="463" spans="1:44" s="646" customFormat="1" ht="21.6" x14ac:dyDescent="0.3">
      <c r="A463" s="685" t="s">
        <v>1947</v>
      </c>
      <c r="B463" s="686" t="s">
        <v>1948</v>
      </c>
      <c r="C463" s="985" t="s">
        <v>1949</v>
      </c>
      <c r="D463" s="985"/>
      <c r="E463" s="985"/>
      <c r="F463" s="687" t="s">
        <v>224</v>
      </c>
      <c r="G463" s="688">
        <v>-3.798</v>
      </c>
      <c r="H463" s="689">
        <v>1</v>
      </c>
      <c r="I463" s="690">
        <v>-3.798</v>
      </c>
      <c r="J463" s="721">
        <v>10948</v>
      </c>
      <c r="K463" s="688"/>
      <c r="L463" s="721">
        <v>-41580.5</v>
      </c>
      <c r="M463" s="727">
        <v>8.16</v>
      </c>
      <c r="N463" s="722">
        <v>-339296.88</v>
      </c>
      <c r="AF463" s="684"/>
      <c r="AG463" s="693" t="s">
        <v>1949</v>
      </c>
      <c r="AM463" s="693"/>
      <c r="AP463" s="693"/>
      <c r="AR463" s="693"/>
    </row>
    <row r="464" spans="1:44" s="646" customFormat="1" ht="14.4" x14ac:dyDescent="0.3">
      <c r="A464" s="719"/>
      <c r="B464" s="720"/>
      <c r="C464" s="982" t="s">
        <v>1884</v>
      </c>
      <c r="D464" s="982"/>
      <c r="E464" s="982"/>
      <c r="F464" s="982"/>
      <c r="G464" s="982"/>
      <c r="H464" s="982"/>
      <c r="I464" s="982"/>
      <c r="J464" s="982"/>
      <c r="K464" s="982"/>
      <c r="L464" s="982"/>
      <c r="M464" s="982"/>
      <c r="N464" s="988"/>
      <c r="AF464" s="684"/>
      <c r="AG464" s="693"/>
      <c r="AM464" s="693"/>
      <c r="AN464" s="696" t="s">
        <v>1884</v>
      </c>
      <c r="AP464" s="693"/>
      <c r="AR464" s="693"/>
    </row>
    <row r="465" spans="1:44" s="646" customFormat="1" ht="14.4" x14ac:dyDescent="0.3">
      <c r="A465" s="719"/>
      <c r="B465" s="720"/>
      <c r="C465" s="985" t="s">
        <v>1776</v>
      </c>
      <c r="D465" s="985"/>
      <c r="E465" s="985"/>
      <c r="F465" s="687"/>
      <c r="G465" s="688"/>
      <c r="H465" s="688"/>
      <c r="I465" s="688"/>
      <c r="J465" s="691"/>
      <c r="K465" s="688"/>
      <c r="L465" s="721">
        <v>-41580.5</v>
      </c>
      <c r="M465" s="715"/>
      <c r="N465" s="722">
        <v>-339296.88</v>
      </c>
      <c r="AF465" s="684"/>
      <c r="AG465" s="693"/>
      <c r="AM465" s="693" t="s">
        <v>1776</v>
      </c>
      <c r="AP465" s="693"/>
      <c r="AR465" s="693"/>
    </row>
    <row r="466" spans="1:44" s="646" customFormat="1" ht="21.6" x14ac:dyDescent="0.3">
      <c r="A466" s="685" t="s">
        <v>1950</v>
      </c>
      <c r="B466" s="686" t="s">
        <v>1951</v>
      </c>
      <c r="C466" s="985" t="s">
        <v>1952</v>
      </c>
      <c r="D466" s="985"/>
      <c r="E466" s="985"/>
      <c r="F466" s="687" t="s">
        <v>1846</v>
      </c>
      <c r="G466" s="688">
        <v>-2532</v>
      </c>
      <c r="H466" s="689">
        <v>1</v>
      </c>
      <c r="I466" s="689">
        <v>-2532</v>
      </c>
      <c r="J466" s="726">
        <v>43.61</v>
      </c>
      <c r="K466" s="688"/>
      <c r="L466" s="721">
        <v>-110420.52</v>
      </c>
      <c r="M466" s="727">
        <v>8.16</v>
      </c>
      <c r="N466" s="722">
        <v>-901031.44</v>
      </c>
      <c r="AF466" s="684"/>
      <c r="AG466" s="693" t="s">
        <v>1952</v>
      </c>
      <c r="AM466" s="693"/>
      <c r="AP466" s="693"/>
      <c r="AR466" s="693"/>
    </row>
    <row r="467" spans="1:44" s="646" customFormat="1" ht="14.4" x14ac:dyDescent="0.3">
      <c r="A467" s="719"/>
      <c r="B467" s="720"/>
      <c r="C467" s="982" t="s">
        <v>1884</v>
      </c>
      <c r="D467" s="982"/>
      <c r="E467" s="982"/>
      <c r="F467" s="982"/>
      <c r="G467" s="982"/>
      <c r="H467" s="982"/>
      <c r="I467" s="982"/>
      <c r="J467" s="982"/>
      <c r="K467" s="982"/>
      <c r="L467" s="982"/>
      <c r="M467" s="982"/>
      <c r="N467" s="988"/>
      <c r="AF467" s="684"/>
      <c r="AG467" s="693"/>
      <c r="AM467" s="693"/>
      <c r="AN467" s="696" t="s">
        <v>1884</v>
      </c>
      <c r="AP467" s="693"/>
      <c r="AR467" s="693"/>
    </row>
    <row r="468" spans="1:44" s="646" customFormat="1" ht="14.4" x14ac:dyDescent="0.3">
      <c r="A468" s="719"/>
      <c r="B468" s="720"/>
      <c r="C468" s="985" t="s">
        <v>1776</v>
      </c>
      <c r="D468" s="985"/>
      <c r="E468" s="985"/>
      <c r="F468" s="687"/>
      <c r="G468" s="688"/>
      <c r="H468" s="688"/>
      <c r="I468" s="688"/>
      <c r="J468" s="691"/>
      <c r="K468" s="688"/>
      <c r="L468" s="721">
        <v>-110420.52</v>
      </c>
      <c r="M468" s="715"/>
      <c r="N468" s="722">
        <v>-901031.44</v>
      </c>
      <c r="AF468" s="684"/>
      <c r="AG468" s="693"/>
      <c r="AM468" s="693" t="s">
        <v>1776</v>
      </c>
      <c r="AP468" s="693"/>
      <c r="AR468" s="693"/>
    </row>
    <row r="469" spans="1:44" s="646" customFormat="1" ht="21.6" x14ac:dyDescent="0.3">
      <c r="A469" s="685" t="s">
        <v>1953</v>
      </c>
      <c r="B469" s="686" t="s">
        <v>1954</v>
      </c>
      <c r="C469" s="985" t="s">
        <v>1955</v>
      </c>
      <c r="D469" s="985"/>
      <c r="E469" s="985"/>
      <c r="F469" s="687" t="s">
        <v>1846</v>
      </c>
      <c r="G469" s="688">
        <v>-2532</v>
      </c>
      <c r="H469" s="689">
        <v>1</v>
      </c>
      <c r="I469" s="689">
        <v>-2532</v>
      </c>
      <c r="J469" s="726">
        <v>5.6</v>
      </c>
      <c r="K469" s="688"/>
      <c r="L469" s="721">
        <v>-14179.2</v>
      </c>
      <c r="M469" s="727">
        <v>8.16</v>
      </c>
      <c r="N469" s="722">
        <v>-115702.27</v>
      </c>
      <c r="AF469" s="684"/>
      <c r="AG469" s="693" t="s">
        <v>1955</v>
      </c>
      <c r="AM469" s="693"/>
      <c r="AP469" s="693"/>
      <c r="AR469" s="693"/>
    </row>
    <row r="470" spans="1:44" s="646" customFormat="1" ht="14.4" x14ac:dyDescent="0.3">
      <c r="A470" s="719"/>
      <c r="B470" s="720"/>
      <c r="C470" s="982" t="s">
        <v>1884</v>
      </c>
      <c r="D470" s="982"/>
      <c r="E470" s="982"/>
      <c r="F470" s="982"/>
      <c r="G470" s="982"/>
      <c r="H470" s="982"/>
      <c r="I470" s="982"/>
      <c r="J470" s="982"/>
      <c r="K470" s="982"/>
      <c r="L470" s="982"/>
      <c r="M470" s="982"/>
      <c r="N470" s="988"/>
      <c r="AF470" s="684"/>
      <c r="AG470" s="693"/>
      <c r="AM470" s="693"/>
      <c r="AN470" s="696" t="s">
        <v>1884</v>
      </c>
      <c r="AP470" s="693"/>
      <c r="AR470" s="693"/>
    </row>
    <row r="471" spans="1:44" s="646" customFormat="1" ht="14.4" x14ac:dyDescent="0.3">
      <c r="A471" s="719"/>
      <c r="B471" s="720"/>
      <c r="C471" s="985" t="s">
        <v>1776</v>
      </c>
      <c r="D471" s="985"/>
      <c r="E471" s="985"/>
      <c r="F471" s="687"/>
      <c r="G471" s="688"/>
      <c r="H471" s="688"/>
      <c r="I471" s="688"/>
      <c r="J471" s="691"/>
      <c r="K471" s="688"/>
      <c r="L471" s="721">
        <v>-14179.2</v>
      </c>
      <c r="M471" s="715"/>
      <c r="N471" s="722">
        <v>-115702.27</v>
      </c>
      <c r="AF471" s="684"/>
      <c r="AG471" s="693"/>
      <c r="AM471" s="693" t="s">
        <v>1776</v>
      </c>
      <c r="AP471" s="693"/>
      <c r="AR471" s="693"/>
    </row>
    <row r="472" spans="1:44" s="646" customFormat="1" ht="21.6" x14ac:dyDescent="0.3">
      <c r="A472" s="685" t="s">
        <v>1956</v>
      </c>
      <c r="B472" s="686" t="s">
        <v>1957</v>
      </c>
      <c r="C472" s="985" t="s">
        <v>1958</v>
      </c>
      <c r="D472" s="985"/>
      <c r="E472" s="985"/>
      <c r="F472" s="687" t="s">
        <v>1846</v>
      </c>
      <c r="G472" s="688">
        <v>-2532</v>
      </c>
      <c r="H472" s="689">
        <v>1</v>
      </c>
      <c r="I472" s="689">
        <v>-2532</v>
      </c>
      <c r="J472" s="726">
        <v>2.5</v>
      </c>
      <c r="K472" s="688"/>
      <c r="L472" s="721">
        <v>-6330</v>
      </c>
      <c r="M472" s="727">
        <v>8.16</v>
      </c>
      <c r="N472" s="722">
        <v>-51652.800000000003</v>
      </c>
      <c r="AF472" s="684"/>
      <c r="AG472" s="693" t="s">
        <v>1958</v>
      </c>
      <c r="AM472" s="693"/>
      <c r="AP472" s="693"/>
      <c r="AR472" s="693"/>
    </row>
    <row r="473" spans="1:44" s="646" customFormat="1" ht="14.4" x14ac:dyDescent="0.3">
      <c r="A473" s="719"/>
      <c r="B473" s="720"/>
      <c r="C473" s="982" t="s">
        <v>1884</v>
      </c>
      <c r="D473" s="982"/>
      <c r="E473" s="982"/>
      <c r="F473" s="982"/>
      <c r="G473" s="982"/>
      <c r="H473" s="982"/>
      <c r="I473" s="982"/>
      <c r="J473" s="982"/>
      <c r="K473" s="982"/>
      <c r="L473" s="982"/>
      <c r="M473" s="982"/>
      <c r="N473" s="988"/>
      <c r="AF473" s="684"/>
      <c r="AG473" s="693"/>
      <c r="AM473" s="693"/>
      <c r="AN473" s="696" t="s">
        <v>1884</v>
      </c>
      <c r="AP473" s="693"/>
      <c r="AR473" s="693"/>
    </row>
    <row r="474" spans="1:44" s="646" customFormat="1" ht="14.4" x14ac:dyDescent="0.3">
      <c r="A474" s="719"/>
      <c r="B474" s="720"/>
      <c r="C474" s="985" t="s">
        <v>1776</v>
      </c>
      <c r="D474" s="985"/>
      <c r="E474" s="985"/>
      <c r="F474" s="687"/>
      <c r="G474" s="688"/>
      <c r="H474" s="688"/>
      <c r="I474" s="688"/>
      <c r="J474" s="691"/>
      <c r="K474" s="688"/>
      <c r="L474" s="721">
        <v>-6330</v>
      </c>
      <c r="M474" s="715"/>
      <c r="N474" s="722">
        <v>-51652.800000000003</v>
      </c>
      <c r="AF474" s="684"/>
      <c r="AG474" s="693"/>
      <c r="AM474" s="693" t="s">
        <v>1776</v>
      </c>
      <c r="AP474" s="693"/>
      <c r="AR474" s="693"/>
    </row>
    <row r="475" spans="1:44" s="646" customFormat="1" ht="52.2" x14ac:dyDescent="0.3">
      <c r="A475" s="685" t="s">
        <v>1959</v>
      </c>
      <c r="B475" s="686" t="s">
        <v>1960</v>
      </c>
      <c r="C475" s="985" t="s">
        <v>1961</v>
      </c>
      <c r="D475" s="985"/>
      <c r="E475" s="985"/>
      <c r="F475" s="687" t="s">
        <v>1853</v>
      </c>
      <c r="G475" s="688">
        <v>2546</v>
      </c>
      <c r="H475" s="689">
        <v>1</v>
      </c>
      <c r="I475" s="689">
        <v>2546</v>
      </c>
      <c r="J475" s="726">
        <v>275.74</v>
      </c>
      <c r="K475" s="690">
        <v>1.012</v>
      </c>
      <c r="L475" s="721">
        <v>710458.45</v>
      </c>
      <c r="M475" s="727">
        <v>8.16</v>
      </c>
      <c r="N475" s="722">
        <v>5797340.9500000002</v>
      </c>
      <c r="AF475" s="684"/>
      <c r="AG475" s="693" t="s">
        <v>1961</v>
      </c>
      <c r="AM475" s="693"/>
      <c r="AP475" s="693"/>
      <c r="AR475" s="693"/>
    </row>
    <row r="476" spans="1:44" s="646" customFormat="1" ht="14.4" x14ac:dyDescent="0.3">
      <c r="A476" s="719"/>
      <c r="B476" s="720"/>
      <c r="C476" s="982" t="s">
        <v>1793</v>
      </c>
      <c r="D476" s="982"/>
      <c r="E476" s="982"/>
      <c r="F476" s="982"/>
      <c r="G476" s="982"/>
      <c r="H476" s="982"/>
      <c r="I476" s="982"/>
      <c r="J476" s="982"/>
      <c r="K476" s="982"/>
      <c r="L476" s="982"/>
      <c r="M476" s="982"/>
      <c r="N476" s="988"/>
      <c r="AF476" s="684"/>
      <c r="AG476" s="693"/>
      <c r="AM476" s="693"/>
      <c r="AN476" s="696" t="s">
        <v>1793</v>
      </c>
      <c r="AP476" s="693"/>
      <c r="AR476" s="693"/>
    </row>
    <row r="477" spans="1:44" s="646" customFormat="1" ht="14.4" x14ac:dyDescent="0.3">
      <c r="A477" s="694"/>
      <c r="B477" s="695"/>
      <c r="C477" s="982" t="s">
        <v>1962</v>
      </c>
      <c r="D477" s="982"/>
      <c r="E477" s="982"/>
      <c r="F477" s="982"/>
      <c r="G477" s="982"/>
      <c r="H477" s="982"/>
      <c r="I477" s="982"/>
      <c r="J477" s="982"/>
      <c r="K477" s="982"/>
      <c r="L477" s="982"/>
      <c r="M477" s="982"/>
      <c r="N477" s="988"/>
      <c r="AF477" s="684"/>
      <c r="AG477" s="693"/>
      <c r="AM477" s="693"/>
      <c r="AO477" s="696" t="s">
        <v>1962</v>
      </c>
      <c r="AP477" s="693"/>
      <c r="AR477" s="693"/>
    </row>
    <row r="478" spans="1:44" s="646" customFormat="1" ht="14.4" x14ac:dyDescent="0.3">
      <c r="A478" s="697"/>
      <c r="B478" s="698"/>
      <c r="C478" s="974" t="s">
        <v>1888</v>
      </c>
      <c r="D478" s="974"/>
      <c r="E478" s="974"/>
      <c r="F478" s="974"/>
      <c r="G478" s="974"/>
      <c r="H478" s="974"/>
      <c r="I478" s="974"/>
      <c r="J478" s="974"/>
      <c r="K478" s="974"/>
      <c r="L478" s="974"/>
      <c r="M478" s="974"/>
      <c r="N478" s="987"/>
      <c r="AF478" s="684"/>
      <c r="AG478" s="693"/>
      <c r="AI478" s="696" t="s">
        <v>1888</v>
      </c>
      <c r="AM478" s="693"/>
      <c r="AP478" s="693"/>
      <c r="AR478" s="693"/>
    </row>
    <row r="479" spans="1:44" s="646" customFormat="1" ht="14.4" x14ac:dyDescent="0.3">
      <c r="A479" s="719"/>
      <c r="B479" s="720"/>
      <c r="C479" s="985" t="s">
        <v>1776</v>
      </c>
      <c r="D479" s="985"/>
      <c r="E479" s="985"/>
      <c r="F479" s="687"/>
      <c r="G479" s="688"/>
      <c r="H479" s="688"/>
      <c r="I479" s="688"/>
      <c r="J479" s="691"/>
      <c r="K479" s="688"/>
      <c r="L479" s="721">
        <v>710458.45</v>
      </c>
      <c r="M479" s="715"/>
      <c r="N479" s="722">
        <v>5797340.9500000002</v>
      </c>
      <c r="AF479" s="684"/>
      <c r="AG479" s="693"/>
      <c r="AM479" s="693" t="s">
        <v>1776</v>
      </c>
      <c r="AP479" s="693"/>
      <c r="AR479" s="693"/>
    </row>
    <row r="480" spans="1:44" s="646" customFormat="1" ht="42" x14ac:dyDescent="0.3">
      <c r="A480" s="685" t="s">
        <v>1963</v>
      </c>
      <c r="B480" s="686" t="s">
        <v>1964</v>
      </c>
      <c r="C480" s="985" t="s">
        <v>1965</v>
      </c>
      <c r="D480" s="985"/>
      <c r="E480" s="985"/>
      <c r="F480" s="687" t="s">
        <v>1856</v>
      </c>
      <c r="G480" s="688">
        <v>3.1119999999999998E-2</v>
      </c>
      <c r="H480" s="689">
        <v>1</v>
      </c>
      <c r="I480" s="750">
        <v>3.1119999999999998E-2</v>
      </c>
      <c r="J480" s="691"/>
      <c r="K480" s="688"/>
      <c r="L480" s="691"/>
      <c r="M480" s="688"/>
      <c r="N480" s="692"/>
      <c r="AF480" s="684"/>
      <c r="AG480" s="693" t="s">
        <v>1965</v>
      </c>
      <c r="AM480" s="693"/>
      <c r="AP480" s="693"/>
      <c r="AR480" s="693"/>
    </row>
    <row r="481" spans="1:44" s="646" customFormat="1" ht="14.4" x14ac:dyDescent="0.3">
      <c r="A481" s="694"/>
      <c r="B481" s="695"/>
      <c r="C481" s="982" t="s">
        <v>1966</v>
      </c>
      <c r="D481" s="982"/>
      <c r="E481" s="982"/>
      <c r="F481" s="982"/>
      <c r="G481" s="982"/>
      <c r="H481" s="982"/>
      <c r="I481" s="982"/>
      <c r="J481" s="982"/>
      <c r="K481" s="982"/>
      <c r="L481" s="982"/>
      <c r="M481" s="982"/>
      <c r="N481" s="988"/>
      <c r="AF481" s="684"/>
      <c r="AG481" s="693"/>
      <c r="AH481" s="696" t="s">
        <v>1966</v>
      </c>
      <c r="AM481" s="693"/>
      <c r="AP481" s="693"/>
      <c r="AR481" s="693"/>
    </row>
    <row r="482" spans="1:44" s="646" customFormat="1" ht="21.6" x14ac:dyDescent="0.3">
      <c r="A482" s="697"/>
      <c r="B482" s="698" t="s">
        <v>1759</v>
      </c>
      <c r="C482" s="974" t="s">
        <v>1760</v>
      </c>
      <c r="D482" s="974"/>
      <c r="E482" s="974"/>
      <c r="F482" s="974"/>
      <c r="G482" s="974"/>
      <c r="H482" s="974"/>
      <c r="I482" s="974"/>
      <c r="J482" s="974"/>
      <c r="K482" s="974"/>
      <c r="L482" s="974"/>
      <c r="M482" s="974"/>
      <c r="N482" s="987"/>
      <c r="AF482" s="684"/>
      <c r="AG482" s="693"/>
      <c r="AI482" s="696" t="s">
        <v>1760</v>
      </c>
      <c r="AM482" s="693"/>
      <c r="AP482" s="693"/>
      <c r="AR482" s="693"/>
    </row>
    <row r="483" spans="1:44" s="646" customFormat="1" ht="52.2" x14ac:dyDescent="0.3">
      <c r="A483" s="697"/>
      <c r="B483" s="698" t="s">
        <v>1761</v>
      </c>
      <c r="C483" s="974" t="s">
        <v>1762</v>
      </c>
      <c r="D483" s="974"/>
      <c r="E483" s="974"/>
      <c r="F483" s="974"/>
      <c r="G483" s="974"/>
      <c r="H483" s="974"/>
      <c r="I483" s="974"/>
      <c r="J483" s="974"/>
      <c r="K483" s="974"/>
      <c r="L483" s="974"/>
      <c r="M483" s="974"/>
      <c r="N483" s="987"/>
      <c r="AF483" s="684"/>
      <c r="AG483" s="693"/>
      <c r="AI483" s="696" t="s">
        <v>1762</v>
      </c>
      <c r="AM483" s="693"/>
      <c r="AP483" s="693"/>
      <c r="AR483" s="693"/>
    </row>
    <row r="484" spans="1:44" s="646" customFormat="1" ht="14.4" x14ac:dyDescent="0.3">
      <c r="A484" s="699"/>
      <c r="B484" s="698" t="s">
        <v>18</v>
      </c>
      <c r="C484" s="982" t="s">
        <v>1763</v>
      </c>
      <c r="D484" s="982"/>
      <c r="E484" s="982"/>
      <c r="F484" s="700"/>
      <c r="G484" s="701"/>
      <c r="H484" s="701"/>
      <c r="I484" s="701"/>
      <c r="J484" s="706">
        <v>9423.5400000000009</v>
      </c>
      <c r="K484" s="725">
        <v>1.3225</v>
      </c>
      <c r="L484" s="702">
        <v>387.84</v>
      </c>
      <c r="M484" s="704">
        <v>44.77</v>
      </c>
      <c r="N484" s="705">
        <v>17363.599999999999</v>
      </c>
      <c r="AF484" s="684"/>
      <c r="AG484" s="693"/>
      <c r="AJ484" s="696" t="s">
        <v>1763</v>
      </c>
      <c r="AM484" s="693"/>
      <c r="AP484" s="693"/>
      <c r="AR484" s="693"/>
    </row>
    <row r="485" spans="1:44" s="646" customFormat="1" ht="14.4" x14ac:dyDescent="0.3">
      <c r="A485" s="699"/>
      <c r="B485" s="698" t="s">
        <v>21</v>
      </c>
      <c r="C485" s="982" t="s">
        <v>1764</v>
      </c>
      <c r="D485" s="982"/>
      <c r="E485" s="982"/>
      <c r="F485" s="700"/>
      <c r="G485" s="701"/>
      <c r="H485" s="701"/>
      <c r="I485" s="701"/>
      <c r="J485" s="706">
        <v>21793.47</v>
      </c>
      <c r="K485" s="725">
        <v>1.4375</v>
      </c>
      <c r="L485" s="702">
        <v>974.93</v>
      </c>
      <c r="M485" s="704">
        <v>13.24</v>
      </c>
      <c r="N485" s="705">
        <v>12908.07</v>
      </c>
      <c r="AF485" s="684"/>
      <c r="AG485" s="693"/>
      <c r="AJ485" s="696" t="s">
        <v>1764</v>
      </c>
      <c r="AM485" s="693"/>
      <c r="AP485" s="693"/>
      <c r="AR485" s="693"/>
    </row>
    <row r="486" spans="1:44" s="646" customFormat="1" ht="14.4" x14ac:dyDescent="0.3">
      <c r="A486" s="699"/>
      <c r="B486" s="698" t="s">
        <v>23</v>
      </c>
      <c r="C486" s="982" t="s">
        <v>1765</v>
      </c>
      <c r="D486" s="982"/>
      <c r="E486" s="982"/>
      <c r="F486" s="700"/>
      <c r="G486" s="701"/>
      <c r="H486" s="701"/>
      <c r="I486" s="701"/>
      <c r="J486" s="706">
        <v>1168.8499999999999</v>
      </c>
      <c r="K486" s="725">
        <v>1.4375</v>
      </c>
      <c r="L486" s="702">
        <v>52.29</v>
      </c>
      <c r="M486" s="704">
        <v>44.77</v>
      </c>
      <c r="N486" s="705">
        <v>2341.02</v>
      </c>
      <c r="AF486" s="684"/>
      <c r="AG486" s="693"/>
      <c r="AJ486" s="696" t="s">
        <v>1765</v>
      </c>
      <c r="AM486" s="693"/>
      <c r="AP486" s="693"/>
      <c r="AR486" s="693"/>
    </row>
    <row r="487" spans="1:44" s="646" customFormat="1" ht="14.4" x14ac:dyDescent="0.3">
      <c r="A487" s="699"/>
      <c r="B487" s="698" t="s">
        <v>25</v>
      </c>
      <c r="C487" s="982" t="s">
        <v>1766</v>
      </c>
      <c r="D487" s="982"/>
      <c r="E487" s="982"/>
      <c r="F487" s="700"/>
      <c r="G487" s="701"/>
      <c r="H487" s="701"/>
      <c r="I487" s="701"/>
      <c r="J487" s="706">
        <v>1480723.56</v>
      </c>
      <c r="K487" s="701"/>
      <c r="L487" s="706">
        <v>46080.12</v>
      </c>
      <c r="M487" s="704">
        <v>8.16</v>
      </c>
      <c r="N487" s="705">
        <v>376013.78</v>
      </c>
      <c r="AF487" s="684"/>
      <c r="AG487" s="693"/>
      <c r="AJ487" s="696" t="s">
        <v>1766</v>
      </c>
      <c r="AM487" s="693"/>
      <c r="AP487" s="693"/>
      <c r="AR487" s="693"/>
    </row>
    <row r="488" spans="1:44" s="646" customFormat="1" ht="14.4" x14ac:dyDescent="0.3">
      <c r="A488" s="708"/>
      <c r="B488" s="698"/>
      <c r="C488" s="982" t="s">
        <v>1767</v>
      </c>
      <c r="D488" s="982"/>
      <c r="E488" s="982"/>
      <c r="F488" s="700" t="s">
        <v>695</v>
      </c>
      <c r="G488" s="718">
        <v>1134</v>
      </c>
      <c r="H488" s="725">
        <v>1.3225</v>
      </c>
      <c r="I488" s="710">
        <v>46.6711308</v>
      </c>
      <c r="J488" s="711"/>
      <c r="K488" s="701"/>
      <c r="L488" s="711"/>
      <c r="M488" s="701"/>
      <c r="N488" s="712"/>
      <c r="AF488" s="684"/>
      <c r="AG488" s="693"/>
      <c r="AK488" s="696" t="s">
        <v>1767</v>
      </c>
      <c r="AM488" s="693"/>
      <c r="AP488" s="693"/>
      <c r="AR488" s="693"/>
    </row>
    <row r="489" spans="1:44" s="646" customFormat="1" ht="14.4" x14ac:dyDescent="0.3">
      <c r="A489" s="708"/>
      <c r="B489" s="698"/>
      <c r="C489" s="982" t="s">
        <v>1768</v>
      </c>
      <c r="D489" s="982"/>
      <c r="E489" s="982"/>
      <c r="F489" s="700" t="s">
        <v>695</v>
      </c>
      <c r="G489" s="709">
        <v>95.8</v>
      </c>
      <c r="H489" s="725">
        <v>1.4375</v>
      </c>
      <c r="I489" s="723">
        <v>4.2856129999999997</v>
      </c>
      <c r="J489" s="711"/>
      <c r="K489" s="701"/>
      <c r="L489" s="711"/>
      <c r="M489" s="701"/>
      <c r="N489" s="712"/>
      <c r="AF489" s="684"/>
      <c r="AG489" s="693"/>
      <c r="AK489" s="696" t="s">
        <v>1768</v>
      </c>
      <c r="AM489" s="693"/>
      <c r="AP489" s="693"/>
      <c r="AR489" s="693"/>
    </row>
    <row r="490" spans="1:44" s="646" customFormat="1" ht="14.4" x14ac:dyDescent="0.3">
      <c r="A490" s="699"/>
      <c r="B490" s="698"/>
      <c r="C490" s="986" t="s">
        <v>1769</v>
      </c>
      <c r="D490" s="986"/>
      <c r="E490" s="986"/>
      <c r="F490" s="714"/>
      <c r="G490" s="715"/>
      <c r="H490" s="715"/>
      <c r="I490" s="715"/>
      <c r="J490" s="716">
        <v>1511940.57</v>
      </c>
      <c r="K490" s="715"/>
      <c r="L490" s="716">
        <v>47442.89</v>
      </c>
      <c r="M490" s="715"/>
      <c r="N490" s="717">
        <v>406285.45</v>
      </c>
      <c r="AF490" s="684"/>
      <c r="AG490" s="693"/>
      <c r="AL490" s="696" t="s">
        <v>1769</v>
      </c>
      <c r="AM490" s="693"/>
      <c r="AP490" s="693"/>
      <c r="AR490" s="693"/>
    </row>
    <row r="491" spans="1:44" s="646" customFormat="1" ht="14.4" x14ac:dyDescent="0.3">
      <c r="A491" s="708"/>
      <c r="B491" s="698"/>
      <c r="C491" s="982" t="s">
        <v>1770</v>
      </c>
      <c r="D491" s="982"/>
      <c r="E491" s="982"/>
      <c r="F491" s="700"/>
      <c r="G491" s="701"/>
      <c r="H491" s="701"/>
      <c r="I491" s="701"/>
      <c r="J491" s="711"/>
      <c r="K491" s="701"/>
      <c r="L491" s="702">
        <v>440.13</v>
      </c>
      <c r="M491" s="701"/>
      <c r="N491" s="705">
        <v>19704.62</v>
      </c>
      <c r="AF491" s="684"/>
      <c r="AG491" s="693"/>
      <c r="AK491" s="696" t="s">
        <v>1770</v>
      </c>
      <c r="AM491" s="693"/>
      <c r="AP491" s="693"/>
      <c r="AR491" s="693"/>
    </row>
    <row r="492" spans="1:44" s="646" customFormat="1" ht="20.399999999999999" x14ac:dyDescent="0.3">
      <c r="A492" s="708"/>
      <c r="B492" s="698" t="s">
        <v>1847</v>
      </c>
      <c r="C492" s="982" t="s">
        <v>1848</v>
      </c>
      <c r="D492" s="982"/>
      <c r="E492" s="982"/>
      <c r="F492" s="700" t="s">
        <v>1773</v>
      </c>
      <c r="G492" s="718">
        <v>109</v>
      </c>
      <c r="H492" s="701"/>
      <c r="I492" s="718">
        <v>109</v>
      </c>
      <c r="J492" s="711"/>
      <c r="K492" s="701"/>
      <c r="L492" s="702">
        <v>479.74</v>
      </c>
      <c r="M492" s="701"/>
      <c r="N492" s="705">
        <v>21478.04</v>
      </c>
      <c r="AF492" s="684"/>
      <c r="AG492" s="693"/>
      <c r="AK492" s="696" t="s">
        <v>1848</v>
      </c>
      <c r="AM492" s="693"/>
      <c r="AP492" s="693"/>
      <c r="AR492" s="693"/>
    </row>
    <row r="493" spans="1:44" s="646" customFormat="1" ht="40.799999999999997" x14ac:dyDescent="0.3">
      <c r="A493" s="708"/>
      <c r="B493" s="698" t="s">
        <v>1849</v>
      </c>
      <c r="C493" s="982" t="s">
        <v>1850</v>
      </c>
      <c r="D493" s="982"/>
      <c r="E493" s="982"/>
      <c r="F493" s="700" t="s">
        <v>1773</v>
      </c>
      <c r="G493" s="718">
        <v>65</v>
      </c>
      <c r="H493" s="704">
        <v>0.85</v>
      </c>
      <c r="I493" s="704">
        <v>55.25</v>
      </c>
      <c r="J493" s="711"/>
      <c r="K493" s="701"/>
      <c r="L493" s="702">
        <v>243.17</v>
      </c>
      <c r="M493" s="701"/>
      <c r="N493" s="705">
        <v>10886.8</v>
      </c>
      <c r="AF493" s="684"/>
      <c r="AG493" s="693"/>
      <c r="AK493" s="696" t="s">
        <v>1850</v>
      </c>
      <c r="AM493" s="693"/>
      <c r="AP493" s="693"/>
      <c r="AR493" s="693"/>
    </row>
    <row r="494" spans="1:44" s="646" customFormat="1" ht="14.4" x14ac:dyDescent="0.3">
      <c r="A494" s="719"/>
      <c r="B494" s="720"/>
      <c r="C494" s="985" t="s">
        <v>1776</v>
      </c>
      <c r="D494" s="985"/>
      <c r="E494" s="985"/>
      <c r="F494" s="687"/>
      <c r="G494" s="688"/>
      <c r="H494" s="688"/>
      <c r="I494" s="688"/>
      <c r="J494" s="691"/>
      <c r="K494" s="688"/>
      <c r="L494" s="721">
        <v>48165.8</v>
      </c>
      <c r="M494" s="715"/>
      <c r="N494" s="722">
        <v>438650.29</v>
      </c>
      <c r="AF494" s="684"/>
      <c r="AG494" s="693"/>
      <c r="AM494" s="693" t="s">
        <v>1776</v>
      </c>
      <c r="AP494" s="693"/>
      <c r="AR494" s="693"/>
    </row>
    <row r="495" spans="1:44" s="646" customFormat="1" ht="14.4" x14ac:dyDescent="0.3">
      <c r="A495" s="685" t="s">
        <v>1967</v>
      </c>
      <c r="B495" s="686" t="s">
        <v>1968</v>
      </c>
      <c r="C495" s="985" t="s">
        <v>1969</v>
      </c>
      <c r="D495" s="985"/>
      <c r="E495" s="985"/>
      <c r="F495" s="687" t="s">
        <v>224</v>
      </c>
      <c r="G495" s="688">
        <v>-3.2160000000000002</v>
      </c>
      <c r="H495" s="689">
        <v>1</v>
      </c>
      <c r="I495" s="690">
        <v>-3.2160000000000002</v>
      </c>
      <c r="J495" s="721">
        <v>5160</v>
      </c>
      <c r="K495" s="688"/>
      <c r="L495" s="721">
        <v>-16594.560000000001</v>
      </c>
      <c r="M495" s="727">
        <v>8.16</v>
      </c>
      <c r="N495" s="722">
        <v>-135411.60999999999</v>
      </c>
      <c r="AF495" s="684"/>
      <c r="AG495" s="693" t="s">
        <v>1969</v>
      </c>
      <c r="AM495" s="693"/>
      <c r="AP495" s="693"/>
      <c r="AR495" s="693"/>
    </row>
    <row r="496" spans="1:44" s="646" customFormat="1" ht="14.4" x14ac:dyDescent="0.3">
      <c r="A496" s="719"/>
      <c r="B496" s="720"/>
      <c r="C496" s="982" t="s">
        <v>1884</v>
      </c>
      <c r="D496" s="982"/>
      <c r="E496" s="982"/>
      <c r="F496" s="982"/>
      <c r="G496" s="982"/>
      <c r="H496" s="982"/>
      <c r="I496" s="982"/>
      <c r="J496" s="982"/>
      <c r="K496" s="982"/>
      <c r="L496" s="982"/>
      <c r="M496" s="982"/>
      <c r="N496" s="988"/>
      <c r="AF496" s="684"/>
      <c r="AG496" s="693"/>
      <c r="AM496" s="693"/>
      <c r="AN496" s="696" t="s">
        <v>1884</v>
      </c>
      <c r="AP496" s="693"/>
      <c r="AR496" s="693"/>
    </row>
    <row r="497" spans="1:44" s="646" customFormat="1" ht="14.4" x14ac:dyDescent="0.3">
      <c r="A497" s="719"/>
      <c r="B497" s="720"/>
      <c r="C497" s="985" t="s">
        <v>1776</v>
      </c>
      <c r="D497" s="985"/>
      <c r="E497" s="985"/>
      <c r="F497" s="687"/>
      <c r="G497" s="688"/>
      <c r="H497" s="688"/>
      <c r="I497" s="688"/>
      <c r="J497" s="691"/>
      <c r="K497" s="688"/>
      <c r="L497" s="721">
        <v>-16594.560000000001</v>
      </c>
      <c r="M497" s="715"/>
      <c r="N497" s="722">
        <v>-135411.60999999999</v>
      </c>
      <c r="AF497" s="684"/>
      <c r="AG497" s="693"/>
      <c r="AM497" s="693" t="s">
        <v>1776</v>
      </c>
      <c r="AP497" s="693"/>
      <c r="AR497" s="693"/>
    </row>
    <row r="498" spans="1:44" s="646" customFormat="1" ht="14.4" x14ac:dyDescent="0.3">
      <c r="A498" s="685" t="s">
        <v>1970</v>
      </c>
      <c r="B498" s="686" t="s">
        <v>1889</v>
      </c>
      <c r="C498" s="985" t="s">
        <v>1890</v>
      </c>
      <c r="D498" s="985"/>
      <c r="E498" s="985"/>
      <c r="F498" s="687" t="s">
        <v>1846</v>
      </c>
      <c r="G498" s="688">
        <v>-57</v>
      </c>
      <c r="H498" s="689">
        <v>1</v>
      </c>
      <c r="I498" s="689">
        <v>-57</v>
      </c>
      <c r="J498" s="726">
        <v>287.60000000000002</v>
      </c>
      <c r="K498" s="688"/>
      <c r="L498" s="721">
        <v>-16393.2</v>
      </c>
      <c r="M498" s="727">
        <v>8.16</v>
      </c>
      <c r="N498" s="722">
        <v>-133768.51</v>
      </c>
      <c r="AF498" s="684"/>
      <c r="AG498" s="693" t="s">
        <v>1890</v>
      </c>
      <c r="AM498" s="693"/>
      <c r="AP498" s="693"/>
      <c r="AR498" s="693"/>
    </row>
    <row r="499" spans="1:44" s="646" customFormat="1" ht="14.4" x14ac:dyDescent="0.3">
      <c r="A499" s="719"/>
      <c r="B499" s="720"/>
      <c r="C499" s="982" t="s">
        <v>1884</v>
      </c>
      <c r="D499" s="982"/>
      <c r="E499" s="982"/>
      <c r="F499" s="982"/>
      <c r="G499" s="982"/>
      <c r="H499" s="982"/>
      <c r="I499" s="982"/>
      <c r="J499" s="982"/>
      <c r="K499" s="982"/>
      <c r="L499" s="982"/>
      <c r="M499" s="982"/>
      <c r="N499" s="988"/>
      <c r="AF499" s="684"/>
      <c r="AG499" s="693"/>
      <c r="AM499" s="693"/>
      <c r="AN499" s="696" t="s">
        <v>1884</v>
      </c>
      <c r="AP499" s="693"/>
      <c r="AR499" s="693"/>
    </row>
    <row r="500" spans="1:44" s="646" customFormat="1" ht="14.4" x14ac:dyDescent="0.3">
      <c r="A500" s="719"/>
      <c r="B500" s="720"/>
      <c r="C500" s="985" t="s">
        <v>1776</v>
      </c>
      <c r="D500" s="985"/>
      <c r="E500" s="985"/>
      <c r="F500" s="687"/>
      <c r="G500" s="688"/>
      <c r="H500" s="688"/>
      <c r="I500" s="688"/>
      <c r="J500" s="691"/>
      <c r="K500" s="688"/>
      <c r="L500" s="721">
        <v>-16393.2</v>
      </c>
      <c r="M500" s="715"/>
      <c r="N500" s="722">
        <v>-133768.51</v>
      </c>
      <c r="AF500" s="684"/>
      <c r="AG500" s="693"/>
      <c r="AM500" s="693" t="s">
        <v>1776</v>
      </c>
      <c r="AP500" s="693"/>
      <c r="AR500" s="693"/>
    </row>
    <row r="501" spans="1:44" s="646" customFormat="1" ht="31.8" x14ac:dyDescent="0.3">
      <c r="A501" s="685" t="s">
        <v>1971</v>
      </c>
      <c r="B501" s="686" t="s">
        <v>1200</v>
      </c>
      <c r="C501" s="985" t="s">
        <v>1891</v>
      </c>
      <c r="D501" s="985"/>
      <c r="E501" s="985"/>
      <c r="F501" s="687" t="s">
        <v>1846</v>
      </c>
      <c r="G501" s="688">
        <v>58</v>
      </c>
      <c r="H501" s="689">
        <v>1</v>
      </c>
      <c r="I501" s="689">
        <v>58</v>
      </c>
      <c r="J501" s="726">
        <v>245.1</v>
      </c>
      <c r="K501" s="690">
        <v>1.012</v>
      </c>
      <c r="L501" s="721">
        <v>14386.39</v>
      </c>
      <c r="M501" s="727">
        <v>8.16</v>
      </c>
      <c r="N501" s="722">
        <v>117392.94</v>
      </c>
      <c r="AF501" s="684"/>
      <c r="AG501" s="693" t="s">
        <v>1891</v>
      </c>
      <c r="AM501" s="693"/>
      <c r="AP501" s="693"/>
      <c r="AR501" s="693"/>
    </row>
    <row r="502" spans="1:44" s="646" customFormat="1" ht="14.4" x14ac:dyDescent="0.3">
      <c r="A502" s="719"/>
      <c r="B502" s="720"/>
      <c r="C502" s="982" t="s">
        <v>1793</v>
      </c>
      <c r="D502" s="982"/>
      <c r="E502" s="982"/>
      <c r="F502" s="982"/>
      <c r="G502" s="982"/>
      <c r="H502" s="982"/>
      <c r="I502" s="982"/>
      <c r="J502" s="982"/>
      <c r="K502" s="982"/>
      <c r="L502" s="982"/>
      <c r="M502" s="982"/>
      <c r="N502" s="988"/>
      <c r="AF502" s="684"/>
      <c r="AG502" s="693"/>
      <c r="AM502" s="693"/>
      <c r="AN502" s="696" t="s">
        <v>1793</v>
      </c>
      <c r="AP502" s="693"/>
      <c r="AR502" s="693"/>
    </row>
    <row r="503" spans="1:44" s="646" customFormat="1" ht="14.4" x14ac:dyDescent="0.3">
      <c r="A503" s="694"/>
      <c r="B503" s="695"/>
      <c r="C503" s="982" t="s">
        <v>1892</v>
      </c>
      <c r="D503" s="982"/>
      <c r="E503" s="982"/>
      <c r="F503" s="982"/>
      <c r="G503" s="982"/>
      <c r="H503" s="982"/>
      <c r="I503" s="982"/>
      <c r="J503" s="982"/>
      <c r="K503" s="982"/>
      <c r="L503" s="982"/>
      <c r="M503" s="982"/>
      <c r="N503" s="988"/>
      <c r="AF503" s="684"/>
      <c r="AG503" s="693"/>
      <c r="AM503" s="693"/>
      <c r="AO503" s="696" t="s">
        <v>1892</v>
      </c>
      <c r="AP503" s="693"/>
      <c r="AR503" s="693"/>
    </row>
    <row r="504" spans="1:44" s="646" customFormat="1" ht="14.4" x14ac:dyDescent="0.3">
      <c r="A504" s="697"/>
      <c r="B504" s="698"/>
      <c r="C504" s="974" t="s">
        <v>1888</v>
      </c>
      <c r="D504" s="974"/>
      <c r="E504" s="974"/>
      <c r="F504" s="974"/>
      <c r="G504" s="974"/>
      <c r="H504" s="974"/>
      <c r="I504" s="974"/>
      <c r="J504" s="974"/>
      <c r="K504" s="974"/>
      <c r="L504" s="974"/>
      <c r="M504" s="974"/>
      <c r="N504" s="987"/>
      <c r="AF504" s="684"/>
      <c r="AG504" s="693"/>
      <c r="AI504" s="696" t="s">
        <v>1888</v>
      </c>
      <c r="AM504" s="693"/>
      <c r="AP504" s="693"/>
      <c r="AR504" s="693"/>
    </row>
    <row r="505" spans="1:44" s="646" customFormat="1" ht="14.4" x14ac:dyDescent="0.3">
      <c r="A505" s="719"/>
      <c r="B505" s="720"/>
      <c r="C505" s="985" t="s">
        <v>1776</v>
      </c>
      <c r="D505" s="985"/>
      <c r="E505" s="985"/>
      <c r="F505" s="687"/>
      <c r="G505" s="688"/>
      <c r="H505" s="688"/>
      <c r="I505" s="688"/>
      <c r="J505" s="691"/>
      <c r="K505" s="688"/>
      <c r="L505" s="721">
        <v>14386.39</v>
      </c>
      <c r="M505" s="715"/>
      <c r="N505" s="722">
        <v>117392.94</v>
      </c>
      <c r="AF505" s="684"/>
      <c r="AG505" s="693"/>
      <c r="AM505" s="693" t="s">
        <v>1776</v>
      </c>
      <c r="AP505" s="693"/>
      <c r="AR505" s="693"/>
    </row>
    <row r="506" spans="1:44" s="646" customFormat="1" ht="14.4" x14ac:dyDescent="0.3">
      <c r="A506" s="685" t="s">
        <v>1972</v>
      </c>
      <c r="B506" s="686" t="s">
        <v>1973</v>
      </c>
      <c r="C506" s="985" t="s">
        <v>1974</v>
      </c>
      <c r="D506" s="985"/>
      <c r="E506" s="985"/>
      <c r="F506" s="687" t="s">
        <v>224</v>
      </c>
      <c r="G506" s="688">
        <v>-9.2999999999999999E-2</v>
      </c>
      <c r="H506" s="689">
        <v>1</v>
      </c>
      <c r="I506" s="690">
        <v>-9.2999999999999999E-2</v>
      </c>
      <c r="J506" s="721">
        <v>3700</v>
      </c>
      <c r="K506" s="688"/>
      <c r="L506" s="726">
        <v>-344.1</v>
      </c>
      <c r="M506" s="727">
        <v>8.16</v>
      </c>
      <c r="N506" s="722">
        <v>-2807.86</v>
      </c>
      <c r="AF506" s="684"/>
      <c r="AG506" s="693" t="s">
        <v>1974</v>
      </c>
      <c r="AM506" s="693"/>
      <c r="AP506" s="693"/>
      <c r="AR506" s="693"/>
    </row>
    <row r="507" spans="1:44" s="646" customFormat="1" ht="14.4" x14ac:dyDescent="0.3">
      <c r="A507" s="719"/>
      <c r="B507" s="720"/>
      <c r="C507" s="982" t="s">
        <v>1884</v>
      </c>
      <c r="D507" s="982"/>
      <c r="E507" s="982"/>
      <c r="F507" s="982"/>
      <c r="G507" s="982"/>
      <c r="H507" s="982"/>
      <c r="I507" s="982"/>
      <c r="J507" s="982"/>
      <c r="K507" s="982"/>
      <c r="L507" s="982"/>
      <c r="M507" s="982"/>
      <c r="N507" s="988"/>
      <c r="AF507" s="684"/>
      <c r="AG507" s="693"/>
      <c r="AM507" s="693"/>
      <c r="AN507" s="696" t="s">
        <v>1884</v>
      </c>
      <c r="AP507" s="693"/>
      <c r="AR507" s="693"/>
    </row>
    <row r="508" spans="1:44" s="646" customFormat="1" ht="14.4" x14ac:dyDescent="0.3">
      <c r="A508" s="719"/>
      <c r="B508" s="720"/>
      <c r="C508" s="985" t="s">
        <v>1776</v>
      </c>
      <c r="D508" s="985"/>
      <c r="E508" s="985"/>
      <c r="F508" s="687"/>
      <c r="G508" s="688"/>
      <c r="H508" s="688"/>
      <c r="I508" s="688"/>
      <c r="J508" s="691"/>
      <c r="K508" s="688"/>
      <c r="L508" s="726">
        <v>-344.1</v>
      </c>
      <c r="M508" s="715"/>
      <c r="N508" s="722">
        <v>-2807.86</v>
      </c>
      <c r="AF508" s="684"/>
      <c r="AG508" s="693"/>
      <c r="AM508" s="693" t="s">
        <v>1776</v>
      </c>
      <c r="AP508" s="693"/>
      <c r="AR508" s="693"/>
    </row>
    <row r="509" spans="1:44" s="646" customFormat="1" ht="20.399999999999999" x14ac:dyDescent="0.3">
      <c r="A509" s="685" t="s">
        <v>1975</v>
      </c>
      <c r="B509" s="686" t="s">
        <v>1202</v>
      </c>
      <c r="C509" s="985" t="s">
        <v>1976</v>
      </c>
      <c r="D509" s="985"/>
      <c r="E509" s="985"/>
      <c r="F509" s="687" t="s">
        <v>224</v>
      </c>
      <c r="G509" s="688">
        <v>2.9209999999999998</v>
      </c>
      <c r="H509" s="689">
        <v>1</v>
      </c>
      <c r="I509" s="690">
        <v>2.9209999999999998</v>
      </c>
      <c r="J509" s="721">
        <v>28084.15</v>
      </c>
      <c r="K509" s="690">
        <v>1.012</v>
      </c>
      <c r="L509" s="721">
        <v>83018.210000000006</v>
      </c>
      <c r="M509" s="727">
        <v>8.16</v>
      </c>
      <c r="N509" s="722">
        <v>677428.59</v>
      </c>
      <c r="AF509" s="684"/>
      <c r="AG509" s="693" t="s">
        <v>1976</v>
      </c>
      <c r="AM509" s="693"/>
      <c r="AP509" s="693"/>
      <c r="AR509" s="693"/>
    </row>
    <row r="510" spans="1:44" s="646" customFormat="1" ht="14.4" x14ac:dyDescent="0.3">
      <c r="A510" s="719"/>
      <c r="B510" s="720"/>
      <c r="C510" s="982" t="s">
        <v>1793</v>
      </c>
      <c r="D510" s="982"/>
      <c r="E510" s="982"/>
      <c r="F510" s="982"/>
      <c r="G510" s="982"/>
      <c r="H510" s="982"/>
      <c r="I510" s="982"/>
      <c r="J510" s="982"/>
      <c r="K510" s="982"/>
      <c r="L510" s="982"/>
      <c r="M510" s="982"/>
      <c r="N510" s="988"/>
      <c r="AF510" s="684"/>
      <c r="AG510" s="693"/>
      <c r="AM510" s="693"/>
      <c r="AN510" s="696" t="s">
        <v>1793</v>
      </c>
      <c r="AP510" s="693"/>
      <c r="AR510" s="693"/>
    </row>
    <row r="511" spans="1:44" s="646" customFormat="1" ht="14.4" x14ac:dyDescent="0.3">
      <c r="A511" s="694"/>
      <c r="B511" s="695"/>
      <c r="C511" s="982" t="s">
        <v>1977</v>
      </c>
      <c r="D511" s="982"/>
      <c r="E511" s="982"/>
      <c r="F511" s="982"/>
      <c r="G511" s="982"/>
      <c r="H511" s="982"/>
      <c r="I511" s="982"/>
      <c r="J511" s="982"/>
      <c r="K511" s="982"/>
      <c r="L511" s="982"/>
      <c r="M511" s="982"/>
      <c r="N511" s="988"/>
      <c r="AF511" s="684"/>
      <c r="AG511" s="693"/>
      <c r="AH511" s="696" t="s">
        <v>1977</v>
      </c>
      <c r="AM511" s="693"/>
      <c r="AP511" s="693"/>
      <c r="AR511" s="693"/>
    </row>
    <row r="512" spans="1:44" s="646" customFormat="1" ht="14.4" x14ac:dyDescent="0.3">
      <c r="A512" s="694"/>
      <c r="B512" s="695"/>
      <c r="C512" s="982" t="s">
        <v>1895</v>
      </c>
      <c r="D512" s="982"/>
      <c r="E512" s="982"/>
      <c r="F512" s="982"/>
      <c r="G512" s="982"/>
      <c r="H512" s="982"/>
      <c r="I512" s="982"/>
      <c r="J512" s="982"/>
      <c r="K512" s="982"/>
      <c r="L512" s="982"/>
      <c r="M512" s="982"/>
      <c r="N512" s="988"/>
      <c r="AF512" s="684"/>
      <c r="AG512" s="693"/>
      <c r="AM512" s="693"/>
      <c r="AO512" s="696" t="s">
        <v>1895</v>
      </c>
      <c r="AP512" s="693"/>
      <c r="AR512" s="693"/>
    </row>
    <row r="513" spans="1:44" s="646" customFormat="1" ht="14.4" x14ac:dyDescent="0.3">
      <c r="A513" s="697"/>
      <c r="B513" s="698"/>
      <c r="C513" s="974" t="s">
        <v>1888</v>
      </c>
      <c r="D513" s="974"/>
      <c r="E513" s="974"/>
      <c r="F513" s="974"/>
      <c r="G513" s="974"/>
      <c r="H513" s="974"/>
      <c r="I513" s="974"/>
      <c r="J513" s="974"/>
      <c r="K513" s="974"/>
      <c r="L513" s="974"/>
      <c r="M513" s="974"/>
      <c r="N513" s="987"/>
      <c r="AF513" s="684"/>
      <c r="AG513" s="693"/>
      <c r="AI513" s="696" t="s">
        <v>1888</v>
      </c>
      <c r="AM513" s="693"/>
      <c r="AP513" s="693"/>
      <c r="AR513" s="693"/>
    </row>
    <row r="514" spans="1:44" s="646" customFormat="1" ht="14.4" x14ac:dyDescent="0.3">
      <c r="A514" s="719"/>
      <c r="B514" s="720"/>
      <c r="C514" s="985" t="s">
        <v>1776</v>
      </c>
      <c r="D514" s="985"/>
      <c r="E514" s="985"/>
      <c r="F514" s="687"/>
      <c r="G514" s="688"/>
      <c r="H514" s="688"/>
      <c r="I514" s="688"/>
      <c r="J514" s="691"/>
      <c r="K514" s="688"/>
      <c r="L514" s="721">
        <v>83018.210000000006</v>
      </c>
      <c r="M514" s="715"/>
      <c r="N514" s="722">
        <v>677428.59</v>
      </c>
      <c r="AF514" s="684"/>
      <c r="AG514" s="693"/>
      <c r="AM514" s="693" t="s">
        <v>1776</v>
      </c>
      <c r="AP514" s="693"/>
      <c r="AR514" s="693"/>
    </row>
    <row r="515" spans="1:44" s="646" customFormat="1" ht="21.6" x14ac:dyDescent="0.3">
      <c r="A515" s="685" t="s">
        <v>1978</v>
      </c>
      <c r="B515" s="686" t="s">
        <v>1979</v>
      </c>
      <c r="C515" s="985" t="s">
        <v>1980</v>
      </c>
      <c r="D515" s="985"/>
      <c r="E515" s="985"/>
      <c r="F515" s="687" t="s">
        <v>1846</v>
      </c>
      <c r="G515" s="688">
        <v>-115</v>
      </c>
      <c r="H515" s="689">
        <v>1</v>
      </c>
      <c r="I515" s="689">
        <v>-115</v>
      </c>
      <c r="J515" s="726">
        <v>19.73</v>
      </c>
      <c r="K515" s="688"/>
      <c r="L515" s="721">
        <v>-2268.9499999999998</v>
      </c>
      <c r="M515" s="727">
        <v>8.16</v>
      </c>
      <c r="N515" s="722">
        <v>-18514.63</v>
      </c>
      <c r="AF515" s="684"/>
      <c r="AG515" s="693" t="s">
        <v>1980</v>
      </c>
      <c r="AM515" s="693"/>
      <c r="AP515" s="693"/>
      <c r="AR515" s="693"/>
    </row>
    <row r="516" spans="1:44" s="646" customFormat="1" ht="14.4" x14ac:dyDescent="0.3">
      <c r="A516" s="719"/>
      <c r="B516" s="720"/>
      <c r="C516" s="982" t="s">
        <v>1884</v>
      </c>
      <c r="D516" s="982"/>
      <c r="E516" s="982"/>
      <c r="F516" s="982"/>
      <c r="G516" s="982"/>
      <c r="H516" s="982"/>
      <c r="I516" s="982"/>
      <c r="J516" s="982"/>
      <c r="K516" s="982"/>
      <c r="L516" s="982"/>
      <c r="M516" s="982"/>
      <c r="N516" s="988"/>
      <c r="AF516" s="684"/>
      <c r="AG516" s="693"/>
      <c r="AM516" s="693"/>
      <c r="AN516" s="696" t="s">
        <v>1884</v>
      </c>
      <c r="AP516" s="693"/>
      <c r="AR516" s="693"/>
    </row>
    <row r="517" spans="1:44" s="646" customFormat="1" ht="14.4" x14ac:dyDescent="0.3">
      <c r="A517" s="719"/>
      <c r="B517" s="720"/>
      <c r="C517" s="985" t="s">
        <v>1776</v>
      </c>
      <c r="D517" s="985"/>
      <c r="E517" s="985"/>
      <c r="F517" s="687"/>
      <c r="G517" s="688"/>
      <c r="H517" s="688"/>
      <c r="I517" s="688"/>
      <c r="J517" s="691"/>
      <c r="K517" s="688"/>
      <c r="L517" s="721">
        <v>-2268.9499999999998</v>
      </c>
      <c r="M517" s="715"/>
      <c r="N517" s="722">
        <v>-18514.63</v>
      </c>
      <c r="AF517" s="684"/>
      <c r="AG517" s="693"/>
      <c r="AM517" s="693" t="s">
        <v>1776</v>
      </c>
      <c r="AP517" s="693"/>
      <c r="AR517" s="693"/>
    </row>
    <row r="518" spans="1:44" s="646" customFormat="1" ht="21.6" x14ac:dyDescent="0.3">
      <c r="A518" s="685" t="s">
        <v>1981</v>
      </c>
      <c r="B518" s="686" t="s">
        <v>1898</v>
      </c>
      <c r="C518" s="985" t="s">
        <v>1899</v>
      </c>
      <c r="D518" s="985"/>
      <c r="E518" s="985"/>
      <c r="F518" s="687" t="s">
        <v>224</v>
      </c>
      <c r="G518" s="688">
        <v>-0.107</v>
      </c>
      <c r="H518" s="689">
        <v>1</v>
      </c>
      <c r="I518" s="690">
        <v>-0.107</v>
      </c>
      <c r="J518" s="721">
        <v>11859</v>
      </c>
      <c r="K518" s="688"/>
      <c r="L518" s="721">
        <v>-1268.9100000000001</v>
      </c>
      <c r="M518" s="727">
        <v>8.16</v>
      </c>
      <c r="N518" s="722">
        <v>-10354.31</v>
      </c>
      <c r="AF518" s="684"/>
      <c r="AG518" s="693" t="s">
        <v>1899</v>
      </c>
      <c r="AM518" s="693"/>
      <c r="AP518" s="693"/>
      <c r="AR518" s="693"/>
    </row>
    <row r="519" spans="1:44" s="646" customFormat="1" ht="14.4" x14ac:dyDescent="0.3">
      <c r="A519" s="719"/>
      <c r="B519" s="720"/>
      <c r="C519" s="982" t="s">
        <v>1884</v>
      </c>
      <c r="D519" s="982"/>
      <c r="E519" s="982"/>
      <c r="F519" s="982"/>
      <c r="G519" s="982"/>
      <c r="H519" s="982"/>
      <c r="I519" s="982"/>
      <c r="J519" s="982"/>
      <c r="K519" s="982"/>
      <c r="L519" s="982"/>
      <c r="M519" s="982"/>
      <c r="N519" s="988"/>
      <c r="AF519" s="684"/>
      <c r="AG519" s="693"/>
      <c r="AM519" s="693"/>
      <c r="AN519" s="696" t="s">
        <v>1884</v>
      </c>
      <c r="AP519" s="693"/>
      <c r="AR519" s="693"/>
    </row>
    <row r="520" spans="1:44" s="646" customFormat="1" ht="14.4" x14ac:dyDescent="0.3">
      <c r="A520" s="719"/>
      <c r="B520" s="720"/>
      <c r="C520" s="985" t="s">
        <v>1776</v>
      </c>
      <c r="D520" s="985"/>
      <c r="E520" s="985"/>
      <c r="F520" s="687"/>
      <c r="G520" s="688"/>
      <c r="H520" s="688"/>
      <c r="I520" s="688"/>
      <c r="J520" s="691"/>
      <c r="K520" s="688"/>
      <c r="L520" s="721">
        <v>-1268.9100000000001</v>
      </c>
      <c r="M520" s="715"/>
      <c r="N520" s="722">
        <v>-10354.31</v>
      </c>
      <c r="AF520" s="684"/>
      <c r="AG520" s="693"/>
      <c r="AM520" s="693" t="s">
        <v>1776</v>
      </c>
      <c r="AP520" s="693"/>
      <c r="AR520" s="693"/>
    </row>
    <row r="521" spans="1:44" s="646" customFormat="1" ht="14.4" x14ac:dyDescent="0.3">
      <c r="A521" s="685" t="s">
        <v>1982</v>
      </c>
      <c r="B521" s="686" t="s">
        <v>1900</v>
      </c>
      <c r="C521" s="985" t="s">
        <v>1901</v>
      </c>
      <c r="D521" s="985"/>
      <c r="E521" s="985"/>
      <c r="F521" s="687" t="s">
        <v>224</v>
      </c>
      <c r="G521" s="688">
        <v>-0.25800000000000001</v>
      </c>
      <c r="H521" s="689">
        <v>1</v>
      </c>
      <c r="I521" s="690">
        <v>-0.25800000000000001</v>
      </c>
      <c r="J521" s="721">
        <v>11856</v>
      </c>
      <c r="K521" s="688"/>
      <c r="L521" s="721">
        <v>-3058.85</v>
      </c>
      <c r="M521" s="727">
        <v>8.16</v>
      </c>
      <c r="N521" s="722">
        <v>-24960.22</v>
      </c>
      <c r="AF521" s="684"/>
      <c r="AG521" s="693" t="s">
        <v>1901</v>
      </c>
      <c r="AM521" s="693"/>
      <c r="AP521" s="693"/>
      <c r="AR521" s="693"/>
    </row>
    <row r="522" spans="1:44" s="646" customFormat="1" ht="14.4" x14ac:dyDescent="0.3">
      <c r="A522" s="719"/>
      <c r="B522" s="720"/>
      <c r="C522" s="982" t="s">
        <v>1884</v>
      </c>
      <c r="D522" s="982"/>
      <c r="E522" s="982"/>
      <c r="F522" s="982"/>
      <c r="G522" s="982"/>
      <c r="H522" s="982"/>
      <c r="I522" s="982"/>
      <c r="J522" s="982"/>
      <c r="K522" s="982"/>
      <c r="L522" s="982"/>
      <c r="M522" s="982"/>
      <c r="N522" s="988"/>
      <c r="AF522" s="684"/>
      <c r="AG522" s="693"/>
      <c r="AM522" s="693"/>
      <c r="AN522" s="696" t="s">
        <v>1884</v>
      </c>
      <c r="AP522" s="693"/>
      <c r="AR522" s="693"/>
    </row>
    <row r="523" spans="1:44" s="646" customFormat="1" ht="14.4" x14ac:dyDescent="0.3">
      <c r="A523" s="719"/>
      <c r="B523" s="720"/>
      <c r="C523" s="985" t="s">
        <v>1776</v>
      </c>
      <c r="D523" s="985"/>
      <c r="E523" s="985"/>
      <c r="F523" s="687"/>
      <c r="G523" s="688"/>
      <c r="H523" s="688"/>
      <c r="I523" s="688"/>
      <c r="J523" s="691"/>
      <c r="K523" s="688"/>
      <c r="L523" s="721">
        <v>-3058.85</v>
      </c>
      <c r="M523" s="715"/>
      <c r="N523" s="722">
        <v>-24960.22</v>
      </c>
      <c r="AF523" s="684"/>
      <c r="AG523" s="693"/>
      <c r="AM523" s="693" t="s">
        <v>1776</v>
      </c>
      <c r="AP523" s="693"/>
      <c r="AR523" s="693"/>
    </row>
    <row r="524" spans="1:44" s="646" customFormat="1" ht="21.6" x14ac:dyDescent="0.3">
      <c r="A524" s="685" t="s">
        <v>1983</v>
      </c>
      <c r="B524" s="686" t="s">
        <v>1984</v>
      </c>
      <c r="C524" s="985" t="s">
        <v>1985</v>
      </c>
      <c r="D524" s="985"/>
      <c r="E524" s="985"/>
      <c r="F524" s="687" t="s">
        <v>224</v>
      </c>
      <c r="G524" s="688">
        <v>-0.97399999999999998</v>
      </c>
      <c r="H524" s="689">
        <v>1</v>
      </c>
      <c r="I524" s="690">
        <v>-0.97399999999999998</v>
      </c>
      <c r="J524" s="721">
        <v>4750</v>
      </c>
      <c r="K524" s="688"/>
      <c r="L524" s="721">
        <v>-4626.5</v>
      </c>
      <c r="M524" s="727">
        <v>8.16</v>
      </c>
      <c r="N524" s="722">
        <v>-37752.239999999998</v>
      </c>
      <c r="AF524" s="684"/>
      <c r="AG524" s="693" t="s">
        <v>1985</v>
      </c>
      <c r="AM524" s="693"/>
      <c r="AP524" s="693"/>
      <c r="AR524" s="693"/>
    </row>
    <row r="525" spans="1:44" s="646" customFormat="1" ht="14.4" x14ac:dyDescent="0.3">
      <c r="A525" s="719"/>
      <c r="B525" s="720"/>
      <c r="C525" s="982" t="s">
        <v>1884</v>
      </c>
      <c r="D525" s="982"/>
      <c r="E525" s="982"/>
      <c r="F525" s="982"/>
      <c r="G525" s="982"/>
      <c r="H525" s="982"/>
      <c r="I525" s="982"/>
      <c r="J525" s="982"/>
      <c r="K525" s="982"/>
      <c r="L525" s="982"/>
      <c r="M525" s="982"/>
      <c r="N525" s="988"/>
      <c r="AF525" s="684"/>
      <c r="AG525" s="693"/>
      <c r="AM525" s="693"/>
      <c r="AN525" s="696" t="s">
        <v>1884</v>
      </c>
      <c r="AP525" s="693"/>
      <c r="AR525" s="693"/>
    </row>
    <row r="526" spans="1:44" s="646" customFormat="1" ht="14.4" x14ac:dyDescent="0.3">
      <c r="A526" s="719"/>
      <c r="B526" s="720"/>
      <c r="C526" s="985" t="s">
        <v>1776</v>
      </c>
      <c r="D526" s="985"/>
      <c r="E526" s="985"/>
      <c r="F526" s="687"/>
      <c r="G526" s="688"/>
      <c r="H526" s="688"/>
      <c r="I526" s="688"/>
      <c r="J526" s="691"/>
      <c r="K526" s="688"/>
      <c r="L526" s="721">
        <v>-4626.5</v>
      </c>
      <c r="M526" s="715"/>
      <c r="N526" s="722">
        <v>-37752.239999999998</v>
      </c>
      <c r="AF526" s="684"/>
      <c r="AG526" s="693"/>
      <c r="AM526" s="693" t="s">
        <v>1776</v>
      </c>
      <c r="AP526" s="693"/>
      <c r="AR526" s="693"/>
    </row>
    <row r="527" spans="1:44" s="646" customFormat="1" ht="42" x14ac:dyDescent="0.3">
      <c r="A527" s="685" t="s">
        <v>1986</v>
      </c>
      <c r="B527" s="686" t="s">
        <v>1987</v>
      </c>
      <c r="C527" s="985" t="s">
        <v>1988</v>
      </c>
      <c r="D527" s="985"/>
      <c r="E527" s="985"/>
      <c r="F527" s="687" t="s">
        <v>1853</v>
      </c>
      <c r="G527" s="688">
        <v>118</v>
      </c>
      <c r="H527" s="689">
        <v>1</v>
      </c>
      <c r="I527" s="689">
        <v>118</v>
      </c>
      <c r="J527" s="726">
        <v>417.69</v>
      </c>
      <c r="K527" s="690">
        <v>1.012</v>
      </c>
      <c r="L527" s="721">
        <v>49878.87</v>
      </c>
      <c r="M527" s="727">
        <v>8.16</v>
      </c>
      <c r="N527" s="722">
        <v>407011.58</v>
      </c>
      <c r="AF527" s="684"/>
      <c r="AG527" s="693" t="s">
        <v>1988</v>
      </c>
      <c r="AM527" s="693"/>
      <c r="AP527" s="693"/>
      <c r="AR527" s="693"/>
    </row>
    <row r="528" spans="1:44" s="646" customFormat="1" ht="14.4" x14ac:dyDescent="0.3">
      <c r="A528" s="719"/>
      <c r="B528" s="720"/>
      <c r="C528" s="982" t="s">
        <v>1793</v>
      </c>
      <c r="D528" s="982"/>
      <c r="E528" s="982"/>
      <c r="F528" s="982"/>
      <c r="G528" s="982"/>
      <c r="H528" s="982"/>
      <c r="I528" s="982"/>
      <c r="J528" s="982"/>
      <c r="K528" s="982"/>
      <c r="L528" s="982"/>
      <c r="M528" s="982"/>
      <c r="N528" s="988"/>
      <c r="AF528" s="684"/>
      <c r="AG528" s="693"/>
      <c r="AM528" s="693"/>
      <c r="AN528" s="696" t="s">
        <v>1793</v>
      </c>
      <c r="AP528" s="693"/>
      <c r="AR528" s="693"/>
    </row>
    <row r="529" spans="1:44" s="646" customFormat="1" ht="14.4" x14ac:dyDescent="0.3">
      <c r="A529" s="694"/>
      <c r="B529" s="695"/>
      <c r="C529" s="982" t="s">
        <v>1989</v>
      </c>
      <c r="D529" s="982"/>
      <c r="E529" s="982"/>
      <c r="F529" s="982"/>
      <c r="G529" s="982"/>
      <c r="H529" s="982"/>
      <c r="I529" s="982"/>
      <c r="J529" s="982"/>
      <c r="K529" s="982"/>
      <c r="L529" s="982"/>
      <c r="M529" s="982"/>
      <c r="N529" s="988"/>
      <c r="AF529" s="684"/>
      <c r="AG529" s="693"/>
      <c r="AM529" s="693"/>
      <c r="AO529" s="696" t="s">
        <v>1989</v>
      </c>
      <c r="AP529" s="693"/>
      <c r="AR529" s="693"/>
    </row>
    <row r="530" spans="1:44" s="646" customFormat="1" ht="14.4" x14ac:dyDescent="0.3">
      <c r="A530" s="697"/>
      <c r="B530" s="698"/>
      <c r="C530" s="974" t="s">
        <v>1888</v>
      </c>
      <c r="D530" s="974"/>
      <c r="E530" s="974"/>
      <c r="F530" s="974"/>
      <c r="G530" s="974"/>
      <c r="H530" s="974"/>
      <c r="I530" s="974"/>
      <c r="J530" s="974"/>
      <c r="K530" s="974"/>
      <c r="L530" s="974"/>
      <c r="M530" s="974"/>
      <c r="N530" s="987"/>
      <c r="AF530" s="684"/>
      <c r="AG530" s="693"/>
      <c r="AI530" s="696" t="s">
        <v>1888</v>
      </c>
      <c r="AM530" s="693"/>
      <c r="AP530" s="693"/>
      <c r="AR530" s="693"/>
    </row>
    <row r="531" spans="1:44" s="646" customFormat="1" ht="14.4" x14ac:dyDescent="0.3">
      <c r="A531" s="719"/>
      <c r="B531" s="720"/>
      <c r="C531" s="985" t="s">
        <v>1776</v>
      </c>
      <c r="D531" s="985"/>
      <c r="E531" s="985"/>
      <c r="F531" s="687"/>
      <c r="G531" s="688"/>
      <c r="H531" s="688"/>
      <c r="I531" s="688"/>
      <c r="J531" s="691"/>
      <c r="K531" s="688"/>
      <c r="L531" s="721">
        <v>49878.87</v>
      </c>
      <c r="M531" s="715"/>
      <c r="N531" s="722">
        <v>407011.58</v>
      </c>
      <c r="AF531" s="684"/>
      <c r="AG531" s="693"/>
      <c r="AM531" s="693" t="s">
        <v>1776</v>
      </c>
      <c r="AP531" s="693"/>
      <c r="AR531" s="693"/>
    </row>
    <row r="532" spans="1:44" s="646" customFormat="1" ht="14.4" x14ac:dyDescent="0.3">
      <c r="A532" s="685" t="s">
        <v>1990</v>
      </c>
      <c r="B532" s="686" t="s">
        <v>1991</v>
      </c>
      <c r="C532" s="985" t="s">
        <v>1992</v>
      </c>
      <c r="D532" s="985"/>
      <c r="E532" s="985"/>
      <c r="F532" s="687" t="s">
        <v>1856</v>
      </c>
      <c r="G532" s="688">
        <v>3.1E-2</v>
      </c>
      <c r="H532" s="689">
        <v>1</v>
      </c>
      <c r="I532" s="690">
        <v>3.1E-2</v>
      </c>
      <c r="J532" s="691"/>
      <c r="K532" s="688"/>
      <c r="L532" s="691"/>
      <c r="M532" s="688"/>
      <c r="N532" s="692"/>
      <c r="AF532" s="684"/>
      <c r="AG532" s="693" t="s">
        <v>1992</v>
      </c>
      <c r="AM532" s="693"/>
      <c r="AP532" s="693"/>
      <c r="AR532" s="693"/>
    </row>
    <row r="533" spans="1:44" s="646" customFormat="1" ht="14.4" x14ac:dyDescent="0.3">
      <c r="A533" s="694"/>
      <c r="B533" s="695"/>
      <c r="C533" s="982" t="s">
        <v>1993</v>
      </c>
      <c r="D533" s="982"/>
      <c r="E533" s="982"/>
      <c r="F533" s="982"/>
      <c r="G533" s="982"/>
      <c r="H533" s="982"/>
      <c r="I533" s="982"/>
      <c r="J533" s="982"/>
      <c r="K533" s="982"/>
      <c r="L533" s="982"/>
      <c r="M533" s="982"/>
      <c r="N533" s="988"/>
      <c r="AF533" s="684"/>
      <c r="AG533" s="693"/>
      <c r="AH533" s="696" t="s">
        <v>1993</v>
      </c>
      <c r="AM533" s="693"/>
      <c r="AP533" s="693"/>
      <c r="AR533" s="693"/>
    </row>
    <row r="534" spans="1:44" s="646" customFormat="1" ht="21.6" x14ac:dyDescent="0.3">
      <c r="A534" s="697"/>
      <c r="B534" s="698" t="s">
        <v>1759</v>
      </c>
      <c r="C534" s="974" t="s">
        <v>1760</v>
      </c>
      <c r="D534" s="974"/>
      <c r="E534" s="974"/>
      <c r="F534" s="974"/>
      <c r="G534" s="974"/>
      <c r="H534" s="974"/>
      <c r="I534" s="974"/>
      <c r="J534" s="974"/>
      <c r="K534" s="974"/>
      <c r="L534" s="974"/>
      <c r="M534" s="974"/>
      <c r="N534" s="987"/>
      <c r="AF534" s="684"/>
      <c r="AG534" s="693"/>
      <c r="AI534" s="696" t="s">
        <v>1760</v>
      </c>
      <c r="AM534" s="693"/>
      <c r="AP534" s="693"/>
      <c r="AR534" s="693"/>
    </row>
    <row r="535" spans="1:44" s="646" customFormat="1" ht="52.2" x14ac:dyDescent="0.3">
      <c r="A535" s="697"/>
      <c r="B535" s="698" t="s">
        <v>1761</v>
      </c>
      <c r="C535" s="974" t="s">
        <v>1762</v>
      </c>
      <c r="D535" s="974"/>
      <c r="E535" s="974"/>
      <c r="F535" s="974"/>
      <c r="G535" s="974"/>
      <c r="H535" s="974"/>
      <c r="I535" s="974"/>
      <c r="J535" s="974"/>
      <c r="K535" s="974"/>
      <c r="L535" s="974"/>
      <c r="M535" s="974"/>
      <c r="N535" s="987"/>
      <c r="AF535" s="684"/>
      <c r="AG535" s="693"/>
      <c r="AI535" s="696" t="s">
        <v>1762</v>
      </c>
      <c r="AM535" s="693"/>
      <c r="AP535" s="693"/>
      <c r="AR535" s="693"/>
    </row>
    <row r="536" spans="1:44" s="646" customFormat="1" ht="14.4" x14ac:dyDescent="0.3">
      <c r="A536" s="699"/>
      <c r="B536" s="698" t="s">
        <v>18</v>
      </c>
      <c r="C536" s="982" t="s">
        <v>1763</v>
      </c>
      <c r="D536" s="982"/>
      <c r="E536" s="982"/>
      <c r="F536" s="700"/>
      <c r="G536" s="701"/>
      <c r="H536" s="701"/>
      <c r="I536" s="701"/>
      <c r="J536" s="706">
        <v>15007.2</v>
      </c>
      <c r="K536" s="725">
        <v>1.3225</v>
      </c>
      <c r="L536" s="702">
        <v>615.26</v>
      </c>
      <c r="M536" s="704">
        <v>44.77</v>
      </c>
      <c r="N536" s="705">
        <v>27545.19</v>
      </c>
      <c r="AF536" s="684"/>
      <c r="AG536" s="693"/>
      <c r="AJ536" s="696" t="s">
        <v>1763</v>
      </c>
      <c r="AM536" s="693"/>
      <c r="AP536" s="693"/>
      <c r="AR536" s="693"/>
    </row>
    <row r="537" spans="1:44" s="646" customFormat="1" ht="14.4" x14ac:dyDescent="0.3">
      <c r="A537" s="699"/>
      <c r="B537" s="698" t="s">
        <v>21</v>
      </c>
      <c r="C537" s="982" t="s">
        <v>1764</v>
      </c>
      <c r="D537" s="982"/>
      <c r="E537" s="982"/>
      <c r="F537" s="700"/>
      <c r="G537" s="701"/>
      <c r="H537" s="701"/>
      <c r="I537" s="701"/>
      <c r="J537" s="702">
        <v>573.91999999999996</v>
      </c>
      <c r="K537" s="725">
        <v>1.4375</v>
      </c>
      <c r="L537" s="702">
        <v>25.58</v>
      </c>
      <c r="M537" s="704">
        <v>13.24</v>
      </c>
      <c r="N537" s="707">
        <v>338.68</v>
      </c>
      <c r="AF537" s="684"/>
      <c r="AG537" s="693"/>
      <c r="AJ537" s="696" t="s">
        <v>1764</v>
      </c>
      <c r="AM537" s="693"/>
      <c r="AP537" s="693"/>
      <c r="AR537" s="693"/>
    </row>
    <row r="538" spans="1:44" s="646" customFormat="1" ht="14.4" x14ac:dyDescent="0.3">
      <c r="A538" s="699"/>
      <c r="B538" s="698" t="s">
        <v>25</v>
      </c>
      <c r="C538" s="982" t="s">
        <v>1766</v>
      </c>
      <c r="D538" s="982"/>
      <c r="E538" s="982"/>
      <c r="F538" s="700"/>
      <c r="G538" s="701"/>
      <c r="H538" s="701"/>
      <c r="I538" s="701"/>
      <c r="J538" s="706">
        <v>568091.32999999996</v>
      </c>
      <c r="K538" s="701"/>
      <c r="L538" s="706">
        <v>17610.830000000002</v>
      </c>
      <c r="M538" s="704">
        <v>8.16</v>
      </c>
      <c r="N538" s="705">
        <v>143704.37</v>
      </c>
      <c r="AF538" s="684"/>
      <c r="AG538" s="693"/>
      <c r="AJ538" s="696" t="s">
        <v>1766</v>
      </c>
      <c r="AM538" s="693"/>
      <c r="AP538" s="693"/>
      <c r="AR538" s="693"/>
    </row>
    <row r="539" spans="1:44" s="646" customFormat="1" ht="14.4" x14ac:dyDescent="0.3">
      <c r="A539" s="708"/>
      <c r="B539" s="698"/>
      <c r="C539" s="982" t="s">
        <v>1767</v>
      </c>
      <c r="D539" s="982"/>
      <c r="E539" s="982"/>
      <c r="F539" s="700" t="s">
        <v>695</v>
      </c>
      <c r="G539" s="718">
        <v>1560</v>
      </c>
      <c r="H539" s="725">
        <v>1.3225</v>
      </c>
      <c r="I539" s="725">
        <v>63.956099999999999</v>
      </c>
      <c r="J539" s="711"/>
      <c r="K539" s="701"/>
      <c r="L539" s="711"/>
      <c r="M539" s="701"/>
      <c r="N539" s="712"/>
      <c r="AF539" s="684"/>
      <c r="AG539" s="693"/>
      <c r="AK539" s="696" t="s">
        <v>1767</v>
      </c>
      <c r="AM539" s="693"/>
      <c r="AP539" s="693"/>
      <c r="AR539" s="693"/>
    </row>
    <row r="540" spans="1:44" s="646" customFormat="1" ht="14.4" x14ac:dyDescent="0.3">
      <c r="A540" s="699"/>
      <c r="B540" s="698"/>
      <c r="C540" s="986" t="s">
        <v>1769</v>
      </c>
      <c r="D540" s="986"/>
      <c r="E540" s="986"/>
      <c r="F540" s="714"/>
      <c r="G540" s="715"/>
      <c r="H540" s="715"/>
      <c r="I540" s="715"/>
      <c r="J540" s="716">
        <v>583672.44999999995</v>
      </c>
      <c r="K540" s="715"/>
      <c r="L540" s="716">
        <v>18251.669999999998</v>
      </c>
      <c r="M540" s="715"/>
      <c r="N540" s="717">
        <v>171588.24</v>
      </c>
      <c r="AF540" s="684"/>
      <c r="AG540" s="693"/>
      <c r="AL540" s="696" t="s">
        <v>1769</v>
      </c>
      <c r="AM540" s="693"/>
      <c r="AP540" s="693"/>
      <c r="AR540" s="693"/>
    </row>
    <row r="541" spans="1:44" s="646" customFormat="1" ht="14.4" x14ac:dyDescent="0.3">
      <c r="A541" s="708"/>
      <c r="B541" s="698"/>
      <c r="C541" s="982" t="s">
        <v>1770</v>
      </c>
      <c r="D541" s="982"/>
      <c r="E541" s="982"/>
      <c r="F541" s="700"/>
      <c r="G541" s="701"/>
      <c r="H541" s="701"/>
      <c r="I541" s="701"/>
      <c r="J541" s="711"/>
      <c r="K541" s="701"/>
      <c r="L541" s="702">
        <v>615.26</v>
      </c>
      <c r="M541" s="701"/>
      <c r="N541" s="705">
        <v>27545.19</v>
      </c>
      <c r="AF541" s="684"/>
      <c r="AG541" s="693"/>
      <c r="AK541" s="696" t="s">
        <v>1770</v>
      </c>
      <c r="AM541" s="693"/>
      <c r="AP541" s="693"/>
      <c r="AR541" s="693"/>
    </row>
    <row r="542" spans="1:44" s="646" customFormat="1" ht="20.399999999999999" x14ac:dyDescent="0.3">
      <c r="A542" s="708"/>
      <c r="B542" s="698" t="s">
        <v>1994</v>
      </c>
      <c r="C542" s="982" t="s">
        <v>1995</v>
      </c>
      <c r="D542" s="982"/>
      <c r="E542" s="982"/>
      <c r="F542" s="700" t="s">
        <v>1773</v>
      </c>
      <c r="G542" s="718">
        <v>146</v>
      </c>
      <c r="H542" s="701"/>
      <c r="I542" s="718">
        <v>146</v>
      </c>
      <c r="J542" s="711"/>
      <c r="K542" s="701"/>
      <c r="L542" s="702">
        <v>898.28</v>
      </c>
      <c r="M542" s="701"/>
      <c r="N542" s="705">
        <v>40215.980000000003</v>
      </c>
      <c r="AF542" s="684"/>
      <c r="AG542" s="693"/>
      <c r="AK542" s="696" t="s">
        <v>1995</v>
      </c>
      <c r="AM542" s="693"/>
      <c r="AP542" s="693"/>
      <c r="AR542" s="693"/>
    </row>
    <row r="543" spans="1:44" s="646" customFormat="1" ht="40.799999999999997" x14ac:dyDescent="0.3">
      <c r="A543" s="708"/>
      <c r="B543" s="698" t="s">
        <v>1996</v>
      </c>
      <c r="C543" s="982" t="s">
        <v>1997</v>
      </c>
      <c r="D543" s="982"/>
      <c r="E543" s="982"/>
      <c r="F543" s="700" t="s">
        <v>1773</v>
      </c>
      <c r="G543" s="718">
        <v>75</v>
      </c>
      <c r="H543" s="704">
        <v>0.85</v>
      </c>
      <c r="I543" s="704">
        <v>63.75</v>
      </c>
      <c r="J543" s="711"/>
      <c r="K543" s="701"/>
      <c r="L543" s="702">
        <v>392.23</v>
      </c>
      <c r="M543" s="701"/>
      <c r="N543" s="705">
        <v>17560.060000000001</v>
      </c>
      <c r="AF543" s="684"/>
      <c r="AG543" s="693"/>
      <c r="AK543" s="696" t="s">
        <v>1997</v>
      </c>
      <c r="AM543" s="693"/>
      <c r="AP543" s="693"/>
      <c r="AR543" s="693"/>
    </row>
    <row r="544" spans="1:44" s="646" customFormat="1" ht="14.4" x14ac:dyDescent="0.3">
      <c r="A544" s="719"/>
      <c r="B544" s="720"/>
      <c r="C544" s="985" t="s">
        <v>1776</v>
      </c>
      <c r="D544" s="985"/>
      <c r="E544" s="985"/>
      <c r="F544" s="687"/>
      <c r="G544" s="688"/>
      <c r="H544" s="688"/>
      <c r="I544" s="688"/>
      <c r="J544" s="691"/>
      <c r="K544" s="688"/>
      <c r="L544" s="721">
        <v>19542.18</v>
      </c>
      <c r="M544" s="715"/>
      <c r="N544" s="722">
        <v>229364.28</v>
      </c>
      <c r="AF544" s="684"/>
      <c r="AG544" s="693"/>
      <c r="AM544" s="693" t="s">
        <v>1776</v>
      </c>
      <c r="AP544" s="693"/>
      <c r="AR544" s="693"/>
    </row>
    <row r="545" spans="1:44" s="646" customFormat="1" ht="21.6" x14ac:dyDescent="0.3">
      <c r="A545" s="685" t="s">
        <v>1998</v>
      </c>
      <c r="B545" s="686" t="s">
        <v>1999</v>
      </c>
      <c r="C545" s="985" t="s">
        <v>2000</v>
      </c>
      <c r="D545" s="985"/>
      <c r="E545" s="985"/>
      <c r="F545" s="687" t="s">
        <v>224</v>
      </c>
      <c r="G545" s="688">
        <v>-8.9999999999999993E-3</v>
      </c>
      <c r="H545" s="689">
        <v>1</v>
      </c>
      <c r="I545" s="690">
        <v>-8.9999999999999993E-3</v>
      </c>
      <c r="J545" s="721">
        <v>10795.41</v>
      </c>
      <c r="K545" s="688"/>
      <c r="L545" s="726">
        <v>-97.16</v>
      </c>
      <c r="M545" s="727">
        <v>8.16</v>
      </c>
      <c r="N545" s="751">
        <v>-792.83</v>
      </c>
      <c r="AF545" s="684"/>
      <c r="AG545" s="693" t="s">
        <v>2000</v>
      </c>
      <c r="AM545" s="693"/>
      <c r="AP545" s="693"/>
      <c r="AR545" s="693"/>
    </row>
    <row r="546" spans="1:44" s="646" customFormat="1" ht="14.4" x14ac:dyDescent="0.3">
      <c r="A546" s="719"/>
      <c r="B546" s="720"/>
      <c r="C546" s="982" t="s">
        <v>2001</v>
      </c>
      <c r="D546" s="982"/>
      <c r="E546" s="982"/>
      <c r="F546" s="982"/>
      <c r="G546" s="982"/>
      <c r="H546" s="982"/>
      <c r="I546" s="982"/>
      <c r="J546" s="982"/>
      <c r="K546" s="982"/>
      <c r="L546" s="982"/>
      <c r="M546" s="982"/>
      <c r="N546" s="988"/>
      <c r="AF546" s="684"/>
      <c r="AG546" s="693"/>
      <c r="AM546" s="693"/>
      <c r="AN546" s="696" t="s">
        <v>2001</v>
      </c>
      <c r="AP546" s="693"/>
      <c r="AR546" s="693"/>
    </row>
    <row r="547" spans="1:44" s="646" customFormat="1" ht="14.4" x14ac:dyDescent="0.3">
      <c r="A547" s="719"/>
      <c r="B547" s="720"/>
      <c r="C547" s="985" t="s">
        <v>1776</v>
      </c>
      <c r="D547" s="985"/>
      <c r="E547" s="985"/>
      <c r="F547" s="687"/>
      <c r="G547" s="688"/>
      <c r="H547" s="688"/>
      <c r="I547" s="688"/>
      <c r="J547" s="691"/>
      <c r="K547" s="688"/>
      <c r="L547" s="726">
        <v>-97.16</v>
      </c>
      <c r="M547" s="715"/>
      <c r="N547" s="751">
        <v>-792.83</v>
      </c>
      <c r="AF547" s="684"/>
      <c r="AG547" s="693"/>
      <c r="AM547" s="693" t="s">
        <v>1776</v>
      </c>
      <c r="AP547" s="693"/>
      <c r="AR547" s="693"/>
    </row>
    <row r="548" spans="1:44" s="646" customFormat="1" ht="14.4" x14ac:dyDescent="0.3">
      <c r="A548" s="685" t="s">
        <v>2002</v>
      </c>
      <c r="B548" s="686" t="s">
        <v>2003</v>
      </c>
      <c r="C548" s="985" t="s">
        <v>2004</v>
      </c>
      <c r="D548" s="985"/>
      <c r="E548" s="985"/>
      <c r="F548" s="687" t="s">
        <v>1008</v>
      </c>
      <c r="G548" s="688">
        <v>-0.98</v>
      </c>
      <c r="H548" s="689">
        <v>1</v>
      </c>
      <c r="I548" s="727">
        <v>-0.98</v>
      </c>
      <c r="J548" s="726">
        <v>5.48</v>
      </c>
      <c r="K548" s="688"/>
      <c r="L548" s="726">
        <v>-5.37</v>
      </c>
      <c r="M548" s="727">
        <v>8.16</v>
      </c>
      <c r="N548" s="751">
        <v>-43.82</v>
      </c>
      <c r="AF548" s="684"/>
      <c r="AG548" s="693" t="s">
        <v>2004</v>
      </c>
      <c r="AM548" s="693"/>
      <c r="AP548" s="693"/>
      <c r="AR548" s="693"/>
    </row>
    <row r="549" spans="1:44" s="646" customFormat="1" ht="14.4" x14ac:dyDescent="0.3">
      <c r="A549" s="719"/>
      <c r="B549" s="720"/>
      <c r="C549" s="982" t="s">
        <v>2001</v>
      </c>
      <c r="D549" s="982"/>
      <c r="E549" s="982"/>
      <c r="F549" s="982"/>
      <c r="G549" s="982"/>
      <c r="H549" s="982"/>
      <c r="I549" s="982"/>
      <c r="J549" s="982"/>
      <c r="K549" s="982"/>
      <c r="L549" s="982"/>
      <c r="M549" s="982"/>
      <c r="N549" s="988"/>
      <c r="AF549" s="684"/>
      <c r="AG549" s="693"/>
      <c r="AM549" s="693"/>
      <c r="AN549" s="696" t="s">
        <v>2001</v>
      </c>
      <c r="AP549" s="693"/>
      <c r="AR549" s="693"/>
    </row>
    <row r="550" spans="1:44" s="646" customFormat="1" ht="14.4" x14ac:dyDescent="0.3">
      <c r="A550" s="719"/>
      <c r="B550" s="720"/>
      <c r="C550" s="985" t="s">
        <v>1776</v>
      </c>
      <c r="D550" s="985"/>
      <c r="E550" s="985"/>
      <c r="F550" s="687"/>
      <c r="G550" s="688"/>
      <c r="H550" s="688"/>
      <c r="I550" s="688"/>
      <c r="J550" s="691"/>
      <c r="K550" s="688"/>
      <c r="L550" s="726">
        <v>-5.37</v>
      </c>
      <c r="M550" s="715"/>
      <c r="N550" s="751">
        <v>-43.82</v>
      </c>
      <c r="AF550" s="684"/>
      <c r="AG550" s="693"/>
      <c r="AM550" s="693" t="s">
        <v>1776</v>
      </c>
      <c r="AP550" s="693"/>
      <c r="AR550" s="693"/>
    </row>
    <row r="551" spans="1:44" s="646" customFormat="1" ht="21.6" x14ac:dyDescent="0.3">
      <c r="A551" s="685" t="s">
        <v>2005</v>
      </c>
      <c r="B551" s="686" t="s">
        <v>2006</v>
      </c>
      <c r="C551" s="985" t="s">
        <v>2007</v>
      </c>
      <c r="D551" s="985"/>
      <c r="E551" s="985"/>
      <c r="F551" s="687" t="s">
        <v>224</v>
      </c>
      <c r="G551" s="688">
        <v>-2.9000000000000001E-2</v>
      </c>
      <c r="H551" s="689">
        <v>1</v>
      </c>
      <c r="I551" s="690">
        <v>-2.9000000000000001E-2</v>
      </c>
      <c r="J551" s="721">
        <v>10883</v>
      </c>
      <c r="K551" s="688"/>
      <c r="L551" s="726">
        <v>-315.61</v>
      </c>
      <c r="M551" s="727">
        <v>8.16</v>
      </c>
      <c r="N551" s="722">
        <v>-2575.38</v>
      </c>
      <c r="AF551" s="684"/>
      <c r="AG551" s="693" t="s">
        <v>2007</v>
      </c>
      <c r="AM551" s="693"/>
      <c r="AP551" s="693"/>
      <c r="AR551" s="693"/>
    </row>
    <row r="552" spans="1:44" s="646" customFormat="1" ht="14.4" x14ac:dyDescent="0.3">
      <c r="A552" s="719"/>
      <c r="B552" s="720"/>
      <c r="C552" s="982" t="s">
        <v>2001</v>
      </c>
      <c r="D552" s="982"/>
      <c r="E552" s="982"/>
      <c r="F552" s="982"/>
      <c r="G552" s="982"/>
      <c r="H552" s="982"/>
      <c r="I552" s="982"/>
      <c r="J552" s="982"/>
      <c r="K552" s="982"/>
      <c r="L552" s="982"/>
      <c r="M552" s="982"/>
      <c r="N552" s="988"/>
      <c r="AF552" s="684"/>
      <c r="AG552" s="693"/>
      <c r="AM552" s="693"/>
      <c r="AN552" s="696" t="s">
        <v>2001</v>
      </c>
      <c r="AP552" s="693"/>
      <c r="AR552" s="693"/>
    </row>
    <row r="553" spans="1:44" s="646" customFormat="1" ht="14.4" x14ac:dyDescent="0.3">
      <c r="A553" s="719"/>
      <c r="B553" s="720"/>
      <c r="C553" s="985" t="s">
        <v>1776</v>
      </c>
      <c r="D553" s="985"/>
      <c r="E553" s="985"/>
      <c r="F553" s="687"/>
      <c r="G553" s="688"/>
      <c r="H553" s="688"/>
      <c r="I553" s="688"/>
      <c r="J553" s="691"/>
      <c r="K553" s="688"/>
      <c r="L553" s="726">
        <v>-315.61</v>
      </c>
      <c r="M553" s="715"/>
      <c r="N553" s="722">
        <v>-2575.38</v>
      </c>
      <c r="AF553" s="684"/>
      <c r="AG553" s="693"/>
      <c r="AM553" s="693" t="s">
        <v>1776</v>
      </c>
      <c r="AP553" s="693"/>
      <c r="AR553" s="693"/>
    </row>
    <row r="554" spans="1:44" s="646" customFormat="1" ht="14.4" x14ac:dyDescent="0.3">
      <c r="A554" s="685" t="s">
        <v>2008</v>
      </c>
      <c r="B554" s="686" t="s">
        <v>1900</v>
      </c>
      <c r="C554" s="985" t="s">
        <v>1901</v>
      </c>
      <c r="D554" s="985"/>
      <c r="E554" s="985"/>
      <c r="F554" s="687" t="s">
        <v>224</v>
      </c>
      <c r="G554" s="688">
        <v>-6.3E-2</v>
      </c>
      <c r="H554" s="689">
        <v>1</v>
      </c>
      <c r="I554" s="690">
        <v>-6.3E-2</v>
      </c>
      <c r="J554" s="721">
        <v>11856</v>
      </c>
      <c r="K554" s="688"/>
      <c r="L554" s="726">
        <v>-746.93</v>
      </c>
      <c r="M554" s="727">
        <v>8.16</v>
      </c>
      <c r="N554" s="722">
        <v>-6094.95</v>
      </c>
      <c r="AF554" s="684"/>
      <c r="AG554" s="693" t="s">
        <v>1901</v>
      </c>
      <c r="AM554" s="693"/>
      <c r="AP554" s="693"/>
      <c r="AR554" s="693"/>
    </row>
    <row r="555" spans="1:44" s="646" customFormat="1" ht="14.4" x14ac:dyDescent="0.3">
      <c r="A555" s="719"/>
      <c r="B555" s="720"/>
      <c r="C555" s="982" t="s">
        <v>2001</v>
      </c>
      <c r="D555" s="982"/>
      <c r="E555" s="982"/>
      <c r="F555" s="982"/>
      <c r="G555" s="982"/>
      <c r="H555" s="982"/>
      <c r="I555" s="982"/>
      <c r="J555" s="982"/>
      <c r="K555" s="982"/>
      <c r="L555" s="982"/>
      <c r="M555" s="982"/>
      <c r="N555" s="988"/>
      <c r="AF555" s="684"/>
      <c r="AG555" s="693"/>
      <c r="AM555" s="693"/>
      <c r="AN555" s="696" t="s">
        <v>2001</v>
      </c>
      <c r="AP555" s="693"/>
      <c r="AR555" s="693"/>
    </row>
    <row r="556" spans="1:44" s="646" customFormat="1" ht="14.4" x14ac:dyDescent="0.3">
      <c r="A556" s="719"/>
      <c r="B556" s="720"/>
      <c r="C556" s="985" t="s">
        <v>1776</v>
      </c>
      <c r="D556" s="985"/>
      <c r="E556" s="985"/>
      <c r="F556" s="687"/>
      <c r="G556" s="688"/>
      <c r="H556" s="688"/>
      <c r="I556" s="688"/>
      <c r="J556" s="691"/>
      <c r="K556" s="688"/>
      <c r="L556" s="726">
        <v>-746.93</v>
      </c>
      <c r="M556" s="715"/>
      <c r="N556" s="722">
        <v>-6094.95</v>
      </c>
      <c r="AF556" s="684"/>
      <c r="AG556" s="693"/>
      <c r="AM556" s="693" t="s">
        <v>1776</v>
      </c>
      <c r="AP556" s="693"/>
      <c r="AR556" s="693"/>
    </row>
    <row r="557" spans="1:44" s="646" customFormat="1" ht="14.4" x14ac:dyDescent="0.3">
      <c r="A557" s="685" t="s">
        <v>2009</v>
      </c>
      <c r="B557" s="686" t="s">
        <v>2010</v>
      </c>
      <c r="C557" s="985" t="s">
        <v>2011</v>
      </c>
      <c r="D557" s="985"/>
      <c r="E557" s="985"/>
      <c r="F557" s="687" t="s">
        <v>883</v>
      </c>
      <c r="G557" s="688">
        <v>-1.2989999999999999</v>
      </c>
      <c r="H557" s="689">
        <v>1</v>
      </c>
      <c r="I557" s="690">
        <v>-1.2989999999999999</v>
      </c>
      <c r="J557" s="726">
        <v>251.5</v>
      </c>
      <c r="K557" s="688"/>
      <c r="L557" s="726">
        <v>-326.7</v>
      </c>
      <c r="M557" s="727">
        <v>8.16</v>
      </c>
      <c r="N557" s="722">
        <v>-2665.87</v>
      </c>
      <c r="AF557" s="684"/>
      <c r="AG557" s="693" t="s">
        <v>2011</v>
      </c>
      <c r="AM557" s="693"/>
      <c r="AP557" s="693"/>
      <c r="AR557" s="693"/>
    </row>
    <row r="558" spans="1:44" s="646" customFormat="1" ht="14.4" x14ac:dyDescent="0.3">
      <c r="A558" s="719"/>
      <c r="B558" s="720"/>
      <c r="C558" s="982" t="s">
        <v>2001</v>
      </c>
      <c r="D558" s="982"/>
      <c r="E558" s="982"/>
      <c r="F558" s="982"/>
      <c r="G558" s="982"/>
      <c r="H558" s="982"/>
      <c r="I558" s="982"/>
      <c r="J558" s="982"/>
      <c r="K558" s="982"/>
      <c r="L558" s="982"/>
      <c r="M558" s="982"/>
      <c r="N558" s="988"/>
      <c r="AF558" s="684"/>
      <c r="AG558" s="693"/>
      <c r="AM558" s="693"/>
      <c r="AN558" s="696" t="s">
        <v>2001</v>
      </c>
      <c r="AP558" s="693"/>
      <c r="AR558" s="693"/>
    </row>
    <row r="559" spans="1:44" s="646" customFormat="1" ht="14.4" x14ac:dyDescent="0.3">
      <c r="A559" s="719"/>
      <c r="B559" s="720"/>
      <c r="C559" s="985" t="s">
        <v>1776</v>
      </c>
      <c r="D559" s="985"/>
      <c r="E559" s="985"/>
      <c r="F559" s="687"/>
      <c r="G559" s="688"/>
      <c r="H559" s="688"/>
      <c r="I559" s="688"/>
      <c r="J559" s="691"/>
      <c r="K559" s="688"/>
      <c r="L559" s="726">
        <v>-326.7</v>
      </c>
      <c r="M559" s="715"/>
      <c r="N559" s="722">
        <v>-2665.87</v>
      </c>
      <c r="AF559" s="684"/>
      <c r="AG559" s="693"/>
      <c r="AM559" s="693" t="s">
        <v>1776</v>
      </c>
      <c r="AP559" s="693"/>
      <c r="AR559" s="693"/>
    </row>
    <row r="560" spans="1:44" s="646" customFormat="1" ht="14.4" x14ac:dyDescent="0.3">
      <c r="A560" s="685" t="s">
        <v>2012</v>
      </c>
      <c r="B560" s="686" t="s">
        <v>2013</v>
      </c>
      <c r="C560" s="985" t="s">
        <v>2014</v>
      </c>
      <c r="D560" s="985"/>
      <c r="E560" s="985"/>
      <c r="F560" s="687" t="s">
        <v>1846</v>
      </c>
      <c r="G560" s="688">
        <v>-58.9</v>
      </c>
      <c r="H560" s="689">
        <v>1</v>
      </c>
      <c r="I560" s="730">
        <v>-58.9</v>
      </c>
      <c r="J560" s="726">
        <v>2.5299999999999998</v>
      </c>
      <c r="K560" s="688"/>
      <c r="L560" s="726">
        <v>-149.02000000000001</v>
      </c>
      <c r="M560" s="727">
        <v>8.16</v>
      </c>
      <c r="N560" s="722">
        <v>-1216</v>
      </c>
      <c r="AF560" s="684"/>
      <c r="AG560" s="693" t="s">
        <v>2014</v>
      </c>
      <c r="AM560" s="693"/>
      <c r="AP560" s="693"/>
      <c r="AR560" s="693"/>
    </row>
    <row r="561" spans="1:44" s="646" customFormat="1" ht="14.4" x14ac:dyDescent="0.3">
      <c r="A561" s="719"/>
      <c r="B561" s="720"/>
      <c r="C561" s="982" t="s">
        <v>2001</v>
      </c>
      <c r="D561" s="982"/>
      <c r="E561" s="982"/>
      <c r="F561" s="982"/>
      <c r="G561" s="982"/>
      <c r="H561" s="982"/>
      <c r="I561" s="982"/>
      <c r="J561" s="982"/>
      <c r="K561" s="982"/>
      <c r="L561" s="982"/>
      <c r="M561" s="982"/>
      <c r="N561" s="988"/>
      <c r="AF561" s="684"/>
      <c r="AG561" s="693"/>
      <c r="AM561" s="693"/>
      <c r="AN561" s="696" t="s">
        <v>2001</v>
      </c>
      <c r="AP561" s="693"/>
      <c r="AR561" s="693"/>
    </row>
    <row r="562" spans="1:44" s="646" customFormat="1" ht="14.4" x14ac:dyDescent="0.3">
      <c r="A562" s="719"/>
      <c r="B562" s="720"/>
      <c r="C562" s="985" t="s">
        <v>1776</v>
      </c>
      <c r="D562" s="985"/>
      <c r="E562" s="985"/>
      <c r="F562" s="687"/>
      <c r="G562" s="688"/>
      <c r="H562" s="688"/>
      <c r="I562" s="688"/>
      <c r="J562" s="691"/>
      <c r="K562" s="688"/>
      <c r="L562" s="726">
        <v>-149.02000000000001</v>
      </c>
      <c r="M562" s="715"/>
      <c r="N562" s="722">
        <v>-1216</v>
      </c>
      <c r="AF562" s="684"/>
      <c r="AG562" s="693"/>
      <c r="AM562" s="693" t="s">
        <v>1776</v>
      </c>
      <c r="AP562" s="693"/>
      <c r="AR562" s="693"/>
    </row>
    <row r="563" spans="1:44" s="646" customFormat="1" ht="14.4" x14ac:dyDescent="0.3">
      <c r="A563" s="685" t="s">
        <v>2015</v>
      </c>
      <c r="B563" s="686" t="s">
        <v>2016</v>
      </c>
      <c r="C563" s="985" t="s">
        <v>2017</v>
      </c>
      <c r="D563" s="985"/>
      <c r="E563" s="985"/>
      <c r="F563" s="687" t="s">
        <v>1846</v>
      </c>
      <c r="G563" s="688">
        <v>-29.388000000000002</v>
      </c>
      <c r="H563" s="689">
        <v>1</v>
      </c>
      <c r="I563" s="690">
        <v>-29.388000000000002</v>
      </c>
      <c r="J563" s="726">
        <v>30.82</v>
      </c>
      <c r="K563" s="688"/>
      <c r="L563" s="726">
        <v>-905.74</v>
      </c>
      <c r="M563" s="727">
        <v>8.16</v>
      </c>
      <c r="N563" s="722">
        <v>-7390.84</v>
      </c>
      <c r="AF563" s="684"/>
      <c r="AG563" s="693" t="s">
        <v>2017</v>
      </c>
      <c r="AM563" s="693"/>
      <c r="AP563" s="693"/>
      <c r="AR563" s="693"/>
    </row>
    <row r="564" spans="1:44" s="646" customFormat="1" ht="14.4" x14ac:dyDescent="0.3">
      <c r="A564" s="719"/>
      <c r="B564" s="720"/>
      <c r="C564" s="982" t="s">
        <v>2001</v>
      </c>
      <c r="D564" s="982"/>
      <c r="E564" s="982"/>
      <c r="F564" s="982"/>
      <c r="G564" s="982"/>
      <c r="H564" s="982"/>
      <c r="I564" s="982"/>
      <c r="J564" s="982"/>
      <c r="K564" s="982"/>
      <c r="L564" s="982"/>
      <c r="M564" s="982"/>
      <c r="N564" s="988"/>
      <c r="AF564" s="684"/>
      <c r="AG564" s="693"/>
      <c r="AM564" s="693"/>
      <c r="AN564" s="696" t="s">
        <v>2001</v>
      </c>
      <c r="AP564" s="693"/>
      <c r="AR564" s="693"/>
    </row>
    <row r="565" spans="1:44" s="646" customFormat="1" ht="14.4" x14ac:dyDescent="0.3">
      <c r="A565" s="719"/>
      <c r="B565" s="720"/>
      <c r="C565" s="985" t="s">
        <v>1776</v>
      </c>
      <c r="D565" s="985"/>
      <c r="E565" s="985"/>
      <c r="F565" s="687"/>
      <c r="G565" s="688"/>
      <c r="H565" s="688"/>
      <c r="I565" s="688"/>
      <c r="J565" s="691"/>
      <c r="K565" s="688"/>
      <c r="L565" s="726">
        <v>-905.74</v>
      </c>
      <c r="M565" s="715"/>
      <c r="N565" s="722">
        <v>-7390.84</v>
      </c>
      <c r="AF565" s="684"/>
      <c r="AG565" s="693"/>
      <c r="AM565" s="693" t="s">
        <v>1776</v>
      </c>
      <c r="AP565" s="693"/>
      <c r="AR565" s="693"/>
    </row>
    <row r="566" spans="1:44" s="646" customFormat="1" ht="21.6" x14ac:dyDescent="0.3">
      <c r="A566" s="685" t="s">
        <v>2018</v>
      </c>
      <c r="B566" s="686" t="s">
        <v>1211</v>
      </c>
      <c r="C566" s="985" t="s">
        <v>2019</v>
      </c>
      <c r="D566" s="985"/>
      <c r="E566" s="985"/>
      <c r="F566" s="687" t="s">
        <v>2020</v>
      </c>
      <c r="G566" s="688">
        <v>4</v>
      </c>
      <c r="H566" s="689">
        <v>1</v>
      </c>
      <c r="I566" s="689">
        <v>4</v>
      </c>
      <c r="J566" s="721">
        <v>16237.75</v>
      </c>
      <c r="K566" s="690">
        <v>1.012</v>
      </c>
      <c r="L566" s="721">
        <v>65730.41</v>
      </c>
      <c r="M566" s="727">
        <v>8.16</v>
      </c>
      <c r="N566" s="722">
        <v>536360.15</v>
      </c>
      <c r="AF566" s="684"/>
      <c r="AG566" s="693" t="s">
        <v>2019</v>
      </c>
      <c r="AM566" s="693"/>
      <c r="AP566" s="693"/>
      <c r="AR566" s="693"/>
    </row>
    <row r="567" spans="1:44" s="646" customFormat="1" ht="14.4" x14ac:dyDescent="0.3">
      <c r="A567" s="719"/>
      <c r="B567" s="720"/>
      <c r="C567" s="982" t="s">
        <v>1793</v>
      </c>
      <c r="D567" s="982"/>
      <c r="E567" s="982"/>
      <c r="F567" s="982"/>
      <c r="G567" s="982"/>
      <c r="H567" s="982"/>
      <c r="I567" s="982"/>
      <c r="J567" s="982"/>
      <c r="K567" s="982"/>
      <c r="L567" s="982"/>
      <c r="M567" s="982"/>
      <c r="N567" s="988"/>
      <c r="AF567" s="684"/>
      <c r="AG567" s="693"/>
      <c r="AM567" s="693"/>
      <c r="AN567" s="696" t="s">
        <v>1793</v>
      </c>
      <c r="AP567" s="693"/>
      <c r="AR567" s="693"/>
    </row>
    <row r="568" spans="1:44" s="646" customFormat="1" ht="14.4" x14ac:dyDescent="0.3">
      <c r="A568" s="694"/>
      <c r="B568" s="695"/>
      <c r="C568" s="982" t="s">
        <v>2021</v>
      </c>
      <c r="D568" s="982"/>
      <c r="E568" s="982"/>
      <c r="F568" s="982"/>
      <c r="G568" s="982"/>
      <c r="H568" s="982"/>
      <c r="I568" s="982"/>
      <c r="J568" s="982"/>
      <c r="K568" s="982"/>
      <c r="L568" s="982"/>
      <c r="M568" s="982"/>
      <c r="N568" s="988"/>
      <c r="AF568" s="684"/>
      <c r="AG568" s="693"/>
      <c r="AM568" s="693"/>
      <c r="AO568" s="696" t="s">
        <v>2021</v>
      </c>
      <c r="AP568" s="693"/>
      <c r="AR568" s="693"/>
    </row>
    <row r="569" spans="1:44" s="646" customFormat="1" ht="14.4" x14ac:dyDescent="0.3">
      <c r="A569" s="697"/>
      <c r="B569" s="698"/>
      <c r="C569" s="974" t="s">
        <v>1888</v>
      </c>
      <c r="D569" s="974"/>
      <c r="E569" s="974"/>
      <c r="F569" s="974"/>
      <c r="G569" s="974"/>
      <c r="H569" s="974"/>
      <c r="I569" s="974"/>
      <c r="J569" s="974"/>
      <c r="K569" s="974"/>
      <c r="L569" s="974"/>
      <c r="M569" s="974"/>
      <c r="N569" s="987"/>
      <c r="AF569" s="684"/>
      <c r="AG569" s="693"/>
      <c r="AI569" s="696" t="s">
        <v>1888</v>
      </c>
      <c r="AM569" s="693"/>
      <c r="AP569" s="693"/>
      <c r="AR569" s="693"/>
    </row>
    <row r="570" spans="1:44" s="646" customFormat="1" ht="14.4" x14ac:dyDescent="0.3">
      <c r="A570" s="719"/>
      <c r="B570" s="720"/>
      <c r="C570" s="985" t="s">
        <v>1776</v>
      </c>
      <c r="D570" s="985"/>
      <c r="E570" s="985"/>
      <c r="F570" s="687"/>
      <c r="G570" s="688"/>
      <c r="H570" s="688"/>
      <c r="I570" s="688"/>
      <c r="J570" s="691"/>
      <c r="K570" s="688"/>
      <c r="L570" s="721">
        <v>65730.41</v>
      </c>
      <c r="M570" s="715"/>
      <c r="N570" s="722">
        <v>536360.15</v>
      </c>
      <c r="AF570" s="684"/>
      <c r="AG570" s="693"/>
      <c r="AM570" s="693" t="s">
        <v>1776</v>
      </c>
      <c r="AP570" s="693"/>
      <c r="AR570" s="693"/>
    </row>
    <row r="571" spans="1:44" s="646" customFormat="1" ht="31.8" x14ac:dyDescent="0.3">
      <c r="A571" s="685" t="s">
        <v>2022</v>
      </c>
      <c r="B571" s="686" t="s">
        <v>2023</v>
      </c>
      <c r="C571" s="985" t="s">
        <v>2024</v>
      </c>
      <c r="D571" s="985"/>
      <c r="E571" s="985"/>
      <c r="F571" s="687" t="s">
        <v>1853</v>
      </c>
      <c r="G571" s="688">
        <v>1</v>
      </c>
      <c r="H571" s="689">
        <v>1</v>
      </c>
      <c r="I571" s="689">
        <v>1</v>
      </c>
      <c r="J571" s="691"/>
      <c r="K571" s="688"/>
      <c r="L571" s="691"/>
      <c r="M571" s="688"/>
      <c r="N571" s="692"/>
      <c r="AF571" s="684"/>
      <c r="AG571" s="693" t="s">
        <v>2024</v>
      </c>
      <c r="AM571" s="693"/>
      <c r="AP571" s="693"/>
      <c r="AR571" s="693"/>
    </row>
    <row r="572" spans="1:44" s="646" customFormat="1" ht="21.6" x14ac:dyDescent="0.3">
      <c r="A572" s="697"/>
      <c r="B572" s="698" t="s">
        <v>1759</v>
      </c>
      <c r="C572" s="974" t="s">
        <v>1760</v>
      </c>
      <c r="D572" s="974"/>
      <c r="E572" s="974"/>
      <c r="F572" s="974"/>
      <c r="G572" s="974"/>
      <c r="H572" s="974"/>
      <c r="I572" s="974"/>
      <c r="J572" s="974"/>
      <c r="K572" s="974"/>
      <c r="L572" s="974"/>
      <c r="M572" s="974"/>
      <c r="N572" s="987"/>
      <c r="AF572" s="684"/>
      <c r="AG572" s="693"/>
      <c r="AI572" s="696" t="s">
        <v>1760</v>
      </c>
      <c r="AM572" s="693"/>
      <c r="AP572" s="693"/>
      <c r="AR572" s="693"/>
    </row>
    <row r="573" spans="1:44" s="646" customFormat="1" ht="52.2" x14ac:dyDescent="0.3">
      <c r="A573" s="697"/>
      <c r="B573" s="698" t="s">
        <v>1761</v>
      </c>
      <c r="C573" s="974" t="s">
        <v>1762</v>
      </c>
      <c r="D573" s="974"/>
      <c r="E573" s="974"/>
      <c r="F573" s="974"/>
      <c r="G573" s="974"/>
      <c r="H573" s="974"/>
      <c r="I573" s="974"/>
      <c r="J573" s="974"/>
      <c r="K573" s="974"/>
      <c r="L573" s="974"/>
      <c r="M573" s="974"/>
      <c r="N573" s="987"/>
      <c r="AF573" s="684"/>
      <c r="AG573" s="693"/>
      <c r="AI573" s="696" t="s">
        <v>1762</v>
      </c>
      <c r="AM573" s="693"/>
      <c r="AP573" s="693"/>
      <c r="AR573" s="693"/>
    </row>
    <row r="574" spans="1:44" s="646" customFormat="1" ht="14.4" x14ac:dyDescent="0.3">
      <c r="A574" s="699"/>
      <c r="B574" s="698" t="s">
        <v>18</v>
      </c>
      <c r="C574" s="982" t="s">
        <v>1763</v>
      </c>
      <c r="D574" s="982"/>
      <c r="E574" s="982"/>
      <c r="F574" s="700"/>
      <c r="G574" s="701"/>
      <c r="H574" s="701"/>
      <c r="I574" s="701"/>
      <c r="J574" s="702">
        <v>989.48</v>
      </c>
      <c r="K574" s="725">
        <v>1.3225</v>
      </c>
      <c r="L574" s="706">
        <v>1308.5899999999999</v>
      </c>
      <c r="M574" s="704">
        <v>44.77</v>
      </c>
      <c r="N574" s="705">
        <v>58585.57</v>
      </c>
      <c r="AF574" s="684"/>
      <c r="AG574" s="693"/>
      <c r="AJ574" s="696" t="s">
        <v>1763</v>
      </c>
      <c r="AM574" s="693"/>
      <c r="AP574" s="693"/>
      <c r="AR574" s="693"/>
    </row>
    <row r="575" spans="1:44" s="646" customFormat="1" ht="14.4" x14ac:dyDescent="0.3">
      <c r="A575" s="699"/>
      <c r="B575" s="698" t="s">
        <v>21</v>
      </c>
      <c r="C575" s="982" t="s">
        <v>1764</v>
      </c>
      <c r="D575" s="982"/>
      <c r="E575" s="982"/>
      <c r="F575" s="700"/>
      <c r="G575" s="701"/>
      <c r="H575" s="701"/>
      <c r="I575" s="701"/>
      <c r="J575" s="706">
        <v>2550.85</v>
      </c>
      <c r="K575" s="725">
        <v>1.4375</v>
      </c>
      <c r="L575" s="706">
        <v>3666.85</v>
      </c>
      <c r="M575" s="704">
        <v>13.24</v>
      </c>
      <c r="N575" s="705">
        <v>48549.09</v>
      </c>
      <c r="AF575" s="684"/>
      <c r="AG575" s="693"/>
      <c r="AJ575" s="696" t="s">
        <v>1764</v>
      </c>
      <c r="AM575" s="693"/>
      <c r="AP575" s="693"/>
      <c r="AR575" s="693"/>
    </row>
    <row r="576" spans="1:44" s="646" customFormat="1" ht="14.4" x14ac:dyDescent="0.3">
      <c r="A576" s="699"/>
      <c r="B576" s="698" t="s">
        <v>23</v>
      </c>
      <c r="C576" s="982" t="s">
        <v>1765</v>
      </c>
      <c r="D576" s="982"/>
      <c r="E576" s="982"/>
      <c r="F576" s="700"/>
      <c r="G576" s="701"/>
      <c r="H576" s="701"/>
      <c r="I576" s="701"/>
      <c r="J576" s="702">
        <v>230.75</v>
      </c>
      <c r="K576" s="725">
        <v>1.4375</v>
      </c>
      <c r="L576" s="702">
        <v>331.7</v>
      </c>
      <c r="M576" s="704">
        <v>44.77</v>
      </c>
      <c r="N576" s="705">
        <v>14850.21</v>
      </c>
      <c r="AF576" s="684"/>
      <c r="AG576" s="693"/>
      <c r="AJ576" s="696" t="s">
        <v>1765</v>
      </c>
      <c r="AM576" s="693"/>
      <c r="AP576" s="693"/>
      <c r="AR576" s="693"/>
    </row>
    <row r="577" spans="1:44" s="646" customFormat="1" ht="14.4" x14ac:dyDescent="0.3">
      <c r="A577" s="699"/>
      <c r="B577" s="698" t="s">
        <v>25</v>
      </c>
      <c r="C577" s="982" t="s">
        <v>1766</v>
      </c>
      <c r="D577" s="982"/>
      <c r="E577" s="982"/>
      <c r="F577" s="700"/>
      <c r="G577" s="701"/>
      <c r="H577" s="701"/>
      <c r="I577" s="701"/>
      <c r="J577" s="706">
        <v>5389.58</v>
      </c>
      <c r="K577" s="701"/>
      <c r="L577" s="706">
        <v>5389.58</v>
      </c>
      <c r="M577" s="704">
        <v>8.16</v>
      </c>
      <c r="N577" s="705">
        <v>43978.97</v>
      </c>
      <c r="AF577" s="684"/>
      <c r="AG577" s="693"/>
      <c r="AJ577" s="696" t="s">
        <v>1766</v>
      </c>
      <c r="AM577" s="693"/>
      <c r="AP577" s="693"/>
      <c r="AR577" s="693"/>
    </row>
    <row r="578" spans="1:44" s="646" customFormat="1" ht="14.4" x14ac:dyDescent="0.3">
      <c r="A578" s="708"/>
      <c r="B578" s="698"/>
      <c r="C578" s="982" t="s">
        <v>1767</v>
      </c>
      <c r="D578" s="982"/>
      <c r="E578" s="982"/>
      <c r="F578" s="700" t="s">
        <v>695</v>
      </c>
      <c r="G578" s="718">
        <v>116</v>
      </c>
      <c r="H578" s="725">
        <v>1.3225</v>
      </c>
      <c r="I578" s="704">
        <v>153.41</v>
      </c>
      <c r="J578" s="711"/>
      <c r="K578" s="701"/>
      <c r="L578" s="711"/>
      <c r="M578" s="701"/>
      <c r="N578" s="712"/>
      <c r="AF578" s="684"/>
      <c r="AG578" s="693"/>
      <c r="AK578" s="696" t="s">
        <v>1767</v>
      </c>
      <c r="AM578" s="693"/>
      <c r="AP578" s="693"/>
      <c r="AR578" s="693"/>
    </row>
    <row r="579" spans="1:44" s="646" customFormat="1" ht="14.4" x14ac:dyDescent="0.3">
      <c r="A579" s="708"/>
      <c r="B579" s="698"/>
      <c r="C579" s="982" t="s">
        <v>1768</v>
      </c>
      <c r="D579" s="982"/>
      <c r="E579" s="982"/>
      <c r="F579" s="700" t="s">
        <v>695</v>
      </c>
      <c r="G579" s="704">
        <v>18.68</v>
      </c>
      <c r="H579" s="725">
        <v>1.4375</v>
      </c>
      <c r="I579" s="725">
        <v>26.852499999999999</v>
      </c>
      <c r="J579" s="711"/>
      <c r="K579" s="701"/>
      <c r="L579" s="711"/>
      <c r="M579" s="701"/>
      <c r="N579" s="712"/>
      <c r="AF579" s="684"/>
      <c r="AG579" s="693"/>
      <c r="AK579" s="696" t="s">
        <v>1768</v>
      </c>
      <c r="AM579" s="693"/>
      <c r="AP579" s="693"/>
      <c r="AR579" s="693"/>
    </row>
    <row r="580" spans="1:44" s="646" customFormat="1" ht="14.4" x14ac:dyDescent="0.3">
      <c r="A580" s="699"/>
      <c r="B580" s="698"/>
      <c r="C580" s="986" t="s">
        <v>1769</v>
      </c>
      <c r="D580" s="986"/>
      <c r="E580" s="986"/>
      <c r="F580" s="714"/>
      <c r="G580" s="715"/>
      <c r="H580" s="715"/>
      <c r="I580" s="715"/>
      <c r="J580" s="716">
        <v>8929.91</v>
      </c>
      <c r="K580" s="715"/>
      <c r="L580" s="716">
        <v>10365.02</v>
      </c>
      <c r="M580" s="715"/>
      <c r="N580" s="717">
        <v>151113.63</v>
      </c>
      <c r="AF580" s="684"/>
      <c r="AG580" s="693"/>
      <c r="AL580" s="696" t="s">
        <v>1769</v>
      </c>
      <c r="AM580" s="693"/>
      <c r="AP580" s="693"/>
      <c r="AR580" s="693"/>
    </row>
    <row r="581" spans="1:44" s="646" customFormat="1" ht="14.4" x14ac:dyDescent="0.3">
      <c r="A581" s="708"/>
      <c r="B581" s="698"/>
      <c r="C581" s="982" t="s">
        <v>1770</v>
      </c>
      <c r="D581" s="982"/>
      <c r="E581" s="982"/>
      <c r="F581" s="700"/>
      <c r="G581" s="701"/>
      <c r="H581" s="701"/>
      <c r="I581" s="701"/>
      <c r="J581" s="711"/>
      <c r="K581" s="701"/>
      <c r="L581" s="706">
        <v>1640.29</v>
      </c>
      <c r="M581" s="701"/>
      <c r="N581" s="705">
        <v>73435.78</v>
      </c>
      <c r="AF581" s="684"/>
      <c r="AG581" s="693"/>
      <c r="AK581" s="696" t="s">
        <v>1770</v>
      </c>
      <c r="AM581" s="693"/>
      <c r="AP581" s="693"/>
      <c r="AR581" s="693"/>
    </row>
    <row r="582" spans="1:44" s="646" customFormat="1" ht="20.399999999999999" x14ac:dyDescent="0.3">
      <c r="A582" s="708"/>
      <c r="B582" s="698" t="s">
        <v>1847</v>
      </c>
      <c r="C582" s="982" t="s">
        <v>1848</v>
      </c>
      <c r="D582" s="982"/>
      <c r="E582" s="982"/>
      <c r="F582" s="700" t="s">
        <v>1773</v>
      </c>
      <c r="G582" s="718">
        <v>109</v>
      </c>
      <c r="H582" s="701"/>
      <c r="I582" s="718">
        <v>109</v>
      </c>
      <c r="J582" s="711"/>
      <c r="K582" s="701"/>
      <c r="L582" s="706">
        <v>1787.92</v>
      </c>
      <c r="M582" s="701"/>
      <c r="N582" s="705">
        <v>80045</v>
      </c>
      <c r="AF582" s="684"/>
      <c r="AG582" s="693"/>
      <c r="AK582" s="696" t="s">
        <v>1848</v>
      </c>
      <c r="AM582" s="693"/>
      <c r="AP582" s="693"/>
      <c r="AR582" s="693"/>
    </row>
    <row r="583" spans="1:44" s="646" customFormat="1" ht="40.799999999999997" x14ac:dyDescent="0.3">
      <c r="A583" s="708"/>
      <c r="B583" s="698" t="s">
        <v>1849</v>
      </c>
      <c r="C583" s="982" t="s">
        <v>1850</v>
      </c>
      <c r="D583" s="982"/>
      <c r="E583" s="982"/>
      <c r="F583" s="700" t="s">
        <v>1773</v>
      </c>
      <c r="G583" s="718">
        <v>65</v>
      </c>
      <c r="H583" s="704">
        <v>0.85</v>
      </c>
      <c r="I583" s="704">
        <v>55.25</v>
      </c>
      <c r="J583" s="711"/>
      <c r="K583" s="701"/>
      <c r="L583" s="702">
        <v>906.26</v>
      </c>
      <c r="M583" s="701"/>
      <c r="N583" s="705">
        <v>40573.269999999997</v>
      </c>
      <c r="AF583" s="684"/>
      <c r="AG583" s="693"/>
      <c r="AK583" s="696" t="s">
        <v>1850</v>
      </c>
      <c r="AM583" s="693"/>
      <c r="AP583" s="693"/>
      <c r="AR583" s="693"/>
    </row>
    <row r="584" spans="1:44" s="646" customFormat="1" ht="14.4" x14ac:dyDescent="0.3">
      <c r="A584" s="719"/>
      <c r="B584" s="720"/>
      <c r="C584" s="985" t="s">
        <v>1776</v>
      </c>
      <c r="D584" s="985"/>
      <c r="E584" s="985"/>
      <c r="F584" s="687"/>
      <c r="G584" s="688"/>
      <c r="H584" s="688"/>
      <c r="I584" s="688"/>
      <c r="J584" s="691"/>
      <c r="K584" s="688"/>
      <c r="L584" s="721">
        <v>13059.2</v>
      </c>
      <c r="M584" s="715"/>
      <c r="N584" s="722">
        <v>271731.90000000002</v>
      </c>
      <c r="AF584" s="684"/>
      <c r="AG584" s="693"/>
      <c r="AM584" s="693" t="s">
        <v>1776</v>
      </c>
      <c r="AP584" s="693"/>
      <c r="AR584" s="693"/>
    </row>
    <row r="585" spans="1:44" s="646" customFormat="1" ht="21.6" x14ac:dyDescent="0.3">
      <c r="A585" s="685" t="s">
        <v>2025</v>
      </c>
      <c r="B585" s="686" t="s">
        <v>2026</v>
      </c>
      <c r="C585" s="985" t="s">
        <v>2027</v>
      </c>
      <c r="D585" s="985"/>
      <c r="E585" s="985"/>
      <c r="F585" s="687" t="s">
        <v>1853</v>
      </c>
      <c r="G585" s="688">
        <v>1</v>
      </c>
      <c r="H585" s="689">
        <v>1</v>
      </c>
      <c r="I585" s="689">
        <v>1</v>
      </c>
      <c r="J585" s="721">
        <v>204248.37</v>
      </c>
      <c r="K585" s="690">
        <v>1.012</v>
      </c>
      <c r="L585" s="721">
        <v>206699.35</v>
      </c>
      <c r="M585" s="727">
        <v>8.16</v>
      </c>
      <c r="N585" s="722">
        <v>1686666.7</v>
      </c>
      <c r="AF585" s="684"/>
      <c r="AG585" s="693" t="s">
        <v>2027</v>
      </c>
      <c r="AM585" s="693"/>
      <c r="AP585" s="693"/>
      <c r="AR585" s="693"/>
    </row>
    <row r="586" spans="1:44" s="646" customFormat="1" ht="14.4" x14ac:dyDescent="0.3">
      <c r="A586" s="719"/>
      <c r="B586" s="720"/>
      <c r="C586" s="982" t="s">
        <v>1793</v>
      </c>
      <c r="D586" s="982"/>
      <c r="E586" s="982"/>
      <c r="F586" s="982"/>
      <c r="G586" s="982"/>
      <c r="H586" s="982"/>
      <c r="I586" s="982"/>
      <c r="J586" s="982"/>
      <c r="K586" s="982"/>
      <c r="L586" s="982"/>
      <c r="M586" s="982"/>
      <c r="N586" s="988"/>
      <c r="AF586" s="684"/>
      <c r="AG586" s="693"/>
      <c r="AM586" s="693"/>
      <c r="AN586" s="696" t="s">
        <v>1793</v>
      </c>
      <c r="AP586" s="693"/>
      <c r="AR586" s="693"/>
    </row>
    <row r="587" spans="1:44" s="646" customFormat="1" ht="14.4" x14ac:dyDescent="0.3">
      <c r="A587" s="694"/>
      <c r="B587" s="695"/>
      <c r="C587" s="982" t="s">
        <v>2028</v>
      </c>
      <c r="D587" s="982"/>
      <c r="E587" s="982"/>
      <c r="F587" s="982"/>
      <c r="G587" s="982"/>
      <c r="H587" s="982"/>
      <c r="I587" s="982"/>
      <c r="J587" s="982"/>
      <c r="K587" s="982"/>
      <c r="L587" s="982"/>
      <c r="M587" s="982"/>
      <c r="N587" s="988"/>
      <c r="AF587" s="684"/>
      <c r="AG587" s="693"/>
      <c r="AM587" s="693"/>
      <c r="AO587" s="696" t="s">
        <v>2028</v>
      </c>
      <c r="AP587" s="693"/>
      <c r="AR587" s="693"/>
    </row>
    <row r="588" spans="1:44" s="646" customFormat="1" ht="14.4" x14ac:dyDescent="0.3">
      <c r="A588" s="697"/>
      <c r="B588" s="698"/>
      <c r="C588" s="974" t="s">
        <v>1888</v>
      </c>
      <c r="D588" s="974"/>
      <c r="E588" s="974"/>
      <c r="F588" s="974"/>
      <c r="G588" s="974"/>
      <c r="H588" s="974"/>
      <c r="I588" s="974"/>
      <c r="J588" s="974"/>
      <c r="K588" s="974"/>
      <c r="L588" s="974"/>
      <c r="M588" s="974"/>
      <c r="N588" s="987"/>
      <c r="AF588" s="684"/>
      <c r="AG588" s="693"/>
      <c r="AI588" s="696" t="s">
        <v>1888</v>
      </c>
      <c r="AM588" s="693"/>
      <c r="AP588" s="693"/>
      <c r="AR588" s="693"/>
    </row>
    <row r="589" spans="1:44" s="646" customFormat="1" ht="14.4" x14ac:dyDescent="0.3">
      <c r="A589" s="719"/>
      <c r="B589" s="720"/>
      <c r="C589" s="985" t="s">
        <v>1776</v>
      </c>
      <c r="D589" s="985"/>
      <c r="E589" s="985"/>
      <c r="F589" s="687"/>
      <c r="G589" s="688"/>
      <c r="H589" s="688"/>
      <c r="I589" s="688"/>
      <c r="J589" s="691"/>
      <c r="K589" s="688"/>
      <c r="L589" s="721">
        <v>206699.35</v>
      </c>
      <c r="M589" s="715"/>
      <c r="N589" s="722">
        <v>1686666.7</v>
      </c>
      <c r="AF589" s="684"/>
      <c r="AG589" s="693"/>
      <c r="AM589" s="693" t="s">
        <v>1776</v>
      </c>
      <c r="AP589" s="693"/>
      <c r="AR589" s="693"/>
    </row>
    <row r="590" spans="1:44" s="646" customFormat="1" ht="31.8" x14ac:dyDescent="0.3">
      <c r="A590" s="685" t="s">
        <v>2029</v>
      </c>
      <c r="B590" s="686" t="s">
        <v>1200</v>
      </c>
      <c r="C590" s="985" t="s">
        <v>1891</v>
      </c>
      <c r="D590" s="985"/>
      <c r="E590" s="985"/>
      <c r="F590" s="687" t="s">
        <v>1846</v>
      </c>
      <c r="G590" s="688">
        <v>2</v>
      </c>
      <c r="H590" s="689">
        <v>1</v>
      </c>
      <c r="I590" s="689">
        <v>2</v>
      </c>
      <c r="J590" s="726">
        <v>245.1</v>
      </c>
      <c r="K590" s="690">
        <v>1.012</v>
      </c>
      <c r="L590" s="726">
        <v>496.08</v>
      </c>
      <c r="M590" s="727">
        <v>8.16</v>
      </c>
      <c r="N590" s="722">
        <v>4048.01</v>
      </c>
      <c r="AF590" s="684"/>
      <c r="AG590" s="693" t="s">
        <v>1891</v>
      </c>
      <c r="AM590" s="693"/>
      <c r="AP590" s="693"/>
      <c r="AR590" s="693"/>
    </row>
    <row r="591" spans="1:44" s="646" customFormat="1" ht="14.4" x14ac:dyDescent="0.3">
      <c r="A591" s="719"/>
      <c r="B591" s="720"/>
      <c r="C591" s="982" t="s">
        <v>1793</v>
      </c>
      <c r="D591" s="982"/>
      <c r="E591" s="982"/>
      <c r="F591" s="982"/>
      <c r="G591" s="982"/>
      <c r="H591" s="982"/>
      <c r="I591" s="982"/>
      <c r="J591" s="982"/>
      <c r="K591" s="982"/>
      <c r="L591" s="982"/>
      <c r="M591" s="982"/>
      <c r="N591" s="988"/>
      <c r="AF591" s="684"/>
      <c r="AG591" s="693"/>
      <c r="AM591" s="693"/>
      <c r="AN591" s="696" t="s">
        <v>1793</v>
      </c>
      <c r="AP591" s="693"/>
      <c r="AR591" s="693"/>
    </row>
    <row r="592" spans="1:44" s="646" customFormat="1" ht="14.4" x14ac:dyDescent="0.3">
      <c r="A592" s="694"/>
      <c r="B592" s="695"/>
      <c r="C592" s="982" t="s">
        <v>1892</v>
      </c>
      <c r="D592" s="982"/>
      <c r="E592" s="982"/>
      <c r="F592" s="982"/>
      <c r="G592" s="982"/>
      <c r="H592" s="982"/>
      <c r="I592" s="982"/>
      <c r="J592" s="982"/>
      <c r="K592" s="982"/>
      <c r="L592" s="982"/>
      <c r="M592" s="982"/>
      <c r="N592" s="988"/>
      <c r="AF592" s="684"/>
      <c r="AG592" s="693"/>
      <c r="AM592" s="693"/>
      <c r="AO592" s="696" t="s">
        <v>1892</v>
      </c>
      <c r="AP592" s="693"/>
      <c r="AR592" s="693"/>
    </row>
    <row r="593" spans="1:44" s="646" customFormat="1" ht="14.4" x14ac:dyDescent="0.3">
      <c r="A593" s="697"/>
      <c r="B593" s="698"/>
      <c r="C593" s="974" t="s">
        <v>1888</v>
      </c>
      <c r="D593" s="974"/>
      <c r="E593" s="974"/>
      <c r="F593" s="974"/>
      <c r="G593" s="974"/>
      <c r="H593" s="974"/>
      <c r="I593" s="974"/>
      <c r="J593" s="974"/>
      <c r="K593" s="974"/>
      <c r="L593" s="974"/>
      <c r="M593" s="974"/>
      <c r="N593" s="987"/>
      <c r="AF593" s="684"/>
      <c r="AG593" s="693"/>
      <c r="AI593" s="696" t="s">
        <v>1888</v>
      </c>
      <c r="AM593" s="693"/>
      <c r="AP593" s="693"/>
      <c r="AR593" s="693"/>
    </row>
    <row r="594" spans="1:44" s="646" customFormat="1" ht="14.4" x14ac:dyDescent="0.3">
      <c r="A594" s="719"/>
      <c r="B594" s="720"/>
      <c r="C594" s="985" t="s">
        <v>1776</v>
      </c>
      <c r="D594" s="985"/>
      <c r="E594" s="985"/>
      <c r="F594" s="687"/>
      <c r="G594" s="688"/>
      <c r="H594" s="688"/>
      <c r="I594" s="688"/>
      <c r="J594" s="691"/>
      <c r="K594" s="688"/>
      <c r="L594" s="726">
        <v>496.08</v>
      </c>
      <c r="M594" s="715"/>
      <c r="N594" s="722">
        <v>4048.01</v>
      </c>
      <c r="AF594" s="684"/>
      <c r="AG594" s="693"/>
      <c r="AM594" s="693" t="s">
        <v>1776</v>
      </c>
      <c r="AP594" s="693"/>
      <c r="AR594" s="693"/>
    </row>
    <row r="595" spans="1:44" s="646" customFormat="1" ht="31.8" x14ac:dyDescent="0.3">
      <c r="A595" s="685" t="s">
        <v>2030</v>
      </c>
      <c r="B595" s="686" t="s">
        <v>2031</v>
      </c>
      <c r="C595" s="985" t="s">
        <v>2032</v>
      </c>
      <c r="D595" s="985"/>
      <c r="E595" s="985"/>
      <c r="F595" s="687" t="s">
        <v>1853</v>
      </c>
      <c r="G595" s="688">
        <v>3</v>
      </c>
      <c r="H595" s="689">
        <v>1</v>
      </c>
      <c r="I595" s="689">
        <v>3</v>
      </c>
      <c r="J595" s="691"/>
      <c r="K595" s="688"/>
      <c r="L595" s="691"/>
      <c r="M595" s="688"/>
      <c r="N595" s="692"/>
      <c r="AF595" s="684"/>
      <c r="AG595" s="693" t="s">
        <v>2032</v>
      </c>
      <c r="AM595" s="693"/>
      <c r="AP595" s="693"/>
      <c r="AR595" s="693"/>
    </row>
    <row r="596" spans="1:44" s="646" customFormat="1" ht="14.4" x14ac:dyDescent="0.3">
      <c r="A596" s="694"/>
      <c r="B596" s="695"/>
      <c r="C596" s="982" t="s">
        <v>2033</v>
      </c>
      <c r="D596" s="982"/>
      <c r="E596" s="982"/>
      <c r="F596" s="982"/>
      <c r="G596" s="982"/>
      <c r="H596" s="982"/>
      <c r="I596" s="982"/>
      <c r="J596" s="982"/>
      <c r="K596" s="982"/>
      <c r="L596" s="982"/>
      <c r="M596" s="982"/>
      <c r="N596" s="988"/>
      <c r="AF596" s="684"/>
      <c r="AG596" s="693"/>
      <c r="AH596" s="696" t="s">
        <v>2033</v>
      </c>
      <c r="AM596" s="693"/>
      <c r="AP596" s="693"/>
      <c r="AR596" s="693"/>
    </row>
    <row r="597" spans="1:44" s="646" customFormat="1" ht="21.6" x14ac:dyDescent="0.3">
      <c r="A597" s="697"/>
      <c r="B597" s="698" t="s">
        <v>1759</v>
      </c>
      <c r="C597" s="974" t="s">
        <v>1760</v>
      </c>
      <c r="D597" s="974"/>
      <c r="E597" s="974"/>
      <c r="F597" s="974"/>
      <c r="G597" s="974"/>
      <c r="H597" s="974"/>
      <c r="I597" s="974"/>
      <c r="J597" s="974"/>
      <c r="K597" s="974"/>
      <c r="L597" s="974"/>
      <c r="M597" s="974"/>
      <c r="N597" s="987"/>
      <c r="AF597" s="684"/>
      <c r="AG597" s="693"/>
      <c r="AI597" s="696" t="s">
        <v>1760</v>
      </c>
      <c r="AM597" s="693"/>
      <c r="AP597" s="693"/>
      <c r="AR597" s="693"/>
    </row>
    <row r="598" spans="1:44" s="646" customFormat="1" ht="52.2" x14ac:dyDescent="0.3">
      <c r="A598" s="697"/>
      <c r="B598" s="698" t="s">
        <v>1761</v>
      </c>
      <c r="C598" s="974" t="s">
        <v>1762</v>
      </c>
      <c r="D598" s="974"/>
      <c r="E598" s="974"/>
      <c r="F598" s="974"/>
      <c r="G598" s="974"/>
      <c r="H598" s="974"/>
      <c r="I598" s="974"/>
      <c r="J598" s="974"/>
      <c r="K598" s="974"/>
      <c r="L598" s="974"/>
      <c r="M598" s="974"/>
      <c r="N598" s="987"/>
      <c r="AF598" s="684"/>
      <c r="AG598" s="693"/>
      <c r="AI598" s="696" t="s">
        <v>1762</v>
      </c>
      <c r="AM598" s="693"/>
      <c r="AP598" s="693"/>
      <c r="AR598" s="693"/>
    </row>
    <row r="599" spans="1:44" s="646" customFormat="1" ht="14.4" x14ac:dyDescent="0.3">
      <c r="A599" s="699"/>
      <c r="B599" s="698" t="s">
        <v>18</v>
      </c>
      <c r="C599" s="982" t="s">
        <v>1763</v>
      </c>
      <c r="D599" s="982"/>
      <c r="E599" s="982"/>
      <c r="F599" s="700"/>
      <c r="G599" s="701"/>
      <c r="H599" s="701"/>
      <c r="I599" s="701"/>
      <c r="J599" s="702">
        <v>869.64</v>
      </c>
      <c r="K599" s="725">
        <v>1.3225</v>
      </c>
      <c r="L599" s="706">
        <v>3450.3</v>
      </c>
      <c r="M599" s="704">
        <v>44.77</v>
      </c>
      <c r="N599" s="705">
        <v>154469.93</v>
      </c>
      <c r="AF599" s="684"/>
      <c r="AG599" s="693"/>
      <c r="AJ599" s="696" t="s">
        <v>1763</v>
      </c>
      <c r="AM599" s="693"/>
      <c r="AP599" s="693"/>
      <c r="AR599" s="693"/>
    </row>
    <row r="600" spans="1:44" s="646" customFormat="1" ht="14.4" x14ac:dyDescent="0.3">
      <c r="A600" s="699"/>
      <c r="B600" s="698" t="s">
        <v>21</v>
      </c>
      <c r="C600" s="982" t="s">
        <v>1764</v>
      </c>
      <c r="D600" s="982"/>
      <c r="E600" s="982"/>
      <c r="F600" s="700"/>
      <c r="G600" s="701"/>
      <c r="H600" s="701"/>
      <c r="I600" s="701"/>
      <c r="J600" s="706">
        <v>3837.66</v>
      </c>
      <c r="K600" s="725">
        <v>1.4375</v>
      </c>
      <c r="L600" s="706">
        <v>16549.91</v>
      </c>
      <c r="M600" s="704">
        <v>13.24</v>
      </c>
      <c r="N600" s="705">
        <v>219120.81</v>
      </c>
      <c r="AF600" s="684"/>
      <c r="AG600" s="693"/>
      <c r="AJ600" s="696" t="s">
        <v>1764</v>
      </c>
      <c r="AM600" s="693"/>
      <c r="AP600" s="693"/>
      <c r="AR600" s="693"/>
    </row>
    <row r="601" spans="1:44" s="646" customFormat="1" ht="14.4" x14ac:dyDescent="0.3">
      <c r="A601" s="699"/>
      <c r="B601" s="698" t="s">
        <v>23</v>
      </c>
      <c r="C601" s="982" t="s">
        <v>1765</v>
      </c>
      <c r="D601" s="982"/>
      <c r="E601" s="982"/>
      <c r="F601" s="700"/>
      <c r="G601" s="701"/>
      <c r="H601" s="701"/>
      <c r="I601" s="701"/>
      <c r="J601" s="702">
        <v>251.5</v>
      </c>
      <c r="K601" s="725">
        <v>1.4375</v>
      </c>
      <c r="L601" s="706">
        <v>1084.5899999999999</v>
      </c>
      <c r="M601" s="704">
        <v>44.77</v>
      </c>
      <c r="N601" s="705">
        <v>48557.09</v>
      </c>
      <c r="AF601" s="684"/>
      <c r="AG601" s="693"/>
      <c r="AJ601" s="696" t="s">
        <v>1765</v>
      </c>
      <c r="AM601" s="693"/>
      <c r="AP601" s="693"/>
      <c r="AR601" s="693"/>
    </row>
    <row r="602" spans="1:44" s="646" customFormat="1" ht="14.4" x14ac:dyDescent="0.3">
      <c r="A602" s="699"/>
      <c r="B602" s="698" t="s">
        <v>25</v>
      </c>
      <c r="C602" s="982" t="s">
        <v>1766</v>
      </c>
      <c r="D602" s="982"/>
      <c r="E602" s="982"/>
      <c r="F602" s="700"/>
      <c r="G602" s="701"/>
      <c r="H602" s="701"/>
      <c r="I602" s="701"/>
      <c r="J602" s="706">
        <v>26754.38</v>
      </c>
      <c r="K602" s="701"/>
      <c r="L602" s="706">
        <v>80263.14</v>
      </c>
      <c r="M602" s="704">
        <v>8.16</v>
      </c>
      <c r="N602" s="705">
        <v>654947.22</v>
      </c>
      <c r="AF602" s="684"/>
      <c r="AG602" s="693"/>
      <c r="AJ602" s="696" t="s">
        <v>1766</v>
      </c>
      <c r="AM602" s="693"/>
      <c r="AP602" s="693"/>
      <c r="AR602" s="693"/>
    </row>
    <row r="603" spans="1:44" s="646" customFormat="1" ht="14.4" x14ac:dyDescent="0.3">
      <c r="A603" s="708"/>
      <c r="B603" s="698"/>
      <c r="C603" s="982" t="s">
        <v>1767</v>
      </c>
      <c r="D603" s="982"/>
      <c r="E603" s="982"/>
      <c r="F603" s="700" t="s">
        <v>695</v>
      </c>
      <c r="G603" s="704">
        <v>93.61</v>
      </c>
      <c r="H603" s="725">
        <v>1.3225</v>
      </c>
      <c r="I603" s="723">
        <v>371.39767499999999</v>
      </c>
      <c r="J603" s="711"/>
      <c r="K603" s="701"/>
      <c r="L603" s="711"/>
      <c r="M603" s="701"/>
      <c r="N603" s="712"/>
      <c r="AF603" s="684"/>
      <c r="AG603" s="693"/>
      <c r="AK603" s="696" t="s">
        <v>1767</v>
      </c>
      <c r="AM603" s="693"/>
      <c r="AP603" s="693"/>
      <c r="AR603" s="693"/>
    </row>
    <row r="604" spans="1:44" s="646" customFormat="1" ht="14.4" x14ac:dyDescent="0.3">
      <c r="A604" s="708"/>
      <c r="B604" s="698"/>
      <c r="C604" s="982" t="s">
        <v>1768</v>
      </c>
      <c r="D604" s="982"/>
      <c r="E604" s="982"/>
      <c r="F604" s="700" t="s">
        <v>695</v>
      </c>
      <c r="G604" s="704">
        <v>19.09</v>
      </c>
      <c r="H604" s="725">
        <v>1.4375</v>
      </c>
      <c r="I604" s="723">
        <v>82.325625000000002</v>
      </c>
      <c r="J604" s="711"/>
      <c r="K604" s="701"/>
      <c r="L604" s="711"/>
      <c r="M604" s="701"/>
      <c r="N604" s="712"/>
      <c r="AF604" s="684"/>
      <c r="AG604" s="693"/>
      <c r="AK604" s="696" t="s">
        <v>1768</v>
      </c>
      <c r="AM604" s="693"/>
      <c r="AP604" s="693"/>
      <c r="AR604" s="693"/>
    </row>
    <row r="605" spans="1:44" s="646" customFormat="1" ht="14.4" x14ac:dyDescent="0.3">
      <c r="A605" s="699"/>
      <c r="B605" s="698"/>
      <c r="C605" s="986" t="s">
        <v>1769</v>
      </c>
      <c r="D605" s="986"/>
      <c r="E605" s="986"/>
      <c r="F605" s="714"/>
      <c r="G605" s="715"/>
      <c r="H605" s="715"/>
      <c r="I605" s="715"/>
      <c r="J605" s="716">
        <v>31461.68</v>
      </c>
      <c r="K605" s="715"/>
      <c r="L605" s="716">
        <v>100263.35</v>
      </c>
      <c r="M605" s="715"/>
      <c r="N605" s="717">
        <v>1028537.96</v>
      </c>
      <c r="AF605" s="684"/>
      <c r="AG605" s="693"/>
      <c r="AL605" s="696" t="s">
        <v>1769</v>
      </c>
      <c r="AM605" s="693"/>
      <c r="AP605" s="693"/>
      <c r="AR605" s="693"/>
    </row>
    <row r="606" spans="1:44" s="646" customFormat="1" ht="14.4" x14ac:dyDescent="0.3">
      <c r="A606" s="708"/>
      <c r="B606" s="698"/>
      <c r="C606" s="982" t="s">
        <v>1770</v>
      </c>
      <c r="D606" s="982"/>
      <c r="E606" s="982"/>
      <c r="F606" s="700"/>
      <c r="G606" s="701"/>
      <c r="H606" s="701"/>
      <c r="I606" s="701"/>
      <c r="J606" s="711"/>
      <c r="K606" s="701"/>
      <c r="L606" s="706">
        <v>4534.8900000000003</v>
      </c>
      <c r="M606" s="701"/>
      <c r="N606" s="705">
        <v>203027.02</v>
      </c>
      <c r="AF606" s="684"/>
      <c r="AG606" s="693"/>
      <c r="AK606" s="696" t="s">
        <v>1770</v>
      </c>
      <c r="AM606" s="693"/>
      <c r="AP606" s="693"/>
      <c r="AR606" s="693"/>
    </row>
    <row r="607" spans="1:44" s="646" customFormat="1" ht="20.399999999999999" x14ac:dyDescent="0.3">
      <c r="A607" s="708"/>
      <c r="B607" s="698" t="s">
        <v>1847</v>
      </c>
      <c r="C607" s="982" t="s">
        <v>1848</v>
      </c>
      <c r="D607" s="982"/>
      <c r="E607" s="982"/>
      <c r="F607" s="700" t="s">
        <v>1773</v>
      </c>
      <c r="G607" s="718">
        <v>109</v>
      </c>
      <c r="H607" s="701"/>
      <c r="I607" s="718">
        <v>109</v>
      </c>
      <c r="J607" s="711"/>
      <c r="K607" s="701"/>
      <c r="L607" s="706">
        <v>4943.03</v>
      </c>
      <c r="M607" s="701"/>
      <c r="N607" s="705">
        <v>221299.45</v>
      </c>
      <c r="AF607" s="684"/>
      <c r="AG607" s="693"/>
      <c r="AK607" s="696" t="s">
        <v>1848</v>
      </c>
      <c r="AM607" s="693"/>
      <c r="AP607" s="693"/>
      <c r="AR607" s="693"/>
    </row>
    <row r="608" spans="1:44" s="646" customFormat="1" ht="40.799999999999997" x14ac:dyDescent="0.3">
      <c r="A608" s="708"/>
      <c r="B608" s="698" t="s">
        <v>1849</v>
      </c>
      <c r="C608" s="982" t="s">
        <v>1850</v>
      </c>
      <c r="D608" s="982"/>
      <c r="E608" s="982"/>
      <c r="F608" s="700" t="s">
        <v>1773</v>
      </c>
      <c r="G608" s="718">
        <v>65</v>
      </c>
      <c r="H608" s="704">
        <v>0.85</v>
      </c>
      <c r="I608" s="704">
        <v>55.25</v>
      </c>
      <c r="J608" s="711"/>
      <c r="K608" s="701"/>
      <c r="L608" s="706">
        <v>2505.5300000000002</v>
      </c>
      <c r="M608" s="701"/>
      <c r="N608" s="705">
        <v>112172.43</v>
      </c>
      <c r="AF608" s="684"/>
      <c r="AG608" s="693"/>
      <c r="AK608" s="696" t="s">
        <v>1850</v>
      </c>
      <c r="AM608" s="693"/>
      <c r="AP608" s="693"/>
      <c r="AR608" s="693"/>
    </row>
    <row r="609" spans="1:44" s="646" customFormat="1" ht="14.4" x14ac:dyDescent="0.3">
      <c r="A609" s="719"/>
      <c r="B609" s="720"/>
      <c r="C609" s="985" t="s">
        <v>1776</v>
      </c>
      <c r="D609" s="985"/>
      <c r="E609" s="985"/>
      <c r="F609" s="687"/>
      <c r="G609" s="688"/>
      <c r="H609" s="688"/>
      <c r="I609" s="688"/>
      <c r="J609" s="691"/>
      <c r="K609" s="688"/>
      <c r="L609" s="721">
        <v>107711.91</v>
      </c>
      <c r="M609" s="715"/>
      <c r="N609" s="722">
        <v>1362009.84</v>
      </c>
      <c r="AF609" s="684"/>
      <c r="AG609" s="693"/>
      <c r="AM609" s="693" t="s">
        <v>1776</v>
      </c>
      <c r="AP609" s="693"/>
      <c r="AR609" s="693"/>
    </row>
    <row r="610" spans="1:44" s="646" customFormat="1" ht="42" x14ac:dyDescent="0.3">
      <c r="A610" s="685" t="s">
        <v>2034</v>
      </c>
      <c r="B610" s="686" t="s">
        <v>2035</v>
      </c>
      <c r="C610" s="985" t="s">
        <v>2036</v>
      </c>
      <c r="D610" s="985"/>
      <c r="E610" s="985"/>
      <c r="F610" s="687" t="s">
        <v>1853</v>
      </c>
      <c r="G610" s="688">
        <v>3</v>
      </c>
      <c r="H610" s="689">
        <v>1</v>
      </c>
      <c r="I610" s="689">
        <v>3</v>
      </c>
      <c r="J610" s="691"/>
      <c r="K610" s="688"/>
      <c r="L610" s="691"/>
      <c r="M610" s="688"/>
      <c r="N610" s="692"/>
      <c r="AF610" s="684"/>
      <c r="AG610" s="693" t="s">
        <v>2036</v>
      </c>
      <c r="AM610" s="693"/>
      <c r="AP610" s="693"/>
      <c r="AR610" s="693"/>
    </row>
    <row r="611" spans="1:44" s="646" customFormat="1" ht="14.4" x14ac:dyDescent="0.3">
      <c r="A611" s="694"/>
      <c r="B611" s="695"/>
      <c r="C611" s="982" t="s">
        <v>2033</v>
      </c>
      <c r="D611" s="982"/>
      <c r="E611" s="982"/>
      <c r="F611" s="982"/>
      <c r="G611" s="982"/>
      <c r="H611" s="982"/>
      <c r="I611" s="982"/>
      <c r="J611" s="982"/>
      <c r="K611" s="982"/>
      <c r="L611" s="982"/>
      <c r="M611" s="982"/>
      <c r="N611" s="988"/>
      <c r="AF611" s="684"/>
      <c r="AG611" s="693"/>
      <c r="AH611" s="696" t="s">
        <v>2033</v>
      </c>
      <c r="AM611" s="693"/>
      <c r="AP611" s="693"/>
      <c r="AR611" s="693"/>
    </row>
    <row r="612" spans="1:44" s="646" customFormat="1" ht="21.6" x14ac:dyDescent="0.3">
      <c r="A612" s="697"/>
      <c r="B612" s="698" t="s">
        <v>1759</v>
      </c>
      <c r="C612" s="974" t="s">
        <v>1760</v>
      </c>
      <c r="D612" s="974"/>
      <c r="E612" s="974"/>
      <c r="F612" s="974"/>
      <c r="G612" s="974"/>
      <c r="H612" s="974"/>
      <c r="I612" s="974"/>
      <c r="J612" s="974"/>
      <c r="K612" s="974"/>
      <c r="L612" s="974"/>
      <c r="M612" s="974"/>
      <c r="N612" s="987"/>
      <c r="AF612" s="684"/>
      <c r="AG612" s="693"/>
      <c r="AI612" s="696" t="s">
        <v>1760</v>
      </c>
      <c r="AM612" s="693"/>
      <c r="AP612" s="693"/>
      <c r="AR612" s="693"/>
    </row>
    <row r="613" spans="1:44" s="646" customFormat="1" ht="52.2" x14ac:dyDescent="0.3">
      <c r="A613" s="697"/>
      <c r="B613" s="698" t="s">
        <v>1761</v>
      </c>
      <c r="C613" s="974" t="s">
        <v>1762</v>
      </c>
      <c r="D613" s="974"/>
      <c r="E613" s="974"/>
      <c r="F613" s="974"/>
      <c r="G613" s="974"/>
      <c r="H613" s="974"/>
      <c r="I613" s="974"/>
      <c r="J613" s="974"/>
      <c r="K613" s="974"/>
      <c r="L613" s="974"/>
      <c r="M613" s="974"/>
      <c r="N613" s="987"/>
      <c r="AF613" s="684"/>
      <c r="AG613" s="693"/>
      <c r="AI613" s="696" t="s">
        <v>1762</v>
      </c>
      <c r="AM613" s="693"/>
      <c r="AP613" s="693"/>
      <c r="AR613" s="693"/>
    </row>
    <row r="614" spans="1:44" s="646" customFormat="1" ht="14.4" x14ac:dyDescent="0.3">
      <c r="A614" s="699"/>
      <c r="B614" s="698" t="s">
        <v>18</v>
      </c>
      <c r="C614" s="982" t="s">
        <v>1763</v>
      </c>
      <c r="D614" s="982"/>
      <c r="E614" s="982"/>
      <c r="F614" s="700"/>
      <c r="G614" s="701"/>
      <c r="H614" s="701"/>
      <c r="I614" s="701"/>
      <c r="J614" s="702">
        <v>410.71</v>
      </c>
      <c r="K614" s="725">
        <v>1.3225</v>
      </c>
      <c r="L614" s="706">
        <v>1629.49</v>
      </c>
      <c r="M614" s="704">
        <v>44.77</v>
      </c>
      <c r="N614" s="705">
        <v>72952.27</v>
      </c>
      <c r="AF614" s="684"/>
      <c r="AG614" s="693"/>
      <c r="AJ614" s="696" t="s">
        <v>1763</v>
      </c>
      <c r="AM614" s="693"/>
      <c r="AP614" s="693"/>
      <c r="AR614" s="693"/>
    </row>
    <row r="615" spans="1:44" s="646" customFormat="1" ht="14.4" x14ac:dyDescent="0.3">
      <c r="A615" s="699"/>
      <c r="B615" s="698" t="s">
        <v>21</v>
      </c>
      <c r="C615" s="982" t="s">
        <v>1764</v>
      </c>
      <c r="D615" s="982"/>
      <c r="E615" s="982"/>
      <c r="F615" s="700"/>
      <c r="G615" s="701"/>
      <c r="H615" s="701"/>
      <c r="I615" s="701"/>
      <c r="J615" s="706">
        <v>8850.07</v>
      </c>
      <c r="K615" s="725">
        <v>1.4375</v>
      </c>
      <c r="L615" s="706">
        <v>38165.93</v>
      </c>
      <c r="M615" s="704">
        <v>13.24</v>
      </c>
      <c r="N615" s="705">
        <v>505316.91</v>
      </c>
      <c r="AF615" s="684"/>
      <c r="AG615" s="693"/>
      <c r="AJ615" s="696" t="s">
        <v>1764</v>
      </c>
      <c r="AM615" s="693"/>
      <c r="AP615" s="693"/>
      <c r="AR615" s="693"/>
    </row>
    <row r="616" spans="1:44" s="646" customFormat="1" ht="14.4" x14ac:dyDescent="0.3">
      <c r="A616" s="699"/>
      <c r="B616" s="698" t="s">
        <v>23</v>
      </c>
      <c r="C616" s="982" t="s">
        <v>1765</v>
      </c>
      <c r="D616" s="982"/>
      <c r="E616" s="982"/>
      <c r="F616" s="700"/>
      <c r="G616" s="701"/>
      <c r="H616" s="701"/>
      <c r="I616" s="701"/>
      <c r="J616" s="702">
        <v>346.21</v>
      </c>
      <c r="K616" s="725">
        <v>1.4375</v>
      </c>
      <c r="L616" s="706">
        <v>1493.03</v>
      </c>
      <c r="M616" s="704">
        <v>44.77</v>
      </c>
      <c r="N616" s="705">
        <v>66842.95</v>
      </c>
      <c r="AF616" s="684"/>
      <c r="AG616" s="693"/>
      <c r="AJ616" s="696" t="s">
        <v>1765</v>
      </c>
      <c r="AM616" s="693"/>
      <c r="AP616" s="693"/>
      <c r="AR616" s="693"/>
    </row>
    <row r="617" spans="1:44" s="646" customFormat="1" ht="14.4" x14ac:dyDescent="0.3">
      <c r="A617" s="708"/>
      <c r="B617" s="698"/>
      <c r="C617" s="982" t="s">
        <v>1767</v>
      </c>
      <c r="D617" s="982"/>
      <c r="E617" s="982"/>
      <c r="F617" s="700" t="s">
        <v>695</v>
      </c>
      <c r="G617" s="704">
        <v>44.21</v>
      </c>
      <c r="H617" s="725">
        <v>1.3225</v>
      </c>
      <c r="I617" s="723">
        <v>175.403175</v>
      </c>
      <c r="J617" s="711"/>
      <c r="K617" s="701"/>
      <c r="L617" s="711"/>
      <c r="M617" s="701"/>
      <c r="N617" s="712"/>
      <c r="AF617" s="684"/>
      <c r="AG617" s="693"/>
      <c r="AK617" s="696" t="s">
        <v>1767</v>
      </c>
      <c r="AM617" s="693"/>
      <c r="AP617" s="693"/>
      <c r="AR617" s="693"/>
    </row>
    <row r="618" spans="1:44" s="646" customFormat="1" ht="14.4" x14ac:dyDescent="0.3">
      <c r="A618" s="708"/>
      <c r="B618" s="698"/>
      <c r="C618" s="982" t="s">
        <v>1768</v>
      </c>
      <c r="D618" s="982"/>
      <c r="E618" s="982"/>
      <c r="F618" s="700" t="s">
        <v>695</v>
      </c>
      <c r="G618" s="704">
        <v>27.13</v>
      </c>
      <c r="H618" s="725">
        <v>1.4375</v>
      </c>
      <c r="I618" s="723">
        <v>116.998125</v>
      </c>
      <c r="J618" s="711"/>
      <c r="K618" s="701"/>
      <c r="L618" s="711"/>
      <c r="M618" s="701"/>
      <c r="N618" s="712"/>
      <c r="AF618" s="684"/>
      <c r="AG618" s="693"/>
      <c r="AK618" s="696" t="s">
        <v>1768</v>
      </c>
      <c r="AM618" s="693"/>
      <c r="AP618" s="693"/>
      <c r="AR618" s="693"/>
    </row>
    <row r="619" spans="1:44" s="646" customFormat="1" ht="14.4" x14ac:dyDescent="0.3">
      <c r="A619" s="699"/>
      <c r="B619" s="698"/>
      <c r="C619" s="986" t="s">
        <v>1769</v>
      </c>
      <c r="D619" s="986"/>
      <c r="E619" s="986"/>
      <c r="F619" s="714"/>
      <c r="G619" s="715"/>
      <c r="H619" s="715"/>
      <c r="I619" s="715"/>
      <c r="J619" s="716">
        <v>9260.7800000000007</v>
      </c>
      <c r="K619" s="715"/>
      <c r="L619" s="716">
        <v>39795.42</v>
      </c>
      <c r="M619" s="715"/>
      <c r="N619" s="717">
        <v>578269.18000000005</v>
      </c>
      <c r="AF619" s="684"/>
      <c r="AG619" s="693"/>
      <c r="AL619" s="696" t="s">
        <v>1769</v>
      </c>
      <c r="AM619" s="693"/>
      <c r="AP619" s="693"/>
      <c r="AR619" s="693"/>
    </row>
    <row r="620" spans="1:44" s="646" customFormat="1" ht="14.4" x14ac:dyDescent="0.3">
      <c r="A620" s="708"/>
      <c r="B620" s="698"/>
      <c r="C620" s="982" t="s">
        <v>1770</v>
      </c>
      <c r="D620" s="982"/>
      <c r="E620" s="982"/>
      <c r="F620" s="700"/>
      <c r="G620" s="701"/>
      <c r="H620" s="701"/>
      <c r="I620" s="701"/>
      <c r="J620" s="711"/>
      <c r="K620" s="701"/>
      <c r="L620" s="706">
        <v>3122.52</v>
      </c>
      <c r="M620" s="701"/>
      <c r="N620" s="705">
        <v>139795.22</v>
      </c>
      <c r="AF620" s="684"/>
      <c r="AG620" s="693"/>
      <c r="AK620" s="696" t="s">
        <v>1770</v>
      </c>
      <c r="AM620" s="693"/>
      <c r="AP620" s="693"/>
      <c r="AR620" s="693"/>
    </row>
    <row r="621" spans="1:44" s="646" customFormat="1" ht="20.399999999999999" x14ac:dyDescent="0.3">
      <c r="A621" s="708"/>
      <c r="B621" s="698" t="s">
        <v>1847</v>
      </c>
      <c r="C621" s="982" t="s">
        <v>1848</v>
      </c>
      <c r="D621" s="982"/>
      <c r="E621" s="982"/>
      <c r="F621" s="700" t="s">
        <v>1773</v>
      </c>
      <c r="G621" s="718">
        <v>109</v>
      </c>
      <c r="H621" s="701"/>
      <c r="I621" s="718">
        <v>109</v>
      </c>
      <c r="J621" s="711"/>
      <c r="K621" s="701"/>
      <c r="L621" s="706">
        <v>3403.55</v>
      </c>
      <c r="M621" s="701"/>
      <c r="N621" s="705">
        <v>152376.79</v>
      </c>
      <c r="AF621" s="684"/>
      <c r="AG621" s="693"/>
      <c r="AK621" s="696" t="s">
        <v>1848</v>
      </c>
      <c r="AM621" s="693"/>
      <c r="AP621" s="693"/>
      <c r="AR621" s="693"/>
    </row>
    <row r="622" spans="1:44" s="646" customFormat="1" ht="40.799999999999997" x14ac:dyDescent="0.3">
      <c r="A622" s="708"/>
      <c r="B622" s="698" t="s">
        <v>1849</v>
      </c>
      <c r="C622" s="982" t="s">
        <v>1850</v>
      </c>
      <c r="D622" s="982"/>
      <c r="E622" s="982"/>
      <c r="F622" s="700" t="s">
        <v>1773</v>
      </c>
      <c r="G622" s="718">
        <v>65</v>
      </c>
      <c r="H622" s="704">
        <v>0.85</v>
      </c>
      <c r="I622" s="704">
        <v>55.25</v>
      </c>
      <c r="J622" s="711"/>
      <c r="K622" s="701"/>
      <c r="L622" s="706">
        <v>1725.19</v>
      </c>
      <c r="M622" s="701"/>
      <c r="N622" s="705">
        <v>77236.86</v>
      </c>
      <c r="AF622" s="684"/>
      <c r="AG622" s="693"/>
      <c r="AK622" s="696" t="s">
        <v>1850</v>
      </c>
      <c r="AM622" s="693"/>
      <c r="AP622" s="693"/>
      <c r="AR622" s="693"/>
    </row>
    <row r="623" spans="1:44" s="646" customFormat="1" ht="14.4" x14ac:dyDescent="0.3">
      <c r="A623" s="719"/>
      <c r="B623" s="720"/>
      <c r="C623" s="985" t="s">
        <v>1776</v>
      </c>
      <c r="D623" s="985"/>
      <c r="E623" s="985"/>
      <c r="F623" s="687"/>
      <c r="G623" s="688"/>
      <c r="H623" s="688"/>
      <c r="I623" s="688"/>
      <c r="J623" s="691"/>
      <c r="K623" s="688"/>
      <c r="L623" s="721">
        <v>44924.160000000003</v>
      </c>
      <c r="M623" s="715"/>
      <c r="N623" s="722">
        <v>807882.83</v>
      </c>
      <c r="AF623" s="684"/>
      <c r="AG623" s="693"/>
      <c r="AM623" s="693" t="s">
        <v>1776</v>
      </c>
      <c r="AP623" s="693"/>
      <c r="AR623" s="693"/>
    </row>
    <row r="624" spans="1:44" s="646" customFormat="1" ht="21.6" x14ac:dyDescent="0.3">
      <c r="A624" s="685" t="s">
        <v>2037</v>
      </c>
      <c r="B624" s="686" t="s">
        <v>2026</v>
      </c>
      <c r="C624" s="985" t="s">
        <v>2038</v>
      </c>
      <c r="D624" s="985"/>
      <c r="E624" s="985"/>
      <c r="F624" s="687" t="s">
        <v>1853</v>
      </c>
      <c r="G624" s="688">
        <v>2</v>
      </c>
      <c r="H624" s="689">
        <v>1</v>
      </c>
      <c r="I624" s="689">
        <v>2</v>
      </c>
      <c r="J624" s="721">
        <v>402573.53</v>
      </c>
      <c r="K624" s="690">
        <v>1.012</v>
      </c>
      <c r="L624" s="721">
        <v>814808.82</v>
      </c>
      <c r="M624" s="727">
        <v>8.16</v>
      </c>
      <c r="N624" s="722">
        <v>6648839.9699999997</v>
      </c>
      <c r="AF624" s="684"/>
      <c r="AG624" s="693" t="s">
        <v>2038</v>
      </c>
      <c r="AM624" s="693"/>
      <c r="AP624" s="693"/>
      <c r="AR624" s="693"/>
    </row>
    <row r="625" spans="1:44" s="646" customFormat="1" ht="14.4" x14ac:dyDescent="0.3">
      <c r="A625" s="719"/>
      <c r="B625" s="720"/>
      <c r="C625" s="982" t="s">
        <v>1793</v>
      </c>
      <c r="D625" s="982"/>
      <c r="E625" s="982"/>
      <c r="F625" s="982"/>
      <c r="G625" s="982"/>
      <c r="H625" s="982"/>
      <c r="I625" s="982"/>
      <c r="J625" s="982"/>
      <c r="K625" s="982"/>
      <c r="L625" s="982"/>
      <c r="M625" s="982"/>
      <c r="N625" s="988"/>
      <c r="AF625" s="684"/>
      <c r="AG625" s="693"/>
      <c r="AM625" s="693"/>
      <c r="AN625" s="696" t="s">
        <v>1793</v>
      </c>
      <c r="AP625" s="693"/>
      <c r="AR625" s="693"/>
    </row>
    <row r="626" spans="1:44" s="646" customFormat="1" ht="14.4" x14ac:dyDescent="0.3">
      <c r="A626" s="694"/>
      <c r="B626" s="695"/>
      <c r="C626" s="982" t="s">
        <v>2039</v>
      </c>
      <c r="D626" s="982"/>
      <c r="E626" s="982"/>
      <c r="F626" s="982"/>
      <c r="G626" s="982"/>
      <c r="H626" s="982"/>
      <c r="I626" s="982"/>
      <c r="J626" s="982"/>
      <c r="K626" s="982"/>
      <c r="L626" s="982"/>
      <c r="M626" s="982"/>
      <c r="N626" s="988"/>
      <c r="AF626" s="684"/>
      <c r="AG626" s="693"/>
      <c r="AM626" s="693"/>
      <c r="AO626" s="696" t="s">
        <v>2039</v>
      </c>
      <c r="AP626" s="693"/>
      <c r="AR626" s="693"/>
    </row>
    <row r="627" spans="1:44" s="646" customFormat="1" ht="14.4" x14ac:dyDescent="0.3">
      <c r="A627" s="697"/>
      <c r="B627" s="698"/>
      <c r="C627" s="974" t="s">
        <v>1888</v>
      </c>
      <c r="D627" s="974"/>
      <c r="E627" s="974"/>
      <c r="F627" s="974"/>
      <c r="G627" s="974"/>
      <c r="H627" s="974"/>
      <c r="I627" s="974"/>
      <c r="J627" s="974"/>
      <c r="K627" s="974"/>
      <c r="L627" s="974"/>
      <c r="M627" s="974"/>
      <c r="N627" s="987"/>
      <c r="AF627" s="684"/>
      <c r="AG627" s="693"/>
      <c r="AI627" s="696" t="s">
        <v>1888</v>
      </c>
      <c r="AM627" s="693"/>
      <c r="AP627" s="693"/>
      <c r="AR627" s="693"/>
    </row>
    <row r="628" spans="1:44" s="646" customFormat="1" ht="14.4" x14ac:dyDescent="0.3">
      <c r="A628" s="719"/>
      <c r="B628" s="720"/>
      <c r="C628" s="985" t="s">
        <v>1776</v>
      </c>
      <c r="D628" s="985"/>
      <c r="E628" s="985"/>
      <c r="F628" s="687"/>
      <c r="G628" s="688"/>
      <c r="H628" s="688"/>
      <c r="I628" s="688"/>
      <c r="J628" s="691"/>
      <c r="K628" s="688"/>
      <c r="L628" s="721">
        <v>814808.82</v>
      </c>
      <c r="M628" s="715"/>
      <c r="N628" s="722">
        <v>6648839.9699999997</v>
      </c>
      <c r="AF628" s="684"/>
      <c r="AG628" s="693"/>
      <c r="AM628" s="693" t="s">
        <v>1776</v>
      </c>
      <c r="AP628" s="693"/>
      <c r="AR628" s="693"/>
    </row>
    <row r="629" spans="1:44" s="646" customFormat="1" ht="21.6" x14ac:dyDescent="0.3">
      <c r="A629" s="685" t="s">
        <v>2040</v>
      </c>
      <c r="B629" s="686" t="s">
        <v>2026</v>
      </c>
      <c r="C629" s="985" t="s">
        <v>2041</v>
      </c>
      <c r="D629" s="985"/>
      <c r="E629" s="985"/>
      <c r="F629" s="687" t="s">
        <v>1853</v>
      </c>
      <c r="G629" s="688">
        <v>1</v>
      </c>
      <c r="H629" s="689">
        <v>1</v>
      </c>
      <c r="I629" s="689">
        <v>1</v>
      </c>
      <c r="J629" s="721">
        <v>402573.53</v>
      </c>
      <c r="K629" s="690">
        <v>1.012</v>
      </c>
      <c r="L629" s="721">
        <v>407404.41</v>
      </c>
      <c r="M629" s="727">
        <v>8.16</v>
      </c>
      <c r="N629" s="722">
        <v>3324419.99</v>
      </c>
      <c r="AF629" s="684"/>
      <c r="AG629" s="693" t="s">
        <v>2041</v>
      </c>
      <c r="AM629" s="693"/>
      <c r="AP629" s="693"/>
      <c r="AR629" s="693"/>
    </row>
    <row r="630" spans="1:44" s="646" customFormat="1" ht="14.4" x14ac:dyDescent="0.3">
      <c r="A630" s="719"/>
      <c r="B630" s="720"/>
      <c r="C630" s="982" t="s">
        <v>1793</v>
      </c>
      <c r="D630" s="982"/>
      <c r="E630" s="982"/>
      <c r="F630" s="982"/>
      <c r="G630" s="982"/>
      <c r="H630" s="982"/>
      <c r="I630" s="982"/>
      <c r="J630" s="982"/>
      <c r="K630" s="982"/>
      <c r="L630" s="982"/>
      <c r="M630" s="982"/>
      <c r="N630" s="988"/>
      <c r="AF630" s="684"/>
      <c r="AG630" s="693"/>
      <c r="AM630" s="693"/>
      <c r="AN630" s="696" t="s">
        <v>1793</v>
      </c>
      <c r="AP630" s="693"/>
      <c r="AR630" s="693"/>
    </row>
    <row r="631" spans="1:44" s="646" customFormat="1" ht="14.4" x14ac:dyDescent="0.3">
      <c r="A631" s="694"/>
      <c r="B631" s="695"/>
      <c r="C631" s="982" t="s">
        <v>2039</v>
      </c>
      <c r="D631" s="982"/>
      <c r="E631" s="982"/>
      <c r="F631" s="982"/>
      <c r="G631" s="982"/>
      <c r="H631" s="982"/>
      <c r="I631" s="982"/>
      <c r="J631" s="982"/>
      <c r="K631" s="982"/>
      <c r="L631" s="982"/>
      <c r="M631" s="982"/>
      <c r="N631" s="988"/>
      <c r="AF631" s="684"/>
      <c r="AG631" s="693"/>
      <c r="AM631" s="693"/>
      <c r="AO631" s="696" t="s">
        <v>2039</v>
      </c>
      <c r="AP631" s="693"/>
      <c r="AR631" s="693"/>
    </row>
    <row r="632" spans="1:44" s="646" customFormat="1" ht="14.4" x14ac:dyDescent="0.3">
      <c r="A632" s="697"/>
      <c r="B632" s="698"/>
      <c r="C632" s="974" t="s">
        <v>1888</v>
      </c>
      <c r="D632" s="974"/>
      <c r="E632" s="974"/>
      <c r="F632" s="974"/>
      <c r="G632" s="974"/>
      <c r="H632" s="974"/>
      <c r="I632" s="974"/>
      <c r="J632" s="974"/>
      <c r="K632" s="974"/>
      <c r="L632" s="974"/>
      <c r="M632" s="974"/>
      <c r="N632" s="987"/>
      <c r="AF632" s="684"/>
      <c r="AG632" s="693"/>
      <c r="AI632" s="696" t="s">
        <v>1888</v>
      </c>
      <c r="AM632" s="693"/>
      <c r="AP632" s="693"/>
      <c r="AR632" s="693"/>
    </row>
    <row r="633" spans="1:44" s="646" customFormat="1" ht="14.4" x14ac:dyDescent="0.3">
      <c r="A633" s="719"/>
      <c r="B633" s="720"/>
      <c r="C633" s="985" t="s">
        <v>1776</v>
      </c>
      <c r="D633" s="985"/>
      <c r="E633" s="985"/>
      <c r="F633" s="687"/>
      <c r="G633" s="688"/>
      <c r="H633" s="688"/>
      <c r="I633" s="688"/>
      <c r="J633" s="691"/>
      <c r="K633" s="688"/>
      <c r="L633" s="721">
        <v>407404.41</v>
      </c>
      <c r="M633" s="715"/>
      <c r="N633" s="722">
        <v>3324419.99</v>
      </c>
      <c r="AF633" s="684"/>
      <c r="AG633" s="693"/>
      <c r="AM633" s="693" t="s">
        <v>1776</v>
      </c>
      <c r="AP633" s="693"/>
      <c r="AR633" s="693"/>
    </row>
    <row r="634" spans="1:44" s="646" customFormat="1" ht="20.399999999999999" x14ac:dyDescent="0.3">
      <c r="A634" s="685" t="s">
        <v>2042</v>
      </c>
      <c r="B634" s="686" t="s">
        <v>2026</v>
      </c>
      <c r="C634" s="985" t="s">
        <v>2043</v>
      </c>
      <c r="D634" s="985"/>
      <c r="E634" s="985"/>
      <c r="F634" s="687" t="s">
        <v>1853</v>
      </c>
      <c r="G634" s="688">
        <v>3</v>
      </c>
      <c r="H634" s="689">
        <v>1</v>
      </c>
      <c r="I634" s="689">
        <v>3</v>
      </c>
      <c r="J634" s="721">
        <v>64848.86</v>
      </c>
      <c r="K634" s="690">
        <v>1.012</v>
      </c>
      <c r="L634" s="721">
        <v>196881.14</v>
      </c>
      <c r="M634" s="727">
        <v>8.16</v>
      </c>
      <c r="N634" s="722">
        <v>1606550.1</v>
      </c>
      <c r="AF634" s="684"/>
      <c r="AG634" s="693" t="s">
        <v>2043</v>
      </c>
      <c r="AM634" s="693"/>
      <c r="AP634" s="693"/>
      <c r="AR634" s="693"/>
    </row>
    <row r="635" spans="1:44" s="646" customFormat="1" ht="14.4" x14ac:dyDescent="0.3">
      <c r="A635" s="719"/>
      <c r="B635" s="720"/>
      <c r="C635" s="982" t="s">
        <v>1793</v>
      </c>
      <c r="D635" s="982"/>
      <c r="E635" s="982"/>
      <c r="F635" s="982"/>
      <c r="G635" s="982"/>
      <c r="H635" s="982"/>
      <c r="I635" s="982"/>
      <c r="J635" s="982"/>
      <c r="K635" s="982"/>
      <c r="L635" s="982"/>
      <c r="M635" s="982"/>
      <c r="N635" s="988"/>
      <c r="AF635" s="684"/>
      <c r="AG635" s="693"/>
      <c r="AM635" s="693"/>
      <c r="AN635" s="696" t="s">
        <v>1793</v>
      </c>
      <c r="AP635" s="693"/>
      <c r="AR635" s="693"/>
    </row>
    <row r="636" spans="1:44" s="646" customFormat="1" ht="14.4" x14ac:dyDescent="0.3">
      <c r="A636" s="694"/>
      <c r="B636" s="695"/>
      <c r="C636" s="982" t="s">
        <v>2033</v>
      </c>
      <c r="D636" s="982"/>
      <c r="E636" s="982"/>
      <c r="F636" s="982"/>
      <c r="G636" s="982"/>
      <c r="H636" s="982"/>
      <c r="I636" s="982"/>
      <c r="J636" s="982"/>
      <c r="K636" s="982"/>
      <c r="L636" s="982"/>
      <c r="M636" s="982"/>
      <c r="N636" s="988"/>
      <c r="AF636" s="684"/>
      <c r="AG636" s="693"/>
      <c r="AH636" s="696" t="s">
        <v>2033</v>
      </c>
      <c r="AM636" s="693"/>
      <c r="AP636" s="693"/>
      <c r="AR636" s="693"/>
    </row>
    <row r="637" spans="1:44" s="646" customFormat="1" ht="14.4" x14ac:dyDescent="0.3">
      <c r="A637" s="694"/>
      <c r="B637" s="695"/>
      <c r="C637" s="982" t="s">
        <v>2044</v>
      </c>
      <c r="D637" s="982"/>
      <c r="E637" s="982"/>
      <c r="F637" s="982"/>
      <c r="G637" s="982"/>
      <c r="H637" s="982"/>
      <c r="I637" s="982"/>
      <c r="J637" s="982"/>
      <c r="K637" s="982"/>
      <c r="L637" s="982"/>
      <c r="M637" s="982"/>
      <c r="N637" s="988"/>
      <c r="AF637" s="684"/>
      <c r="AG637" s="693"/>
      <c r="AM637" s="693"/>
      <c r="AO637" s="696" t="s">
        <v>2044</v>
      </c>
      <c r="AP637" s="693"/>
      <c r="AR637" s="693"/>
    </row>
    <row r="638" spans="1:44" s="646" customFormat="1" ht="14.4" x14ac:dyDescent="0.3">
      <c r="A638" s="697"/>
      <c r="B638" s="698"/>
      <c r="C638" s="974" t="s">
        <v>1888</v>
      </c>
      <c r="D638" s="974"/>
      <c r="E638" s="974"/>
      <c r="F638" s="974"/>
      <c r="G638" s="974"/>
      <c r="H638" s="974"/>
      <c r="I638" s="974"/>
      <c r="J638" s="974"/>
      <c r="K638" s="974"/>
      <c r="L638" s="974"/>
      <c r="M638" s="974"/>
      <c r="N638" s="987"/>
      <c r="AF638" s="684"/>
      <c r="AG638" s="693"/>
      <c r="AI638" s="696" t="s">
        <v>1888</v>
      </c>
      <c r="AM638" s="693"/>
      <c r="AP638" s="693"/>
      <c r="AR638" s="693"/>
    </row>
    <row r="639" spans="1:44" s="646" customFormat="1" ht="14.4" x14ac:dyDescent="0.3">
      <c r="A639" s="719"/>
      <c r="B639" s="720"/>
      <c r="C639" s="985" t="s">
        <v>1776</v>
      </c>
      <c r="D639" s="985"/>
      <c r="E639" s="985"/>
      <c r="F639" s="687"/>
      <c r="G639" s="688"/>
      <c r="H639" s="688"/>
      <c r="I639" s="688"/>
      <c r="J639" s="691"/>
      <c r="K639" s="688"/>
      <c r="L639" s="721">
        <v>196881.14</v>
      </c>
      <c r="M639" s="715"/>
      <c r="N639" s="722">
        <v>1606550.1</v>
      </c>
      <c r="AF639" s="684"/>
      <c r="AG639" s="693"/>
      <c r="AM639" s="693" t="s">
        <v>1776</v>
      </c>
      <c r="AP639" s="693"/>
      <c r="AR639" s="693"/>
    </row>
    <row r="640" spans="1:44" s="646" customFormat="1" ht="42" x14ac:dyDescent="0.3">
      <c r="A640" s="685" t="s">
        <v>2045</v>
      </c>
      <c r="B640" s="686" t="s">
        <v>2046</v>
      </c>
      <c r="C640" s="985" t="s">
        <v>2047</v>
      </c>
      <c r="D640" s="985"/>
      <c r="E640" s="985"/>
      <c r="F640" s="687" t="s">
        <v>1853</v>
      </c>
      <c r="G640" s="688">
        <v>3</v>
      </c>
      <c r="H640" s="689">
        <v>1</v>
      </c>
      <c r="I640" s="689">
        <v>3</v>
      </c>
      <c r="J640" s="691"/>
      <c r="K640" s="688"/>
      <c r="L640" s="691"/>
      <c r="M640" s="688"/>
      <c r="N640" s="692"/>
      <c r="AF640" s="684"/>
      <c r="AG640" s="693" t="s">
        <v>2047</v>
      </c>
      <c r="AM640" s="693"/>
      <c r="AP640" s="693"/>
      <c r="AR640" s="693"/>
    </row>
    <row r="641" spans="1:44" s="646" customFormat="1" ht="14.4" x14ac:dyDescent="0.3">
      <c r="A641" s="694"/>
      <c r="B641" s="695"/>
      <c r="C641" s="982" t="s">
        <v>2048</v>
      </c>
      <c r="D641" s="982"/>
      <c r="E641" s="982"/>
      <c r="F641" s="982"/>
      <c r="G641" s="982"/>
      <c r="H641" s="982"/>
      <c r="I641" s="982"/>
      <c r="J641" s="982"/>
      <c r="K641" s="982"/>
      <c r="L641" s="982"/>
      <c r="M641" s="982"/>
      <c r="N641" s="988"/>
      <c r="AF641" s="684"/>
      <c r="AG641" s="693"/>
      <c r="AH641" s="696" t="s">
        <v>2048</v>
      </c>
      <c r="AM641" s="693"/>
      <c r="AP641" s="693"/>
      <c r="AR641" s="693"/>
    </row>
    <row r="642" spans="1:44" s="646" customFormat="1" ht="21.6" x14ac:dyDescent="0.3">
      <c r="A642" s="697"/>
      <c r="B642" s="698" t="s">
        <v>1759</v>
      </c>
      <c r="C642" s="974" t="s">
        <v>1760</v>
      </c>
      <c r="D642" s="974"/>
      <c r="E642" s="974"/>
      <c r="F642" s="974"/>
      <c r="G642" s="974"/>
      <c r="H642" s="974"/>
      <c r="I642" s="974"/>
      <c r="J642" s="974"/>
      <c r="K642" s="974"/>
      <c r="L642" s="974"/>
      <c r="M642" s="974"/>
      <c r="N642" s="987"/>
      <c r="AF642" s="684"/>
      <c r="AG642" s="693"/>
      <c r="AI642" s="696" t="s">
        <v>1760</v>
      </c>
      <c r="AM642" s="693"/>
      <c r="AP642" s="693"/>
      <c r="AR642" s="693"/>
    </row>
    <row r="643" spans="1:44" s="646" customFormat="1" ht="52.2" x14ac:dyDescent="0.3">
      <c r="A643" s="697"/>
      <c r="B643" s="698" t="s">
        <v>1761</v>
      </c>
      <c r="C643" s="974" t="s">
        <v>1762</v>
      </c>
      <c r="D643" s="974"/>
      <c r="E643" s="974"/>
      <c r="F643" s="974"/>
      <c r="G643" s="974"/>
      <c r="H643" s="974"/>
      <c r="I643" s="974"/>
      <c r="J643" s="974"/>
      <c r="K643" s="974"/>
      <c r="L643" s="974"/>
      <c r="M643" s="974"/>
      <c r="N643" s="987"/>
      <c r="AF643" s="684"/>
      <c r="AG643" s="693"/>
      <c r="AI643" s="696" t="s">
        <v>1762</v>
      </c>
      <c r="AM643" s="693"/>
      <c r="AP643" s="693"/>
      <c r="AR643" s="693"/>
    </row>
    <row r="644" spans="1:44" s="646" customFormat="1" ht="14.4" x14ac:dyDescent="0.3">
      <c r="A644" s="699"/>
      <c r="B644" s="698" t="s">
        <v>18</v>
      </c>
      <c r="C644" s="982" t="s">
        <v>1763</v>
      </c>
      <c r="D644" s="982"/>
      <c r="E644" s="982"/>
      <c r="F644" s="700"/>
      <c r="G644" s="701"/>
      <c r="H644" s="701"/>
      <c r="I644" s="701"/>
      <c r="J644" s="702">
        <v>534.29</v>
      </c>
      <c r="K644" s="725">
        <v>1.3225</v>
      </c>
      <c r="L644" s="706">
        <v>2119.8000000000002</v>
      </c>
      <c r="M644" s="704">
        <v>44.77</v>
      </c>
      <c r="N644" s="705">
        <v>94903.45</v>
      </c>
      <c r="AF644" s="684"/>
      <c r="AG644" s="693"/>
      <c r="AJ644" s="696" t="s">
        <v>1763</v>
      </c>
      <c r="AM644" s="693"/>
      <c r="AP644" s="693"/>
      <c r="AR644" s="693"/>
    </row>
    <row r="645" spans="1:44" s="646" customFormat="1" ht="14.4" x14ac:dyDescent="0.3">
      <c r="A645" s="699"/>
      <c r="B645" s="698" t="s">
        <v>21</v>
      </c>
      <c r="C645" s="982" t="s">
        <v>1764</v>
      </c>
      <c r="D645" s="982"/>
      <c r="E645" s="982"/>
      <c r="F645" s="700"/>
      <c r="G645" s="701"/>
      <c r="H645" s="701"/>
      <c r="I645" s="701"/>
      <c r="J645" s="706">
        <v>3756.21</v>
      </c>
      <c r="K645" s="725">
        <v>1.4375</v>
      </c>
      <c r="L645" s="706">
        <v>16198.66</v>
      </c>
      <c r="M645" s="704">
        <v>13.24</v>
      </c>
      <c r="N645" s="705">
        <v>214470.26</v>
      </c>
      <c r="AF645" s="684"/>
      <c r="AG645" s="693"/>
      <c r="AJ645" s="696" t="s">
        <v>1764</v>
      </c>
      <c r="AM645" s="693"/>
      <c r="AP645" s="693"/>
      <c r="AR645" s="693"/>
    </row>
    <row r="646" spans="1:44" s="646" customFormat="1" ht="14.4" x14ac:dyDescent="0.3">
      <c r="A646" s="699"/>
      <c r="B646" s="698" t="s">
        <v>23</v>
      </c>
      <c r="C646" s="982" t="s">
        <v>1765</v>
      </c>
      <c r="D646" s="982"/>
      <c r="E646" s="982"/>
      <c r="F646" s="700"/>
      <c r="G646" s="701"/>
      <c r="H646" s="701"/>
      <c r="I646" s="701"/>
      <c r="J646" s="702">
        <v>238.16</v>
      </c>
      <c r="K646" s="725">
        <v>1.4375</v>
      </c>
      <c r="L646" s="706">
        <v>1027.07</v>
      </c>
      <c r="M646" s="704">
        <v>44.77</v>
      </c>
      <c r="N646" s="705">
        <v>45981.919999999998</v>
      </c>
      <c r="AF646" s="684"/>
      <c r="AG646" s="693"/>
      <c r="AJ646" s="696" t="s">
        <v>1765</v>
      </c>
      <c r="AM646" s="693"/>
      <c r="AP646" s="693"/>
      <c r="AR646" s="693"/>
    </row>
    <row r="647" spans="1:44" s="646" customFormat="1" ht="14.4" x14ac:dyDescent="0.3">
      <c r="A647" s="699"/>
      <c r="B647" s="698" t="s">
        <v>25</v>
      </c>
      <c r="C647" s="982" t="s">
        <v>1766</v>
      </c>
      <c r="D647" s="982"/>
      <c r="E647" s="982"/>
      <c r="F647" s="700"/>
      <c r="G647" s="701"/>
      <c r="H647" s="701"/>
      <c r="I647" s="701"/>
      <c r="J647" s="706">
        <v>24033.55</v>
      </c>
      <c r="K647" s="701"/>
      <c r="L647" s="706">
        <v>72100.649999999994</v>
      </c>
      <c r="M647" s="704">
        <v>8.16</v>
      </c>
      <c r="N647" s="705">
        <v>588341.30000000005</v>
      </c>
      <c r="AF647" s="684"/>
      <c r="AG647" s="693"/>
      <c r="AJ647" s="696" t="s">
        <v>1766</v>
      </c>
      <c r="AM647" s="693"/>
      <c r="AP647" s="693"/>
      <c r="AR647" s="693"/>
    </row>
    <row r="648" spans="1:44" s="646" customFormat="1" ht="14.4" x14ac:dyDescent="0.3">
      <c r="A648" s="708"/>
      <c r="B648" s="698"/>
      <c r="C648" s="982" t="s">
        <v>1767</v>
      </c>
      <c r="D648" s="982"/>
      <c r="E648" s="982"/>
      <c r="F648" s="700" t="s">
        <v>695</v>
      </c>
      <c r="G648" s="704">
        <v>55.54</v>
      </c>
      <c r="H648" s="725">
        <v>1.3225</v>
      </c>
      <c r="I648" s="713">
        <v>220.35495</v>
      </c>
      <c r="J648" s="711"/>
      <c r="K648" s="701"/>
      <c r="L648" s="711"/>
      <c r="M648" s="701"/>
      <c r="N648" s="712"/>
      <c r="AF648" s="684"/>
      <c r="AG648" s="693"/>
      <c r="AK648" s="696" t="s">
        <v>1767</v>
      </c>
      <c r="AM648" s="693"/>
      <c r="AP648" s="693"/>
      <c r="AR648" s="693"/>
    </row>
    <row r="649" spans="1:44" s="646" customFormat="1" ht="14.4" x14ac:dyDescent="0.3">
      <c r="A649" s="708"/>
      <c r="B649" s="698"/>
      <c r="C649" s="982" t="s">
        <v>1768</v>
      </c>
      <c r="D649" s="982"/>
      <c r="E649" s="982"/>
      <c r="F649" s="700" t="s">
        <v>695</v>
      </c>
      <c r="G649" s="704">
        <v>17.940000000000001</v>
      </c>
      <c r="H649" s="725">
        <v>1.4375</v>
      </c>
      <c r="I649" s="713">
        <v>77.366249999999994</v>
      </c>
      <c r="J649" s="711"/>
      <c r="K649" s="701"/>
      <c r="L649" s="711"/>
      <c r="M649" s="701"/>
      <c r="N649" s="712"/>
      <c r="AF649" s="684"/>
      <c r="AG649" s="693"/>
      <c r="AK649" s="696" t="s">
        <v>1768</v>
      </c>
      <c r="AM649" s="693"/>
      <c r="AP649" s="693"/>
      <c r="AR649" s="693"/>
    </row>
    <row r="650" spans="1:44" s="646" customFormat="1" ht="14.4" x14ac:dyDescent="0.3">
      <c r="A650" s="699"/>
      <c r="B650" s="698"/>
      <c r="C650" s="986" t="s">
        <v>1769</v>
      </c>
      <c r="D650" s="986"/>
      <c r="E650" s="986"/>
      <c r="F650" s="714"/>
      <c r="G650" s="715"/>
      <c r="H650" s="715"/>
      <c r="I650" s="715"/>
      <c r="J650" s="716">
        <v>28324.05</v>
      </c>
      <c r="K650" s="715"/>
      <c r="L650" s="716">
        <v>90419.11</v>
      </c>
      <c r="M650" s="715"/>
      <c r="N650" s="717">
        <v>897715.01</v>
      </c>
      <c r="AF650" s="684"/>
      <c r="AG650" s="693"/>
      <c r="AL650" s="696" t="s">
        <v>1769</v>
      </c>
      <c r="AM650" s="693"/>
      <c r="AP650" s="693"/>
      <c r="AR650" s="693"/>
    </row>
    <row r="651" spans="1:44" s="646" customFormat="1" ht="14.4" x14ac:dyDescent="0.3">
      <c r="A651" s="708"/>
      <c r="B651" s="698"/>
      <c r="C651" s="982" t="s">
        <v>1770</v>
      </c>
      <c r="D651" s="982"/>
      <c r="E651" s="982"/>
      <c r="F651" s="700"/>
      <c r="G651" s="701"/>
      <c r="H651" s="701"/>
      <c r="I651" s="701"/>
      <c r="J651" s="711"/>
      <c r="K651" s="701"/>
      <c r="L651" s="706">
        <v>3146.87</v>
      </c>
      <c r="M651" s="701"/>
      <c r="N651" s="705">
        <v>140885.37</v>
      </c>
      <c r="AF651" s="684"/>
      <c r="AG651" s="693"/>
      <c r="AK651" s="696" t="s">
        <v>1770</v>
      </c>
      <c r="AM651" s="693"/>
      <c r="AP651" s="693"/>
      <c r="AR651" s="693"/>
    </row>
    <row r="652" spans="1:44" s="646" customFormat="1" ht="20.399999999999999" x14ac:dyDescent="0.3">
      <c r="A652" s="708"/>
      <c r="B652" s="698" t="s">
        <v>1847</v>
      </c>
      <c r="C652" s="982" t="s">
        <v>1848</v>
      </c>
      <c r="D652" s="982"/>
      <c r="E652" s="982"/>
      <c r="F652" s="700" t="s">
        <v>1773</v>
      </c>
      <c r="G652" s="718">
        <v>109</v>
      </c>
      <c r="H652" s="701"/>
      <c r="I652" s="718">
        <v>109</v>
      </c>
      <c r="J652" s="711"/>
      <c r="K652" s="701"/>
      <c r="L652" s="706">
        <v>3430.09</v>
      </c>
      <c r="M652" s="701"/>
      <c r="N652" s="705">
        <v>153565.04999999999</v>
      </c>
      <c r="AF652" s="684"/>
      <c r="AG652" s="693"/>
      <c r="AK652" s="696" t="s">
        <v>1848</v>
      </c>
      <c r="AM652" s="693"/>
      <c r="AP652" s="693"/>
      <c r="AR652" s="693"/>
    </row>
    <row r="653" spans="1:44" s="646" customFormat="1" ht="40.799999999999997" x14ac:dyDescent="0.3">
      <c r="A653" s="708"/>
      <c r="B653" s="698" t="s">
        <v>1849</v>
      </c>
      <c r="C653" s="982" t="s">
        <v>1850</v>
      </c>
      <c r="D653" s="982"/>
      <c r="E653" s="982"/>
      <c r="F653" s="700" t="s">
        <v>1773</v>
      </c>
      <c r="G653" s="718">
        <v>65</v>
      </c>
      <c r="H653" s="704">
        <v>0.85</v>
      </c>
      <c r="I653" s="704">
        <v>55.25</v>
      </c>
      <c r="J653" s="711"/>
      <c r="K653" s="701"/>
      <c r="L653" s="706">
        <v>1738.65</v>
      </c>
      <c r="M653" s="701"/>
      <c r="N653" s="705">
        <v>77839.17</v>
      </c>
      <c r="AF653" s="684"/>
      <c r="AG653" s="693"/>
      <c r="AK653" s="696" t="s">
        <v>1850</v>
      </c>
      <c r="AM653" s="693"/>
      <c r="AP653" s="693"/>
      <c r="AR653" s="693"/>
    </row>
    <row r="654" spans="1:44" s="646" customFormat="1" ht="14.4" x14ac:dyDescent="0.3">
      <c r="A654" s="719"/>
      <c r="B654" s="720"/>
      <c r="C654" s="985" t="s">
        <v>1776</v>
      </c>
      <c r="D654" s="985"/>
      <c r="E654" s="985"/>
      <c r="F654" s="687"/>
      <c r="G654" s="688"/>
      <c r="H654" s="688"/>
      <c r="I654" s="688"/>
      <c r="J654" s="691"/>
      <c r="K654" s="688"/>
      <c r="L654" s="721">
        <v>95587.85</v>
      </c>
      <c r="M654" s="715"/>
      <c r="N654" s="722">
        <v>1129119.23</v>
      </c>
      <c r="AF654" s="684"/>
      <c r="AG654" s="693"/>
      <c r="AM654" s="693" t="s">
        <v>1776</v>
      </c>
      <c r="AP654" s="693"/>
      <c r="AR654" s="693"/>
    </row>
    <row r="655" spans="1:44" s="646" customFormat="1" ht="52.2" x14ac:dyDescent="0.3">
      <c r="A655" s="685" t="s">
        <v>2049</v>
      </c>
      <c r="B655" s="686" t="s">
        <v>2050</v>
      </c>
      <c r="C655" s="985" t="s">
        <v>2051</v>
      </c>
      <c r="D655" s="985"/>
      <c r="E655" s="985"/>
      <c r="F655" s="687" t="s">
        <v>1853</v>
      </c>
      <c r="G655" s="688">
        <v>3</v>
      </c>
      <c r="H655" s="689">
        <v>1</v>
      </c>
      <c r="I655" s="689">
        <v>3</v>
      </c>
      <c r="J655" s="691"/>
      <c r="K655" s="688"/>
      <c r="L655" s="691"/>
      <c r="M655" s="688"/>
      <c r="N655" s="692"/>
      <c r="AF655" s="684"/>
      <c r="AG655" s="693" t="s">
        <v>2051</v>
      </c>
      <c r="AM655" s="693"/>
      <c r="AP655" s="693"/>
      <c r="AR655" s="693"/>
    </row>
    <row r="656" spans="1:44" s="646" customFormat="1" ht="14.4" x14ac:dyDescent="0.3">
      <c r="A656" s="694"/>
      <c r="B656" s="695"/>
      <c r="C656" s="982" t="s">
        <v>2048</v>
      </c>
      <c r="D656" s="982"/>
      <c r="E656" s="982"/>
      <c r="F656" s="982"/>
      <c r="G656" s="982"/>
      <c r="H656" s="982"/>
      <c r="I656" s="982"/>
      <c r="J656" s="982"/>
      <c r="K656" s="982"/>
      <c r="L656" s="982"/>
      <c r="M656" s="982"/>
      <c r="N656" s="988"/>
      <c r="AF656" s="684"/>
      <c r="AG656" s="693"/>
      <c r="AH656" s="696" t="s">
        <v>2048</v>
      </c>
      <c r="AM656" s="693"/>
      <c r="AP656" s="693"/>
      <c r="AR656" s="693"/>
    </row>
    <row r="657" spans="1:44" s="646" customFormat="1" ht="21.6" x14ac:dyDescent="0.3">
      <c r="A657" s="697"/>
      <c r="B657" s="698" t="s">
        <v>1759</v>
      </c>
      <c r="C657" s="974" t="s">
        <v>1760</v>
      </c>
      <c r="D657" s="974"/>
      <c r="E657" s="974"/>
      <c r="F657" s="974"/>
      <c r="G657" s="974"/>
      <c r="H657" s="974"/>
      <c r="I657" s="974"/>
      <c r="J657" s="974"/>
      <c r="K657" s="974"/>
      <c r="L657" s="974"/>
      <c r="M657" s="974"/>
      <c r="N657" s="987"/>
      <c r="AF657" s="684"/>
      <c r="AG657" s="693"/>
      <c r="AI657" s="696" t="s">
        <v>1760</v>
      </c>
      <c r="AM657" s="693"/>
      <c r="AP657" s="693"/>
      <c r="AR657" s="693"/>
    </row>
    <row r="658" spans="1:44" s="646" customFormat="1" ht="52.2" x14ac:dyDescent="0.3">
      <c r="A658" s="697"/>
      <c r="B658" s="698" t="s">
        <v>1761</v>
      </c>
      <c r="C658" s="974" t="s">
        <v>1762</v>
      </c>
      <c r="D658" s="974"/>
      <c r="E658" s="974"/>
      <c r="F658" s="974"/>
      <c r="G658" s="974"/>
      <c r="H658" s="974"/>
      <c r="I658" s="974"/>
      <c r="J658" s="974"/>
      <c r="K658" s="974"/>
      <c r="L658" s="974"/>
      <c r="M658" s="974"/>
      <c r="N658" s="987"/>
      <c r="AF658" s="684"/>
      <c r="AG658" s="693"/>
      <c r="AI658" s="696" t="s">
        <v>1762</v>
      </c>
      <c r="AM658" s="693"/>
      <c r="AP658" s="693"/>
      <c r="AR658" s="693"/>
    </row>
    <row r="659" spans="1:44" s="646" customFormat="1" ht="14.4" x14ac:dyDescent="0.3">
      <c r="A659" s="699"/>
      <c r="B659" s="698" t="s">
        <v>18</v>
      </c>
      <c r="C659" s="982" t="s">
        <v>1763</v>
      </c>
      <c r="D659" s="982"/>
      <c r="E659" s="982"/>
      <c r="F659" s="700"/>
      <c r="G659" s="701"/>
      <c r="H659" s="701"/>
      <c r="I659" s="701"/>
      <c r="J659" s="702">
        <v>316.8</v>
      </c>
      <c r="K659" s="725">
        <v>1.3225</v>
      </c>
      <c r="L659" s="706">
        <v>1256.9000000000001</v>
      </c>
      <c r="M659" s="704">
        <v>44.77</v>
      </c>
      <c r="N659" s="705">
        <v>56271.41</v>
      </c>
      <c r="AF659" s="684"/>
      <c r="AG659" s="693"/>
      <c r="AJ659" s="696" t="s">
        <v>1763</v>
      </c>
      <c r="AM659" s="693"/>
      <c r="AP659" s="693"/>
      <c r="AR659" s="693"/>
    </row>
    <row r="660" spans="1:44" s="646" customFormat="1" ht="14.4" x14ac:dyDescent="0.3">
      <c r="A660" s="699"/>
      <c r="B660" s="698" t="s">
        <v>21</v>
      </c>
      <c r="C660" s="982" t="s">
        <v>1764</v>
      </c>
      <c r="D660" s="982"/>
      <c r="E660" s="982"/>
      <c r="F660" s="700"/>
      <c r="G660" s="701"/>
      <c r="H660" s="701"/>
      <c r="I660" s="701"/>
      <c r="J660" s="706">
        <v>8602.08</v>
      </c>
      <c r="K660" s="725">
        <v>1.4375</v>
      </c>
      <c r="L660" s="706">
        <v>37096.47</v>
      </c>
      <c r="M660" s="704">
        <v>13.24</v>
      </c>
      <c r="N660" s="705">
        <v>491157.26</v>
      </c>
      <c r="AF660" s="684"/>
      <c r="AG660" s="693"/>
      <c r="AJ660" s="696" t="s">
        <v>1764</v>
      </c>
      <c r="AM660" s="693"/>
      <c r="AP660" s="693"/>
      <c r="AR660" s="693"/>
    </row>
    <row r="661" spans="1:44" s="646" customFormat="1" ht="14.4" x14ac:dyDescent="0.3">
      <c r="A661" s="699"/>
      <c r="B661" s="698" t="s">
        <v>23</v>
      </c>
      <c r="C661" s="982" t="s">
        <v>1765</v>
      </c>
      <c r="D661" s="982"/>
      <c r="E661" s="982"/>
      <c r="F661" s="700"/>
      <c r="G661" s="701"/>
      <c r="H661" s="701"/>
      <c r="I661" s="701"/>
      <c r="J661" s="702">
        <v>328.35</v>
      </c>
      <c r="K661" s="725">
        <v>1.4375</v>
      </c>
      <c r="L661" s="706">
        <v>1416.01</v>
      </c>
      <c r="M661" s="704">
        <v>44.77</v>
      </c>
      <c r="N661" s="705">
        <v>63394.77</v>
      </c>
      <c r="AF661" s="684"/>
      <c r="AG661" s="693"/>
      <c r="AJ661" s="696" t="s">
        <v>1765</v>
      </c>
      <c r="AM661" s="693"/>
      <c r="AP661" s="693"/>
      <c r="AR661" s="693"/>
    </row>
    <row r="662" spans="1:44" s="646" customFormat="1" ht="14.4" x14ac:dyDescent="0.3">
      <c r="A662" s="708"/>
      <c r="B662" s="698"/>
      <c r="C662" s="982" t="s">
        <v>1767</v>
      </c>
      <c r="D662" s="982"/>
      <c r="E662" s="982"/>
      <c r="F662" s="700" t="s">
        <v>695</v>
      </c>
      <c r="G662" s="704">
        <v>34.51</v>
      </c>
      <c r="H662" s="725">
        <v>1.3225</v>
      </c>
      <c r="I662" s="723">
        <v>136.91842500000001</v>
      </c>
      <c r="J662" s="711"/>
      <c r="K662" s="701"/>
      <c r="L662" s="711"/>
      <c r="M662" s="701"/>
      <c r="N662" s="712"/>
      <c r="AF662" s="684"/>
      <c r="AG662" s="693"/>
      <c r="AK662" s="696" t="s">
        <v>1767</v>
      </c>
      <c r="AM662" s="693"/>
      <c r="AP662" s="693"/>
      <c r="AR662" s="693"/>
    </row>
    <row r="663" spans="1:44" s="646" customFormat="1" ht="14.4" x14ac:dyDescent="0.3">
      <c r="A663" s="708"/>
      <c r="B663" s="698"/>
      <c r="C663" s="982" t="s">
        <v>1768</v>
      </c>
      <c r="D663" s="982"/>
      <c r="E663" s="982"/>
      <c r="F663" s="700" t="s">
        <v>695</v>
      </c>
      <c r="G663" s="704">
        <v>25.66</v>
      </c>
      <c r="H663" s="725">
        <v>1.4375</v>
      </c>
      <c r="I663" s="713">
        <v>110.65875</v>
      </c>
      <c r="J663" s="711"/>
      <c r="K663" s="701"/>
      <c r="L663" s="711"/>
      <c r="M663" s="701"/>
      <c r="N663" s="712"/>
      <c r="AF663" s="684"/>
      <c r="AG663" s="693"/>
      <c r="AK663" s="696" t="s">
        <v>1768</v>
      </c>
      <c r="AM663" s="693"/>
      <c r="AP663" s="693"/>
      <c r="AR663" s="693"/>
    </row>
    <row r="664" spans="1:44" s="646" customFormat="1" ht="14.4" x14ac:dyDescent="0.3">
      <c r="A664" s="699"/>
      <c r="B664" s="698"/>
      <c r="C664" s="986" t="s">
        <v>1769</v>
      </c>
      <c r="D664" s="986"/>
      <c r="E664" s="986"/>
      <c r="F664" s="714"/>
      <c r="G664" s="715"/>
      <c r="H664" s="715"/>
      <c r="I664" s="715"/>
      <c r="J664" s="716">
        <v>8918.8799999999992</v>
      </c>
      <c r="K664" s="715"/>
      <c r="L664" s="716">
        <v>38353.370000000003</v>
      </c>
      <c r="M664" s="715"/>
      <c r="N664" s="717">
        <v>547428.67000000004</v>
      </c>
      <c r="AF664" s="684"/>
      <c r="AG664" s="693"/>
      <c r="AL664" s="696" t="s">
        <v>1769</v>
      </c>
      <c r="AM664" s="693"/>
      <c r="AP664" s="693"/>
      <c r="AR664" s="693"/>
    </row>
    <row r="665" spans="1:44" s="646" customFormat="1" ht="14.4" x14ac:dyDescent="0.3">
      <c r="A665" s="708"/>
      <c r="B665" s="698"/>
      <c r="C665" s="982" t="s">
        <v>1770</v>
      </c>
      <c r="D665" s="982"/>
      <c r="E665" s="982"/>
      <c r="F665" s="700"/>
      <c r="G665" s="701"/>
      <c r="H665" s="701"/>
      <c r="I665" s="701"/>
      <c r="J665" s="711"/>
      <c r="K665" s="701"/>
      <c r="L665" s="706">
        <v>2672.91</v>
      </c>
      <c r="M665" s="701"/>
      <c r="N665" s="705">
        <v>119666.18</v>
      </c>
      <c r="AF665" s="684"/>
      <c r="AG665" s="693"/>
      <c r="AK665" s="696" t="s">
        <v>1770</v>
      </c>
      <c r="AM665" s="693"/>
      <c r="AP665" s="693"/>
      <c r="AR665" s="693"/>
    </row>
    <row r="666" spans="1:44" s="646" customFormat="1" ht="20.399999999999999" x14ac:dyDescent="0.3">
      <c r="A666" s="708"/>
      <c r="B666" s="698" t="s">
        <v>1847</v>
      </c>
      <c r="C666" s="982" t="s">
        <v>1848</v>
      </c>
      <c r="D666" s="982"/>
      <c r="E666" s="982"/>
      <c r="F666" s="700" t="s">
        <v>1773</v>
      </c>
      <c r="G666" s="718">
        <v>109</v>
      </c>
      <c r="H666" s="701"/>
      <c r="I666" s="718">
        <v>109</v>
      </c>
      <c r="J666" s="711"/>
      <c r="K666" s="701"/>
      <c r="L666" s="706">
        <v>2913.47</v>
      </c>
      <c r="M666" s="701"/>
      <c r="N666" s="705">
        <v>130436.14</v>
      </c>
      <c r="AF666" s="684"/>
      <c r="AG666" s="693"/>
      <c r="AK666" s="696" t="s">
        <v>1848</v>
      </c>
      <c r="AM666" s="693"/>
      <c r="AP666" s="693"/>
      <c r="AR666" s="693"/>
    </row>
    <row r="667" spans="1:44" s="646" customFormat="1" ht="40.799999999999997" x14ac:dyDescent="0.3">
      <c r="A667" s="708"/>
      <c r="B667" s="698" t="s">
        <v>1849</v>
      </c>
      <c r="C667" s="982" t="s">
        <v>1850</v>
      </c>
      <c r="D667" s="982"/>
      <c r="E667" s="982"/>
      <c r="F667" s="700" t="s">
        <v>1773</v>
      </c>
      <c r="G667" s="718">
        <v>65</v>
      </c>
      <c r="H667" s="704">
        <v>0.85</v>
      </c>
      <c r="I667" s="704">
        <v>55.25</v>
      </c>
      <c r="J667" s="711"/>
      <c r="K667" s="701"/>
      <c r="L667" s="706">
        <v>1476.78</v>
      </c>
      <c r="M667" s="701"/>
      <c r="N667" s="705">
        <v>66115.56</v>
      </c>
      <c r="AF667" s="684"/>
      <c r="AG667" s="693"/>
      <c r="AK667" s="696" t="s">
        <v>1850</v>
      </c>
      <c r="AM667" s="693"/>
      <c r="AP667" s="693"/>
      <c r="AR667" s="693"/>
    </row>
    <row r="668" spans="1:44" s="646" customFormat="1" ht="14.4" x14ac:dyDescent="0.3">
      <c r="A668" s="719"/>
      <c r="B668" s="720"/>
      <c r="C668" s="985" t="s">
        <v>1776</v>
      </c>
      <c r="D668" s="985"/>
      <c r="E668" s="985"/>
      <c r="F668" s="687"/>
      <c r="G668" s="688"/>
      <c r="H668" s="688"/>
      <c r="I668" s="688"/>
      <c r="J668" s="691"/>
      <c r="K668" s="688"/>
      <c r="L668" s="721">
        <v>42743.62</v>
      </c>
      <c r="M668" s="715"/>
      <c r="N668" s="722">
        <v>743980.37</v>
      </c>
      <c r="AF668" s="684"/>
      <c r="AG668" s="693"/>
      <c r="AM668" s="693" t="s">
        <v>1776</v>
      </c>
      <c r="AP668" s="693"/>
      <c r="AR668" s="693"/>
    </row>
    <row r="669" spans="1:44" s="646" customFormat="1" ht="21.6" x14ac:dyDescent="0.3">
      <c r="A669" s="685" t="s">
        <v>2052</v>
      </c>
      <c r="B669" s="686" t="s">
        <v>2026</v>
      </c>
      <c r="C669" s="985" t="s">
        <v>2038</v>
      </c>
      <c r="D669" s="985"/>
      <c r="E669" s="985"/>
      <c r="F669" s="687" t="s">
        <v>1853</v>
      </c>
      <c r="G669" s="688">
        <v>1</v>
      </c>
      <c r="H669" s="689">
        <v>1</v>
      </c>
      <c r="I669" s="689">
        <v>1</v>
      </c>
      <c r="J669" s="721">
        <v>402573.53</v>
      </c>
      <c r="K669" s="690">
        <v>1.012</v>
      </c>
      <c r="L669" s="721">
        <v>407404.41</v>
      </c>
      <c r="M669" s="727">
        <v>8.16</v>
      </c>
      <c r="N669" s="722">
        <v>3324419.99</v>
      </c>
      <c r="AF669" s="684"/>
      <c r="AG669" s="693" t="s">
        <v>2038</v>
      </c>
      <c r="AM669" s="693"/>
      <c r="AP669" s="693"/>
      <c r="AR669" s="693"/>
    </row>
    <row r="670" spans="1:44" s="646" customFormat="1" ht="14.4" x14ac:dyDescent="0.3">
      <c r="A670" s="719"/>
      <c r="B670" s="720"/>
      <c r="C670" s="982" t="s">
        <v>1793</v>
      </c>
      <c r="D670" s="982"/>
      <c r="E670" s="982"/>
      <c r="F670" s="982"/>
      <c r="G670" s="982"/>
      <c r="H670" s="982"/>
      <c r="I670" s="982"/>
      <c r="J670" s="982"/>
      <c r="K670" s="982"/>
      <c r="L670" s="982"/>
      <c r="M670" s="982"/>
      <c r="N670" s="988"/>
      <c r="AF670" s="684"/>
      <c r="AG670" s="693"/>
      <c r="AM670" s="693"/>
      <c r="AN670" s="696" t="s">
        <v>1793</v>
      </c>
      <c r="AP670" s="693"/>
      <c r="AR670" s="693"/>
    </row>
    <row r="671" spans="1:44" s="646" customFormat="1" ht="14.4" x14ac:dyDescent="0.3">
      <c r="A671" s="694"/>
      <c r="B671" s="695"/>
      <c r="C671" s="982" t="s">
        <v>2039</v>
      </c>
      <c r="D671" s="982"/>
      <c r="E671" s="982"/>
      <c r="F671" s="982"/>
      <c r="G671" s="982"/>
      <c r="H671" s="982"/>
      <c r="I671" s="982"/>
      <c r="J671" s="982"/>
      <c r="K671" s="982"/>
      <c r="L671" s="982"/>
      <c r="M671" s="982"/>
      <c r="N671" s="988"/>
      <c r="AF671" s="684"/>
      <c r="AG671" s="693"/>
      <c r="AM671" s="693"/>
      <c r="AO671" s="696" t="s">
        <v>2039</v>
      </c>
      <c r="AP671" s="693"/>
      <c r="AR671" s="693"/>
    </row>
    <row r="672" spans="1:44" s="646" customFormat="1" ht="14.4" x14ac:dyDescent="0.3">
      <c r="A672" s="697"/>
      <c r="B672" s="698"/>
      <c r="C672" s="974" t="s">
        <v>1888</v>
      </c>
      <c r="D672" s="974"/>
      <c r="E672" s="974"/>
      <c r="F672" s="974"/>
      <c r="G672" s="974"/>
      <c r="H672" s="974"/>
      <c r="I672" s="974"/>
      <c r="J672" s="974"/>
      <c r="K672" s="974"/>
      <c r="L672" s="974"/>
      <c r="M672" s="974"/>
      <c r="N672" s="987"/>
      <c r="AF672" s="684"/>
      <c r="AG672" s="693"/>
      <c r="AI672" s="696" t="s">
        <v>1888</v>
      </c>
      <c r="AM672" s="693"/>
      <c r="AP672" s="693"/>
      <c r="AR672" s="693"/>
    </row>
    <row r="673" spans="1:44" s="646" customFormat="1" ht="14.4" x14ac:dyDescent="0.3">
      <c r="A673" s="719"/>
      <c r="B673" s="720"/>
      <c r="C673" s="985" t="s">
        <v>1776</v>
      </c>
      <c r="D673" s="985"/>
      <c r="E673" s="985"/>
      <c r="F673" s="687"/>
      <c r="G673" s="688"/>
      <c r="H673" s="688"/>
      <c r="I673" s="688"/>
      <c r="J673" s="691"/>
      <c r="K673" s="688"/>
      <c r="L673" s="721">
        <v>407404.41</v>
      </c>
      <c r="M673" s="715"/>
      <c r="N673" s="722">
        <v>3324419.99</v>
      </c>
      <c r="AF673" s="684"/>
      <c r="AG673" s="693"/>
      <c r="AM673" s="693" t="s">
        <v>1776</v>
      </c>
      <c r="AP673" s="693"/>
      <c r="AR673" s="693"/>
    </row>
    <row r="674" spans="1:44" s="646" customFormat="1" ht="21.6" x14ac:dyDescent="0.3">
      <c r="A674" s="685" t="s">
        <v>2053</v>
      </c>
      <c r="B674" s="686" t="s">
        <v>2026</v>
      </c>
      <c r="C674" s="985" t="s">
        <v>2054</v>
      </c>
      <c r="D674" s="985"/>
      <c r="E674" s="985"/>
      <c r="F674" s="687" t="s">
        <v>1853</v>
      </c>
      <c r="G674" s="688">
        <v>1</v>
      </c>
      <c r="H674" s="689">
        <v>1</v>
      </c>
      <c r="I674" s="689">
        <v>1</v>
      </c>
      <c r="J674" s="721">
        <v>402573.53</v>
      </c>
      <c r="K674" s="690">
        <v>1.012</v>
      </c>
      <c r="L674" s="721">
        <v>407404.41</v>
      </c>
      <c r="M674" s="727">
        <v>8.16</v>
      </c>
      <c r="N674" s="722">
        <v>3324419.99</v>
      </c>
      <c r="AF674" s="684"/>
      <c r="AG674" s="693" t="s">
        <v>2054</v>
      </c>
      <c r="AM674" s="693"/>
      <c r="AP674" s="693"/>
      <c r="AR674" s="693"/>
    </row>
    <row r="675" spans="1:44" s="646" customFormat="1" ht="14.4" x14ac:dyDescent="0.3">
      <c r="A675" s="719"/>
      <c r="B675" s="720"/>
      <c r="C675" s="982" t="s">
        <v>1793</v>
      </c>
      <c r="D675" s="982"/>
      <c r="E675" s="982"/>
      <c r="F675" s="982"/>
      <c r="G675" s="982"/>
      <c r="H675" s="982"/>
      <c r="I675" s="982"/>
      <c r="J675" s="982"/>
      <c r="K675" s="982"/>
      <c r="L675" s="982"/>
      <c r="M675" s="982"/>
      <c r="N675" s="988"/>
      <c r="AF675" s="684"/>
      <c r="AG675" s="693"/>
      <c r="AM675" s="693"/>
      <c r="AN675" s="696" t="s">
        <v>1793</v>
      </c>
      <c r="AP675" s="693"/>
      <c r="AR675" s="693"/>
    </row>
    <row r="676" spans="1:44" s="646" customFormat="1" ht="14.4" x14ac:dyDescent="0.3">
      <c r="A676" s="694"/>
      <c r="B676" s="695"/>
      <c r="C676" s="982" t="s">
        <v>2039</v>
      </c>
      <c r="D676" s="982"/>
      <c r="E676" s="982"/>
      <c r="F676" s="982"/>
      <c r="G676" s="982"/>
      <c r="H676" s="982"/>
      <c r="I676" s="982"/>
      <c r="J676" s="982"/>
      <c r="K676" s="982"/>
      <c r="L676" s="982"/>
      <c r="M676" s="982"/>
      <c r="N676" s="988"/>
      <c r="AF676" s="684"/>
      <c r="AG676" s="693"/>
      <c r="AM676" s="693"/>
      <c r="AO676" s="696" t="s">
        <v>2039</v>
      </c>
      <c r="AP676" s="693"/>
      <c r="AR676" s="693"/>
    </row>
    <row r="677" spans="1:44" s="646" customFormat="1" ht="14.4" x14ac:dyDescent="0.3">
      <c r="A677" s="697"/>
      <c r="B677" s="698"/>
      <c r="C677" s="974" t="s">
        <v>1888</v>
      </c>
      <c r="D677" s="974"/>
      <c r="E677" s="974"/>
      <c r="F677" s="974"/>
      <c r="G677" s="974"/>
      <c r="H677" s="974"/>
      <c r="I677" s="974"/>
      <c r="J677" s="974"/>
      <c r="K677" s="974"/>
      <c r="L677" s="974"/>
      <c r="M677" s="974"/>
      <c r="N677" s="987"/>
      <c r="AF677" s="684"/>
      <c r="AG677" s="693"/>
      <c r="AI677" s="696" t="s">
        <v>1888</v>
      </c>
      <c r="AM677" s="693"/>
      <c r="AP677" s="693"/>
      <c r="AR677" s="693"/>
    </row>
    <row r="678" spans="1:44" s="646" customFormat="1" ht="14.4" x14ac:dyDescent="0.3">
      <c r="A678" s="719"/>
      <c r="B678" s="720"/>
      <c r="C678" s="985" t="s">
        <v>1776</v>
      </c>
      <c r="D678" s="985"/>
      <c r="E678" s="985"/>
      <c r="F678" s="687"/>
      <c r="G678" s="688"/>
      <c r="H678" s="688"/>
      <c r="I678" s="688"/>
      <c r="J678" s="691"/>
      <c r="K678" s="688"/>
      <c r="L678" s="721">
        <v>407404.41</v>
      </c>
      <c r="M678" s="715"/>
      <c r="N678" s="722">
        <v>3324419.99</v>
      </c>
      <c r="AF678" s="684"/>
      <c r="AG678" s="693"/>
      <c r="AM678" s="693" t="s">
        <v>1776</v>
      </c>
      <c r="AP678" s="693"/>
      <c r="AR678" s="693"/>
    </row>
    <row r="679" spans="1:44" s="646" customFormat="1" ht="21.6" x14ac:dyDescent="0.3">
      <c r="A679" s="685" t="s">
        <v>2055</v>
      </c>
      <c r="B679" s="686" t="s">
        <v>2026</v>
      </c>
      <c r="C679" s="985" t="s">
        <v>2056</v>
      </c>
      <c r="D679" s="985"/>
      <c r="E679" s="985"/>
      <c r="F679" s="687" t="s">
        <v>1853</v>
      </c>
      <c r="G679" s="688">
        <v>3</v>
      </c>
      <c r="H679" s="689">
        <v>1</v>
      </c>
      <c r="I679" s="689">
        <v>3</v>
      </c>
      <c r="J679" s="721">
        <v>40012.25</v>
      </c>
      <c r="K679" s="690">
        <v>1.012</v>
      </c>
      <c r="L679" s="721">
        <v>121477.19</v>
      </c>
      <c r="M679" s="727">
        <v>8.16</v>
      </c>
      <c r="N679" s="722">
        <v>991253.87</v>
      </c>
      <c r="AF679" s="684"/>
      <c r="AG679" s="693" t="s">
        <v>2056</v>
      </c>
      <c r="AM679" s="693"/>
      <c r="AP679" s="693"/>
      <c r="AR679" s="693"/>
    </row>
    <row r="680" spans="1:44" s="646" customFormat="1" ht="14.4" x14ac:dyDescent="0.3">
      <c r="A680" s="719"/>
      <c r="B680" s="720"/>
      <c r="C680" s="982" t="s">
        <v>1793</v>
      </c>
      <c r="D680" s="982"/>
      <c r="E680" s="982"/>
      <c r="F680" s="982"/>
      <c r="G680" s="982"/>
      <c r="H680" s="982"/>
      <c r="I680" s="982"/>
      <c r="J680" s="982"/>
      <c r="K680" s="982"/>
      <c r="L680" s="982"/>
      <c r="M680" s="982"/>
      <c r="N680" s="988"/>
      <c r="AF680" s="684"/>
      <c r="AG680" s="693"/>
      <c r="AM680" s="693"/>
      <c r="AN680" s="696" t="s">
        <v>1793</v>
      </c>
      <c r="AP680" s="693"/>
      <c r="AR680" s="693"/>
    </row>
    <row r="681" spans="1:44" s="646" customFormat="1" ht="14.4" x14ac:dyDescent="0.3">
      <c r="A681" s="694"/>
      <c r="B681" s="695"/>
      <c r="C681" s="982" t="s">
        <v>2057</v>
      </c>
      <c r="D681" s="982"/>
      <c r="E681" s="982"/>
      <c r="F681" s="982"/>
      <c r="G681" s="982"/>
      <c r="H681" s="982"/>
      <c r="I681" s="982"/>
      <c r="J681" s="982"/>
      <c r="K681" s="982"/>
      <c r="L681" s="982"/>
      <c r="M681" s="982"/>
      <c r="N681" s="988"/>
      <c r="AF681" s="684"/>
      <c r="AG681" s="693"/>
      <c r="AM681" s="693"/>
      <c r="AO681" s="696" t="s">
        <v>2057</v>
      </c>
      <c r="AP681" s="693"/>
      <c r="AR681" s="693"/>
    </row>
    <row r="682" spans="1:44" s="646" customFormat="1" ht="14.4" x14ac:dyDescent="0.3">
      <c r="A682" s="697"/>
      <c r="B682" s="698"/>
      <c r="C682" s="974" t="s">
        <v>1888</v>
      </c>
      <c r="D682" s="974"/>
      <c r="E682" s="974"/>
      <c r="F682" s="974"/>
      <c r="G682" s="974"/>
      <c r="H682" s="974"/>
      <c r="I682" s="974"/>
      <c r="J682" s="974"/>
      <c r="K682" s="974"/>
      <c r="L682" s="974"/>
      <c r="M682" s="974"/>
      <c r="N682" s="987"/>
      <c r="AF682" s="684"/>
      <c r="AG682" s="693"/>
      <c r="AI682" s="696" t="s">
        <v>1888</v>
      </c>
      <c r="AM682" s="693"/>
      <c r="AP682" s="693"/>
      <c r="AR682" s="693"/>
    </row>
    <row r="683" spans="1:44" s="646" customFormat="1" ht="14.4" x14ac:dyDescent="0.3">
      <c r="A683" s="719"/>
      <c r="B683" s="720"/>
      <c r="C683" s="985" t="s">
        <v>1776</v>
      </c>
      <c r="D683" s="985"/>
      <c r="E683" s="985"/>
      <c r="F683" s="687"/>
      <c r="G683" s="688"/>
      <c r="H683" s="688"/>
      <c r="I683" s="688"/>
      <c r="J683" s="691"/>
      <c r="K683" s="688"/>
      <c r="L683" s="721">
        <v>121477.19</v>
      </c>
      <c r="M683" s="715"/>
      <c r="N683" s="722">
        <v>991253.87</v>
      </c>
      <c r="AF683" s="684"/>
      <c r="AG683" s="693"/>
      <c r="AM683" s="693" t="s">
        <v>1776</v>
      </c>
      <c r="AP683" s="693"/>
      <c r="AR683" s="693"/>
    </row>
    <row r="684" spans="1:44" s="646" customFormat="1" ht="31.8" x14ac:dyDescent="0.3">
      <c r="A684" s="685" t="s">
        <v>2058</v>
      </c>
      <c r="B684" s="686" t="s">
        <v>2059</v>
      </c>
      <c r="C684" s="985" t="s">
        <v>2060</v>
      </c>
      <c r="D684" s="985"/>
      <c r="E684" s="985"/>
      <c r="F684" s="687" t="s">
        <v>1853</v>
      </c>
      <c r="G684" s="688">
        <v>3</v>
      </c>
      <c r="H684" s="689">
        <v>1</v>
      </c>
      <c r="I684" s="689">
        <v>3</v>
      </c>
      <c r="J684" s="691"/>
      <c r="K684" s="688"/>
      <c r="L684" s="691"/>
      <c r="M684" s="688"/>
      <c r="N684" s="692"/>
      <c r="AF684" s="684"/>
      <c r="AG684" s="693" t="s">
        <v>2060</v>
      </c>
      <c r="AM684" s="693"/>
      <c r="AP684" s="693"/>
      <c r="AR684" s="693"/>
    </row>
    <row r="685" spans="1:44" s="646" customFormat="1" ht="21.6" x14ac:dyDescent="0.3">
      <c r="A685" s="697"/>
      <c r="B685" s="698" t="s">
        <v>1759</v>
      </c>
      <c r="C685" s="974" t="s">
        <v>1760</v>
      </c>
      <c r="D685" s="974"/>
      <c r="E685" s="974"/>
      <c r="F685" s="974"/>
      <c r="G685" s="974"/>
      <c r="H685" s="974"/>
      <c r="I685" s="974"/>
      <c r="J685" s="974"/>
      <c r="K685" s="974"/>
      <c r="L685" s="974"/>
      <c r="M685" s="974"/>
      <c r="N685" s="987"/>
      <c r="AF685" s="684"/>
      <c r="AG685" s="693"/>
      <c r="AI685" s="696" t="s">
        <v>1760</v>
      </c>
      <c r="AM685" s="693"/>
      <c r="AP685" s="693"/>
      <c r="AR685" s="693"/>
    </row>
    <row r="686" spans="1:44" s="646" customFormat="1" ht="52.2" x14ac:dyDescent="0.3">
      <c r="A686" s="697"/>
      <c r="B686" s="698" t="s">
        <v>1761</v>
      </c>
      <c r="C686" s="974" t="s">
        <v>1762</v>
      </c>
      <c r="D686" s="974"/>
      <c r="E686" s="974"/>
      <c r="F686" s="974"/>
      <c r="G686" s="974"/>
      <c r="H686" s="974"/>
      <c r="I686" s="974"/>
      <c r="J686" s="974"/>
      <c r="K686" s="974"/>
      <c r="L686" s="974"/>
      <c r="M686" s="974"/>
      <c r="N686" s="987"/>
      <c r="AF686" s="684"/>
      <c r="AG686" s="693"/>
      <c r="AI686" s="696" t="s">
        <v>1762</v>
      </c>
      <c r="AM686" s="693"/>
      <c r="AP686" s="693"/>
      <c r="AR686" s="693"/>
    </row>
    <row r="687" spans="1:44" s="646" customFormat="1" ht="14.4" x14ac:dyDescent="0.3">
      <c r="A687" s="699"/>
      <c r="B687" s="698" t="s">
        <v>18</v>
      </c>
      <c r="C687" s="982" t="s">
        <v>1763</v>
      </c>
      <c r="D687" s="982"/>
      <c r="E687" s="982"/>
      <c r="F687" s="700"/>
      <c r="G687" s="701"/>
      <c r="H687" s="701"/>
      <c r="I687" s="701"/>
      <c r="J687" s="702">
        <v>367.68</v>
      </c>
      <c r="K687" s="725">
        <v>1.3225</v>
      </c>
      <c r="L687" s="706">
        <v>1458.77</v>
      </c>
      <c r="M687" s="704">
        <v>44.77</v>
      </c>
      <c r="N687" s="705">
        <v>65309.13</v>
      </c>
      <c r="AF687" s="684"/>
      <c r="AG687" s="693"/>
      <c r="AJ687" s="696" t="s">
        <v>1763</v>
      </c>
      <c r="AM687" s="693"/>
      <c r="AP687" s="693"/>
      <c r="AR687" s="693"/>
    </row>
    <row r="688" spans="1:44" s="646" customFormat="1" ht="14.4" x14ac:dyDescent="0.3">
      <c r="A688" s="699"/>
      <c r="B688" s="698" t="s">
        <v>21</v>
      </c>
      <c r="C688" s="982" t="s">
        <v>1764</v>
      </c>
      <c r="D688" s="982"/>
      <c r="E688" s="982"/>
      <c r="F688" s="700"/>
      <c r="G688" s="701"/>
      <c r="H688" s="701"/>
      <c r="I688" s="701"/>
      <c r="J688" s="706">
        <v>2964.26</v>
      </c>
      <c r="K688" s="725">
        <v>1.4375</v>
      </c>
      <c r="L688" s="706">
        <v>12783.37</v>
      </c>
      <c r="M688" s="704">
        <v>13.24</v>
      </c>
      <c r="N688" s="705">
        <v>169251.82</v>
      </c>
      <c r="AF688" s="684"/>
      <c r="AG688" s="693"/>
      <c r="AJ688" s="696" t="s">
        <v>1764</v>
      </c>
      <c r="AM688" s="693"/>
      <c r="AP688" s="693"/>
      <c r="AR688" s="693"/>
    </row>
    <row r="689" spans="1:44" s="646" customFormat="1" ht="14.4" x14ac:dyDescent="0.3">
      <c r="A689" s="699"/>
      <c r="B689" s="698" t="s">
        <v>23</v>
      </c>
      <c r="C689" s="982" t="s">
        <v>1765</v>
      </c>
      <c r="D689" s="982"/>
      <c r="E689" s="982"/>
      <c r="F689" s="700"/>
      <c r="G689" s="701"/>
      <c r="H689" s="701"/>
      <c r="I689" s="701"/>
      <c r="J689" s="702">
        <v>187.99</v>
      </c>
      <c r="K689" s="725">
        <v>1.4375</v>
      </c>
      <c r="L689" s="702">
        <v>810.71</v>
      </c>
      <c r="M689" s="704">
        <v>44.77</v>
      </c>
      <c r="N689" s="705">
        <v>36295.49</v>
      </c>
      <c r="AF689" s="684"/>
      <c r="AG689" s="693"/>
      <c r="AJ689" s="696" t="s">
        <v>1765</v>
      </c>
      <c r="AM689" s="693"/>
      <c r="AP689" s="693"/>
      <c r="AR689" s="693"/>
    </row>
    <row r="690" spans="1:44" s="646" customFormat="1" ht="14.4" x14ac:dyDescent="0.3">
      <c r="A690" s="699"/>
      <c r="B690" s="698" t="s">
        <v>25</v>
      </c>
      <c r="C690" s="982" t="s">
        <v>1766</v>
      </c>
      <c r="D690" s="982"/>
      <c r="E690" s="982"/>
      <c r="F690" s="700"/>
      <c r="G690" s="701"/>
      <c r="H690" s="701"/>
      <c r="I690" s="701"/>
      <c r="J690" s="706">
        <v>24881.439999999999</v>
      </c>
      <c r="K690" s="701"/>
      <c r="L690" s="706">
        <v>74644.320000000007</v>
      </c>
      <c r="M690" s="704">
        <v>8.16</v>
      </c>
      <c r="N690" s="705">
        <v>609097.65</v>
      </c>
      <c r="AF690" s="684"/>
      <c r="AG690" s="693"/>
      <c r="AJ690" s="696" t="s">
        <v>1766</v>
      </c>
      <c r="AM690" s="693"/>
      <c r="AP690" s="693"/>
      <c r="AR690" s="693"/>
    </row>
    <row r="691" spans="1:44" s="646" customFormat="1" ht="14.4" x14ac:dyDescent="0.3">
      <c r="A691" s="708"/>
      <c r="B691" s="698"/>
      <c r="C691" s="982" t="s">
        <v>1767</v>
      </c>
      <c r="D691" s="982"/>
      <c r="E691" s="982"/>
      <c r="F691" s="700" t="s">
        <v>695</v>
      </c>
      <c r="G691" s="704">
        <v>38.22</v>
      </c>
      <c r="H691" s="725">
        <v>1.3225</v>
      </c>
      <c r="I691" s="713">
        <v>151.63784999999999</v>
      </c>
      <c r="J691" s="711"/>
      <c r="K691" s="701"/>
      <c r="L691" s="711"/>
      <c r="M691" s="701"/>
      <c r="N691" s="712"/>
      <c r="AF691" s="684"/>
      <c r="AG691" s="693"/>
      <c r="AK691" s="696" t="s">
        <v>1767</v>
      </c>
      <c r="AM691" s="693"/>
      <c r="AP691" s="693"/>
      <c r="AR691" s="693"/>
    </row>
    <row r="692" spans="1:44" s="646" customFormat="1" ht="14.4" x14ac:dyDescent="0.3">
      <c r="A692" s="708"/>
      <c r="B692" s="698"/>
      <c r="C692" s="982" t="s">
        <v>1768</v>
      </c>
      <c r="D692" s="982"/>
      <c r="E692" s="982"/>
      <c r="F692" s="700" t="s">
        <v>695</v>
      </c>
      <c r="G692" s="704">
        <v>14.16</v>
      </c>
      <c r="H692" s="725">
        <v>1.4375</v>
      </c>
      <c r="I692" s="703">
        <v>61.064999999999998</v>
      </c>
      <c r="J692" s="711"/>
      <c r="K692" s="701"/>
      <c r="L692" s="711"/>
      <c r="M692" s="701"/>
      <c r="N692" s="712"/>
      <c r="AF692" s="684"/>
      <c r="AG692" s="693"/>
      <c r="AK692" s="696" t="s">
        <v>1768</v>
      </c>
      <c r="AM692" s="693"/>
      <c r="AP692" s="693"/>
      <c r="AR692" s="693"/>
    </row>
    <row r="693" spans="1:44" s="646" customFormat="1" ht="14.4" x14ac:dyDescent="0.3">
      <c r="A693" s="699"/>
      <c r="B693" s="698"/>
      <c r="C693" s="986" t="s">
        <v>1769</v>
      </c>
      <c r="D693" s="986"/>
      <c r="E693" s="986"/>
      <c r="F693" s="714"/>
      <c r="G693" s="715"/>
      <c r="H693" s="715"/>
      <c r="I693" s="715"/>
      <c r="J693" s="716">
        <v>28213.38</v>
      </c>
      <c r="K693" s="715"/>
      <c r="L693" s="716">
        <v>88886.46</v>
      </c>
      <c r="M693" s="715"/>
      <c r="N693" s="717">
        <v>843658.6</v>
      </c>
      <c r="AF693" s="684"/>
      <c r="AG693" s="693"/>
      <c r="AL693" s="696" t="s">
        <v>1769</v>
      </c>
      <c r="AM693" s="693"/>
      <c r="AP693" s="693"/>
      <c r="AR693" s="693"/>
    </row>
    <row r="694" spans="1:44" s="646" customFormat="1" ht="14.4" x14ac:dyDescent="0.3">
      <c r="A694" s="708"/>
      <c r="B694" s="698"/>
      <c r="C694" s="982" t="s">
        <v>1770</v>
      </c>
      <c r="D694" s="982"/>
      <c r="E694" s="982"/>
      <c r="F694" s="700"/>
      <c r="G694" s="701"/>
      <c r="H694" s="701"/>
      <c r="I694" s="701"/>
      <c r="J694" s="711"/>
      <c r="K694" s="701"/>
      <c r="L694" s="706">
        <v>2269.48</v>
      </c>
      <c r="M694" s="701"/>
      <c r="N694" s="705">
        <v>101604.62</v>
      </c>
      <c r="AF694" s="684"/>
      <c r="AG694" s="693"/>
      <c r="AK694" s="696" t="s">
        <v>1770</v>
      </c>
      <c r="AM694" s="693"/>
      <c r="AP694" s="693"/>
      <c r="AR694" s="693"/>
    </row>
    <row r="695" spans="1:44" s="646" customFormat="1" ht="20.399999999999999" x14ac:dyDescent="0.3">
      <c r="A695" s="708"/>
      <c r="B695" s="698" t="s">
        <v>1847</v>
      </c>
      <c r="C695" s="982" t="s">
        <v>1848</v>
      </c>
      <c r="D695" s="982"/>
      <c r="E695" s="982"/>
      <c r="F695" s="700" t="s">
        <v>1773</v>
      </c>
      <c r="G695" s="718">
        <v>109</v>
      </c>
      <c r="H695" s="701"/>
      <c r="I695" s="718">
        <v>109</v>
      </c>
      <c r="J695" s="711"/>
      <c r="K695" s="701"/>
      <c r="L695" s="706">
        <v>2473.73</v>
      </c>
      <c r="M695" s="701"/>
      <c r="N695" s="705">
        <v>110749.04</v>
      </c>
      <c r="AF695" s="684"/>
      <c r="AG695" s="693"/>
      <c r="AK695" s="696" t="s">
        <v>1848</v>
      </c>
      <c r="AM695" s="693"/>
      <c r="AP695" s="693"/>
      <c r="AR695" s="693"/>
    </row>
    <row r="696" spans="1:44" s="646" customFormat="1" ht="40.799999999999997" x14ac:dyDescent="0.3">
      <c r="A696" s="708"/>
      <c r="B696" s="698" t="s">
        <v>1849</v>
      </c>
      <c r="C696" s="982" t="s">
        <v>1850</v>
      </c>
      <c r="D696" s="982"/>
      <c r="E696" s="982"/>
      <c r="F696" s="700" t="s">
        <v>1773</v>
      </c>
      <c r="G696" s="718">
        <v>65</v>
      </c>
      <c r="H696" s="704">
        <v>0.85</v>
      </c>
      <c r="I696" s="704">
        <v>55.25</v>
      </c>
      <c r="J696" s="711"/>
      <c r="K696" s="701"/>
      <c r="L696" s="706">
        <v>1253.8900000000001</v>
      </c>
      <c r="M696" s="701"/>
      <c r="N696" s="705">
        <v>56136.55</v>
      </c>
      <c r="AF696" s="684"/>
      <c r="AG696" s="693"/>
      <c r="AK696" s="696" t="s">
        <v>1850</v>
      </c>
      <c r="AM696" s="693"/>
      <c r="AP696" s="693"/>
      <c r="AR696" s="693"/>
    </row>
    <row r="697" spans="1:44" s="646" customFormat="1" ht="14.4" x14ac:dyDescent="0.3">
      <c r="A697" s="719"/>
      <c r="B697" s="720"/>
      <c r="C697" s="985" t="s">
        <v>1776</v>
      </c>
      <c r="D697" s="985"/>
      <c r="E697" s="985"/>
      <c r="F697" s="687"/>
      <c r="G697" s="688"/>
      <c r="H697" s="688"/>
      <c r="I697" s="688"/>
      <c r="J697" s="691"/>
      <c r="K697" s="688"/>
      <c r="L697" s="721">
        <v>92614.080000000002</v>
      </c>
      <c r="M697" s="715"/>
      <c r="N697" s="722">
        <v>1010544.19</v>
      </c>
      <c r="AF697" s="684"/>
      <c r="AG697" s="693"/>
      <c r="AM697" s="693" t="s">
        <v>1776</v>
      </c>
      <c r="AP697" s="693"/>
      <c r="AR697" s="693"/>
    </row>
    <row r="698" spans="1:44" s="646" customFormat="1" ht="42" x14ac:dyDescent="0.3">
      <c r="A698" s="685" t="s">
        <v>2061</v>
      </c>
      <c r="B698" s="686" t="s">
        <v>2062</v>
      </c>
      <c r="C698" s="985" t="s">
        <v>2063</v>
      </c>
      <c r="D698" s="985"/>
      <c r="E698" s="985"/>
      <c r="F698" s="687" t="s">
        <v>1853</v>
      </c>
      <c r="G698" s="688">
        <v>3</v>
      </c>
      <c r="H698" s="689">
        <v>1</v>
      </c>
      <c r="I698" s="689">
        <v>3</v>
      </c>
      <c r="J698" s="691"/>
      <c r="K698" s="688"/>
      <c r="L698" s="691"/>
      <c r="M698" s="688"/>
      <c r="N698" s="692"/>
      <c r="AF698" s="684"/>
      <c r="AG698" s="693" t="s">
        <v>2063</v>
      </c>
      <c r="AM698" s="693"/>
      <c r="AP698" s="693"/>
      <c r="AR698" s="693"/>
    </row>
    <row r="699" spans="1:44" s="646" customFormat="1" ht="21.6" x14ac:dyDescent="0.3">
      <c r="A699" s="697"/>
      <c r="B699" s="698" t="s">
        <v>1759</v>
      </c>
      <c r="C699" s="974" t="s">
        <v>1760</v>
      </c>
      <c r="D699" s="974"/>
      <c r="E699" s="974"/>
      <c r="F699" s="974"/>
      <c r="G699" s="974"/>
      <c r="H699" s="974"/>
      <c r="I699" s="974"/>
      <c r="J699" s="974"/>
      <c r="K699" s="974"/>
      <c r="L699" s="974"/>
      <c r="M699" s="974"/>
      <c r="N699" s="987"/>
      <c r="AF699" s="684"/>
      <c r="AG699" s="693"/>
      <c r="AI699" s="696" t="s">
        <v>1760</v>
      </c>
      <c r="AM699" s="693"/>
      <c r="AP699" s="693"/>
      <c r="AR699" s="693"/>
    </row>
    <row r="700" spans="1:44" s="646" customFormat="1" ht="52.2" x14ac:dyDescent="0.3">
      <c r="A700" s="697"/>
      <c r="B700" s="698" t="s">
        <v>1761</v>
      </c>
      <c r="C700" s="974" t="s">
        <v>1762</v>
      </c>
      <c r="D700" s="974"/>
      <c r="E700" s="974"/>
      <c r="F700" s="974"/>
      <c r="G700" s="974"/>
      <c r="H700" s="974"/>
      <c r="I700" s="974"/>
      <c r="J700" s="974"/>
      <c r="K700" s="974"/>
      <c r="L700" s="974"/>
      <c r="M700" s="974"/>
      <c r="N700" s="987"/>
      <c r="AF700" s="684"/>
      <c r="AG700" s="693"/>
      <c r="AI700" s="696" t="s">
        <v>1762</v>
      </c>
      <c r="AM700" s="693"/>
      <c r="AP700" s="693"/>
      <c r="AR700" s="693"/>
    </row>
    <row r="701" spans="1:44" s="646" customFormat="1" ht="14.4" x14ac:dyDescent="0.3">
      <c r="A701" s="699"/>
      <c r="B701" s="698" t="s">
        <v>18</v>
      </c>
      <c r="C701" s="982" t="s">
        <v>1763</v>
      </c>
      <c r="D701" s="982"/>
      <c r="E701" s="982"/>
      <c r="F701" s="700"/>
      <c r="G701" s="701"/>
      <c r="H701" s="701"/>
      <c r="I701" s="701"/>
      <c r="J701" s="702">
        <v>316.8</v>
      </c>
      <c r="K701" s="725">
        <v>1.3225</v>
      </c>
      <c r="L701" s="706">
        <v>1256.9000000000001</v>
      </c>
      <c r="M701" s="704">
        <v>44.77</v>
      </c>
      <c r="N701" s="705">
        <v>56271.41</v>
      </c>
      <c r="AF701" s="684"/>
      <c r="AG701" s="693"/>
      <c r="AJ701" s="696" t="s">
        <v>1763</v>
      </c>
      <c r="AM701" s="693"/>
      <c r="AP701" s="693"/>
      <c r="AR701" s="693"/>
    </row>
    <row r="702" spans="1:44" s="646" customFormat="1" ht="14.4" x14ac:dyDescent="0.3">
      <c r="A702" s="699"/>
      <c r="B702" s="698" t="s">
        <v>21</v>
      </c>
      <c r="C702" s="982" t="s">
        <v>1764</v>
      </c>
      <c r="D702" s="982"/>
      <c r="E702" s="982"/>
      <c r="F702" s="700"/>
      <c r="G702" s="701"/>
      <c r="H702" s="701"/>
      <c r="I702" s="701"/>
      <c r="J702" s="706">
        <v>8602.08</v>
      </c>
      <c r="K702" s="725">
        <v>1.4375</v>
      </c>
      <c r="L702" s="706">
        <v>37096.47</v>
      </c>
      <c r="M702" s="704">
        <v>13.24</v>
      </c>
      <c r="N702" s="705">
        <v>491157.26</v>
      </c>
      <c r="AF702" s="684"/>
      <c r="AG702" s="693"/>
      <c r="AJ702" s="696" t="s">
        <v>1764</v>
      </c>
      <c r="AM702" s="693"/>
      <c r="AP702" s="693"/>
      <c r="AR702" s="693"/>
    </row>
    <row r="703" spans="1:44" s="646" customFormat="1" ht="14.4" x14ac:dyDescent="0.3">
      <c r="A703" s="699"/>
      <c r="B703" s="698" t="s">
        <v>23</v>
      </c>
      <c r="C703" s="982" t="s">
        <v>1765</v>
      </c>
      <c r="D703" s="982"/>
      <c r="E703" s="982"/>
      <c r="F703" s="700"/>
      <c r="G703" s="701"/>
      <c r="H703" s="701"/>
      <c r="I703" s="701"/>
      <c r="J703" s="702">
        <v>328.35</v>
      </c>
      <c r="K703" s="725">
        <v>1.4375</v>
      </c>
      <c r="L703" s="706">
        <v>1416.01</v>
      </c>
      <c r="M703" s="704">
        <v>44.77</v>
      </c>
      <c r="N703" s="705">
        <v>63394.77</v>
      </c>
      <c r="AF703" s="684"/>
      <c r="AG703" s="693"/>
      <c r="AJ703" s="696" t="s">
        <v>1765</v>
      </c>
      <c r="AM703" s="693"/>
      <c r="AP703" s="693"/>
      <c r="AR703" s="693"/>
    </row>
    <row r="704" spans="1:44" s="646" customFormat="1" ht="14.4" x14ac:dyDescent="0.3">
      <c r="A704" s="708"/>
      <c r="B704" s="698"/>
      <c r="C704" s="982" t="s">
        <v>1767</v>
      </c>
      <c r="D704" s="982"/>
      <c r="E704" s="982"/>
      <c r="F704" s="700" t="s">
        <v>695</v>
      </c>
      <c r="G704" s="704">
        <v>34.51</v>
      </c>
      <c r="H704" s="725">
        <v>1.3225</v>
      </c>
      <c r="I704" s="723">
        <v>136.91842500000001</v>
      </c>
      <c r="J704" s="711"/>
      <c r="K704" s="701"/>
      <c r="L704" s="711"/>
      <c r="M704" s="701"/>
      <c r="N704" s="712"/>
      <c r="AF704" s="684"/>
      <c r="AG704" s="693"/>
      <c r="AK704" s="696" t="s">
        <v>1767</v>
      </c>
      <c r="AM704" s="693"/>
      <c r="AP704" s="693"/>
      <c r="AR704" s="693"/>
    </row>
    <row r="705" spans="1:44" s="646" customFormat="1" ht="14.4" x14ac:dyDescent="0.3">
      <c r="A705" s="708"/>
      <c r="B705" s="698"/>
      <c r="C705" s="982" t="s">
        <v>1768</v>
      </c>
      <c r="D705" s="982"/>
      <c r="E705" s="982"/>
      <c r="F705" s="700" t="s">
        <v>695</v>
      </c>
      <c r="G705" s="704">
        <v>25.66</v>
      </c>
      <c r="H705" s="725">
        <v>1.4375</v>
      </c>
      <c r="I705" s="713">
        <v>110.65875</v>
      </c>
      <c r="J705" s="711"/>
      <c r="K705" s="701"/>
      <c r="L705" s="711"/>
      <c r="M705" s="701"/>
      <c r="N705" s="712"/>
      <c r="AF705" s="684"/>
      <c r="AG705" s="693"/>
      <c r="AK705" s="696" t="s">
        <v>1768</v>
      </c>
      <c r="AM705" s="693"/>
      <c r="AP705" s="693"/>
      <c r="AR705" s="693"/>
    </row>
    <row r="706" spans="1:44" s="646" customFormat="1" ht="14.4" x14ac:dyDescent="0.3">
      <c r="A706" s="699"/>
      <c r="B706" s="698"/>
      <c r="C706" s="986" t="s">
        <v>1769</v>
      </c>
      <c r="D706" s="986"/>
      <c r="E706" s="986"/>
      <c r="F706" s="714"/>
      <c r="G706" s="715"/>
      <c r="H706" s="715"/>
      <c r="I706" s="715"/>
      <c r="J706" s="716">
        <v>8918.8799999999992</v>
      </c>
      <c r="K706" s="715"/>
      <c r="L706" s="716">
        <v>38353.370000000003</v>
      </c>
      <c r="M706" s="715"/>
      <c r="N706" s="717">
        <v>547428.67000000004</v>
      </c>
      <c r="AF706" s="684"/>
      <c r="AG706" s="693"/>
      <c r="AL706" s="696" t="s">
        <v>1769</v>
      </c>
      <c r="AM706" s="693"/>
      <c r="AP706" s="693"/>
      <c r="AR706" s="693"/>
    </row>
    <row r="707" spans="1:44" s="646" customFormat="1" ht="14.4" x14ac:dyDescent="0.3">
      <c r="A707" s="708"/>
      <c r="B707" s="698"/>
      <c r="C707" s="982" t="s">
        <v>1770</v>
      </c>
      <c r="D707" s="982"/>
      <c r="E707" s="982"/>
      <c r="F707" s="700"/>
      <c r="G707" s="701"/>
      <c r="H707" s="701"/>
      <c r="I707" s="701"/>
      <c r="J707" s="711"/>
      <c r="K707" s="701"/>
      <c r="L707" s="706">
        <v>2672.91</v>
      </c>
      <c r="M707" s="701"/>
      <c r="N707" s="705">
        <v>119666.18</v>
      </c>
      <c r="AF707" s="684"/>
      <c r="AG707" s="693"/>
      <c r="AK707" s="696" t="s">
        <v>1770</v>
      </c>
      <c r="AM707" s="693"/>
      <c r="AP707" s="693"/>
      <c r="AR707" s="693"/>
    </row>
    <row r="708" spans="1:44" s="646" customFormat="1" ht="20.399999999999999" x14ac:dyDescent="0.3">
      <c r="A708" s="708"/>
      <c r="B708" s="698" t="s">
        <v>1847</v>
      </c>
      <c r="C708" s="982" t="s">
        <v>1848</v>
      </c>
      <c r="D708" s="982"/>
      <c r="E708" s="982"/>
      <c r="F708" s="700" t="s">
        <v>1773</v>
      </c>
      <c r="G708" s="718">
        <v>109</v>
      </c>
      <c r="H708" s="701"/>
      <c r="I708" s="718">
        <v>109</v>
      </c>
      <c r="J708" s="711"/>
      <c r="K708" s="701"/>
      <c r="L708" s="706">
        <v>2913.47</v>
      </c>
      <c r="M708" s="701"/>
      <c r="N708" s="705">
        <v>130436.14</v>
      </c>
      <c r="AF708" s="684"/>
      <c r="AG708" s="693"/>
      <c r="AK708" s="696" t="s">
        <v>1848</v>
      </c>
      <c r="AM708" s="693"/>
      <c r="AP708" s="693"/>
      <c r="AR708" s="693"/>
    </row>
    <row r="709" spans="1:44" s="646" customFormat="1" ht="40.799999999999997" x14ac:dyDescent="0.3">
      <c r="A709" s="708"/>
      <c r="B709" s="698" t="s">
        <v>1849</v>
      </c>
      <c r="C709" s="982" t="s">
        <v>1850</v>
      </c>
      <c r="D709" s="982"/>
      <c r="E709" s="982"/>
      <c r="F709" s="700" t="s">
        <v>1773</v>
      </c>
      <c r="G709" s="718">
        <v>65</v>
      </c>
      <c r="H709" s="704">
        <v>0.85</v>
      </c>
      <c r="I709" s="704">
        <v>55.25</v>
      </c>
      <c r="J709" s="711"/>
      <c r="K709" s="701"/>
      <c r="L709" s="706">
        <v>1476.78</v>
      </c>
      <c r="M709" s="701"/>
      <c r="N709" s="705">
        <v>66115.56</v>
      </c>
      <c r="AF709" s="684"/>
      <c r="AG709" s="693"/>
      <c r="AK709" s="696" t="s">
        <v>1850</v>
      </c>
      <c r="AM709" s="693"/>
      <c r="AP709" s="693"/>
      <c r="AR709" s="693"/>
    </row>
    <row r="710" spans="1:44" s="646" customFormat="1" ht="14.4" x14ac:dyDescent="0.3">
      <c r="A710" s="719"/>
      <c r="B710" s="720"/>
      <c r="C710" s="985" t="s">
        <v>1776</v>
      </c>
      <c r="D710" s="985"/>
      <c r="E710" s="985"/>
      <c r="F710" s="687"/>
      <c r="G710" s="688"/>
      <c r="H710" s="688"/>
      <c r="I710" s="688"/>
      <c r="J710" s="691"/>
      <c r="K710" s="688"/>
      <c r="L710" s="721">
        <v>42743.62</v>
      </c>
      <c r="M710" s="715"/>
      <c r="N710" s="722">
        <v>743980.37</v>
      </c>
      <c r="AF710" s="684"/>
      <c r="AG710" s="693"/>
      <c r="AM710" s="693" t="s">
        <v>1776</v>
      </c>
      <c r="AP710" s="693"/>
      <c r="AR710" s="693"/>
    </row>
    <row r="711" spans="1:44" s="646" customFormat="1" ht="21.6" x14ac:dyDescent="0.3">
      <c r="A711" s="685" t="s">
        <v>2064</v>
      </c>
      <c r="B711" s="686" t="s">
        <v>2026</v>
      </c>
      <c r="C711" s="985" t="s">
        <v>2065</v>
      </c>
      <c r="D711" s="985"/>
      <c r="E711" s="985"/>
      <c r="F711" s="687" t="s">
        <v>1853</v>
      </c>
      <c r="G711" s="688">
        <v>3</v>
      </c>
      <c r="H711" s="689">
        <v>1</v>
      </c>
      <c r="I711" s="689">
        <v>3</v>
      </c>
      <c r="J711" s="721">
        <v>339767.16</v>
      </c>
      <c r="K711" s="690">
        <v>1.012</v>
      </c>
      <c r="L711" s="721">
        <v>1031533.1</v>
      </c>
      <c r="M711" s="727">
        <v>8.16</v>
      </c>
      <c r="N711" s="722">
        <v>8417310.0999999996</v>
      </c>
      <c r="AF711" s="684"/>
      <c r="AG711" s="693" t="s">
        <v>2065</v>
      </c>
      <c r="AM711" s="693"/>
      <c r="AP711" s="693"/>
      <c r="AR711" s="693"/>
    </row>
    <row r="712" spans="1:44" s="646" customFormat="1" ht="14.4" x14ac:dyDescent="0.3">
      <c r="A712" s="719"/>
      <c r="B712" s="720"/>
      <c r="C712" s="982" t="s">
        <v>1793</v>
      </c>
      <c r="D712" s="982"/>
      <c r="E712" s="982"/>
      <c r="F712" s="982"/>
      <c r="G712" s="982"/>
      <c r="H712" s="982"/>
      <c r="I712" s="982"/>
      <c r="J712" s="982"/>
      <c r="K712" s="982"/>
      <c r="L712" s="982"/>
      <c r="M712" s="982"/>
      <c r="N712" s="988"/>
      <c r="AF712" s="684"/>
      <c r="AG712" s="693"/>
      <c r="AM712" s="693"/>
      <c r="AN712" s="696" t="s">
        <v>1793</v>
      </c>
      <c r="AP712" s="693"/>
      <c r="AR712" s="693"/>
    </row>
    <row r="713" spans="1:44" s="646" customFormat="1" ht="14.4" x14ac:dyDescent="0.3">
      <c r="A713" s="694"/>
      <c r="B713" s="695"/>
      <c r="C713" s="982" t="s">
        <v>2066</v>
      </c>
      <c r="D713" s="982"/>
      <c r="E713" s="982"/>
      <c r="F713" s="982"/>
      <c r="G713" s="982"/>
      <c r="H713" s="982"/>
      <c r="I713" s="982"/>
      <c r="J713" s="982"/>
      <c r="K713" s="982"/>
      <c r="L713" s="982"/>
      <c r="M713" s="982"/>
      <c r="N713" s="988"/>
      <c r="AF713" s="684"/>
      <c r="AG713" s="693"/>
      <c r="AM713" s="693"/>
      <c r="AO713" s="696" t="s">
        <v>2066</v>
      </c>
      <c r="AP713" s="693"/>
      <c r="AR713" s="693"/>
    </row>
    <row r="714" spans="1:44" s="646" customFormat="1" ht="14.4" x14ac:dyDescent="0.3">
      <c r="A714" s="697"/>
      <c r="B714" s="698"/>
      <c r="C714" s="974" t="s">
        <v>1888</v>
      </c>
      <c r="D714" s="974"/>
      <c r="E714" s="974"/>
      <c r="F714" s="974"/>
      <c r="G714" s="974"/>
      <c r="H714" s="974"/>
      <c r="I714" s="974"/>
      <c r="J714" s="974"/>
      <c r="K714" s="974"/>
      <c r="L714" s="974"/>
      <c r="M714" s="974"/>
      <c r="N714" s="987"/>
      <c r="AF714" s="684"/>
      <c r="AG714" s="693"/>
      <c r="AI714" s="696" t="s">
        <v>1888</v>
      </c>
      <c r="AM714" s="693"/>
      <c r="AP714" s="693"/>
      <c r="AR714" s="693"/>
    </row>
    <row r="715" spans="1:44" s="646" customFormat="1" ht="14.4" x14ac:dyDescent="0.3">
      <c r="A715" s="719"/>
      <c r="B715" s="720"/>
      <c r="C715" s="985" t="s">
        <v>1776</v>
      </c>
      <c r="D715" s="985"/>
      <c r="E715" s="985"/>
      <c r="F715" s="687"/>
      <c r="G715" s="688"/>
      <c r="H715" s="688"/>
      <c r="I715" s="688"/>
      <c r="J715" s="691"/>
      <c r="K715" s="688"/>
      <c r="L715" s="721">
        <v>1031533.1</v>
      </c>
      <c r="M715" s="715"/>
      <c r="N715" s="722">
        <v>8417310.0999999996</v>
      </c>
      <c r="AF715" s="684"/>
      <c r="AG715" s="693"/>
      <c r="AM715" s="693" t="s">
        <v>1776</v>
      </c>
      <c r="AP715" s="693"/>
      <c r="AR715" s="693"/>
    </row>
    <row r="716" spans="1:44" s="646" customFormat="1" ht="20.399999999999999" x14ac:dyDescent="0.3">
      <c r="A716" s="685" t="s">
        <v>2067</v>
      </c>
      <c r="B716" s="686" t="s">
        <v>2026</v>
      </c>
      <c r="C716" s="985" t="s">
        <v>2068</v>
      </c>
      <c r="D716" s="985"/>
      <c r="E716" s="985"/>
      <c r="F716" s="687" t="s">
        <v>1853</v>
      </c>
      <c r="G716" s="688">
        <v>3</v>
      </c>
      <c r="H716" s="689">
        <v>1</v>
      </c>
      <c r="I716" s="689">
        <v>3</v>
      </c>
      <c r="J716" s="721">
        <v>35559.64</v>
      </c>
      <c r="K716" s="690">
        <v>1.012</v>
      </c>
      <c r="L716" s="721">
        <v>107959.07</v>
      </c>
      <c r="M716" s="727">
        <v>8.16</v>
      </c>
      <c r="N716" s="722">
        <v>880946.01</v>
      </c>
      <c r="AF716" s="684"/>
      <c r="AG716" s="693" t="s">
        <v>2068</v>
      </c>
      <c r="AM716" s="693"/>
      <c r="AP716" s="693"/>
      <c r="AR716" s="693"/>
    </row>
    <row r="717" spans="1:44" s="646" customFormat="1" ht="14.4" x14ac:dyDescent="0.3">
      <c r="A717" s="719"/>
      <c r="B717" s="720"/>
      <c r="C717" s="982" t="s">
        <v>1793</v>
      </c>
      <c r="D717" s="982"/>
      <c r="E717" s="982"/>
      <c r="F717" s="982"/>
      <c r="G717" s="982"/>
      <c r="H717" s="982"/>
      <c r="I717" s="982"/>
      <c r="J717" s="982"/>
      <c r="K717" s="982"/>
      <c r="L717" s="982"/>
      <c r="M717" s="982"/>
      <c r="N717" s="988"/>
      <c r="AF717" s="684"/>
      <c r="AG717" s="693"/>
      <c r="AM717" s="693"/>
      <c r="AN717" s="696" t="s">
        <v>1793</v>
      </c>
      <c r="AP717" s="693"/>
      <c r="AR717" s="693"/>
    </row>
    <row r="718" spans="1:44" s="646" customFormat="1" ht="14.4" x14ac:dyDescent="0.3">
      <c r="A718" s="694"/>
      <c r="B718" s="695"/>
      <c r="C718" s="982" t="s">
        <v>2069</v>
      </c>
      <c r="D718" s="982"/>
      <c r="E718" s="982"/>
      <c r="F718" s="982"/>
      <c r="G718" s="982"/>
      <c r="H718" s="982"/>
      <c r="I718" s="982"/>
      <c r="J718" s="982"/>
      <c r="K718" s="982"/>
      <c r="L718" s="982"/>
      <c r="M718" s="982"/>
      <c r="N718" s="988"/>
      <c r="AF718" s="684"/>
      <c r="AG718" s="693"/>
      <c r="AM718" s="693"/>
      <c r="AO718" s="696" t="s">
        <v>2069</v>
      </c>
      <c r="AP718" s="693"/>
      <c r="AR718" s="693"/>
    </row>
    <row r="719" spans="1:44" s="646" customFormat="1" ht="14.4" x14ac:dyDescent="0.3">
      <c r="A719" s="697"/>
      <c r="B719" s="698"/>
      <c r="C719" s="974" t="s">
        <v>1888</v>
      </c>
      <c r="D719" s="974"/>
      <c r="E719" s="974"/>
      <c r="F719" s="974"/>
      <c r="G719" s="974"/>
      <c r="H719" s="974"/>
      <c r="I719" s="974"/>
      <c r="J719" s="974"/>
      <c r="K719" s="974"/>
      <c r="L719" s="974"/>
      <c r="M719" s="974"/>
      <c r="N719" s="987"/>
      <c r="AF719" s="684"/>
      <c r="AG719" s="693"/>
      <c r="AI719" s="696" t="s">
        <v>1888</v>
      </c>
      <c r="AM719" s="693"/>
      <c r="AP719" s="693"/>
      <c r="AR719" s="693"/>
    </row>
    <row r="720" spans="1:44" s="646" customFormat="1" ht="14.4" x14ac:dyDescent="0.3">
      <c r="A720" s="719"/>
      <c r="B720" s="720"/>
      <c r="C720" s="985" t="s">
        <v>1776</v>
      </c>
      <c r="D720" s="985"/>
      <c r="E720" s="985"/>
      <c r="F720" s="687"/>
      <c r="G720" s="688"/>
      <c r="H720" s="688"/>
      <c r="I720" s="688"/>
      <c r="J720" s="691"/>
      <c r="K720" s="688"/>
      <c r="L720" s="721">
        <v>107959.07</v>
      </c>
      <c r="M720" s="715"/>
      <c r="N720" s="722">
        <v>880946.01</v>
      </c>
      <c r="AF720" s="684"/>
      <c r="AG720" s="693"/>
      <c r="AM720" s="693" t="s">
        <v>1776</v>
      </c>
      <c r="AP720" s="693"/>
      <c r="AR720" s="693"/>
    </row>
    <row r="721" spans="1:44" s="646" customFormat="1" ht="21.6" x14ac:dyDescent="0.3">
      <c r="A721" s="685" t="s">
        <v>2070</v>
      </c>
      <c r="B721" s="686" t="s">
        <v>2071</v>
      </c>
      <c r="C721" s="985" t="s">
        <v>2072</v>
      </c>
      <c r="D721" s="985"/>
      <c r="E721" s="985"/>
      <c r="F721" s="687" t="s">
        <v>1846</v>
      </c>
      <c r="G721" s="688">
        <v>1</v>
      </c>
      <c r="H721" s="689">
        <v>1</v>
      </c>
      <c r="I721" s="689">
        <v>1</v>
      </c>
      <c r="J721" s="691"/>
      <c r="K721" s="688"/>
      <c r="L721" s="691"/>
      <c r="M721" s="688"/>
      <c r="N721" s="692"/>
      <c r="AF721" s="684"/>
      <c r="AG721" s="693" t="s">
        <v>2072</v>
      </c>
      <c r="AM721" s="693"/>
      <c r="AP721" s="693"/>
      <c r="AR721" s="693"/>
    </row>
    <row r="722" spans="1:44" s="646" customFormat="1" ht="21.6" x14ac:dyDescent="0.3">
      <c r="A722" s="697"/>
      <c r="B722" s="698" t="s">
        <v>1759</v>
      </c>
      <c r="C722" s="974" t="s">
        <v>1760</v>
      </c>
      <c r="D722" s="974"/>
      <c r="E722" s="974"/>
      <c r="F722" s="974"/>
      <c r="G722" s="974"/>
      <c r="H722" s="974"/>
      <c r="I722" s="974"/>
      <c r="J722" s="974"/>
      <c r="K722" s="974"/>
      <c r="L722" s="974"/>
      <c r="M722" s="974"/>
      <c r="N722" s="987"/>
      <c r="AF722" s="684"/>
      <c r="AG722" s="693"/>
      <c r="AI722" s="696" t="s">
        <v>1760</v>
      </c>
      <c r="AM722" s="693"/>
      <c r="AP722" s="693"/>
      <c r="AR722" s="693"/>
    </row>
    <row r="723" spans="1:44" s="646" customFormat="1" ht="52.2" x14ac:dyDescent="0.3">
      <c r="A723" s="697"/>
      <c r="B723" s="698" t="s">
        <v>1761</v>
      </c>
      <c r="C723" s="974" t="s">
        <v>1762</v>
      </c>
      <c r="D723" s="974"/>
      <c r="E723" s="974"/>
      <c r="F723" s="974"/>
      <c r="G723" s="974"/>
      <c r="H723" s="974"/>
      <c r="I723" s="974"/>
      <c r="J723" s="974"/>
      <c r="K723" s="974"/>
      <c r="L723" s="974"/>
      <c r="M723" s="974"/>
      <c r="N723" s="987"/>
      <c r="AF723" s="684"/>
      <c r="AG723" s="693"/>
      <c r="AI723" s="696" t="s">
        <v>1762</v>
      </c>
      <c r="AM723" s="693"/>
      <c r="AP723" s="693"/>
      <c r="AR723" s="693"/>
    </row>
    <row r="724" spans="1:44" s="646" customFormat="1" ht="14.4" x14ac:dyDescent="0.3">
      <c r="A724" s="699"/>
      <c r="B724" s="698" t="s">
        <v>18</v>
      </c>
      <c r="C724" s="982" t="s">
        <v>1763</v>
      </c>
      <c r="D724" s="982"/>
      <c r="E724" s="982"/>
      <c r="F724" s="700"/>
      <c r="G724" s="701"/>
      <c r="H724" s="701"/>
      <c r="I724" s="701"/>
      <c r="J724" s="702">
        <v>660.34</v>
      </c>
      <c r="K724" s="725">
        <v>1.3225</v>
      </c>
      <c r="L724" s="702">
        <v>873.3</v>
      </c>
      <c r="M724" s="704">
        <v>44.77</v>
      </c>
      <c r="N724" s="705">
        <v>39097.64</v>
      </c>
      <c r="AF724" s="684"/>
      <c r="AG724" s="693"/>
      <c r="AJ724" s="696" t="s">
        <v>1763</v>
      </c>
      <c r="AM724" s="693"/>
      <c r="AP724" s="693"/>
      <c r="AR724" s="693"/>
    </row>
    <row r="725" spans="1:44" s="646" customFormat="1" ht="14.4" x14ac:dyDescent="0.3">
      <c r="A725" s="699"/>
      <c r="B725" s="698" t="s">
        <v>21</v>
      </c>
      <c r="C725" s="982" t="s">
        <v>1764</v>
      </c>
      <c r="D725" s="982"/>
      <c r="E725" s="982"/>
      <c r="F725" s="700"/>
      <c r="G725" s="701"/>
      <c r="H725" s="701"/>
      <c r="I725" s="701"/>
      <c r="J725" s="706">
        <v>2600.9299999999998</v>
      </c>
      <c r="K725" s="725">
        <v>1.4375</v>
      </c>
      <c r="L725" s="706">
        <v>3738.84</v>
      </c>
      <c r="M725" s="704">
        <v>13.24</v>
      </c>
      <c r="N725" s="705">
        <v>49502.239999999998</v>
      </c>
      <c r="AF725" s="684"/>
      <c r="AG725" s="693"/>
      <c r="AJ725" s="696" t="s">
        <v>1764</v>
      </c>
      <c r="AM725" s="693"/>
      <c r="AP725" s="693"/>
      <c r="AR725" s="693"/>
    </row>
    <row r="726" spans="1:44" s="646" customFormat="1" ht="14.4" x14ac:dyDescent="0.3">
      <c r="A726" s="699"/>
      <c r="B726" s="698" t="s">
        <v>23</v>
      </c>
      <c r="C726" s="982" t="s">
        <v>1765</v>
      </c>
      <c r="D726" s="982"/>
      <c r="E726" s="982"/>
      <c r="F726" s="700"/>
      <c r="G726" s="701"/>
      <c r="H726" s="701"/>
      <c r="I726" s="701"/>
      <c r="J726" s="702">
        <v>282.81</v>
      </c>
      <c r="K726" s="725">
        <v>1.4375</v>
      </c>
      <c r="L726" s="702">
        <v>406.54</v>
      </c>
      <c r="M726" s="704">
        <v>44.77</v>
      </c>
      <c r="N726" s="705">
        <v>18200.8</v>
      </c>
      <c r="AF726" s="684"/>
      <c r="AG726" s="693"/>
      <c r="AJ726" s="696" t="s">
        <v>1765</v>
      </c>
      <c r="AM726" s="693"/>
      <c r="AP726" s="693"/>
      <c r="AR726" s="693"/>
    </row>
    <row r="727" spans="1:44" s="646" customFormat="1" ht="14.4" x14ac:dyDescent="0.3">
      <c r="A727" s="699"/>
      <c r="B727" s="698" t="s">
        <v>25</v>
      </c>
      <c r="C727" s="982" t="s">
        <v>1766</v>
      </c>
      <c r="D727" s="982"/>
      <c r="E727" s="982"/>
      <c r="F727" s="700"/>
      <c r="G727" s="701"/>
      <c r="H727" s="701"/>
      <c r="I727" s="701"/>
      <c r="J727" s="706">
        <v>12218.73</v>
      </c>
      <c r="K727" s="701"/>
      <c r="L727" s="706">
        <v>12218.73</v>
      </c>
      <c r="M727" s="704">
        <v>8.16</v>
      </c>
      <c r="N727" s="705">
        <v>99704.84</v>
      </c>
      <c r="AF727" s="684"/>
      <c r="AG727" s="693"/>
      <c r="AJ727" s="696" t="s">
        <v>1766</v>
      </c>
      <c r="AM727" s="693"/>
      <c r="AP727" s="693"/>
      <c r="AR727" s="693"/>
    </row>
    <row r="728" spans="1:44" s="646" customFormat="1" ht="14.4" x14ac:dyDescent="0.3">
      <c r="A728" s="708"/>
      <c r="B728" s="698"/>
      <c r="C728" s="982" t="s">
        <v>1767</v>
      </c>
      <c r="D728" s="982"/>
      <c r="E728" s="982"/>
      <c r="F728" s="700" t="s">
        <v>695</v>
      </c>
      <c r="G728" s="709">
        <v>78.8</v>
      </c>
      <c r="H728" s="725">
        <v>1.3225</v>
      </c>
      <c r="I728" s="703">
        <v>104.21299999999999</v>
      </c>
      <c r="J728" s="711"/>
      <c r="K728" s="701"/>
      <c r="L728" s="711"/>
      <c r="M728" s="701"/>
      <c r="N728" s="712"/>
      <c r="AF728" s="684"/>
      <c r="AG728" s="693"/>
      <c r="AK728" s="696" t="s">
        <v>1767</v>
      </c>
      <c r="AM728" s="693"/>
      <c r="AP728" s="693"/>
      <c r="AR728" s="693"/>
    </row>
    <row r="729" spans="1:44" s="646" customFormat="1" ht="14.4" x14ac:dyDescent="0.3">
      <c r="A729" s="708"/>
      <c r="B729" s="698"/>
      <c r="C729" s="982" t="s">
        <v>1768</v>
      </c>
      <c r="D729" s="982"/>
      <c r="E729" s="982"/>
      <c r="F729" s="700" t="s">
        <v>695</v>
      </c>
      <c r="G729" s="704">
        <v>22.71</v>
      </c>
      <c r="H729" s="725">
        <v>1.4375</v>
      </c>
      <c r="I729" s="723">
        <v>32.645625000000003</v>
      </c>
      <c r="J729" s="711"/>
      <c r="K729" s="701"/>
      <c r="L729" s="711"/>
      <c r="M729" s="701"/>
      <c r="N729" s="712"/>
      <c r="AF729" s="684"/>
      <c r="AG729" s="693"/>
      <c r="AK729" s="696" t="s">
        <v>1768</v>
      </c>
      <c r="AM729" s="693"/>
      <c r="AP729" s="693"/>
      <c r="AR729" s="693"/>
    </row>
    <row r="730" spans="1:44" s="646" customFormat="1" ht="14.4" x14ac:dyDescent="0.3">
      <c r="A730" s="699"/>
      <c r="B730" s="698"/>
      <c r="C730" s="986" t="s">
        <v>1769</v>
      </c>
      <c r="D730" s="986"/>
      <c r="E730" s="986"/>
      <c r="F730" s="714"/>
      <c r="G730" s="715"/>
      <c r="H730" s="715"/>
      <c r="I730" s="715"/>
      <c r="J730" s="716">
        <v>15480</v>
      </c>
      <c r="K730" s="715"/>
      <c r="L730" s="716">
        <v>16830.87</v>
      </c>
      <c r="M730" s="715"/>
      <c r="N730" s="717">
        <v>188304.72</v>
      </c>
      <c r="AF730" s="684"/>
      <c r="AG730" s="693"/>
      <c r="AL730" s="696" t="s">
        <v>1769</v>
      </c>
      <c r="AM730" s="693"/>
      <c r="AP730" s="693"/>
      <c r="AR730" s="693"/>
    </row>
    <row r="731" spans="1:44" s="646" customFormat="1" ht="14.4" x14ac:dyDescent="0.3">
      <c r="A731" s="708"/>
      <c r="B731" s="698"/>
      <c r="C731" s="982" t="s">
        <v>1770</v>
      </c>
      <c r="D731" s="982"/>
      <c r="E731" s="982"/>
      <c r="F731" s="700"/>
      <c r="G731" s="701"/>
      <c r="H731" s="701"/>
      <c r="I731" s="701"/>
      <c r="J731" s="711"/>
      <c r="K731" s="701"/>
      <c r="L731" s="706">
        <v>1279.8399999999999</v>
      </c>
      <c r="M731" s="701"/>
      <c r="N731" s="705">
        <v>57298.44</v>
      </c>
      <c r="AF731" s="684"/>
      <c r="AG731" s="693"/>
      <c r="AK731" s="696" t="s">
        <v>1770</v>
      </c>
      <c r="AM731" s="693"/>
      <c r="AP731" s="693"/>
      <c r="AR731" s="693"/>
    </row>
    <row r="732" spans="1:44" s="646" customFormat="1" ht="20.399999999999999" x14ac:dyDescent="0.3">
      <c r="A732" s="708"/>
      <c r="B732" s="698" t="s">
        <v>1847</v>
      </c>
      <c r="C732" s="982" t="s">
        <v>1848</v>
      </c>
      <c r="D732" s="982"/>
      <c r="E732" s="982"/>
      <c r="F732" s="700" t="s">
        <v>1773</v>
      </c>
      <c r="G732" s="718">
        <v>109</v>
      </c>
      <c r="H732" s="701"/>
      <c r="I732" s="718">
        <v>109</v>
      </c>
      <c r="J732" s="711"/>
      <c r="K732" s="701"/>
      <c r="L732" s="706">
        <v>1395.03</v>
      </c>
      <c r="M732" s="701"/>
      <c r="N732" s="705">
        <v>62455.3</v>
      </c>
      <c r="AF732" s="684"/>
      <c r="AG732" s="693"/>
      <c r="AK732" s="696" t="s">
        <v>1848</v>
      </c>
      <c r="AM732" s="693"/>
      <c r="AP732" s="693"/>
      <c r="AR732" s="693"/>
    </row>
    <row r="733" spans="1:44" s="646" customFormat="1" ht="40.799999999999997" x14ac:dyDescent="0.3">
      <c r="A733" s="708"/>
      <c r="B733" s="698" t="s">
        <v>1849</v>
      </c>
      <c r="C733" s="982" t="s">
        <v>1850</v>
      </c>
      <c r="D733" s="982"/>
      <c r="E733" s="982"/>
      <c r="F733" s="700" t="s">
        <v>1773</v>
      </c>
      <c r="G733" s="718">
        <v>65</v>
      </c>
      <c r="H733" s="704">
        <v>0.85</v>
      </c>
      <c r="I733" s="704">
        <v>55.25</v>
      </c>
      <c r="J733" s="711"/>
      <c r="K733" s="701"/>
      <c r="L733" s="702">
        <v>707.11</v>
      </c>
      <c r="M733" s="701"/>
      <c r="N733" s="705">
        <v>31657.39</v>
      </c>
      <c r="AF733" s="684"/>
      <c r="AG733" s="693"/>
      <c r="AK733" s="696" t="s">
        <v>1850</v>
      </c>
      <c r="AM733" s="693"/>
      <c r="AP733" s="693"/>
      <c r="AR733" s="693"/>
    </row>
    <row r="734" spans="1:44" s="646" customFormat="1" ht="14.4" x14ac:dyDescent="0.3">
      <c r="A734" s="719"/>
      <c r="B734" s="720"/>
      <c r="C734" s="985" t="s">
        <v>1776</v>
      </c>
      <c r="D734" s="985"/>
      <c r="E734" s="985"/>
      <c r="F734" s="687"/>
      <c r="G734" s="688"/>
      <c r="H734" s="688"/>
      <c r="I734" s="688"/>
      <c r="J734" s="691"/>
      <c r="K734" s="688"/>
      <c r="L734" s="721">
        <v>18933.009999999998</v>
      </c>
      <c r="M734" s="715"/>
      <c r="N734" s="722">
        <v>282417.40999999997</v>
      </c>
      <c r="AF734" s="684"/>
      <c r="AG734" s="693"/>
      <c r="AM734" s="693" t="s">
        <v>1776</v>
      </c>
      <c r="AP734" s="693"/>
      <c r="AR734" s="693"/>
    </row>
    <row r="735" spans="1:44" s="646" customFormat="1" ht="14.4" x14ac:dyDescent="0.3">
      <c r="A735" s="685" t="s">
        <v>2073</v>
      </c>
      <c r="B735" s="686" t="s">
        <v>2074</v>
      </c>
      <c r="C735" s="985" t="s">
        <v>2075</v>
      </c>
      <c r="D735" s="985"/>
      <c r="E735" s="985"/>
      <c r="F735" s="687" t="s">
        <v>224</v>
      </c>
      <c r="G735" s="688">
        <v>-1.94</v>
      </c>
      <c r="H735" s="689">
        <v>1</v>
      </c>
      <c r="I735" s="727">
        <v>-1.94</v>
      </c>
      <c r="J735" s="721">
        <v>1448.8</v>
      </c>
      <c r="K735" s="688"/>
      <c r="L735" s="721">
        <v>-2810.67</v>
      </c>
      <c r="M735" s="727">
        <v>8.16</v>
      </c>
      <c r="N735" s="722">
        <v>-22935.07</v>
      </c>
      <c r="AF735" s="684"/>
      <c r="AG735" s="693" t="s">
        <v>2075</v>
      </c>
      <c r="AM735" s="693"/>
      <c r="AP735" s="693"/>
      <c r="AR735" s="693"/>
    </row>
    <row r="736" spans="1:44" s="646" customFormat="1" ht="14.4" x14ac:dyDescent="0.3">
      <c r="A736" s="719"/>
      <c r="B736" s="720"/>
      <c r="C736" s="982" t="s">
        <v>1884</v>
      </c>
      <c r="D736" s="982"/>
      <c r="E736" s="982"/>
      <c r="F736" s="982"/>
      <c r="G736" s="982"/>
      <c r="H736" s="982"/>
      <c r="I736" s="982"/>
      <c r="J736" s="982"/>
      <c r="K736" s="982"/>
      <c r="L736" s="982"/>
      <c r="M736" s="982"/>
      <c r="N736" s="988"/>
      <c r="AF736" s="684"/>
      <c r="AG736" s="693"/>
      <c r="AM736" s="693"/>
      <c r="AN736" s="696" t="s">
        <v>1884</v>
      </c>
      <c r="AP736" s="693"/>
      <c r="AR736" s="693"/>
    </row>
    <row r="737" spans="1:44" s="646" customFormat="1" ht="14.4" x14ac:dyDescent="0.3">
      <c r="A737" s="719"/>
      <c r="B737" s="720"/>
      <c r="C737" s="985" t="s">
        <v>1776</v>
      </c>
      <c r="D737" s="985"/>
      <c r="E737" s="985"/>
      <c r="F737" s="687"/>
      <c r="G737" s="688"/>
      <c r="H737" s="688"/>
      <c r="I737" s="688"/>
      <c r="J737" s="691"/>
      <c r="K737" s="688"/>
      <c r="L737" s="721">
        <v>-2810.67</v>
      </c>
      <c r="M737" s="715"/>
      <c r="N737" s="722">
        <v>-22935.07</v>
      </c>
      <c r="AF737" s="684"/>
      <c r="AG737" s="693"/>
      <c r="AM737" s="693" t="s">
        <v>1776</v>
      </c>
      <c r="AP737" s="693"/>
      <c r="AR737" s="693"/>
    </row>
    <row r="738" spans="1:44" s="646" customFormat="1" ht="21.6" x14ac:dyDescent="0.3">
      <c r="A738" s="685" t="s">
        <v>2076</v>
      </c>
      <c r="B738" s="686" t="s">
        <v>766</v>
      </c>
      <c r="C738" s="985" t="s">
        <v>1819</v>
      </c>
      <c r="D738" s="985"/>
      <c r="E738" s="985"/>
      <c r="F738" s="687" t="s">
        <v>745</v>
      </c>
      <c r="G738" s="688">
        <v>20</v>
      </c>
      <c r="H738" s="689">
        <v>1</v>
      </c>
      <c r="I738" s="689">
        <v>20</v>
      </c>
      <c r="J738" s="726">
        <v>493.16</v>
      </c>
      <c r="K738" s="690">
        <v>1.012</v>
      </c>
      <c r="L738" s="721">
        <v>9981.56</v>
      </c>
      <c r="M738" s="727">
        <v>8.16</v>
      </c>
      <c r="N738" s="722">
        <v>81449.53</v>
      </c>
      <c r="AF738" s="684"/>
      <c r="AG738" s="693" t="s">
        <v>1819</v>
      </c>
      <c r="AM738" s="693"/>
      <c r="AP738" s="693"/>
      <c r="AR738" s="693"/>
    </row>
    <row r="739" spans="1:44" s="646" customFormat="1" ht="14.4" x14ac:dyDescent="0.3">
      <c r="A739" s="719"/>
      <c r="B739" s="720"/>
      <c r="C739" s="982" t="s">
        <v>1793</v>
      </c>
      <c r="D739" s="982"/>
      <c r="E739" s="982"/>
      <c r="F739" s="982"/>
      <c r="G739" s="982"/>
      <c r="H739" s="982"/>
      <c r="I739" s="982"/>
      <c r="J739" s="982"/>
      <c r="K739" s="982"/>
      <c r="L739" s="982"/>
      <c r="M739" s="982"/>
      <c r="N739" s="988"/>
      <c r="AF739" s="684"/>
      <c r="AG739" s="693"/>
      <c r="AM739" s="693"/>
      <c r="AN739" s="696" t="s">
        <v>1793</v>
      </c>
      <c r="AP739" s="693"/>
      <c r="AR739" s="693"/>
    </row>
    <row r="740" spans="1:44" s="646" customFormat="1" ht="14.4" x14ac:dyDescent="0.3">
      <c r="A740" s="694"/>
      <c r="B740" s="695"/>
      <c r="C740" s="982" t="s">
        <v>1821</v>
      </c>
      <c r="D740" s="982"/>
      <c r="E740" s="982"/>
      <c r="F740" s="982"/>
      <c r="G740" s="982"/>
      <c r="H740" s="982"/>
      <c r="I740" s="982"/>
      <c r="J740" s="982"/>
      <c r="K740" s="982"/>
      <c r="L740" s="982"/>
      <c r="M740" s="982"/>
      <c r="N740" s="988"/>
      <c r="AF740" s="684"/>
      <c r="AG740" s="693"/>
      <c r="AM740" s="693"/>
      <c r="AO740" s="696" t="s">
        <v>1821</v>
      </c>
      <c r="AP740" s="693"/>
      <c r="AR740" s="693"/>
    </row>
    <row r="741" spans="1:44" s="646" customFormat="1" ht="14.4" x14ac:dyDescent="0.3">
      <c r="A741" s="697"/>
      <c r="B741" s="698"/>
      <c r="C741" s="974" t="s">
        <v>1888</v>
      </c>
      <c r="D741" s="974"/>
      <c r="E741" s="974"/>
      <c r="F741" s="974"/>
      <c r="G741" s="974"/>
      <c r="H741" s="974"/>
      <c r="I741" s="974"/>
      <c r="J741" s="974"/>
      <c r="K741" s="974"/>
      <c r="L741" s="974"/>
      <c r="M741" s="974"/>
      <c r="N741" s="987"/>
      <c r="AF741" s="684"/>
      <c r="AG741" s="693"/>
      <c r="AI741" s="696" t="s">
        <v>1888</v>
      </c>
      <c r="AM741" s="693"/>
      <c r="AP741" s="693"/>
      <c r="AR741" s="693"/>
    </row>
    <row r="742" spans="1:44" s="646" customFormat="1" ht="14.4" x14ac:dyDescent="0.3">
      <c r="A742" s="719"/>
      <c r="B742" s="720"/>
      <c r="C742" s="985" t="s">
        <v>1776</v>
      </c>
      <c r="D742" s="985"/>
      <c r="E742" s="985"/>
      <c r="F742" s="687"/>
      <c r="G742" s="688"/>
      <c r="H742" s="688"/>
      <c r="I742" s="688"/>
      <c r="J742" s="691"/>
      <c r="K742" s="688"/>
      <c r="L742" s="721">
        <v>9981.56</v>
      </c>
      <c r="M742" s="715"/>
      <c r="N742" s="722">
        <v>81449.53</v>
      </c>
      <c r="AF742" s="684"/>
      <c r="AG742" s="693"/>
      <c r="AM742" s="693" t="s">
        <v>1776</v>
      </c>
      <c r="AP742" s="693"/>
      <c r="AR742" s="693"/>
    </row>
    <row r="743" spans="1:44" s="646" customFormat="1" ht="14.4" x14ac:dyDescent="0.3">
      <c r="A743" s="685" t="s">
        <v>2077</v>
      </c>
      <c r="B743" s="686" t="s">
        <v>2071</v>
      </c>
      <c r="C743" s="985" t="s">
        <v>2078</v>
      </c>
      <c r="D743" s="985"/>
      <c r="E743" s="985"/>
      <c r="F743" s="687" t="s">
        <v>1846</v>
      </c>
      <c r="G743" s="688">
        <v>3</v>
      </c>
      <c r="H743" s="689">
        <v>1</v>
      </c>
      <c r="I743" s="689">
        <v>3</v>
      </c>
      <c r="J743" s="691"/>
      <c r="K743" s="688"/>
      <c r="L743" s="691"/>
      <c r="M743" s="688"/>
      <c r="N743" s="692"/>
      <c r="AF743" s="684"/>
      <c r="AG743" s="693" t="s">
        <v>2078</v>
      </c>
      <c r="AM743" s="693"/>
      <c r="AP743" s="693"/>
      <c r="AR743" s="693"/>
    </row>
    <row r="744" spans="1:44" s="646" customFormat="1" ht="21.6" x14ac:dyDescent="0.3">
      <c r="A744" s="697"/>
      <c r="B744" s="698" t="s">
        <v>1759</v>
      </c>
      <c r="C744" s="974" t="s">
        <v>1760</v>
      </c>
      <c r="D744" s="974"/>
      <c r="E744" s="974"/>
      <c r="F744" s="974"/>
      <c r="G744" s="974"/>
      <c r="H744" s="974"/>
      <c r="I744" s="974"/>
      <c r="J744" s="974"/>
      <c r="K744" s="974"/>
      <c r="L744" s="974"/>
      <c r="M744" s="974"/>
      <c r="N744" s="987"/>
      <c r="AF744" s="684"/>
      <c r="AG744" s="693"/>
      <c r="AI744" s="696" t="s">
        <v>1760</v>
      </c>
      <c r="AM744" s="693"/>
      <c r="AP744" s="693"/>
      <c r="AR744" s="693"/>
    </row>
    <row r="745" spans="1:44" s="646" customFormat="1" ht="52.2" x14ac:dyDescent="0.3">
      <c r="A745" s="697"/>
      <c r="B745" s="698" t="s">
        <v>1761</v>
      </c>
      <c r="C745" s="974" t="s">
        <v>1762</v>
      </c>
      <c r="D745" s="974"/>
      <c r="E745" s="974"/>
      <c r="F745" s="974"/>
      <c r="G745" s="974"/>
      <c r="H745" s="974"/>
      <c r="I745" s="974"/>
      <c r="J745" s="974"/>
      <c r="K745" s="974"/>
      <c r="L745" s="974"/>
      <c r="M745" s="974"/>
      <c r="N745" s="987"/>
      <c r="AF745" s="684"/>
      <c r="AG745" s="693"/>
      <c r="AI745" s="696" t="s">
        <v>1762</v>
      </c>
      <c r="AM745" s="693"/>
      <c r="AP745" s="693"/>
      <c r="AR745" s="693"/>
    </row>
    <row r="746" spans="1:44" s="646" customFormat="1" ht="14.4" x14ac:dyDescent="0.3">
      <c r="A746" s="699"/>
      <c r="B746" s="698" t="s">
        <v>18</v>
      </c>
      <c r="C746" s="982" t="s">
        <v>1763</v>
      </c>
      <c r="D746" s="982"/>
      <c r="E746" s="982"/>
      <c r="F746" s="700"/>
      <c r="G746" s="701"/>
      <c r="H746" s="701"/>
      <c r="I746" s="701"/>
      <c r="J746" s="702">
        <v>660.34</v>
      </c>
      <c r="K746" s="725">
        <v>1.3225</v>
      </c>
      <c r="L746" s="706">
        <v>2619.9</v>
      </c>
      <c r="M746" s="704">
        <v>44.77</v>
      </c>
      <c r="N746" s="705">
        <v>117292.92</v>
      </c>
      <c r="AF746" s="684"/>
      <c r="AG746" s="693"/>
      <c r="AJ746" s="696" t="s">
        <v>1763</v>
      </c>
      <c r="AM746" s="693"/>
      <c r="AP746" s="693"/>
      <c r="AR746" s="693"/>
    </row>
    <row r="747" spans="1:44" s="646" customFormat="1" ht="14.4" x14ac:dyDescent="0.3">
      <c r="A747" s="699"/>
      <c r="B747" s="698" t="s">
        <v>21</v>
      </c>
      <c r="C747" s="982" t="s">
        <v>1764</v>
      </c>
      <c r="D747" s="982"/>
      <c r="E747" s="982"/>
      <c r="F747" s="700"/>
      <c r="G747" s="701"/>
      <c r="H747" s="701"/>
      <c r="I747" s="701"/>
      <c r="J747" s="706">
        <v>2600.9299999999998</v>
      </c>
      <c r="K747" s="725">
        <v>1.4375</v>
      </c>
      <c r="L747" s="706">
        <v>11216.51</v>
      </c>
      <c r="M747" s="704">
        <v>13.24</v>
      </c>
      <c r="N747" s="705">
        <v>148506.59</v>
      </c>
      <c r="AF747" s="684"/>
      <c r="AG747" s="693"/>
      <c r="AJ747" s="696" t="s">
        <v>1764</v>
      </c>
      <c r="AM747" s="693"/>
      <c r="AP747" s="693"/>
      <c r="AR747" s="693"/>
    </row>
    <row r="748" spans="1:44" s="646" customFormat="1" ht="14.4" x14ac:dyDescent="0.3">
      <c r="A748" s="699"/>
      <c r="B748" s="698" t="s">
        <v>23</v>
      </c>
      <c r="C748" s="982" t="s">
        <v>1765</v>
      </c>
      <c r="D748" s="982"/>
      <c r="E748" s="982"/>
      <c r="F748" s="700"/>
      <c r="G748" s="701"/>
      <c r="H748" s="701"/>
      <c r="I748" s="701"/>
      <c r="J748" s="702">
        <v>282.81</v>
      </c>
      <c r="K748" s="725">
        <v>1.4375</v>
      </c>
      <c r="L748" s="706">
        <v>1219.6199999999999</v>
      </c>
      <c r="M748" s="704">
        <v>44.77</v>
      </c>
      <c r="N748" s="705">
        <v>54602.39</v>
      </c>
      <c r="AF748" s="684"/>
      <c r="AG748" s="693"/>
      <c r="AJ748" s="696" t="s">
        <v>1765</v>
      </c>
      <c r="AM748" s="693"/>
      <c r="AP748" s="693"/>
      <c r="AR748" s="693"/>
    </row>
    <row r="749" spans="1:44" s="646" customFormat="1" ht="14.4" x14ac:dyDescent="0.3">
      <c r="A749" s="699"/>
      <c r="B749" s="698" t="s">
        <v>25</v>
      </c>
      <c r="C749" s="982" t="s">
        <v>1766</v>
      </c>
      <c r="D749" s="982"/>
      <c r="E749" s="982"/>
      <c r="F749" s="700"/>
      <c r="G749" s="701"/>
      <c r="H749" s="701"/>
      <c r="I749" s="701"/>
      <c r="J749" s="706">
        <v>12218.73</v>
      </c>
      <c r="K749" s="701"/>
      <c r="L749" s="706">
        <v>36656.19</v>
      </c>
      <c r="M749" s="704">
        <v>8.16</v>
      </c>
      <c r="N749" s="705">
        <v>299114.51</v>
      </c>
      <c r="AF749" s="684"/>
      <c r="AG749" s="693"/>
      <c r="AJ749" s="696" t="s">
        <v>1766</v>
      </c>
      <c r="AM749" s="693"/>
      <c r="AP749" s="693"/>
      <c r="AR749" s="693"/>
    </row>
    <row r="750" spans="1:44" s="646" customFormat="1" ht="14.4" x14ac:dyDescent="0.3">
      <c r="A750" s="708"/>
      <c r="B750" s="698"/>
      <c r="C750" s="982" t="s">
        <v>1767</v>
      </c>
      <c r="D750" s="982"/>
      <c r="E750" s="982"/>
      <c r="F750" s="700" t="s">
        <v>695</v>
      </c>
      <c r="G750" s="709">
        <v>78.8</v>
      </c>
      <c r="H750" s="725">
        <v>1.3225</v>
      </c>
      <c r="I750" s="703">
        <v>312.63900000000001</v>
      </c>
      <c r="J750" s="711"/>
      <c r="K750" s="701"/>
      <c r="L750" s="711"/>
      <c r="M750" s="701"/>
      <c r="N750" s="712"/>
      <c r="AF750" s="684"/>
      <c r="AG750" s="693"/>
      <c r="AK750" s="696" t="s">
        <v>1767</v>
      </c>
      <c r="AM750" s="693"/>
      <c r="AP750" s="693"/>
      <c r="AR750" s="693"/>
    </row>
    <row r="751" spans="1:44" s="646" customFormat="1" ht="14.4" x14ac:dyDescent="0.3">
      <c r="A751" s="708"/>
      <c r="B751" s="698"/>
      <c r="C751" s="982" t="s">
        <v>1768</v>
      </c>
      <c r="D751" s="982"/>
      <c r="E751" s="982"/>
      <c r="F751" s="700" t="s">
        <v>695</v>
      </c>
      <c r="G751" s="704">
        <v>22.71</v>
      </c>
      <c r="H751" s="725">
        <v>1.4375</v>
      </c>
      <c r="I751" s="723">
        <v>97.936875000000001</v>
      </c>
      <c r="J751" s="711"/>
      <c r="K751" s="701"/>
      <c r="L751" s="711"/>
      <c r="M751" s="701"/>
      <c r="N751" s="712"/>
      <c r="AF751" s="684"/>
      <c r="AG751" s="693"/>
      <c r="AK751" s="696" t="s">
        <v>1768</v>
      </c>
      <c r="AM751" s="693"/>
      <c r="AP751" s="693"/>
      <c r="AR751" s="693"/>
    </row>
    <row r="752" spans="1:44" s="646" customFormat="1" ht="14.4" x14ac:dyDescent="0.3">
      <c r="A752" s="699"/>
      <c r="B752" s="698"/>
      <c r="C752" s="986" t="s">
        <v>1769</v>
      </c>
      <c r="D752" s="986"/>
      <c r="E752" s="986"/>
      <c r="F752" s="714"/>
      <c r="G752" s="715"/>
      <c r="H752" s="715"/>
      <c r="I752" s="715"/>
      <c r="J752" s="716">
        <v>15480</v>
      </c>
      <c r="K752" s="715"/>
      <c r="L752" s="716">
        <v>50492.6</v>
      </c>
      <c r="M752" s="715"/>
      <c r="N752" s="717">
        <v>564914.02</v>
      </c>
      <c r="AF752" s="684"/>
      <c r="AG752" s="693"/>
      <c r="AL752" s="696" t="s">
        <v>1769</v>
      </c>
      <c r="AM752" s="693"/>
      <c r="AP752" s="693"/>
      <c r="AR752" s="693"/>
    </row>
    <row r="753" spans="1:44" s="646" customFormat="1" ht="14.4" x14ac:dyDescent="0.3">
      <c r="A753" s="708"/>
      <c r="B753" s="698"/>
      <c r="C753" s="982" t="s">
        <v>1770</v>
      </c>
      <c r="D753" s="982"/>
      <c r="E753" s="982"/>
      <c r="F753" s="700"/>
      <c r="G753" s="701"/>
      <c r="H753" s="701"/>
      <c r="I753" s="701"/>
      <c r="J753" s="711"/>
      <c r="K753" s="701"/>
      <c r="L753" s="706">
        <v>3839.52</v>
      </c>
      <c r="M753" s="701"/>
      <c r="N753" s="705">
        <v>171895.31</v>
      </c>
      <c r="AF753" s="684"/>
      <c r="AG753" s="693"/>
      <c r="AK753" s="696" t="s">
        <v>1770</v>
      </c>
      <c r="AM753" s="693"/>
      <c r="AP753" s="693"/>
      <c r="AR753" s="693"/>
    </row>
    <row r="754" spans="1:44" s="646" customFormat="1" ht="20.399999999999999" x14ac:dyDescent="0.3">
      <c r="A754" s="708"/>
      <c r="B754" s="698" t="s">
        <v>1847</v>
      </c>
      <c r="C754" s="982" t="s">
        <v>1848</v>
      </c>
      <c r="D754" s="982"/>
      <c r="E754" s="982"/>
      <c r="F754" s="700" t="s">
        <v>1773</v>
      </c>
      <c r="G754" s="718">
        <v>109</v>
      </c>
      <c r="H754" s="701"/>
      <c r="I754" s="718">
        <v>109</v>
      </c>
      <c r="J754" s="711"/>
      <c r="K754" s="701"/>
      <c r="L754" s="706">
        <v>4185.08</v>
      </c>
      <c r="M754" s="701"/>
      <c r="N754" s="705">
        <v>187365.89</v>
      </c>
      <c r="AF754" s="684"/>
      <c r="AG754" s="693"/>
      <c r="AK754" s="696" t="s">
        <v>1848</v>
      </c>
      <c r="AM754" s="693"/>
      <c r="AP754" s="693"/>
      <c r="AR754" s="693"/>
    </row>
    <row r="755" spans="1:44" s="646" customFormat="1" ht="40.799999999999997" x14ac:dyDescent="0.3">
      <c r="A755" s="708"/>
      <c r="B755" s="698" t="s">
        <v>1849</v>
      </c>
      <c r="C755" s="982" t="s">
        <v>1850</v>
      </c>
      <c r="D755" s="982"/>
      <c r="E755" s="982"/>
      <c r="F755" s="700" t="s">
        <v>1773</v>
      </c>
      <c r="G755" s="718">
        <v>65</v>
      </c>
      <c r="H755" s="704">
        <v>0.85</v>
      </c>
      <c r="I755" s="704">
        <v>55.25</v>
      </c>
      <c r="J755" s="711"/>
      <c r="K755" s="701"/>
      <c r="L755" s="706">
        <v>2121.33</v>
      </c>
      <c r="M755" s="701"/>
      <c r="N755" s="705">
        <v>94972.160000000003</v>
      </c>
      <c r="AF755" s="684"/>
      <c r="AG755" s="693"/>
      <c r="AK755" s="696" t="s">
        <v>1850</v>
      </c>
      <c r="AM755" s="693"/>
      <c r="AP755" s="693"/>
      <c r="AR755" s="693"/>
    </row>
    <row r="756" spans="1:44" s="646" customFormat="1" ht="14.4" x14ac:dyDescent="0.3">
      <c r="A756" s="719"/>
      <c r="B756" s="720"/>
      <c r="C756" s="985" t="s">
        <v>1776</v>
      </c>
      <c r="D756" s="985"/>
      <c r="E756" s="985"/>
      <c r="F756" s="687"/>
      <c r="G756" s="688"/>
      <c r="H756" s="688"/>
      <c r="I756" s="688"/>
      <c r="J756" s="691"/>
      <c r="K756" s="688"/>
      <c r="L756" s="721">
        <v>56799.01</v>
      </c>
      <c r="M756" s="715"/>
      <c r="N756" s="722">
        <v>847252.07</v>
      </c>
      <c r="AF756" s="684"/>
      <c r="AG756" s="693"/>
      <c r="AM756" s="693" t="s">
        <v>1776</v>
      </c>
      <c r="AP756" s="693"/>
      <c r="AR756" s="693"/>
    </row>
    <row r="757" spans="1:44" s="646" customFormat="1" ht="21.6" x14ac:dyDescent="0.3">
      <c r="A757" s="685" t="s">
        <v>2079</v>
      </c>
      <c r="B757" s="686" t="s">
        <v>2080</v>
      </c>
      <c r="C757" s="985" t="s">
        <v>2081</v>
      </c>
      <c r="D757" s="985"/>
      <c r="E757" s="985"/>
      <c r="F757" s="687" t="s">
        <v>745</v>
      </c>
      <c r="G757" s="688">
        <v>-1.2</v>
      </c>
      <c r="H757" s="689">
        <v>1</v>
      </c>
      <c r="I757" s="730">
        <v>-1.2</v>
      </c>
      <c r="J757" s="721">
        <v>2308.0100000000002</v>
      </c>
      <c r="K757" s="688"/>
      <c r="L757" s="721">
        <v>-2769.61</v>
      </c>
      <c r="M757" s="727">
        <v>8.16</v>
      </c>
      <c r="N757" s="722">
        <v>-22600.02</v>
      </c>
      <c r="AF757" s="684"/>
      <c r="AG757" s="693" t="s">
        <v>2081</v>
      </c>
      <c r="AM757" s="693"/>
      <c r="AP757" s="693"/>
      <c r="AR757" s="693"/>
    </row>
    <row r="758" spans="1:44" s="646" customFormat="1" ht="14.4" x14ac:dyDescent="0.3">
      <c r="A758" s="719"/>
      <c r="B758" s="720"/>
      <c r="C758" s="982" t="s">
        <v>1884</v>
      </c>
      <c r="D758" s="982"/>
      <c r="E758" s="982"/>
      <c r="F758" s="982"/>
      <c r="G758" s="982"/>
      <c r="H758" s="982"/>
      <c r="I758" s="982"/>
      <c r="J758" s="982"/>
      <c r="K758" s="982"/>
      <c r="L758" s="982"/>
      <c r="M758" s="982"/>
      <c r="N758" s="988"/>
      <c r="AF758" s="684"/>
      <c r="AG758" s="693"/>
      <c r="AM758" s="693"/>
      <c r="AN758" s="696" t="s">
        <v>1884</v>
      </c>
      <c r="AP758" s="693"/>
      <c r="AR758" s="693"/>
    </row>
    <row r="759" spans="1:44" s="646" customFormat="1" ht="14.4" x14ac:dyDescent="0.3">
      <c r="A759" s="719"/>
      <c r="B759" s="720"/>
      <c r="C759" s="985" t="s">
        <v>1776</v>
      </c>
      <c r="D759" s="985"/>
      <c r="E759" s="985"/>
      <c r="F759" s="687"/>
      <c r="G759" s="688"/>
      <c r="H759" s="688"/>
      <c r="I759" s="688"/>
      <c r="J759" s="691"/>
      <c r="K759" s="688"/>
      <c r="L759" s="721">
        <v>-2769.61</v>
      </c>
      <c r="M759" s="715"/>
      <c r="N759" s="722">
        <v>-22600.02</v>
      </c>
      <c r="AF759" s="684"/>
      <c r="AG759" s="693"/>
      <c r="AM759" s="693" t="s">
        <v>1776</v>
      </c>
      <c r="AP759" s="693"/>
      <c r="AR759" s="693"/>
    </row>
    <row r="760" spans="1:44" s="646" customFormat="1" ht="14.4" x14ac:dyDescent="0.3">
      <c r="A760" s="685" t="s">
        <v>2082</v>
      </c>
      <c r="B760" s="686" t="s">
        <v>2083</v>
      </c>
      <c r="C760" s="985" t="s">
        <v>2084</v>
      </c>
      <c r="D760" s="985"/>
      <c r="E760" s="985"/>
      <c r="F760" s="687" t="s">
        <v>1846</v>
      </c>
      <c r="G760" s="688">
        <v>-81</v>
      </c>
      <c r="H760" s="689">
        <v>1</v>
      </c>
      <c r="I760" s="689">
        <v>-81</v>
      </c>
      <c r="J760" s="726">
        <v>248.1</v>
      </c>
      <c r="K760" s="688"/>
      <c r="L760" s="721">
        <v>-20096.099999999999</v>
      </c>
      <c r="M760" s="727">
        <v>8.16</v>
      </c>
      <c r="N760" s="722">
        <v>-163984.18</v>
      </c>
      <c r="AF760" s="684"/>
      <c r="AG760" s="693" t="s">
        <v>2084</v>
      </c>
      <c r="AM760" s="693"/>
      <c r="AP760" s="693"/>
      <c r="AR760" s="693"/>
    </row>
    <row r="761" spans="1:44" s="646" customFormat="1" ht="14.4" x14ac:dyDescent="0.3">
      <c r="A761" s="719"/>
      <c r="B761" s="720"/>
      <c r="C761" s="982" t="s">
        <v>1884</v>
      </c>
      <c r="D761" s="982"/>
      <c r="E761" s="982"/>
      <c r="F761" s="982"/>
      <c r="G761" s="982"/>
      <c r="H761" s="982"/>
      <c r="I761" s="982"/>
      <c r="J761" s="982"/>
      <c r="K761" s="982"/>
      <c r="L761" s="982"/>
      <c r="M761" s="982"/>
      <c r="N761" s="988"/>
      <c r="AF761" s="684"/>
      <c r="AG761" s="693"/>
      <c r="AM761" s="693"/>
      <c r="AN761" s="696" t="s">
        <v>1884</v>
      </c>
      <c r="AP761" s="693"/>
      <c r="AR761" s="693"/>
    </row>
    <row r="762" spans="1:44" s="646" customFormat="1" ht="14.4" x14ac:dyDescent="0.3">
      <c r="A762" s="719"/>
      <c r="B762" s="720"/>
      <c r="C762" s="985" t="s">
        <v>1776</v>
      </c>
      <c r="D762" s="985"/>
      <c r="E762" s="985"/>
      <c r="F762" s="687"/>
      <c r="G762" s="688"/>
      <c r="H762" s="688"/>
      <c r="I762" s="688"/>
      <c r="J762" s="691"/>
      <c r="K762" s="688"/>
      <c r="L762" s="721">
        <v>-20096.099999999999</v>
      </c>
      <c r="M762" s="715"/>
      <c r="N762" s="722">
        <v>-163984.18</v>
      </c>
      <c r="AF762" s="684"/>
      <c r="AG762" s="693"/>
      <c r="AM762" s="693" t="s">
        <v>1776</v>
      </c>
      <c r="AP762" s="693"/>
      <c r="AR762" s="693"/>
    </row>
    <row r="763" spans="1:44" s="646" customFormat="1" ht="21.6" x14ac:dyDescent="0.3">
      <c r="A763" s="685" t="s">
        <v>2085</v>
      </c>
      <c r="B763" s="686" t="s">
        <v>2086</v>
      </c>
      <c r="C763" s="985" t="s">
        <v>2087</v>
      </c>
      <c r="D763" s="985"/>
      <c r="E763" s="985"/>
      <c r="F763" s="687" t="s">
        <v>224</v>
      </c>
      <c r="G763" s="688">
        <v>-0.15</v>
      </c>
      <c r="H763" s="689">
        <v>1</v>
      </c>
      <c r="I763" s="727">
        <v>-0.15</v>
      </c>
      <c r="J763" s="721">
        <v>5470.15</v>
      </c>
      <c r="K763" s="688"/>
      <c r="L763" s="726">
        <v>-820.52</v>
      </c>
      <c r="M763" s="727">
        <v>8.16</v>
      </c>
      <c r="N763" s="722">
        <v>-6695.44</v>
      </c>
      <c r="AF763" s="684"/>
      <c r="AG763" s="693" t="s">
        <v>2087</v>
      </c>
      <c r="AM763" s="693"/>
      <c r="AP763" s="693"/>
      <c r="AR763" s="693"/>
    </row>
    <row r="764" spans="1:44" s="646" customFormat="1" ht="14.4" x14ac:dyDescent="0.3">
      <c r="A764" s="719"/>
      <c r="B764" s="720"/>
      <c r="C764" s="982" t="s">
        <v>1884</v>
      </c>
      <c r="D764" s="982"/>
      <c r="E764" s="982"/>
      <c r="F764" s="982"/>
      <c r="G764" s="982"/>
      <c r="H764" s="982"/>
      <c r="I764" s="982"/>
      <c r="J764" s="982"/>
      <c r="K764" s="982"/>
      <c r="L764" s="982"/>
      <c r="M764" s="982"/>
      <c r="N764" s="988"/>
      <c r="AF764" s="684"/>
      <c r="AG764" s="693"/>
      <c r="AM764" s="693"/>
      <c r="AN764" s="696" t="s">
        <v>1884</v>
      </c>
      <c r="AP764" s="693"/>
      <c r="AR764" s="693"/>
    </row>
    <row r="765" spans="1:44" s="646" customFormat="1" ht="14.4" x14ac:dyDescent="0.3">
      <c r="A765" s="719"/>
      <c r="B765" s="720"/>
      <c r="C765" s="985" t="s">
        <v>1776</v>
      </c>
      <c r="D765" s="985"/>
      <c r="E765" s="985"/>
      <c r="F765" s="687"/>
      <c r="G765" s="688"/>
      <c r="H765" s="688"/>
      <c r="I765" s="688"/>
      <c r="J765" s="691"/>
      <c r="K765" s="688"/>
      <c r="L765" s="726">
        <v>-820.52</v>
      </c>
      <c r="M765" s="715"/>
      <c r="N765" s="722">
        <v>-6695.44</v>
      </c>
      <c r="AF765" s="684"/>
      <c r="AG765" s="693"/>
      <c r="AM765" s="693" t="s">
        <v>1776</v>
      </c>
      <c r="AP765" s="693"/>
      <c r="AR765" s="693"/>
    </row>
    <row r="766" spans="1:44" s="646" customFormat="1" ht="21.6" x14ac:dyDescent="0.3">
      <c r="A766" s="685" t="s">
        <v>2088</v>
      </c>
      <c r="B766" s="686" t="s">
        <v>2006</v>
      </c>
      <c r="C766" s="985" t="s">
        <v>2007</v>
      </c>
      <c r="D766" s="985"/>
      <c r="E766" s="985"/>
      <c r="F766" s="687" t="s">
        <v>224</v>
      </c>
      <c r="G766" s="688">
        <v>-0.03</v>
      </c>
      <c r="H766" s="689">
        <v>1</v>
      </c>
      <c r="I766" s="727">
        <v>-0.03</v>
      </c>
      <c r="J766" s="721">
        <v>10883</v>
      </c>
      <c r="K766" s="688"/>
      <c r="L766" s="726">
        <v>-326.49</v>
      </c>
      <c r="M766" s="727">
        <v>8.16</v>
      </c>
      <c r="N766" s="722">
        <v>-2664.16</v>
      </c>
      <c r="AF766" s="684"/>
      <c r="AG766" s="693" t="s">
        <v>2007</v>
      </c>
      <c r="AM766" s="693"/>
      <c r="AP766" s="693"/>
      <c r="AR766" s="693"/>
    </row>
    <row r="767" spans="1:44" s="646" customFormat="1" ht="14.4" x14ac:dyDescent="0.3">
      <c r="A767" s="719"/>
      <c r="B767" s="720"/>
      <c r="C767" s="982" t="s">
        <v>1884</v>
      </c>
      <c r="D767" s="982"/>
      <c r="E767" s="982"/>
      <c r="F767" s="982"/>
      <c r="G767" s="982"/>
      <c r="H767" s="982"/>
      <c r="I767" s="982"/>
      <c r="J767" s="982"/>
      <c r="K767" s="982"/>
      <c r="L767" s="982"/>
      <c r="M767" s="982"/>
      <c r="N767" s="988"/>
      <c r="AF767" s="684"/>
      <c r="AG767" s="693"/>
      <c r="AM767" s="693"/>
      <c r="AN767" s="696" t="s">
        <v>1884</v>
      </c>
      <c r="AP767" s="693"/>
      <c r="AR767" s="693"/>
    </row>
    <row r="768" spans="1:44" s="646" customFormat="1" ht="14.4" x14ac:dyDescent="0.3">
      <c r="A768" s="719"/>
      <c r="B768" s="720"/>
      <c r="C768" s="985" t="s">
        <v>1776</v>
      </c>
      <c r="D768" s="985"/>
      <c r="E768" s="985"/>
      <c r="F768" s="687"/>
      <c r="G768" s="688"/>
      <c r="H768" s="688"/>
      <c r="I768" s="688"/>
      <c r="J768" s="691"/>
      <c r="K768" s="688"/>
      <c r="L768" s="726">
        <v>-326.49</v>
      </c>
      <c r="M768" s="715"/>
      <c r="N768" s="722">
        <v>-2664.16</v>
      </c>
      <c r="AF768" s="684"/>
      <c r="AG768" s="693"/>
      <c r="AM768" s="693" t="s">
        <v>1776</v>
      </c>
      <c r="AP768" s="693"/>
      <c r="AR768" s="693"/>
    </row>
    <row r="769" spans="1:44" s="646" customFormat="1" ht="14.4" x14ac:dyDescent="0.3">
      <c r="A769" s="685" t="s">
        <v>2089</v>
      </c>
      <c r="B769" s="686" t="s">
        <v>1973</v>
      </c>
      <c r="C769" s="985" t="s">
        <v>1974</v>
      </c>
      <c r="D769" s="985"/>
      <c r="E769" s="985"/>
      <c r="F769" s="687" t="s">
        <v>224</v>
      </c>
      <c r="G769" s="688">
        <v>-0.24</v>
      </c>
      <c r="H769" s="689">
        <v>1</v>
      </c>
      <c r="I769" s="727">
        <v>-0.24</v>
      </c>
      <c r="J769" s="721">
        <v>3700</v>
      </c>
      <c r="K769" s="688"/>
      <c r="L769" s="726">
        <v>-888</v>
      </c>
      <c r="M769" s="727">
        <v>8.16</v>
      </c>
      <c r="N769" s="722">
        <v>-7246.08</v>
      </c>
      <c r="AF769" s="684"/>
      <c r="AG769" s="693" t="s">
        <v>1974</v>
      </c>
      <c r="AM769" s="693"/>
      <c r="AP769" s="693"/>
      <c r="AR769" s="693"/>
    </row>
    <row r="770" spans="1:44" s="646" customFormat="1" ht="14.4" x14ac:dyDescent="0.3">
      <c r="A770" s="719"/>
      <c r="B770" s="720"/>
      <c r="C770" s="982" t="s">
        <v>1884</v>
      </c>
      <c r="D770" s="982"/>
      <c r="E770" s="982"/>
      <c r="F770" s="982"/>
      <c r="G770" s="982"/>
      <c r="H770" s="982"/>
      <c r="I770" s="982"/>
      <c r="J770" s="982"/>
      <c r="K770" s="982"/>
      <c r="L770" s="982"/>
      <c r="M770" s="982"/>
      <c r="N770" s="988"/>
      <c r="AF770" s="684"/>
      <c r="AG770" s="693"/>
      <c r="AM770" s="693"/>
      <c r="AN770" s="696" t="s">
        <v>1884</v>
      </c>
      <c r="AP770" s="693"/>
      <c r="AR770" s="693"/>
    </row>
    <row r="771" spans="1:44" s="646" customFormat="1" ht="14.4" x14ac:dyDescent="0.3">
      <c r="A771" s="719"/>
      <c r="B771" s="720"/>
      <c r="C771" s="985" t="s">
        <v>1776</v>
      </c>
      <c r="D771" s="985"/>
      <c r="E771" s="985"/>
      <c r="F771" s="687"/>
      <c r="G771" s="688"/>
      <c r="H771" s="688"/>
      <c r="I771" s="688"/>
      <c r="J771" s="691"/>
      <c r="K771" s="688"/>
      <c r="L771" s="726">
        <v>-888</v>
      </c>
      <c r="M771" s="715"/>
      <c r="N771" s="722">
        <v>-7246.08</v>
      </c>
      <c r="AF771" s="684"/>
      <c r="AG771" s="693"/>
      <c r="AM771" s="693" t="s">
        <v>1776</v>
      </c>
      <c r="AP771" s="693"/>
      <c r="AR771" s="693"/>
    </row>
    <row r="772" spans="1:44" s="646" customFormat="1" ht="21.6" x14ac:dyDescent="0.3">
      <c r="A772" s="685" t="s">
        <v>2090</v>
      </c>
      <c r="B772" s="686" t="s">
        <v>2091</v>
      </c>
      <c r="C772" s="985" t="s">
        <v>2092</v>
      </c>
      <c r="D772" s="985"/>
      <c r="E772" s="985"/>
      <c r="F772" s="687" t="s">
        <v>224</v>
      </c>
      <c r="G772" s="688">
        <v>-0.51</v>
      </c>
      <c r="H772" s="689">
        <v>1</v>
      </c>
      <c r="I772" s="727">
        <v>-0.51</v>
      </c>
      <c r="J772" s="721">
        <v>4600</v>
      </c>
      <c r="K772" s="688"/>
      <c r="L772" s="721">
        <v>-2346</v>
      </c>
      <c r="M772" s="727">
        <v>8.16</v>
      </c>
      <c r="N772" s="722">
        <v>-19143.36</v>
      </c>
      <c r="AF772" s="684"/>
      <c r="AG772" s="693" t="s">
        <v>2092</v>
      </c>
      <c r="AM772" s="693"/>
      <c r="AP772" s="693"/>
      <c r="AR772" s="693"/>
    </row>
    <row r="773" spans="1:44" s="646" customFormat="1" ht="14.4" x14ac:dyDescent="0.3">
      <c r="A773" s="719"/>
      <c r="B773" s="720"/>
      <c r="C773" s="982" t="s">
        <v>1884</v>
      </c>
      <c r="D773" s="982"/>
      <c r="E773" s="982"/>
      <c r="F773" s="982"/>
      <c r="G773" s="982"/>
      <c r="H773" s="982"/>
      <c r="I773" s="982"/>
      <c r="J773" s="982"/>
      <c r="K773" s="982"/>
      <c r="L773" s="982"/>
      <c r="M773" s="982"/>
      <c r="N773" s="988"/>
      <c r="AF773" s="684"/>
      <c r="AG773" s="693"/>
      <c r="AM773" s="693"/>
      <c r="AN773" s="696" t="s">
        <v>1884</v>
      </c>
      <c r="AP773" s="693"/>
      <c r="AR773" s="693"/>
    </row>
    <row r="774" spans="1:44" s="646" customFormat="1" ht="14.4" x14ac:dyDescent="0.3">
      <c r="A774" s="719"/>
      <c r="B774" s="720"/>
      <c r="C774" s="985" t="s">
        <v>1776</v>
      </c>
      <c r="D774" s="985"/>
      <c r="E774" s="985"/>
      <c r="F774" s="687"/>
      <c r="G774" s="688"/>
      <c r="H774" s="688"/>
      <c r="I774" s="688"/>
      <c r="J774" s="691"/>
      <c r="K774" s="688"/>
      <c r="L774" s="721">
        <v>-2346</v>
      </c>
      <c r="M774" s="715"/>
      <c r="N774" s="722">
        <v>-19143.36</v>
      </c>
      <c r="AF774" s="684"/>
      <c r="AG774" s="693"/>
      <c r="AM774" s="693" t="s">
        <v>1776</v>
      </c>
      <c r="AP774" s="693"/>
      <c r="AR774" s="693"/>
    </row>
    <row r="775" spans="1:44" s="646" customFormat="1" ht="14.4" x14ac:dyDescent="0.3">
      <c r="A775" s="685" t="s">
        <v>2093</v>
      </c>
      <c r="B775" s="686" t="s">
        <v>2074</v>
      </c>
      <c r="C775" s="985" t="s">
        <v>2075</v>
      </c>
      <c r="D775" s="985"/>
      <c r="E775" s="985"/>
      <c r="F775" s="687" t="s">
        <v>224</v>
      </c>
      <c r="G775" s="688">
        <v>-5.82</v>
      </c>
      <c r="H775" s="689">
        <v>1</v>
      </c>
      <c r="I775" s="727">
        <v>-5.82</v>
      </c>
      <c r="J775" s="721">
        <v>1448.8</v>
      </c>
      <c r="K775" s="688"/>
      <c r="L775" s="721">
        <v>-8432.02</v>
      </c>
      <c r="M775" s="727">
        <v>8.16</v>
      </c>
      <c r="N775" s="722">
        <v>-68805.279999999999</v>
      </c>
      <c r="AF775" s="684"/>
      <c r="AG775" s="693" t="s">
        <v>2075</v>
      </c>
      <c r="AM775" s="693"/>
      <c r="AP775" s="693"/>
      <c r="AR775" s="693"/>
    </row>
    <row r="776" spans="1:44" s="646" customFormat="1" ht="14.4" x14ac:dyDescent="0.3">
      <c r="A776" s="719"/>
      <c r="B776" s="720"/>
      <c r="C776" s="982" t="s">
        <v>1884</v>
      </c>
      <c r="D776" s="982"/>
      <c r="E776" s="982"/>
      <c r="F776" s="982"/>
      <c r="G776" s="982"/>
      <c r="H776" s="982"/>
      <c r="I776" s="982"/>
      <c r="J776" s="982"/>
      <c r="K776" s="982"/>
      <c r="L776" s="982"/>
      <c r="M776" s="982"/>
      <c r="N776" s="988"/>
      <c r="AF776" s="684"/>
      <c r="AG776" s="693"/>
      <c r="AM776" s="693"/>
      <c r="AN776" s="696" t="s">
        <v>1884</v>
      </c>
      <c r="AP776" s="693"/>
      <c r="AR776" s="693"/>
    </row>
    <row r="777" spans="1:44" s="646" customFormat="1" ht="14.4" x14ac:dyDescent="0.3">
      <c r="A777" s="719"/>
      <c r="B777" s="720"/>
      <c r="C777" s="985" t="s">
        <v>1776</v>
      </c>
      <c r="D777" s="985"/>
      <c r="E777" s="985"/>
      <c r="F777" s="687"/>
      <c r="G777" s="688"/>
      <c r="H777" s="688"/>
      <c r="I777" s="688"/>
      <c r="J777" s="691"/>
      <c r="K777" s="688"/>
      <c r="L777" s="721">
        <v>-8432.02</v>
      </c>
      <c r="M777" s="715"/>
      <c r="N777" s="722">
        <v>-68805.279999999999</v>
      </c>
      <c r="AF777" s="684"/>
      <c r="AG777" s="693"/>
      <c r="AM777" s="693" t="s">
        <v>1776</v>
      </c>
      <c r="AP777" s="693"/>
      <c r="AR777" s="693"/>
    </row>
    <row r="778" spans="1:44" s="646" customFormat="1" ht="21.6" x14ac:dyDescent="0.3">
      <c r="A778" s="685" t="s">
        <v>2094</v>
      </c>
      <c r="B778" s="686" t="s">
        <v>766</v>
      </c>
      <c r="C778" s="985" t="s">
        <v>1819</v>
      </c>
      <c r="D778" s="985"/>
      <c r="E778" s="985"/>
      <c r="F778" s="687" t="s">
        <v>745</v>
      </c>
      <c r="G778" s="688">
        <v>60</v>
      </c>
      <c r="H778" s="689">
        <v>1</v>
      </c>
      <c r="I778" s="689">
        <v>60</v>
      </c>
      <c r="J778" s="726">
        <v>493.16</v>
      </c>
      <c r="K778" s="690">
        <v>1.012</v>
      </c>
      <c r="L778" s="721">
        <v>29944.68</v>
      </c>
      <c r="M778" s="727">
        <v>8.16</v>
      </c>
      <c r="N778" s="722">
        <v>244348.59</v>
      </c>
      <c r="AF778" s="684"/>
      <c r="AG778" s="693" t="s">
        <v>1819</v>
      </c>
      <c r="AM778" s="693"/>
      <c r="AP778" s="693"/>
      <c r="AR778" s="693"/>
    </row>
    <row r="779" spans="1:44" s="646" customFormat="1" ht="14.4" x14ac:dyDescent="0.3">
      <c r="A779" s="719"/>
      <c r="B779" s="720"/>
      <c r="C779" s="982" t="s">
        <v>1793</v>
      </c>
      <c r="D779" s="982"/>
      <c r="E779" s="982"/>
      <c r="F779" s="982"/>
      <c r="G779" s="982"/>
      <c r="H779" s="982"/>
      <c r="I779" s="982"/>
      <c r="J779" s="982"/>
      <c r="K779" s="982"/>
      <c r="L779" s="982"/>
      <c r="M779" s="982"/>
      <c r="N779" s="988"/>
      <c r="AF779" s="684"/>
      <c r="AG779" s="693"/>
      <c r="AM779" s="693"/>
      <c r="AN779" s="696" t="s">
        <v>1793</v>
      </c>
      <c r="AP779" s="693"/>
      <c r="AR779" s="693"/>
    </row>
    <row r="780" spans="1:44" s="646" customFormat="1" ht="14.4" x14ac:dyDescent="0.3">
      <c r="A780" s="694"/>
      <c r="B780" s="695"/>
      <c r="C780" s="982" t="s">
        <v>1821</v>
      </c>
      <c r="D780" s="982"/>
      <c r="E780" s="982"/>
      <c r="F780" s="982"/>
      <c r="G780" s="982"/>
      <c r="H780" s="982"/>
      <c r="I780" s="982"/>
      <c r="J780" s="982"/>
      <c r="K780" s="982"/>
      <c r="L780" s="982"/>
      <c r="M780" s="982"/>
      <c r="N780" s="988"/>
      <c r="AF780" s="684"/>
      <c r="AG780" s="693"/>
      <c r="AM780" s="693"/>
      <c r="AO780" s="696" t="s">
        <v>1821</v>
      </c>
      <c r="AP780" s="693"/>
      <c r="AR780" s="693"/>
    </row>
    <row r="781" spans="1:44" s="646" customFormat="1" ht="14.4" x14ac:dyDescent="0.3">
      <c r="A781" s="697"/>
      <c r="B781" s="698"/>
      <c r="C781" s="974" t="s">
        <v>1888</v>
      </c>
      <c r="D781" s="974"/>
      <c r="E781" s="974"/>
      <c r="F781" s="974"/>
      <c r="G781" s="974"/>
      <c r="H781" s="974"/>
      <c r="I781" s="974"/>
      <c r="J781" s="974"/>
      <c r="K781" s="974"/>
      <c r="L781" s="974"/>
      <c r="M781" s="974"/>
      <c r="N781" s="987"/>
      <c r="AF781" s="684"/>
      <c r="AG781" s="693"/>
      <c r="AI781" s="696" t="s">
        <v>1888</v>
      </c>
      <c r="AM781" s="693"/>
      <c r="AP781" s="693"/>
      <c r="AR781" s="693"/>
    </row>
    <row r="782" spans="1:44" s="646" customFormat="1" ht="14.4" x14ac:dyDescent="0.3">
      <c r="A782" s="719"/>
      <c r="B782" s="720"/>
      <c r="C782" s="985" t="s">
        <v>1776</v>
      </c>
      <c r="D782" s="985"/>
      <c r="E782" s="985"/>
      <c r="F782" s="687"/>
      <c r="G782" s="688"/>
      <c r="H782" s="688"/>
      <c r="I782" s="688"/>
      <c r="J782" s="691"/>
      <c r="K782" s="688"/>
      <c r="L782" s="721">
        <v>29944.68</v>
      </c>
      <c r="M782" s="715"/>
      <c r="N782" s="722">
        <v>244348.59</v>
      </c>
      <c r="AF782" s="684"/>
      <c r="AG782" s="693"/>
      <c r="AM782" s="693" t="s">
        <v>1776</v>
      </c>
      <c r="AP782" s="693"/>
      <c r="AR782" s="693"/>
    </row>
    <row r="783" spans="1:44" s="646" customFormat="1" ht="31.8" x14ac:dyDescent="0.3">
      <c r="A783" s="685" t="s">
        <v>2095</v>
      </c>
      <c r="B783" s="686" t="s">
        <v>2026</v>
      </c>
      <c r="C783" s="985" t="s">
        <v>2096</v>
      </c>
      <c r="D783" s="985"/>
      <c r="E783" s="985"/>
      <c r="F783" s="687" t="s">
        <v>1853</v>
      </c>
      <c r="G783" s="688">
        <v>3</v>
      </c>
      <c r="H783" s="689">
        <v>1</v>
      </c>
      <c r="I783" s="689">
        <v>3</v>
      </c>
      <c r="J783" s="721">
        <v>17718.55</v>
      </c>
      <c r="K783" s="690">
        <v>1.012</v>
      </c>
      <c r="L783" s="721">
        <v>53793.52</v>
      </c>
      <c r="M783" s="727">
        <v>8.16</v>
      </c>
      <c r="N783" s="722">
        <v>438955.12</v>
      </c>
      <c r="AF783" s="684"/>
      <c r="AG783" s="693" t="s">
        <v>2096</v>
      </c>
      <c r="AM783" s="693"/>
      <c r="AP783" s="693"/>
      <c r="AR783" s="693"/>
    </row>
    <row r="784" spans="1:44" s="646" customFormat="1" ht="14.4" x14ac:dyDescent="0.3">
      <c r="A784" s="719"/>
      <c r="B784" s="720"/>
      <c r="C784" s="982" t="s">
        <v>1793</v>
      </c>
      <c r="D784" s="982"/>
      <c r="E784" s="982"/>
      <c r="F784" s="982"/>
      <c r="G784" s="982"/>
      <c r="H784" s="982"/>
      <c r="I784" s="982"/>
      <c r="J784" s="982"/>
      <c r="K784" s="982"/>
      <c r="L784" s="982"/>
      <c r="M784" s="982"/>
      <c r="N784" s="988"/>
      <c r="AF784" s="684"/>
      <c r="AG784" s="693"/>
      <c r="AM784" s="693"/>
      <c r="AN784" s="696" t="s">
        <v>1793</v>
      </c>
      <c r="AP784" s="693"/>
      <c r="AR784" s="693"/>
    </row>
    <row r="785" spans="1:44" s="646" customFormat="1" ht="14.4" x14ac:dyDescent="0.3">
      <c r="A785" s="694"/>
      <c r="B785" s="695"/>
      <c r="C785" s="982" t="s">
        <v>2097</v>
      </c>
      <c r="D785" s="982"/>
      <c r="E785" s="982"/>
      <c r="F785" s="982"/>
      <c r="G785" s="982"/>
      <c r="H785" s="982"/>
      <c r="I785" s="982"/>
      <c r="J785" s="982"/>
      <c r="K785" s="982"/>
      <c r="L785" s="982"/>
      <c r="M785" s="982"/>
      <c r="N785" s="988"/>
      <c r="AF785" s="684"/>
      <c r="AG785" s="693"/>
      <c r="AM785" s="693"/>
      <c r="AO785" s="696" t="s">
        <v>2097</v>
      </c>
      <c r="AP785" s="693"/>
      <c r="AR785" s="693"/>
    </row>
    <row r="786" spans="1:44" s="646" customFormat="1" ht="14.4" x14ac:dyDescent="0.3">
      <c r="A786" s="697"/>
      <c r="B786" s="698"/>
      <c r="C786" s="974" t="s">
        <v>1888</v>
      </c>
      <c r="D786" s="974"/>
      <c r="E786" s="974"/>
      <c r="F786" s="974"/>
      <c r="G786" s="974"/>
      <c r="H786" s="974"/>
      <c r="I786" s="974"/>
      <c r="J786" s="974"/>
      <c r="K786" s="974"/>
      <c r="L786" s="974"/>
      <c r="M786" s="974"/>
      <c r="N786" s="987"/>
      <c r="AF786" s="684"/>
      <c r="AG786" s="693"/>
      <c r="AI786" s="696" t="s">
        <v>1888</v>
      </c>
      <c r="AM786" s="693"/>
      <c r="AP786" s="693"/>
      <c r="AR786" s="693"/>
    </row>
    <row r="787" spans="1:44" s="646" customFormat="1" ht="14.4" x14ac:dyDescent="0.3">
      <c r="A787" s="719"/>
      <c r="B787" s="720"/>
      <c r="C787" s="985" t="s">
        <v>1776</v>
      </c>
      <c r="D787" s="985"/>
      <c r="E787" s="985"/>
      <c r="F787" s="687"/>
      <c r="G787" s="688"/>
      <c r="H787" s="688"/>
      <c r="I787" s="688"/>
      <c r="J787" s="691"/>
      <c r="K787" s="688"/>
      <c r="L787" s="721">
        <v>53793.52</v>
      </c>
      <c r="M787" s="715"/>
      <c r="N787" s="722">
        <v>438955.12</v>
      </c>
      <c r="AF787" s="684"/>
      <c r="AG787" s="693"/>
      <c r="AM787" s="693" t="s">
        <v>1776</v>
      </c>
      <c r="AP787" s="693"/>
      <c r="AR787" s="693"/>
    </row>
    <row r="788" spans="1:44" s="646" customFormat="1" ht="31.8" x14ac:dyDescent="0.3">
      <c r="A788" s="685" t="s">
        <v>2098</v>
      </c>
      <c r="B788" s="686" t="s">
        <v>2099</v>
      </c>
      <c r="C788" s="985" t="s">
        <v>2100</v>
      </c>
      <c r="D788" s="985"/>
      <c r="E788" s="985"/>
      <c r="F788" s="687" t="s">
        <v>1856</v>
      </c>
      <c r="G788" s="688">
        <v>2.8000000000000001E-2</v>
      </c>
      <c r="H788" s="689">
        <v>1</v>
      </c>
      <c r="I788" s="690">
        <v>2.8000000000000001E-2</v>
      </c>
      <c r="J788" s="691"/>
      <c r="K788" s="688"/>
      <c r="L788" s="691"/>
      <c r="M788" s="688"/>
      <c r="N788" s="692"/>
      <c r="AF788" s="684"/>
      <c r="AG788" s="693" t="s">
        <v>2100</v>
      </c>
      <c r="AM788" s="693"/>
      <c r="AP788" s="693"/>
      <c r="AR788" s="693"/>
    </row>
    <row r="789" spans="1:44" s="646" customFormat="1" ht="14.4" x14ac:dyDescent="0.3">
      <c r="A789" s="694"/>
      <c r="B789" s="695"/>
      <c r="C789" s="982" t="s">
        <v>2101</v>
      </c>
      <c r="D789" s="982"/>
      <c r="E789" s="982"/>
      <c r="F789" s="982"/>
      <c r="G789" s="982"/>
      <c r="H789" s="982"/>
      <c r="I789" s="982"/>
      <c r="J789" s="982"/>
      <c r="K789" s="982"/>
      <c r="L789" s="982"/>
      <c r="M789" s="982"/>
      <c r="N789" s="988"/>
      <c r="AF789" s="684"/>
      <c r="AG789" s="693"/>
      <c r="AH789" s="696" t="s">
        <v>2101</v>
      </c>
      <c r="AM789" s="693"/>
      <c r="AP789" s="693"/>
      <c r="AR789" s="693"/>
    </row>
    <row r="790" spans="1:44" s="646" customFormat="1" ht="21.6" x14ac:dyDescent="0.3">
      <c r="A790" s="697"/>
      <c r="B790" s="698" t="s">
        <v>1759</v>
      </c>
      <c r="C790" s="974" t="s">
        <v>1760</v>
      </c>
      <c r="D790" s="974"/>
      <c r="E790" s="974"/>
      <c r="F790" s="974"/>
      <c r="G790" s="974"/>
      <c r="H790" s="974"/>
      <c r="I790" s="974"/>
      <c r="J790" s="974"/>
      <c r="K790" s="974"/>
      <c r="L790" s="974"/>
      <c r="M790" s="974"/>
      <c r="N790" s="987"/>
      <c r="AF790" s="684"/>
      <c r="AG790" s="693"/>
      <c r="AI790" s="696" t="s">
        <v>1760</v>
      </c>
      <c r="AM790" s="693"/>
      <c r="AP790" s="693"/>
      <c r="AR790" s="693"/>
    </row>
    <row r="791" spans="1:44" s="646" customFormat="1" ht="52.2" x14ac:dyDescent="0.3">
      <c r="A791" s="697"/>
      <c r="B791" s="698" t="s">
        <v>1761</v>
      </c>
      <c r="C791" s="974" t="s">
        <v>1762</v>
      </c>
      <c r="D791" s="974"/>
      <c r="E791" s="974"/>
      <c r="F791" s="974"/>
      <c r="G791" s="974"/>
      <c r="H791" s="974"/>
      <c r="I791" s="974"/>
      <c r="J791" s="974"/>
      <c r="K791" s="974"/>
      <c r="L791" s="974"/>
      <c r="M791" s="974"/>
      <c r="N791" s="987"/>
      <c r="AF791" s="684"/>
      <c r="AG791" s="693"/>
      <c r="AI791" s="696" t="s">
        <v>1762</v>
      </c>
      <c r="AM791" s="693"/>
      <c r="AP791" s="693"/>
      <c r="AR791" s="693"/>
    </row>
    <row r="792" spans="1:44" s="646" customFormat="1" ht="14.4" x14ac:dyDescent="0.3">
      <c r="A792" s="699"/>
      <c r="B792" s="698" t="s">
        <v>18</v>
      </c>
      <c r="C792" s="982" t="s">
        <v>1763</v>
      </c>
      <c r="D792" s="982"/>
      <c r="E792" s="982"/>
      <c r="F792" s="700"/>
      <c r="G792" s="701"/>
      <c r="H792" s="701"/>
      <c r="I792" s="701"/>
      <c r="J792" s="706">
        <v>1575.16</v>
      </c>
      <c r="K792" s="725">
        <v>1.3225</v>
      </c>
      <c r="L792" s="702">
        <v>58.33</v>
      </c>
      <c r="M792" s="704">
        <v>44.77</v>
      </c>
      <c r="N792" s="705">
        <v>2611.4299999999998</v>
      </c>
      <c r="AF792" s="684"/>
      <c r="AG792" s="693"/>
      <c r="AJ792" s="696" t="s">
        <v>1763</v>
      </c>
      <c r="AM792" s="693"/>
      <c r="AP792" s="693"/>
      <c r="AR792" s="693"/>
    </row>
    <row r="793" spans="1:44" s="646" customFormat="1" ht="14.4" x14ac:dyDescent="0.3">
      <c r="A793" s="699"/>
      <c r="B793" s="698" t="s">
        <v>21</v>
      </c>
      <c r="C793" s="982" t="s">
        <v>1764</v>
      </c>
      <c r="D793" s="982"/>
      <c r="E793" s="982"/>
      <c r="F793" s="700"/>
      <c r="G793" s="701"/>
      <c r="H793" s="701"/>
      <c r="I793" s="701"/>
      <c r="J793" s="706">
        <v>9688.57</v>
      </c>
      <c r="K793" s="725">
        <v>1.4375</v>
      </c>
      <c r="L793" s="702">
        <v>389.96</v>
      </c>
      <c r="M793" s="704">
        <v>13.24</v>
      </c>
      <c r="N793" s="705">
        <v>5163.07</v>
      </c>
      <c r="AF793" s="684"/>
      <c r="AG793" s="693"/>
      <c r="AJ793" s="696" t="s">
        <v>1764</v>
      </c>
      <c r="AM793" s="693"/>
      <c r="AP793" s="693"/>
      <c r="AR793" s="693"/>
    </row>
    <row r="794" spans="1:44" s="646" customFormat="1" ht="14.4" x14ac:dyDescent="0.3">
      <c r="A794" s="699"/>
      <c r="B794" s="698" t="s">
        <v>23</v>
      </c>
      <c r="C794" s="982" t="s">
        <v>1765</v>
      </c>
      <c r="D794" s="982"/>
      <c r="E794" s="982"/>
      <c r="F794" s="700"/>
      <c r="G794" s="701"/>
      <c r="H794" s="701"/>
      <c r="I794" s="701"/>
      <c r="J794" s="702">
        <v>545.44000000000005</v>
      </c>
      <c r="K794" s="725">
        <v>1.4375</v>
      </c>
      <c r="L794" s="702">
        <v>21.95</v>
      </c>
      <c r="M794" s="704">
        <v>44.77</v>
      </c>
      <c r="N794" s="707">
        <v>982.7</v>
      </c>
      <c r="AF794" s="684"/>
      <c r="AG794" s="693"/>
      <c r="AJ794" s="696" t="s">
        <v>1765</v>
      </c>
      <c r="AM794" s="693"/>
      <c r="AP794" s="693"/>
      <c r="AR794" s="693"/>
    </row>
    <row r="795" spans="1:44" s="646" customFormat="1" ht="14.4" x14ac:dyDescent="0.3">
      <c r="A795" s="708"/>
      <c r="B795" s="698"/>
      <c r="C795" s="982" t="s">
        <v>1767</v>
      </c>
      <c r="D795" s="982"/>
      <c r="E795" s="982"/>
      <c r="F795" s="700" t="s">
        <v>695</v>
      </c>
      <c r="G795" s="704">
        <v>189.55</v>
      </c>
      <c r="H795" s="725">
        <v>1.3225</v>
      </c>
      <c r="I795" s="710">
        <v>7.0190365000000003</v>
      </c>
      <c r="J795" s="711"/>
      <c r="K795" s="701"/>
      <c r="L795" s="711"/>
      <c r="M795" s="701"/>
      <c r="N795" s="712"/>
      <c r="AF795" s="684"/>
      <c r="AG795" s="693"/>
      <c r="AK795" s="696" t="s">
        <v>1767</v>
      </c>
      <c r="AM795" s="693"/>
      <c r="AP795" s="693"/>
      <c r="AR795" s="693"/>
    </row>
    <row r="796" spans="1:44" s="646" customFormat="1" ht="14.4" x14ac:dyDescent="0.3">
      <c r="A796" s="708"/>
      <c r="B796" s="698"/>
      <c r="C796" s="982" t="s">
        <v>1768</v>
      </c>
      <c r="D796" s="982"/>
      <c r="E796" s="982"/>
      <c r="F796" s="700" t="s">
        <v>695</v>
      </c>
      <c r="G796" s="704">
        <v>38.450000000000003</v>
      </c>
      <c r="H796" s="725">
        <v>1.4375</v>
      </c>
      <c r="I796" s="710">
        <v>1.5476125000000001</v>
      </c>
      <c r="J796" s="711"/>
      <c r="K796" s="701"/>
      <c r="L796" s="711"/>
      <c r="M796" s="701"/>
      <c r="N796" s="712"/>
      <c r="AF796" s="684"/>
      <c r="AG796" s="693"/>
      <c r="AK796" s="696" t="s">
        <v>1768</v>
      </c>
      <c r="AM796" s="693"/>
      <c r="AP796" s="693"/>
      <c r="AR796" s="693"/>
    </row>
    <row r="797" spans="1:44" s="646" customFormat="1" ht="14.4" x14ac:dyDescent="0.3">
      <c r="A797" s="699"/>
      <c r="B797" s="698"/>
      <c r="C797" s="986" t="s">
        <v>1769</v>
      </c>
      <c r="D797" s="986"/>
      <c r="E797" s="986"/>
      <c r="F797" s="714"/>
      <c r="G797" s="715"/>
      <c r="H797" s="715"/>
      <c r="I797" s="715"/>
      <c r="J797" s="716">
        <v>11263.73</v>
      </c>
      <c r="K797" s="715"/>
      <c r="L797" s="724">
        <v>448.29</v>
      </c>
      <c r="M797" s="715"/>
      <c r="N797" s="717">
        <v>7774.5</v>
      </c>
      <c r="AF797" s="684"/>
      <c r="AG797" s="693"/>
      <c r="AL797" s="696" t="s">
        <v>1769</v>
      </c>
      <c r="AM797" s="693"/>
      <c r="AP797" s="693"/>
      <c r="AR797" s="693"/>
    </row>
    <row r="798" spans="1:44" s="646" customFormat="1" ht="14.4" x14ac:dyDescent="0.3">
      <c r="A798" s="708"/>
      <c r="B798" s="698"/>
      <c r="C798" s="982" t="s">
        <v>1770</v>
      </c>
      <c r="D798" s="982"/>
      <c r="E798" s="982"/>
      <c r="F798" s="700"/>
      <c r="G798" s="701"/>
      <c r="H798" s="701"/>
      <c r="I798" s="701"/>
      <c r="J798" s="711"/>
      <c r="K798" s="701"/>
      <c r="L798" s="702">
        <v>80.28</v>
      </c>
      <c r="M798" s="701"/>
      <c r="N798" s="705">
        <v>3594.13</v>
      </c>
      <c r="AF798" s="684"/>
      <c r="AG798" s="693"/>
      <c r="AK798" s="696" t="s">
        <v>1770</v>
      </c>
      <c r="AM798" s="693"/>
      <c r="AP798" s="693"/>
      <c r="AR798" s="693"/>
    </row>
    <row r="799" spans="1:44" s="646" customFormat="1" ht="20.399999999999999" x14ac:dyDescent="0.3">
      <c r="A799" s="708"/>
      <c r="B799" s="698" t="s">
        <v>1847</v>
      </c>
      <c r="C799" s="982" t="s">
        <v>1848</v>
      </c>
      <c r="D799" s="982"/>
      <c r="E799" s="982"/>
      <c r="F799" s="700" t="s">
        <v>1773</v>
      </c>
      <c r="G799" s="718">
        <v>109</v>
      </c>
      <c r="H799" s="701"/>
      <c r="I799" s="718">
        <v>109</v>
      </c>
      <c r="J799" s="711"/>
      <c r="K799" s="701"/>
      <c r="L799" s="702">
        <v>87.51</v>
      </c>
      <c r="M799" s="701"/>
      <c r="N799" s="705">
        <v>3917.6</v>
      </c>
      <c r="AF799" s="684"/>
      <c r="AG799" s="693"/>
      <c r="AK799" s="696" t="s">
        <v>1848</v>
      </c>
      <c r="AM799" s="693"/>
      <c r="AP799" s="693"/>
      <c r="AR799" s="693"/>
    </row>
    <row r="800" spans="1:44" s="646" customFormat="1" ht="40.799999999999997" x14ac:dyDescent="0.3">
      <c r="A800" s="708"/>
      <c r="B800" s="698" t="s">
        <v>1849</v>
      </c>
      <c r="C800" s="982" t="s">
        <v>1850</v>
      </c>
      <c r="D800" s="982"/>
      <c r="E800" s="982"/>
      <c r="F800" s="700" t="s">
        <v>1773</v>
      </c>
      <c r="G800" s="718">
        <v>65</v>
      </c>
      <c r="H800" s="704">
        <v>0.85</v>
      </c>
      <c r="I800" s="704">
        <v>55.25</v>
      </c>
      <c r="J800" s="711"/>
      <c r="K800" s="701"/>
      <c r="L800" s="702">
        <v>44.35</v>
      </c>
      <c r="M800" s="701"/>
      <c r="N800" s="705">
        <v>1985.76</v>
      </c>
      <c r="AF800" s="684"/>
      <c r="AG800" s="693"/>
      <c r="AK800" s="696" t="s">
        <v>1850</v>
      </c>
      <c r="AM800" s="693"/>
      <c r="AP800" s="693"/>
      <c r="AR800" s="693"/>
    </row>
    <row r="801" spans="1:45" s="646" customFormat="1" ht="14.4" x14ac:dyDescent="0.3">
      <c r="A801" s="719"/>
      <c r="B801" s="720"/>
      <c r="C801" s="985" t="s">
        <v>1776</v>
      </c>
      <c r="D801" s="985"/>
      <c r="E801" s="985"/>
      <c r="F801" s="687"/>
      <c r="G801" s="688"/>
      <c r="H801" s="688"/>
      <c r="I801" s="688"/>
      <c r="J801" s="691"/>
      <c r="K801" s="688"/>
      <c r="L801" s="726">
        <v>580.15</v>
      </c>
      <c r="M801" s="715"/>
      <c r="N801" s="722">
        <v>13677.86</v>
      </c>
      <c r="AF801" s="684"/>
      <c r="AG801" s="693"/>
      <c r="AM801" s="693" t="s">
        <v>1776</v>
      </c>
      <c r="AP801" s="693"/>
      <c r="AR801" s="693"/>
    </row>
    <row r="802" spans="1:45" s="646" customFormat="1" ht="14.4" x14ac:dyDescent="0.3">
      <c r="A802" s="989" t="s">
        <v>2102</v>
      </c>
      <c r="B802" s="990"/>
      <c r="C802" s="990"/>
      <c r="D802" s="990"/>
      <c r="E802" s="990"/>
      <c r="F802" s="990"/>
      <c r="G802" s="990"/>
      <c r="H802" s="990"/>
      <c r="I802" s="990"/>
      <c r="J802" s="990"/>
      <c r="K802" s="990"/>
      <c r="L802" s="990"/>
      <c r="M802" s="990"/>
      <c r="N802" s="991"/>
      <c r="AF802" s="684"/>
      <c r="AG802" s="693"/>
      <c r="AM802" s="693"/>
      <c r="AP802" s="693"/>
      <c r="AR802" s="693"/>
      <c r="AS802" s="693" t="s">
        <v>2102</v>
      </c>
    </row>
    <row r="803" spans="1:45" s="646" customFormat="1" ht="52.2" x14ac:dyDescent="0.3">
      <c r="A803" s="685" t="s">
        <v>2103</v>
      </c>
      <c r="B803" s="686" t="s">
        <v>2104</v>
      </c>
      <c r="C803" s="985" t="s">
        <v>2105</v>
      </c>
      <c r="D803" s="985"/>
      <c r="E803" s="985"/>
      <c r="F803" s="687" t="s">
        <v>1856</v>
      </c>
      <c r="G803" s="688">
        <v>0.35755999999999999</v>
      </c>
      <c r="H803" s="689">
        <v>1</v>
      </c>
      <c r="I803" s="750">
        <v>0.35755999999999999</v>
      </c>
      <c r="J803" s="691"/>
      <c r="K803" s="688"/>
      <c r="L803" s="691"/>
      <c r="M803" s="688"/>
      <c r="N803" s="692"/>
      <c r="AF803" s="684"/>
      <c r="AG803" s="693" t="s">
        <v>2105</v>
      </c>
      <c r="AM803" s="693"/>
      <c r="AP803" s="693"/>
      <c r="AR803" s="693"/>
      <c r="AS803" s="693"/>
    </row>
    <row r="804" spans="1:45" s="646" customFormat="1" ht="14.4" x14ac:dyDescent="0.3">
      <c r="A804" s="694"/>
      <c r="B804" s="695"/>
      <c r="C804" s="982" t="s">
        <v>2106</v>
      </c>
      <c r="D804" s="982"/>
      <c r="E804" s="982"/>
      <c r="F804" s="982"/>
      <c r="G804" s="982"/>
      <c r="H804" s="982"/>
      <c r="I804" s="982"/>
      <c r="J804" s="982"/>
      <c r="K804" s="982"/>
      <c r="L804" s="982"/>
      <c r="M804" s="982"/>
      <c r="N804" s="988"/>
      <c r="AF804" s="684"/>
      <c r="AG804" s="693"/>
      <c r="AH804" s="696" t="s">
        <v>2106</v>
      </c>
      <c r="AM804" s="693"/>
      <c r="AP804" s="693"/>
      <c r="AR804" s="693"/>
      <c r="AS804" s="693"/>
    </row>
    <row r="805" spans="1:45" s="646" customFormat="1" ht="21.6" x14ac:dyDescent="0.3">
      <c r="A805" s="697"/>
      <c r="B805" s="698" t="s">
        <v>1759</v>
      </c>
      <c r="C805" s="974" t="s">
        <v>1760</v>
      </c>
      <c r="D805" s="974"/>
      <c r="E805" s="974"/>
      <c r="F805" s="974"/>
      <c r="G805" s="974"/>
      <c r="H805" s="974"/>
      <c r="I805" s="974"/>
      <c r="J805" s="974"/>
      <c r="K805" s="974"/>
      <c r="L805" s="974"/>
      <c r="M805" s="974"/>
      <c r="N805" s="987"/>
      <c r="AF805" s="684"/>
      <c r="AG805" s="693"/>
      <c r="AI805" s="696" t="s">
        <v>1760</v>
      </c>
      <c r="AM805" s="693"/>
      <c r="AP805" s="693"/>
      <c r="AR805" s="693"/>
      <c r="AS805" s="693"/>
    </row>
    <row r="806" spans="1:45" s="646" customFormat="1" ht="52.2" x14ac:dyDescent="0.3">
      <c r="A806" s="697"/>
      <c r="B806" s="698" t="s">
        <v>1761</v>
      </c>
      <c r="C806" s="974" t="s">
        <v>1762</v>
      </c>
      <c r="D806" s="974"/>
      <c r="E806" s="974"/>
      <c r="F806" s="974"/>
      <c r="G806" s="974"/>
      <c r="H806" s="974"/>
      <c r="I806" s="974"/>
      <c r="J806" s="974"/>
      <c r="K806" s="974"/>
      <c r="L806" s="974"/>
      <c r="M806" s="974"/>
      <c r="N806" s="987"/>
      <c r="AF806" s="684"/>
      <c r="AG806" s="693"/>
      <c r="AI806" s="696" t="s">
        <v>1762</v>
      </c>
      <c r="AM806" s="693"/>
      <c r="AP806" s="693"/>
      <c r="AR806" s="693"/>
      <c r="AS806" s="693"/>
    </row>
    <row r="807" spans="1:45" s="646" customFormat="1" ht="14.4" x14ac:dyDescent="0.3">
      <c r="A807" s="699"/>
      <c r="B807" s="698" t="s">
        <v>18</v>
      </c>
      <c r="C807" s="982" t="s">
        <v>1763</v>
      </c>
      <c r="D807" s="982"/>
      <c r="E807" s="982"/>
      <c r="F807" s="700"/>
      <c r="G807" s="701"/>
      <c r="H807" s="701"/>
      <c r="I807" s="701"/>
      <c r="J807" s="706">
        <v>1685.16</v>
      </c>
      <c r="K807" s="725">
        <v>1.3225</v>
      </c>
      <c r="L807" s="702">
        <v>796.87</v>
      </c>
      <c r="M807" s="704">
        <v>44.77</v>
      </c>
      <c r="N807" s="705">
        <v>35675.870000000003</v>
      </c>
      <c r="AF807" s="684"/>
      <c r="AG807" s="693"/>
      <c r="AJ807" s="696" t="s">
        <v>1763</v>
      </c>
      <c r="AM807" s="693"/>
      <c r="AP807" s="693"/>
      <c r="AR807" s="693"/>
      <c r="AS807" s="693"/>
    </row>
    <row r="808" spans="1:45" s="646" customFormat="1" ht="14.4" x14ac:dyDescent="0.3">
      <c r="A808" s="699"/>
      <c r="B808" s="698" t="s">
        <v>21</v>
      </c>
      <c r="C808" s="982" t="s">
        <v>1764</v>
      </c>
      <c r="D808" s="982"/>
      <c r="E808" s="982"/>
      <c r="F808" s="700"/>
      <c r="G808" s="701"/>
      <c r="H808" s="701"/>
      <c r="I808" s="701"/>
      <c r="J808" s="706">
        <v>84181.34</v>
      </c>
      <c r="K808" s="725">
        <v>1.4375</v>
      </c>
      <c r="L808" s="706">
        <v>43268.58</v>
      </c>
      <c r="M808" s="704">
        <v>13.24</v>
      </c>
      <c r="N808" s="705">
        <v>572876</v>
      </c>
      <c r="AF808" s="684"/>
      <c r="AG808" s="693"/>
      <c r="AJ808" s="696" t="s">
        <v>1764</v>
      </c>
      <c r="AM808" s="693"/>
      <c r="AP808" s="693"/>
      <c r="AR808" s="693"/>
      <c r="AS808" s="693"/>
    </row>
    <row r="809" spans="1:45" s="646" customFormat="1" ht="14.4" x14ac:dyDescent="0.3">
      <c r="A809" s="699"/>
      <c r="B809" s="698" t="s">
        <v>23</v>
      </c>
      <c r="C809" s="982" t="s">
        <v>1765</v>
      </c>
      <c r="D809" s="982"/>
      <c r="E809" s="982"/>
      <c r="F809" s="700"/>
      <c r="G809" s="701"/>
      <c r="H809" s="701"/>
      <c r="I809" s="701"/>
      <c r="J809" s="706">
        <v>4715.74</v>
      </c>
      <c r="K809" s="725">
        <v>1.4375</v>
      </c>
      <c r="L809" s="706">
        <v>2423.85</v>
      </c>
      <c r="M809" s="704">
        <v>44.77</v>
      </c>
      <c r="N809" s="705">
        <v>108515.76</v>
      </c>
      <c r="AF809" s="684"/>
      <c r="AG809" s="693"/>
      <c r="AJ809" s="696" t="s">
        <v>1765</v>
      </c>
      <c r="AM809" s="693"/>
      <c r="AP809" s="693"/>
      <c r="AR809" s="693"/>
      <c r="AS809" s="693"/>
    </row>
    <row r="810" spans="1:45" s="646" customFormat="1" ht="14.4" x14ac:dyDescent="0.3">
      <c r="A810" s="708"/>
      <c r="B810" s="698"/>
      <c r="C810" s="982" t="s">
        <v>1767</v>
      </c>
      <c r="D810" s="982"/>
      <c r="E810" s="982"/>
      <c r="F810" s="700" t="s">
        <v>695</v>
      </c>
      <c r="G810" s="704">
        <v>192.81</v>
      </c>
      <c r="H810" s="725">
        <v>1.3225</v>
      </c>
      <c r="I810" s="710">
        <v>91.174662400000003</v>
      </c>
      <c r="J810" s="711"/>
      <c r="K810" s="701"/>
      <c r="L810" s="711"/>
      <c r="M810" s="701"/>
      <c r="N810" s="712"/>
      <c r="AF810" s="684"/>
      <c r="AG810" s="693"/>
      <c r="AK810" s="696" t="s">
        <v>1767</v>
      </c>
      <c r="AM810" s="693"/>
      <c r="AP810" s="693"/>
      <c r="AR810" s="693"/>
      <c r="AS810" s="693"/>
    </row>
    <row r="811" spans="1:45" s="646" customFormat="1" ht="14.4" x14ac:dyDescent="0.3">
      <c r="A811" s="708"/>
      <c r="B811" s="698"/>
      <c r="C811" s="982" t="s">
        <v>1768</v>
      </c>
      <c r="D811" s="982"/>
      <c r="E811" s="982"/>
      <c r="F811" s="700" t="s">
        <v>695</v>
      </c>
      <c r="G811" s="704">
        <v>354.06</v>
      </c>
      <c r="H811" s="725">
        <v>1.4375</v>
      </c>
      <c r="I811" s="710">
        <v>181.98418459999999</v>
      </c>
      <c r="J811" s="711"/>
      <c r="K811" s="701"/>
      <c r="L811" s="711"/>
      <c r="M811" s="701"/>
      <c r="N811" s="712"/>
      <c r="AF811" s="684"/>
      <c r="AG811" s="693"/>
      <c r="AK811" s="696" t="s">
        <v>1768</v>
      </c>
      <c r="AM811" s="693"/>
      <c r="AP811" s="693"/>
      <c r="AR811" s="693"/>
      <c r="AS811" s="693"/>
    </row>
    <row r="812" spans="1:45" s="646" customFormat="1" ht="14.4" x14ac:dyDescent="0.3">
      <c r="A812" s="699"/>
      <c r="B812" s="698"/>
      <c r="C812" s="986" t="s">
        <v>1769</v>
      </c>
      <c r="D812" s="986"/>
      <c r="E812" s="986"/>
      <c r="F812" s="714"/>
      <c r="G812" s="715"/>
      <c r="H812" s="715"/>
      <c r="I812" s="715"/>
      <c r="J812" s="716">
        <v>85866.5</v>
      </c>
      <c r="K812" s="715"/>
      <c r="L812" s="716">
        <v>44065.45</v>
      </c>
      <c r="M812" s="715"/>
      <c r="N812" s="717">
        <v>608551.87</v>
      </c>
      <c r="AF812" s="684"/>
      <c r="AG812" s="693"/>
      <c r="AL812" s="696" t="s">
        <v>1769</v>
      </c>
      <c r="AM812" s="693"/>
      <c r="AP812" s="693"/>
      <c r="AR812" s="693"/>
      <c r="AS812" s="693"/>
    </row>
    <row r="813" spans="1:45" s="646" customFormat="1" ht="14.4" x14ac:dyDescent="0.3">
      <c r="A813" s="708"/>
      <c r="B813" s="698"/>
      <c r="C813" s="982" t="s">
        <v>1770</v>
      </c>
      <c r="D813" s="982"/>
      <c r="E813" s="982"/>
      <c r="F813" s="700"/>
      <c r="G813" s="701"/>
      <c r="H813" s="701"/>
      <c r="I813" s="701"/>
      <c r="J813" s="711"/>
      <c r="K813" s="701"/>
      <c r="L813" s="706">
        <v>3220.72</v>
      </c>
      <c r="M813" s="701"/>
      <c r="N813" s="705">
        <v>144191.63</v>
      </c>
      <c r="AF813" s="684"/>
      <c r="AG813" s="693"/>
      <c r="AK813" s="696" t="s">
        <v>1770</v>
      </c>
      <c r="AM813" s="693"/>
      <c r="AP813" s="693"/>
      <c r="AR813" s="693"/>
      <c r="AS813" s="693"/>
    </row>
    <row r="814" spans="1:45" s="646" customFormat="1" ht="20.399999999999999" x14ac:dyDescent="0.3">
      <c r="A814" s="708"/>
      <c r="B814" s="698" t="s">
        <v>1847</v>
      </c>
      <c r="C814" s="982" t="s">
        <v>1848</v>
      </c>
      <c r="D814" s="982"/>
      <c r="E814" s="982"/>
      <c r="F814" s="700" t="s">
        <v>1773</v>
      </c>
      <c r="G814" s="718">
        <v>109</v>
      </c>
      <c r="H814" s="701"/>
      <c r="I814" s="718">
        <v>109</v>
      </c>
      <c r="J814" s="711"/>
      <c r="K814" s="701"/>
      <c r="L814" s="706">
        <v>3510.58</v>
      </c>
      <c r="M814" s="701"/>
      <c r="N814" s="705">
        <v>157168.88</v>
      </c>
      <c r="AF814" s="684"/>
      <c r="AG814" s="693"/>
      <c r="AK814" s="696" t="s">
        <v>1848</v>
      </c>
      <c r="AM814" s="693"/>
      <c r="AP814" s="693"/>
      <c r="AR814" s="693"/>
      <c r="AS814" s="693"/>
    </row>
    <row r="815" spans="1:45" s="646" customFormat="1" ht="40.799999999999997" x14ac:dyDescent="0.3">
      <c r="A815" s="708"/>
      <c r="B815" s="698" t="s">
        <v>1849</v>
      </c>
      <c r="C815" s="982" t="s">
        <v>1850</v>
      </c>
      <c r="D815" s="982"/>
      <c r="E815" s="982"/>
      <c r="F815" s="700" t="s">
        <v>1773</v>
      </c>
      <c r="G815" s="718">
        <v>65</v>
      </c>
      <c r="H815" s="704">
        <v>0.85</v>
      </c>
      <c r="I815" s="704">
        <v>55.25</v>
      </c>
      <c r="J815" s="711"/>
      <c r="K815" s="701"/>
      <c r="L815" s="706">
        <v>1779.45</v>
      </c>
      <c r="M815" s="701"/>
      <c r="N815" s="705">
        <v>79665.88</v>
      </c>
      <c r="AF815" s="684"/>
      <c r="AG815" s="693"/>
      <c r="AK815" s="696" t="s">
        <v>1850</v>
      </c>
      <c r="AM815" s="693"/>
      <c r="AP815" s="693"/>
      <c r="AR815" s="693"/>
      <c r="AS815" s="693"/>
    </row>
    <row r="816" spans="1:45" s="646" customFormat="1" ht="14.4" x14ac:dyDescent="0.3">
      <c r="A816" s="719"/>
      <c r="B816" s="720"/>
      <c r="C816" s="985" t="s">
        <v>1776</v>
      </c>
      <c r="D816" s="985"/>
      <c r="E816" s="985"/>
      <c r="F816" s="687"/>
      <c r="G816" s="688"/>
      <c r="H816" s="688"/>
      <c r="I816" s="688"/>
      <c r="J816" s="691"/>
      <c r="K816" s="688"/>
      <c r="L816" s="721">
        <v>49355.48</v>
      </c>
      <c r="M816" s="715"/>
      <c r="N816" s="722">
        <v>845386.63</v>
      </c>
      <c r="AF816" s="684"/>
      <c r="AG816" s="693"/>
      <c r="AM816" s="693" t="s">
        <v>1776</v>
      </c>
      <c r="AP816" s="693"/>
      <c r="AR816" s="693"/>
      <c r="AS816" s="693"/>
    </row>
    <row r="817" spans="1:45" s="646" customFormat="1" ht="21.6" x14ac:dyDescent="0.3">
      <c r="A817" s="685" t="s">
        <v>2107</v>
      </c>
      <c r="B817" s="686" t="s">
        <v>766</v>
      </c>
      <c r="C817" s="985" t="s">
        <v>1819</v>
      </c>
      <c r="D817" s="985"/>
      <c r="E817" s="985"/>
      <c r="F817" s="687" t="s">
        <v>745</v>
      </c>
      <c r="G817" s="688">
        <v>719.33</v>
      </c>
      <c r="H817" s="689">
        <v>1</v>
      </c>
      <c r="I817" s="727">
        <v>719.33</v>
      </c>
      <c r="J817" s="726">
        <v>493.16</v>
      </c>
      <c r="K817" s="690">
        <v>1.012</v>
      </c>
      <c r="L817" s="721">
        <v>359001.72</v>
      </c>
      <c r="M817" s="727">
        <v>8.16</v>
      </c>
      <c r="N817" s="722">
        <v>2929454.04</v>
      </c>
      <c r="AF817" s="684"/>
      <c r="AG817" s="693" t="s">
        <v>1819</v>
      </c>
      <c r="AM817" s="693"/>
      <c r="AP817" s="693"/>
      <c r="AR817" s="693"/>
      <c r="AS817" s="693"/>
    </row>
    <row r="818" spans="1:45" s="646" customFormat="1" ht="14.4" x14ac:dyDescent="0.3">
      <c r="A818" s="719"/>
      <c r="B818" s="720"/>
      <c r="C818" s="982" t="s">
        <v>1793</v>
      </c>
      <c r="D818" s="982"/>
      <c r="E818" s="982"/>
      <c r="F818" s="982"/>
      <c r="G818" s="982"/>
      <c r="H818" s="982"/>
      <c r="I818" s="982"/>
      <c r="J818" s="982"/>
      <c r="K818" s="982"/>
      <c r="L818" s="982"/>
      <c r="M818" s="982"/>
      <c r="N818" s="988"/>
      <c r="AF818" s="684"/>
      <c r="AG818" s="693"/>
      <c r="AM818" s="693"/>
      <c r="AN818" s="696" t="s">
        <v>1793</v>
      </c>
      <c r="AP818" s="693"/>
      <c r="AR818" s="693"/>
      <c r="AS818" s="693"/>
    </row>
    <row r="819" spans="1:45" s="646" customFormat="1" ht="14.4" x14ac:dyDescent="0.3">
      <c r="A819" s="694"/>
      <c r="B819" s="695"/>
      <c r="C819" s="982" t="s">
        <v>2108</v>
      </c>
      <c r="D819" s="982"/>
      <c r="E819" s="982"/>
      <c r="F819" s="982"/>
      <c r="G819" s="982"/>
      <c r="H819" s="982"/>
      <c r="I819" s="982"/>
      <c r="J819" s="982"/>
      <c r="K819" s="982"/>
      <c r="L819" s="982"/>
      <c r="M819" s="982"/>
      <c r="N819" s="988"/>
      <c r="AF819" s="684"/>
      <c r="AG819" s="693"/>
      <c r="AH819" s="696" t="s">
        <v>2108</v>
      </c>
      <c r="AM819" s="693"/>
      <c r="AP819" s="693"/>
      <c r="AR819" s="693"/>
      <c r="AS819" s="693"/>
    </row>
    <row r="820" spans="1:45" s="646" customFormat="1" ht="14.4" x14ac:dyDescent="0.3">
      <c r="A820" s="694"/>
      <c r="B820" s="695"/>
      <c r="C820" s="982" t="s">
        <v>1821</v>
      </c>
      <c r="D820" s="982"/>
      <c r="E820" s="982"/>
      <c r="F820" s="982"/>
      <c r="G820" s="982"/>
      <c r="H820" s="982"/>
      <c r="I820" s="982"/>
      <c r="J820" s="982"/>
      <c r="K820" s="982"/>
      <c r="L820" s="982"/>
      <c r="M820" s="982"/>
      <c r="N820" s="988"/>
      <c r="AF820" s="684"/>
      <c r="AG820" s="693"/>
      <c r="AM820" s="693"/>
      <c r="AO820" s="696" t="s">
        <v>1821</v>
      </c>
      <c r="AP820" s="693"/>
      <c r="AR820" s="693"/>
      <c r="AS820" s="693"/>
    </row>
    <row r="821" spans="1:45" s="646" customFormat="1" ht="14.4" x14ac:dyDescent="0.3">
      <c r="A821" s="697"/>
      <c r="B821" s="698"/>
      <c r="C821" s="974" t="s">
        <v>1888</v>
      </c>
      <c r="D821" s="974"/>
      <c r="E821" s="974"/>
      <c r="F821" s="974"/>
      <c r="G821" s="974"/>
      <c r="H821" s="974"/>
      <c r="I821" s="974"/>
      <c r="J821" s="974"/>
      <c r="K821" s="974"/>
      <c r="L821" s="974"/>
      <c r="M821" s="974"/>
      <c r="N821" s="987"/>
      <c r="AF821" s="684"/>
      <c r="AG821" s="693"/>
      <c r="AI821" s="696" t="s">
        <v>1888</v>
      </c>
      <c r="AM821" s="693"/>
      <c r="AP821" s="693"/>
      <c r="AR821" s="693"/>
      <c r="AS821" s="693"/>
    </row>
    <row r="822" spans="1:45" s="646" customFormat="1" ht="14.4" x14ac:dyDescent="0.3">
      <c r="A822" s="719"/>
      <c r="B822" s="720"/>
      <c r="C822" s="985" t="s">
        <v>1776</v>
      </c>
      <c r="D822" s="985"/>
      <c r="E822" s="985"/>
      <c r="F822" s="687"/>
      <c r="G822" s="688"/>
      <c r="H822" s="688"/>
      <c r="I822" s="688"/>
      <c r="J822" s="691"/>
      <c r="K822" s="688"/>
      <c r="L822" s="721">
        <v>359001.72</v>
      </c>
      <c r="M822" s="715"/>
      <c r="N822" s="722">
        <v>2929454.04</v>
      </c>
      <c r="AF822" s="684"/>
      <c r="AG822" s="693"/>
      <c r="AM822" s="693" t="s">
        <v>1776</v>
      </c>
      <c r="AP822" s="693"/>
      <c r="AR822" s="693"/>
      <c r="AS822" s="693"/>
    </row>
    <row r="823" spans="1:45" s="646" customFormat="1" ht="21.6" x14ac:dyDescent="0.3">
      <c r="A823" s="685" t="s">
        <v>2109</v>
      </c>
      <c r="B823" s="686" t="s">
        <v>2110</v>
      </c>
      <c r="C823" s="985" t="s">
        <v>2111</v>
      </c>
      <c r="D823" s="985"/>
      <c r="E823" s="985"/>
      <c r="F823" s="687" t="s">
        <v>763</v>
      </c>
      <c r="G823" s="688">
        <v>1.097</v>
      </c>
      <c r="H823" s="689">
        <v>1</v>
      </c>
      <c r="I823" s="690">
        <v>1.097</v>
      </c>
      <c r="J823" s="691"/>
      <c r="K823" s="688"/>
      <c r="L823" s="691"/>
      <c r="M823" s="688"/>
      <c r="N823" s="692"/>
      <c r="AF823" s="684"/>
      <c r="AG823" s="693" t="s">
        <v>2111</v>
      </c>
      <c r="AM823" s="693"/>
      <c r="AP823" s="693"/>
      <c r="AR823" s="693"/>
      <c r="AS823" s="693"/>
    </row>
    <row r="824" spans="1:45" s="646" customFormat="1" ht="14.4" x14ac:dyDescent="0.3">
      <c r="A824" s="694"/>
      <c r="B824" s="695"/>
      <c r="C824" s="982" t="s">
        <v>2112</v>
      </c>
      <c r="D824" s="982"/>
      <c r="E824" s="982"/>
      <c r="F824" s="982"/>
      <c r="G824" s="982"/>
      <c r="H824" s="982"/>
      <c r="I824" s="982"/>
      <c r="J824" s="982"/>
      <c r="K824" s="982"/>
      <c r="L824" s="982"/>
      <c r="M824" s="982"/>
      <c r="N824" s="988"/>
      <c r="AF824" s="684"/>
      <c r="AG824" s="693"/>
      <c r="AH824" s="696" t="s">
        <v>2112</v>
      </c>
      <c r="AM824" s="693"/>
      <c r="AP824" s="693"/>
      <c r="AR824" s="693"/>
      <c r="AS824" s="693"/>
    </row>
    <row r="825" spans="1:45" s="646" customFormat="1" ht="21.6" x14ac:dyDescent="0.3">
      <c r="A825" s="697"/>
      <c r="B825" s="698" t="s">
        <v>1759</v>
      </c>
      <c r="C825" s="974" t="s">
        <v>1760</v>
      </c>
      <c r="D825" s="974"/>
      <c r="E825" s="974"/>
      <c r="F825" s="974"/>
      <c r="G825" s="974"/>
      <c r="H825" s="974"/>
      <c r="I825" s="974"/>
      <c r="J825" s="974"/>
      <c r="K825" s="974"/>
      <c r="L825" s="974"/>
      <c r="M825" s="974"/>
      <c r="N825" s="987"/>
      <c r="AF825" s="684"/>
      <c r="AG825" s="693"/>
      <c r="AI825" s="696" t="s">
        <v>1760</v>
      </c>
      <c r="AM825" s="693"/>
      <c r="AP825" s="693"/>
      <c r="AR825" s="693"/>
      <c r="AS825" s="693"/>
    </row>
    <row r="826" spans="1:45" s="646" customFormat="1" ht="52.2" x14ac:dyDescent="0.3">
      <c r="A826" s="697"/>
      <c r="B826" s="698" t="s">
        <v>1761</v>
      </c>
      <c r="C826" s="974" t="s">
        <v>1762</v>
      </c>
      <c r="D826" s="974"/>
      <c r="E826" s="974"/>
      <c r="F826" s="974"/>
      <c r="G826" s="974"/>
      <c r="H826" s="974"/>
      <c r="I826" s="974"/>
      <c r="J826" s="974"/>
      <c r="K826" s="974"/>
      <c r="L826" s="974"/>
      <c r="M826" s="974"/>
      <c r="N826" s="987"/>
      <c r="AF826" s="684"/>
      <c r="AG826" s="693"/>
      <c r="AI826" s="696" t="s">
        <v>1762</v>
      </c>
      <c r="AM826" s="693"/>
      <c r="AP826" s="693"/>
      <c r="AR826" s="693"/>
      <c r="AS826" s="693"/>
    </row>
    <row r="827" spans="1:45" s="646" customFormat="1" ht="14.4" x14ac:dyDescent="0.3">
      <c r="A827" s="699"/>
      <c r="B827" s="698" t="s">
        <v>18</v>
      </c>
      <c r="C827" s="982" t="s">
        <v>1763</v>
      </c>
      <c r="D827" s="982"/>
      <c r="E827" s="982"/>
      <c r="F827" s="700"/>
      <c r="G827" s="701"/>
      <c r="H827" s="701"/>
      <c r="I827" s="701"/>
      <c r="J827" s="706">
        <v>1139.8</v>
      </c>
      <c r="K827" s="725">
        <v>1.3225</v>
      </c>
      <c r="L827" s="706">
        <v>1653.6</v>
      </c>
      <c r="M827" s="704">
        <v>44.77</v>
      </c>
      <c r="N827" s="705">
        <v>74031.67</v>
      </c>
      <c r="AF827" s="684"/>
      <c r="AG827" s="693"/>
      <c r="AJ827" s="696" t="s">
        <v>1763</v>
      </c>
      <c r="AM827" s="693"/>
      <c r="AP827" s="693"/>
      <c r="AR827" s="693"/>
      <c r="AS827" s="693"/>
    </row>
    <row r="828" spans="1:45" s="646" customFormat="1" ht="14.4" x14ac:dyDescent="0.3">
      <c r="A828" s="699"/>
      <c r="B828" s="698" t="s">
        <v>21</v>
      </c>
      <c r="C828" s="982" t="s">
        <v>1764</v>
      </c>
      <c r="D828" s="982"/>
      <c r="E828" s="982"/>
      <c r="F828" s="700"/>
      <c r="G828" s="701"/>
      <c r="H828" s="701"/>
      <c r="I828" s="701"/>
      <c r="J828" s="706">
        <v>12219.98</v>
      </c>
      <c r="K828" s="725">
        <v>1.4375</v>
      </c>
      <c r="L828" s="706">
        <v>19270.14</v>
      </c>
      <c r="M828" s="704">
        <v>13.24</v>
      </c>
      <c r="N828" s="705">
        <v>255136.65</v>
      </c>
      <c r="AF828" s="684"/>
      <c r="AG828" s="693"/>
      <c r="AJ828" s="696" t="s">
        <v>1764</v>
      </c>
      <c r="AM828" s="693"/>
      <c r="AP828" s="693"/>
      <c r="AR828" s="693"/>
      <c r="AS828" s="693"/>
    </row>
    <row r="829" spans="1:45" s="646" customFormat="1" ht="14.4" x14ac:dyDescent="0.3">
      <c r="A829" s="699"/>
      <c r="B829" s="698" t="s">
        <v>23</v>
      </c>
      <c r="C829" s="982" t="s">
        <v>1765</v>
      </c>
      <c r="D829" s="982"/>
      <c r="E829" s="982"/>
      <c r="F829" s="700"/>
      <c r="G829" s="701"/>
      <c r="H829" s="701"/>
      <c r="I829" s="701"/>
      <c r="J829" s="702">
        <v>801.81</v>
      </c>
      <c r="K829" s="725">
        <v>1.4375</v>
      </c>
      <c r="L829" s="706">
        <v>1264.4000000000001</v>
      </c>
      <c r="M829" s="704">
        <v>44.77</v>
      </c>
      <c r="N829" s="705">
        <v>56607.19</v>
      </c>
      <c r="AF829" s="684"/>
      <c r="AG829" s="693"/>
      <c r="AJ829" s="696" t="s">
        <v>1765</v>
      </c>
      <c r="AM829" s="693"/>
      <c r="AP829" s="693"/>
      <c r="AR829" s="693"/>
      <c r="AS829" s="693"/>
    </row>
    <row r="830" spans="1:45" s="646" customFormat="1" ht="14.4" x14ac:dyDescent="0.3">
      <c r="A830" s="699"/>
      <c r="B830" s="698" t="s">
        <v>25</v>
      </c>
      <c r="C830" s="982" t="s">
        <v>1766</v>
      </c>
      <c r="D830" s="982"/>
      <c r="E830" s="982"/>
      <c r="F830" s="700"/>
      <c r="G830" s="701"/>
      <c r="H830" s="701"/>
      <c r="I830" s="701"/>
      <c r="J830" s="706">
        <v>230267.7</v>
      </c>
      <c r="K830" s="701"/>
      <c r="L830" s="706">
        <v>252603.67</v>
      </c>
      <c r="M830" s="704">
        <v>8.16</v>
      </c>
      <c r="N830" s="705">
        <v>2061245.95</v>
      </c>
      <c r="AF830" s="684"/>
      <c r="AG830" s="693"/>
      <c r="AJ830" s="696" t="s">
        <v>1766</v>
      </c>
      <c r="AM830" s="693"/>
      <c r="AP830" s="693"/>
      <c r="AR830" s="693"/>
      <c r="AS830" s="693"/>
    </row>
    <row r="831" spans="1:45" s="646" customFormat="1" ht="14.4" x14ac:dyDescent="0.3">
      <c r="A831" s="708"/>
      <c r="B831" s="698"/>
      <c r="C831" s="982" t="s">
        <v>1767</v>
      </c>
      <c r="D831" s="982"/>
      <c r="E831" s="982"/>
      <c r="F831" s="700" t="s">
        <v>695</v>
      </c>
      <c r="G831" s="704">
        <v>137.16</v>
      </c>
      <c r="H831" s="725">
        <v>1.3225</v>
      </c>
      <c r="I831" s="710">
        <v>198.98932769999999</v>
      </c>
      <c r="J831" s="711"/>
      <c r="K831" s="701"/>
      <c r="L831" s="711"/>
      <c r="M831" s="701"/>
      <c r="N831" s="712"/>
      <c r="AF831" s="684"/>
      <c r="AG831" s="693"/>
      <c r="AK831" s="696" t="s">
        <v>1767</v>
      </c>
      <c r="AM831" s="693"/>
      <c r="AP831" s="693"/>
      <c r="AR831" s="693"/>
      <c r="AS831" s="693"/>
    </row>
    <row r="832" spans="1:45" s="646" customFormat="1" ht="14.4" x14ac:dyDescent="0.3">
      <c r="A832" s="708"/>
      <c r="B832" s="698"/>
      <c r="C832" s="982" t="s">
        <v>1768</v>
      </c>
      <c r="D832" s="982"/>
      <c r="E832" s="982"/>
      <c r="F832" s="700" t="s">
        <v>695</v>
      </c>
      <c r="G832" s="704">
        <v>53.69</v>
      </c>
      <c r="H832" s="725">
        <v>1.4375</v>
      </c>
      <c r="I832" s="710">
        <v>84.665774400000004</v>
      </c>
      <c r="J832" s="711"/>
      <c r="K832" s="701"/>
      <c r="L832" s="711"/>
      <c r="M832" s="701"/>
      <c r="N832" s="712"/>
      <c r="AF832" s="684"/>
      <c r="AG832" s="693"/>
      <c r="AK832" s="696" t="s">
        <v>1768</v>
      </c>
      <c r="AM832" s="693"/>
      <c r="AP832" s="693"/>
      <c r="AR832" s="693"/>
      <c r="AS832" s="693"/>
    </row>
    <row r="833" spans="1:45" s="646" customFormat="1" ht="14.4" x14ac:dyDescent="0.3">
      <c r="A833" s="699"/>
      <c r="B833" s="698"/>
      <c r="C833" s="986" t="s">
        <v>1769</v>
      </c>
      <c r="D833" s="986"/>
      <c r="E833" s="986"/>
      <c r="F833" s="714"/>
      <c r="G833" s="715"/>
      <c r="H833" s="715"/>
      <c r="I833" s="715"/>
      <c r="J833" s="716">
        <v>243627.48</v>
      </c>
      <c r="K833" s="715"/>
      <c r="L833" s="716">
        <v>273527.40999999997</v>
      </c>
      <c r="M833" s="715"/>
      <c r="N833" s="717">
        <v>2390414.27</v>
      </c>
      <c r="AF833" s="684"/>
      <c r="AG833" s="693"/>
      <c r="AL833" s="696" t="s">
        <v>1769</v>
      </c>
      <c r="AM833" s="693"/>
      <c r="AP833" s="693"/>
      <c r="AR833" s="693"/>
      <c r="AS833" s="693"/>
    </row>
    <row r="834" spans="1:45" s="646" customFormat="1" ht="14.4" x14ac:dyDescent="0.3">
      <c r="A834" s="708"/>
      <c r="B834" s="698"/>
      <c r="C834" s="982" t="s">
        <v>1770</v>
      </c>
      <c r="D834" s="982"/>
      <c r="E834" s="982"/>
      <c r="F834" s="700"/>
      <c r="G834" s="701"/>
      <c r="H834" s="701"/>
      <c r="I834" s="701"/>
      <c r="J834" s="711"/>
      <c r="K834" s="701"/>
      <c r="L834" s="706">
        <v>2918</v>
      </c>
      <c r="M834" s="701"/>
      <c r="N834" s="705">
        <v>130638.86</v>
      </c>
      <c r="AF834" s="684"/>
      <c r="AG834" s="693"/>
      <c r="AK834" s="696" t="s">
        <v>1770</v>
      </c>
      <c r="AM834" s="693"/>
      <c r="AP834" s="693"/>
      <c r="AR834" s="693"/>
      <c r="AS834" s="693"/>
    </row>
    <row r="835" spans="1:45" s="646" customFormat="1" ht="20.399999999999999" x14ac:dyDescent="0.3">
      <c r="A835" s="708"/>
      <c r="B835" s="698" t="s">
        <v>1847</v>
      </c>
      <c r="C835" s="982" t="s">
        <v>1848</v>
      </c>
      <c r="D835" s="982"/>
      <c r="E835" s="982"/>
      <c r="F835" s="700" t="s">
        <v>1773</v>
      </c>
      <c r="G835" s="718">
        <v>109</v>
      </c>
      <c r="H835" s="701"/>
      <c r="I835" s="718">
        <v>109</v>
      </c>
      <c r="J835" s="711"/>
      <c r="K835" s="701"/>
      <c r="L835" s="706">
        <v>3180.62</v>
      </c>
      <c r="M835" s="701"/>
      <c r="N835" s="705">
        <v>142396.35999999999</v>
      </c>
      <c r="AF835" s="684"/>
      <c r="AG835" s="693"/>
      <c r="AK835" s="696" t="s">
        <v>1848</v>
      </c>
      <c r="AM835" s="693"/>
      <c r="AP835" s="693"/>
      <c r="AR835" s="693"/>
      <c r="AS835" s="693"/>
    </row>
    <row r="836" spans="1:45" s="646" customFormat="1" ht="40.799999999999997" x14ac:dyDescent="0.3">
      <c r="A836" s="708"/>
      <c r="B836" s="698" t="s">
        <v>1849</v>
      </c>
      <c r="C836" s="982" t="s">
        <v>1850</v>
      </c>
      <c r="D836" s="982"/>
      <c r="E836" s="982"/>
      <c r="F836" s="700" t="s">
        <v>1773</v>
      </c>
      <c r="G836" s="718">
        <v>65</v>
      </c>
      <c r="H836" s="704">
        <v>0.85</v>
      </c>
      <c r="I836" s="704">
        <v>55.25</v>
      </c>
      <c r="J836" s="711"/>
      <c r="K836" s="701"/>
      <c r="L836" s="706">
        <v>1612.2</v>
      </c>
      <c r="M836" s="701"/>
      <c r="N836" s="705">
        <v>72177.97</v>
      </c>
      <c r="AF836" s="684"/>
      <c r="AG836" s="693"/>
      <c r="AK836" s="696" t="s">
        <v>1850</v>
      </c>
      <c r="AM836" s="693"/>
      <c r="AP836" s="693"/>
      <c r="AR836" s="693"/>
      <c r="AS836" s="693"/>
    </row>
    <row r="837" spans="1:45" s="646" customFormat="1" ht="14.4" x14ac:dyDescent="0.3">
      <c r="A837" s="719"/>
      <c r="B837" s="720"/>
      <c r="C837" s="985" t="s">
        <v>1776</v>
      </c>
      <c r="D837" s="985"/>
      <c r="E837" s="985"/>
      <c r="F837" s="687"/>
      <c r="G837" s="688"/>
      <c r="H837" s="688"/>
      <c r="I837" s="688"/>
      <c r="J837" s="691"/>
      <c r="K837" s="688"/>
      <c r="L837" s="721">
        <v>278320.23</v>
      </c>
      <c r="M837" s="715"/>
      <c r="N837" s="722">
        <v>2604988.6</v>
      </c>
      <c r="AF837" s="684"/>
      <c r="AG837" s="693"/>
      <c r="AM837" s="693" t="s">
        <v>1776</v>
      </c>
      <c r="AP837" s="693"/>
      <c r="AR837" s="693"/>
      <c r="AS837" s="693"/>
    </row>
    <row r="838" spans="1:45" s="646" customFormat="1" ht="21.6" x14ac:dyDescent="0.3">
      <c r="A838" s="685" t="s">
        <v>2113</v>
      </c>
      <c r="B838" s="686" t="s">
        <v>2110</v>
      </c>
      <c r="C838" s="985" t="s">
        <v>2111</v>
      </c>
      <c r="D838" s="985"/>
      <c r="E838" s="985"/>
      <c r="F838" s="687" t="s">
        <v>763</v>
      </c>
      <c r="G838" s="688">
        <v>1.097</v>
      </c>
      <c r="H838" s="689">
        <v>1</v>
      </c>
      <c r="I838" s="690">
        <v>1.097</v>
      </c>
      <c r="J838" s="691"/>
      <c r="K838" s="688"/>
      <c r="L838" s="691"/>
      <c r="M838" s="688"/>
      <c r="N838" s="692"/>
      <c r="AF838" s="684"/>
      <c r="AG838" s="693" t="s">
        <v>2111</v>
      </c>
      <c r="AM838" s="693"/>
      <c r="AP838" s="693"/>
      <c r="AR838" s="693"/>
      <c r="AS838" s="693"/>
    </row>
    <row r="839" spans="1:45" s="646" customFormat="1" ht="14.4" x14ac:dyDescent="0.3">
      <c r="A839" s="694"/>
      <c r="B839" s="695"/>
      <c r="C839" s="982" t="s">
        <v>2112</v>
      </c>
      <c r="D839" s="982"/>
      <c r="E839" s="982"/>
      <c r="F839" s="982"/>
      <c r="G839" s="982"/>
      <c r="H839" s="982"/>
      <c r="I839" s="982"/>
      <c r="J839" s="982"/>
      <c r="K839" s="982"/>
      <c r="L839" s="982"/>
      <c r="M839" s="982"/>
      <c r="N839" s="988"/>
      <c r="AF839" s="684"/>
      <c r="AG839" s="693"/>
      <c r="AH839" s="696" t="s">
        <v>2112</v>
      </c>
      <c r="AM839" s="693"/>
      <c r="AP839" s="693"/>
      <c r="AR839" s="693"/>
      <c r="AS839" s="693"/>
    </row>
    <row r="840" spans="1:45" s="646" customFormat="1" ht="21.6" x14ac:dyDescent="0.3">
      <c r="A840" s="697"/>
      <c r="B840" s="698" t="s">
        <v>1759</v>
      </c>
      <c r="C840" s="974" t="s">
        <v>1760</v>
      </c>
      <c r="D840" s="974"/>
      <c r="E840" s="974"/>
      <c r="F840" s="974"/>
      <c r="G840" s="974"/>
      <c r="H840" s="974"/>
      <c r="I840" s="974"/>
      <c r="J840" s="974"/>
      <c r="K840" s="974"/>
      <c r="L840" s="974"/>
      <c r="M840" s="974"/>
      <c r="N840" s="987"/>
      <c r="AF840" s="684"/>
      <c r="AG840" s="693"/>
      <c r="AI840" s="696" t="s">
        <v>1760</v>
      </c>
      <c r="AM840" s="693"/>
      <c r="AP840" s="693"/>
      <c r="AR840" s="693"/>
      <c r="AS840" s="693"/>
    </row>
    <row r="841" spans="1:45" s="646" customFormat="1" ht="52.2" x14ac:dyDescent="0.3">
      <c r="A841" s="697"/>
      <c r="B841" s="698" t="s">
        <v>1761</v>
      </c>
      <c r="C841" s="974" t="s">
        <v>1762</v>
      </c>
      <c r="D841" s="974"/>
      <c r="E841" s="974"/>
      <c r="F841" s="974"/>
      <c r="G841" s="974"/>
      <c r="H841" s="974"/>
      <c r="I841" s="974"/>
      <c r="J841" s="974"/>
      <c r="K841" s="974"/>
      <c r="L841" s="974"/>
      <c r="M841" s="974"/>
      <c r="N841" s="987"/>
      <c r="AF841" s="684"/>
      <c r="AG841" s="693"/>
      <c r="AI841" s="696" t="s">
        <v>1762</v>
      </c>
      <c r="AM841" s="693"/>
      <c r="AP841" s="693"/>
      <c r="AR841" s="693"/>
      <c r="AS841" s="693"/>
    </row>
    <row r="842" spans="1:45" s="646" customFormat="1" ht="14.4" x14ac:dyDescent="0.3">
      <c r="A842" s="699"/>
      <c r="B842" s="698" t="s">
        <v>18</v>
      </c>
      <c r="C842" s="982" t="s">
        <v>1763</v>
      </c>
      <c r="D842" s="982"/>
      <c r="E842" s="982"/>
      <c r="F842" s="700"/>
      <c r="G842" s="701"/>
      <c r="H842" s="701"/>
      <c r="I842" s="701"/>
      <c r="J842" s="706">
        <v>1139.8</v>
      </c>
      <c r="K842" s="725">
        <v>1.3225</v>
      </c>
      <c r="L842" s="706">
        <v>1653.6</v>
      </c>
      <c r="M842" s="704">
        <v>44.77</v>
      </c>
      <c r="N842" s="705">
        <v>74031.67</v>
      </c>
      <c r="AF842" s="684"/>
      <c r="AG842" s="693"/>
      <c r="AJ842" s="696" t="s">
        <v>1763</v>
      </c>
      <c r="AM842" s="693"/>
      <c r="AP842" s="693"/>
      <c r="AR842" s="693"/>
      <c r="AS842" s="693"/>
    </row>
    <row r="843" spans="1:45" s="646" customFormat="1" ht="14.4" x14ac:dyDescent="0.3">
      <c r="A843" s="699"/>
      <c r="B843" s="698" t="s">
        <v>21</v>
      </c>
      <c r="C843" s="982" t="s">
        <v>1764</v>
      </c>
      <c r="D843" s="982"/>
      <c r="E843" s="982"/>
      <c r="F843" s="700"/>
      <c r="G843" s="701"/>
      <c r="H843" s="701"/>
      <c r="I843" s="701"/>
      <c r="J843" s="706">
        <v>12219.98</v>
      </c>
      <c r="K843" s="725">
        <v>1.4375</v>
      </c>
      <c r="L843" s="706">
        <v>19270.14</v>
      </c>
      <c r="M843" s="704">
        <v>13.24</v>
      </c>
      <c r="N843" s="705">
        <v>255136.65</v>
      </c>
      <c r="AF843" s="684"/>
      <c r="AG843" s="693"/>
      <c r="AJ843" s="696" t="s">
        <v>1764</v>
      </c>
      <c r="AM843" s="693"/>
      <c r="AP843" s="693"/>
      <c r="AR843" s="693"/>
      <c r="AS843" s="693"/>
    </row>
    <row r="844" spans="1:45" s="646" customFormat="1" ht="14.4" x14ac:dyDescent="0.3">
      <c r="A844" s="699"/>
      <c r="B844" s="698" t="s">
        <v>23</v>
      </c>
      <c r="C844" s="982" t="s">
        <v>1765</v>
      </c>
      <c r="D844" s="982"/>
      <c r="E844" s="982"/>
      <c r="F844" s="700"/>
      <c r="G844" s="701"/>
      <c r="H844" s="701"/>
      <c r="I844" s="701"/>
      <c r="J844" s="702">
        <v>801.81</v>
      </c>
      <c r="K844" s="725">
        <v>1.4375</v>
      </c>
      <c r="L844" s="706">
        <v>1264.4000000000001</v>
      </c>
      <c r="M844" s="704">
        <v>44.77</v>
      </c>
      <c r="N844" s="705">
        <v>56607.19</v>
      </c>
      <c r="AF844" s="684"/>
      <c r="AG844" s="693"/>
      <c r="AJ844" s="696" t="s">
        <v>1765</v>
      </c>
      <c r="AM844" s="693"/>
      <c r="AP844" s="693"/>
      <c r="AR844" s="693"/>
      <c r="AS844" s="693"/>
    </row>
    <row r="845" spans="1:45" s="646" customFormat="1" ht="14.4" x14ac:dyDescent="0.3">
      <c r="A845" s="699"/>
      <c r="B845" s="698" t="s">
        <v>25</v>
      </c>
      <c r="C845" s="982" t="s">
        <v>1766</v>
      </c>
      <c r="D845" s="982"/>
      <c r="E845" s="982"/>
      <c r="F845" s="700"/>
      <c r="G845" s="701"/>
      <c r="H845" s="701"/>
      <c r="I845" s="701"/>
      <c r="J845" s="706">
        <v>230267.7</v>
      </c>
      <c r="K845" s="701"/>
      <c r="L845" s="706">
        <v>252603.67</v>
      </c>
      <c r="M845" s="704">
        <v>8.16</v>
      </c>
      <c r="N845" s="705">
        <v>2061245.95</v>
      </c>
      <c r="AF845" s="684"/>
      <c r="AG845" s="693"/>
      <c r="AJ845" s="696" t="s">
        <v>1766</v>
      </c>
      <c r="AM845" s="693"/>
      <c r="AP845" s="693"/>
      <c r="AR845" s="693"/>
      <c r="AS845" s="693"/>
    </row>
    <row r="846" spans="1:45" s="646" customFormat="1" ht="14.4" x14ac:dyDescent="0.3">
      <c r="A846" s="708"/>
      <c r="B846" s="698"/>
      <c r="C846" s="982" t="s">
        <v>1767</v>
      </c>
      <c r="D846" s="982"/>
      <c r="E846" s="982"/>
      <c r="F846" s="700" t="s">
        <v>695</v>
      </c>
      <c r="G846" s="704">
        <v>137.16</v>
      </c>
      <c r="H846" s="725">
        <v>1.3225</v>
      </c>
      <c r="I846" s="710">
        <v>198.98932769999999</v>
      </c>
      <c r="J846" s="711"/>
      <c r="K846" s="701"/>
      <c r="L846" s="711"/>
      <c r="M846" s="701"/>
      <c r="N846" s="712"/>
      <c r="AF846" s="684"/>
      <c r="AG846" s="693"/>
      <c r="AK846" s="696" t="s">
        <v>1767</v>
      </c>
      <c r="AM846" s="693"/>
      <c r="AP846" s="693"/>
      <c r="AR846" s="693"/>
      <c r="AS846" s="693"/>
    </row>
    <row r="847" spans="1:45" s="646" customFormat="1" ht="14.4" x14ac:dyDescent="0.3">
      <c r="A847" s="708"/>
      <c r="B847" s="698"/>
      <c r="C847" s="982" t="s">
        <v>1768</v>
      </c>
      <c r="D847" s="982"/>
      <c r="E847" s="982"/>
      <c r="F847" s="700" t="s">
        <v>695</v>
      </c>
      <c r="G847" s="704">
        <v>53.69</v>
      </c>
      <c r="H847" s="725">
        <v>1.4375</v>
      </c>
      <c r="I847" s="710">
        <v>84.665774400000004</v>
      </c>
      <c r="J847" s="711"/>
      <c r="K847" s="701"/>
      <c r="L847" s="711"/>
      <c r="M847" s="701"/>
      <c r="N847" s="712"/>
      <c r="AF847" s="684"/>
      <c r="AG847" s="693"/>
      <c r="AK847" s="696" t="s">
        <v>1768</v>
      </c>
      <c r="AM847" s="693"/>
      <c r="AP847" s="693"/>
      <c r="AR847" s="693"/>
      <c r="AS847" s="693"/>
    </row>
    <row r="848" spans="1:45" s="646" customFormat="1" ht="14.4" x14ac:dyDescent="0.3">
      <c r="A848" s="699"/>
      <c r="B848" s="698"/>
      <c r="C848" s="986" t="s">
        <v>1769</v>
      </c>
      <c r="D848" s="986"/>
      <c r="E848" s="986"/>
      <c r="F848" s="714"/>
      <c r="G848" s="715"/>
      <c r="H848" s="715"/>
      <c r="I848" s="715"/>
      <c r="J848" s="716">
        <v>243627.48</v>
      </c>
      <c r="K848" s="715"/>
      <c r="L848" s="716">
        <v>273527.40999999997</v>
      </c>
      <c r="M848" s="715"/>
      <c r="N848" s="717">
        <v>2390414.27</v>
      </c>
      <c r="AF848" s="684"/>
      <c r="AG848" s="693"/>
      <c r="AL848" s="696" t="s">
        <v>1769</v>
      </c>
      <c r="AM848" s="693"/>
      <c r="AP848" s="693"/>
      <c r="AR848" s="693"/>
      <c r="AS848" s="693"/>
    </row>
    <row r="849" spans="1:45" s="646" customFormat="1" ht="14.4" x14ac:dyDescent="0.3">
      <c r="A849" s="708"/>
      <c r="B849" s="698"/>
      <c r="C849" s="982" t="s">
        <v>1770</v>
      </c>
      <c r="D849" s="982"/>
      <c r="E849" s="982"/>
      <c r="F849" s="700"/>
      <c r="G849" s="701"/>
      <c r="H849" s="701"/>
      <c r="I849" s="701"/>
      <c r="J849" s="711"/>
      <c r="K849" s="701"/>
      <c r="L849" s="706">
        <v>2918</v>
      </c>
      <c r="M849" s="701"/>
      <c r="N849" s="705">
        <v>130638.86</v>
      </c>
      <c r="AF849" s="684"/>
      <c r="AG849" s="693"/>
      <c r="AK849" s="696" t="s">
        <v>1770</v>
      </c>
      <c r="AM849" s="693"/>
      <c r="AP849" s="693"/>
      <c r="AR849" s="693"/>
      <c r="AS849" s="693"/>
    </row>
    <row r="850" spans="1:45" s="646" customFormat="1" ht="20.399999999999999" x14ac:dyDescent="0.3">
      <c r="A850" s="708"/>
      <c r="B850" s="698" t="s">
        <v>1847</v>
      </c>
      <c r="C850" s="982" t="s">
        <v>1848</v>
      </c>
      <c r="D850" s="982"/>
      <c r="E850" s="982"/>
      <c r="F850" s="700" t="s">
        <v>1773</v>
      </c>
      <c r="G850" s="718">
        <v>109</v>
      </c>
      <c r="H850" s="701"/>
      <c r="I850" s="718">
        <v>109</v>
      </c>
      <c r="J850" s="711"/>
      <c r="K850" s="701"/>
      <c r="L850" s="706">
        <v>3180.62</v>
      </c>
      <c r="M850" s="701"/>
      <c r="N850" s="705">
        <v>142396.35999999999</v>
      </c>
      <c r="AF850" s="684"/>
      <c r="AG850" s="693"/>
      <c r="AK850" s="696" t="s">
        <v>1848</v>
      </c>
      <c r="AM850" s="693"/>
      <c r="AP850" s="693"/>
      <c r="AR850" s="693"/>
      <c r="AS850" s="693"/>
    </row>
    <row r="851" spans="1:45" s="646" customFormat="1" ht="40.799999999999997" x14ac:dyDescent="0.3">
      <c r="A851" s="708"/>
      <c r="B851" s="698" t="s">
        <v>1849</v>
      </c>
      <c r="C851" s="982" t="s">
        <v>1850</v>
      </c>
      <c r="D851" s="982"/>
      <c r="E851" s="982"/>
      <c r="F851" s="700" t="s">
        <v>1773</v>
      </c>
      <c r="G851" s="718">
        <v>65</v>
      </c>
      <c r="H851" s="704">
        <v>0.85</v>
      </c>
      <c r="I851" s="704">
        <v>55.25</v>
      </c>
      <c r="J851" s="711"/>
      <c r="K851" s="701"/>
      <c r="L851" s="706">
        <v>1612.2</v>
      </c>
      <c r="M851" s="701"/>
      <c r="N851" s="705">
        <v>72177.97</v>
      </c>
      <c r="AF851" s="684"/>
      <c r="AG851" s="693"/>
      <c r="AK851" s="696" t="s">
        <v>1850</v>
      </c>
      <c r="AM851" s="693"/>
      <c r="AP851" s="693"/>
      <c r="AR851" s="693"/>
      <c r="AS851" s="693"/>
    </row>
    <row r="852" spans="1:45" s="646" customFormat="1" ht="14.4" x14ac:dyDescent="0.3">
      <c r="A852" s="719"/>
      <c r="B852" s="720"/>
      <c r="C852" s="985" t="s">
        <v>1776</v>
      </c>
      <c r="D852" s="985"/>
      <c r="E852" s="985"/>
      <c r="F852" s="687"/>
      <c r="G852" s="688"/>
      <c r="H852" s="688"/>
      <c r="I852" s="688"/>
      <c r="J852" s="691"/>
      <c r="K852" s="688"/>
      <c r="L852" s="721">
        <v>278320.23</v>
      </c>
      <c r="M852" s="715"/>
      <c r="N852" s="722">
        <v>2604988.6</v>
      </c>
      <c r="AF852" s="684"/>
      <c r="AG852" s="693"/>
      <c r="AM852" s="693" t="s">
        <v>1776</v>
      </c>
      <c r="AP852" s="693"/>
      <c r="AR852" s="693"/>
      <c r="AS852" s="693"/>
    </row>
    <row r="853" spans="1:45" s="646" customFormat="1" ht="31.8" x14ac:dyDescent="0.3">
      <c r="A853" s="685" t="s">
        <v>2114</v>
      </c>
      <c r="B853" s="686" t="s">
        <v>2115</v>
      </c>
      <c r="C853" s="985" t="s">
        <v>2116</v>
      </c>
      <c r="D853" s="985"/>
      <c r="E853" s="985"/>
      <c r="F853" s="687" t="s">
        <v>745</v>
      </c>
      <c r="G853" s="688">
        <v>-1283.49</v>
      </c>
      <c r="H853" s="689">
        <v>1</v>
      </c>
      <c r="I853" s="727">
        <v>-1283.49</v>
      </c>
      <c r="J853" s="726">
        <v>196.81</v>
      </c>
      <c r="K853" s="688"/>
      <c r="L853" s="721">
        <v>-252603.67</v>
      </c>
      <c r="M853" s="727">
        <v>8.16</v>
      </c>
      <c r="N853" s="722">
        <v>-2061245.95</v>
      </c>
      <c r="AF853" s="684"/>
      <c r="AG853" s="693" t="s">
        <v>2116</v>
      </c>
      <c r="AM853" s="693"/>
      <c r="AP853" s="693"/>
      <c r="AR853" s="693"/>
      <c r="AS853" s="693"/>
    </row>
    <row r="854" spans="1:45" s="646" customFormat="1" ht="14.4" x14ac:dyDescent="0.3">
      <c r="A854" s="719"/>
      <c r="B854" s="720"/>
      <c r="C854" s="982" t="s">
        <v>1884</v>
      </c>
      <c r="D854" s="982"/>
      <c r="E854" s="982"/>
      <c r="F854" s="982"/>
      <c r="G854" s="982"/>
      <c r="H854" s="982"/>
      <c r="I854" s="982"/>
      <c r="J854" s="982"/>
      <c r="K854" s="982"/>
      <c r="L854" s="982"/>
      <c r="M854" s="982"/>
      <c r="N854" s="988"/>
      <c r="AF854" s="684"/>
      <c r="AG854" s="693"/>
      <c r="AM854" s="693"/>
      <c r="AN854" s="696" t="s">
        <v>1884</v>
      </c>
      <c r="AP854" s="693"/>
      <c r="AR854" s="693"/>
      <c r="AS854" s="693"/>
    </row>
    <row r="855" spans="1:45" s="646" customFormat="1" ht="14.4" x14ac:dyDescent="0.3">
      <c r="A855" s="719"/>
      <c r="B855" s="720"/>
      <c r="C855" s="985" t="s">
        <v>1776</v>
      </c>
      <c r="D855" s="985"/>
      <c r="E855" s="985"/>
      <c r="F855" s="687"/>
      <c r="G855" s="688"/>
      <c r="H855" s="688"/>
      <c r="I855" s="688"/>
      <c r="J855" s="691"/>
      <c r="K855" s="688"/>
      <c r="L855" s="721">
        <v>-252603.67</v>
      </c>
      <c r="M855" s="715"/>
      <c r="N855" s="722">
        <v>-2061245.95</v>
      </c>
      <c r="AF855" s="684"/>
      <c r="AG855" s="693"/>
      <c r="AM855" s="693" t="s">
        <v>1776</v>
      </c>
      <c r="AP855" s="693"/>
      <c r="AR855" s="693"/>
      <c r="AS855" s="693"/>
    </row>
    <row r="856" spans="1:45" s="646" customFormat="1" ht="21.6" x14ac:dyDescent="0.3">
      <c r="A856" s="685" t="s">
        <v>2117</v>
      </c>
      <c r="B856" s="686" t="s">
        <v>766</v>
      </c>
      <c r="C856" s="985" t="s">
        <v>1819</v>
      </c>
      <c r="D856" s="985"/>
      <c r="E856" s="985"/>
      <c r="F856" s="687" t="s">
        <v>745</v>
      </c>
      <c r="G856" s="688">
        <v>1283.49</v>
      </c>
      <c r="H856" s="689">
        <v>1</v>
      </c>
      <c r="I856" s="727">
        <v>1283.49</v>
      </c>
      <c r="J856" s="726">
        <v>493.16</v>
      </c>
      <c r="K856" s="690">
        <v>1.012</v>
      </c>
      <c r="L856" s="721">
        <v>640561.52</v>
      </c>
      <c r="M856" s="727">
        <v>8.16</v>
      </c>
      <c r="N856" s="722">
        <v>5226982</v>
      </c>
      <c r="AF856" s="684"/>
      <c r="AG856" s="693" t="s">
        <v>1819</v>
      </c>
      <c r="AM856" s="693"/>
      <c r="AP856" s="693"/>
      <c r="AR856" s="693"/>
      <c r="AS856" s="693"/>
    </row>
    <row r="857" spans="1:45" s="646" customFormat="1" ht="14.4" x14ac:dyDescent="0.3">
      <c r="A857" s="719"/>
      <c r="B857" s="720"/>
      <c r="C857" s="982" t="s">
        <v>1793</v>
      </c>
      <c r="D857" s="982"/>
      <c r="E857" s="982"/>
      <c r="F857" s="982"/>
      <c r="G857" s="982"/>
      <c r="H857" s="982"/>
      <c r="I857" s="982"/>
      <c r="J857" s="982"/>
      <c r="K857" s="982"/>
      <c r="L857" s="982"/>
      <c r="M857" s="982"/>
      <c r="N857" s="988"/>
      <c r="AF857" s="684"/>
      <c r="AG857" s="693"/>
      <c r="AM857" s="693"/>
      <c r="AN857" s="696" t="s">
        <v>1793</v>
      </c>
      <c r="AP857" s="693"/>
      <c r="AR857" s="693"/>
      <c r="AS857" s="693"/>
    </row>
    <row r="858" spans="1:45" s="646" customFormat="1" ht="14.4" x14ac:dyDescent="0.3">
      <c r="A858" s="694"/>
      <c r="B858" s="695"/>
      <c r="C858" s="982" t="s">
        <v>2118</v>
      </c>
      <c r="D858" s="982"/>
      <c r="E858" s="982"/>
      <c r="F858" s="982"/>
      <c r="G858" s="982"/>
      <c r="H858" s="982"/>
      <c r="I858" s="982"/>
      <c r="J858" s="982"/>
      <c r="K858" s="982"/>
      <c r="L858" s="982"/>
      <c r="M858" s="982"/>
      <c r="N858" s="988"/>
      <c r="AF858" s="684"/>
      <c r="AG858" s="693"/>
      <c r="AH858" s="696" t="s">
        <v>2118</v>
      </c>
      <c r="AM858" s="693"/>
      <c r="AP858" s="693"/>
      <c r="AR858" s="693"/>
      <c r="AS858" s="693"/>
    </row>
    <row r="859" spans="1:45" s="646" customFormat="1" ht="14.4" x14ac:dyDescent="0.3">
      <c r="A859" s="694"/>
      <c r="B859" s="695"/>
      <c r="C859" s="982" t="s">
        <v>1821</v>
      </c>
      <c r="D859" s="982"/>
      <c r="E859" s="982"/>
      <c r="F859" s="982"/>
      <c r="G859" s="982"/>
      <c r="H859" s="982"/>
      <c r="I859" s="982"/>
      <c r="J859" s="982"/>
      <c r="K859" s="982"/>
      <c r="L859" s="982"/>
      <c r="M859" s="982"/>
      <c r="N859" s="988"/>
      <c r="AF859" s="684"/>
      <c r="AG859" s="693"/>
      <c r="AM859" s="693"/>
      <c r="AO859" s="696" t="s">
        <v>1821</v>
      </c>
      <c r="AP859" s="693"/>
      <c r="AR859" s="693"/>
      <c r="AS859" s="693"/>
    </row>
    <row r="860" spans="1:45" s="646" customFormat="1" ht="14.4" x14ac:dyDescent="0.3">
      <c r="A860" s="697"/>
      <c r="B860" s="698"/>
      <c r="C860" s="974" t="s">
        <v>1815</v>
      </c>
      <c r="D860" s="974"/>
      <c r="E860" s="974"/>
      <c r="F860" s="974"/>
      <c r="G860" s="974"/>
      <c r="H860" s="974"/>
      <c r="I860" s="974"/>
      <c r="J860" s="974"/>
      <c r="K860" s="974"/>
      <c r="L860" s="974"/>
      <c r="M860" s="974"/>
      <c r="N860" s="987"/>
      <c r="AF860" s="684"/>
      <c r="AG860" s="693"/>
      <c r="AI860" s="696" t="s">
        <v>1815</v>
      </c>
      <c r="AM860" s="693"/>
      <c r="AP860" s="693"/>
      <c r="AR860" s="693"/>
      <c r="AS860" s="693"/>
    </row>
    <row r="861" spans="1:45" s="646" customFormat="1" ht="14.4" x14ac:dyDescent="0.3">
      <c r="A861" s="719"/>
      <c r="B861" s="720"/>
      <c r="C861" s="985" t="s">
        <v>1776</v>
      </c>
      <c r="D861" s="985"/>
      <c r="E861" s="985"/>
      <c r="F861" s="687"/>
      <c r="G861" s="688"/>
      <c r="H861" s="688"/>
      <c r="I861" s="688"/>
      <c r="J861" s="691"/>
      <c r="K861" s="688"/>
      <c r="L861" s="721">
        <v>640561.52</v>
      </c>
      <c r="M861" s="715"/>
      <c r="N861" s="722">
        <v>5226982</v>
      </c>
      <c r="AF861" s="684"/>
      <c r="AG861" s="693"/>
      <c r="AM861" s="693" t="s">
        <v>1776</v>
      </c>
      <c r="AP861" s="693"/>
      <c r="AR861" s="693"/>
      <c r="AS861" s="693"/>
    </row>
    <row r="862" spans="1:45" s="646" customFormat="1" ht="31.8" x14ac:dyDescent="0.3">
      <c r="A862" s="685" t="s">
        <v>2119</v>
      </c>
      <c r="B862" s="686" t="s">
        <v>2120</v>
      </c>
      <c r="C862" s="985" t="s">
        <v>2121</v>
      </c>
      <c r="D862" s="985"/>
      <c r="E862" s="985"/>
      <c r="F862" s="687" t="s">
        <v>1856</v>
      </c>
      <c r="G862" s="688">
        <v>8.0379999999999993E-2</v>
      </c>
      <c r="H862" s="689">
        <v>1</v>
      </c>
      <c r="I862" s="750">
        <v>8.0379999999999993E-2</v>
      </c>
      <c r="J862" s="691"/>
      <c r="K862" s="688"/>
      <c r="L862" s="691"/>
      <c r="M862" s="688"/>
      <c r="N862" s="692"/>
      <c r="AF862" s="684"/>
      <c r="AG862" s="693" t="s">
        <v>2121</v>
      </c>
      <c r="AM862" s="693"/>
      <c r="AP862" s="693"/>
      <c r="AR862" s="693"/>
      <c r="AS862" s="693"/>
    </row>
    <row r="863" spans="1:45" s="646" customFormat="1" ht="14.4" x14ac:dyDescent="0.3">
      <c r="A863" s="694"/>
      <c r="B863" s="695"/>
      <c r="C863" s="982" t="s">
        <v>2122</v>
      </c>
      <c r="D863" s="982"/>
      <c r="E863" s="982"/>
      <c r="F863" s="982"/>
      <c r="G863" s="982"/>
      <c r="H863" s="982"/>
      <c r="I863" s="982"/>
      <c r="J863" s="982"/>
      <c r="K863" s="982"/>
      <c r="L863" s="982"/>
      <c r="M863" s="982"/>
      <c r="N863" s="988"/>
      <c r="AF863" s="684"/>
      <c r="AG863" s="693"/>
      <c r="AH863" s="696" t="s">
        <v>2122</v>
      </c>
      <c r="AM863" s="693"/>
      <c r="AP863" s="693"/>
      <c r="AR863" s="693"/>
      <c r="AS863" s="693"/>
    </row>
    <row r="864" spans="1:45" s="646" customFormat="1" ht="21.6" x14ac:dyDescent="0.3">
      <c r="A864" s="697"/>
      <c r="B864" s="698" t="s">
        <v>1759</v>
      </c>
      <c r="C864" s="974" t="s">
        <v>1760</v>
      </c>
      <c r="D864" s="974"/>
      <c r="E864" s="974"/>
      <c r="F864" s="974"/>
      <c r="G864" s="974"/>
      <c r="H864" s="974"/>
      <c r="I864" s="974"/>
      <c r="J864" s="974"/>
      <c r="K864" s="974"/>
      <c r="L864" s="974"/>
      <c r="M864" s="974"/>
      <c r="N864" s="987"/>
      <c r="AF864" s="684"/>
      <c r="AG864" s="693"/>
      <c r="AI864" s="696" t="s">
        <v>1760</v>
      </c>
      <c r="AM864" s="693"/>
      <c r="AP864" s="693"/>
      <c r="AR864" s="693"/>
      <c r="AS864" s="693"/>
    </row>
    <row r="865" spans="1:45" s="646" customFormat="1" ht="52.2" x14ac:dyDescent="0.3">
      <c r="A865" s="697"/>
      <c r="B865" s="698" t="s">
        <v>1761</v>
      </c>
      <c r="C865" s="974" t="s">
        <v>1762</v>
      </c>
      <c r="D865" s="974"/>
      <c r="E865" s="974"/>
      <c r="F865" s="974"/>
      <c r="G865" s="974"/>
      <c r="H865" s="974"/>
      <c r="I865" s="974"/>
      <c r="J865" s="974"/>
      <c r="K865" s="974"/>
      <c r="L865" s="974"/>
      <c r="M865" s="974"/>
      <c r="N865" s="987"/>
      <c r="AF865" s="684"/>
      <c r="AG865" s="693"/>
      <c r="AI865" s="696" t="s">
        <v>1762</v>
      </c>
      <c r="AM865" s="693"/>
      <c r="AP865" s="693"/>
      <c r="AR865" s="693"/>
      <c r="AS865" s="693"/>
    </row>
    <row r="866" spans="1:45" s="646" customFormat="1" ht="14.4" x14ac:dyDescent="0.3">
      <c r="A866" s="699"/>
      <c r="B866" s="698" t="s">
        <v>18</v>
      </c>
      <c r="C866" s="982" t="s">
        <v>1763</v>
      </c>
      <c r="D866" s="982"/>
      <c r="E866" s="982"/>
      <c r="F866" s="700"/>
      <c r="G866" s="701"/>
      <c r="H866" s="701"/>
      <c r="I866" s="701"/>
      <c r="J866" s="702">
        <v>991.03</v>
      </c>
      <c r="K866" s="725">
        <v>1.3225</v>
      </c>
      <c r="L866" s="702">
        <v>105.35</v>
      </c>
      <c r="M866" s="704">
        <v>44.77</v>
      </c>
      <c r="N866" s="705">
        <v>4716.5200000000004</v>
      </c>
      <c r="AF866" s="684"/>
      <c r="AG866" s="693"/>
      <c r="AJ866" s="696" t="s">
        <v>1763</v>
      </c>
      <c r="AM866" s="693"/>
      <c r="AP866" s="693"/>
      <c r="AR866" s="693"/>
      <c r="AS866" s="693"/>
    </row>
    <row r="867" spans="1:45" s="646" customFormat="1" ht="14.4" x14ac:dyDescent="0.3">
      <c r="A867" s="699"/>
      <c r="B867" s="698" t="s">
        <v>21</v>
      </c>
      <c r="C867" s="982" t="s">
        <v>1764</v>
      </c>
      <c r="D867" s="982"/>
      <c r="E867" s="982"/>
      <c r="F867" s="700"/>
      <c r="G867" s="701"/>
      <c r="H867" s="701"/>
      <c r="I867" s="701"/>
      <c r="J867" s="706">
        <v>9818.43</v>
      </c>
      <c r="K867" s="725">
        <v>1.4375</v>
      </c>
      <c r="L867" s="706">
        <v>1134.48</v>
      </c>
      <c r="M867" s="704">
        <v>13.24</v>
      </c>
      <c r="N867" s="705">
        <v>15020.52</v>
      </c>
      <c r="AF867" s="684"/>
      <c r="AG867" s="693"/>
      <c r="AJ867" s="696" t="s">
        <v>1764</v>
      </c>
      <c r="AM867" s="693"/>
      <c r="AP867" s="693"/>
      <c r="AR867" s="693"/>
      <c r="AS867" s="693"/>
    </row>
    <row r="868" spans="1:45" s="646" customFormat="1" ht="14.4" x14ac:dyDescent="0.3">
      <c r="A868" s="699"/>
      <c r="B868" s="698" t="s">
        <v>23</v>
      </c>
      <c r="C868" s="982" t="s">
        <v>1765</v>
      </c>
      <c r="D868" s="982"/>
      <c r="E868" s="982"/>
      <c r="F868" s="700"/>
      <c r="G868" s="701"/>
      <c r="H868" s="701"/>
      <c r="I868" s="701"/>
      <c r="J868" s="702">
        <v>554.48</v>
      </c>
      <c r="K868" s="725">
        <v>1.4375</v>
      </c>
      <c r="L868" s="702">
        <v>64.069999999999993</v>
      </c>
      <c r="M868" s="704">
        <v>44.77</v>
      </c>
      <c r="N868" s="705">
        <v>2868.41</v>
      </c>
      <c r="AF868" s="684"/>
      <c r="AG868" s="693"/>
      <c r="AJ868" s="696" t="s">
        <v>1765</v>
      </c>
      <c r="AM868" s="693"/>
      <c r="AP868" s="693"/>
      <c r="AR868" s="693"/>
      <c r="AS868" s="693"/>
    </row>
    <row r="869" spans="1:45" s="646" customFormat="1" ht="14.4" x14ac:dyDescent="0.3">
      <c r="A869" s="708"/>
      <c r="B869" s="698"/>
      <c r="C869" s="982" t="s">
        <v>1767</v>
      </c>
      <c r="D869" s="982"/>
      <c r="E869" s="982"/>
      <c r="F869" s="700" t="s">
        <v>695</v>
      </c>
      <c r="G869" s="709">
        <v>122.5</v>
      </c>
      <c r="H869" s="725">
        <v>1.3225</v>
      </c>
      <c r="I869" s="710">
        <v>13.022062399999999</v>
      </c>
      <c r="J869" s="711"/>
      <c r="K869" s="701"/>
      <c r="L869" s="711"/>
      <c r="M869" s="701"/>
      <c r="N869" s="712"/>
      <c r="AF869" s="684"/>
      <c r="AG869" s="693"/>
      <c r="AK869" s="696" t="s">
        <v>1767</v>
      </c>
      <c r="AM869" s="693"/>
      <c r="AP869" s="693"/>
      <c r="AR869" s="693"/>
      <c r="AS869" s="693"/>
    </row>
    <row r="870" spans="1:45" s="646" customFormat="1" ht="14.4" x14ac:dyDescent="0.3">
      <c r="A870" s="708"/>
      <c r="B870" s="698"/>
      <c r="C870" s="982" t="s">
        <v>1768</v>
      </c>
      <c r="D870" s="982"/>
      <c r="E870" s="982"/>
      <c r="F870" s="700" t="s">
        <v>695</v>
      </c>
      <c r="G870" s="704">
        <v>39.049999999999997</v>
      </c>
      <c r="H870" s="725">
        <v>1.4375</v>
      </c>
      <c r="I870" s="710">
        <v>4.5120810999999996</v>
      </c>
      <c r="J870" s="711"/>
      <c r="K870" s="701"/>
      <c r="L870" s="711"/>
      <c r="M870" s="701"/>
      <c r="N870" s="712"/>
      <c r="AF870" s="684"/>
      <c r="AG870" s="693"/>
      <c r="AK870" s="696" t="s">
        <v>1768</v>
      </c>
      <c r="AM870" s="693"/>
      <c r="AP870" s="693"/>
      <c r="AR870" s="693"/>
      <c r="AS870" s="693"/>
    </row>
    <row r="871" spans="1:45" s="646" customFormat="1" ht="14.4" x14ac:dyDescent="0.3">
      <c r="A871" s="699"/>
      <c r="B871" s="698"/>
      <c r="C871" s="986" t="s">
        <v>1769</v>
      </c>
      <c r="D871" s="986"/>
      <c r="E871" s="986"/>
      <c r="F871" s="714"/>
      <c r="G871" s="715"/>
      <c r="H871" s="715"/>
      <c r="I871" s="715"/>
      <c r="J871" s="716">
        <v>10809.46</v>
      </c>
      <c r="K871" s="715"/>
      <c r="L871" s="716">
        <v>1239.83</v>
      </c>
      <c r="M871" s="715"/>
      <c r="N871" s="717">
        <v>19737.04</v>
      </c>
      <c r="AF871" s="684"/>
      <c r="AG871" s="693"/>
      <c r="AL871" s="696" t="s">
        <v>1769</v>
      </c>
      <c r="AM871" s="693"/>
      <c r="AP871" s="693"/>
      <c r="AR871" s="693"/>
      <c r="AS871" s="693"/>
    </row>
    <row r="872" spans="1:45" s="646" customFormat="1" ht="14.4" x14ac:dyDescent="0.3">
      <c r="A872" s="708"/>
      <c r="B872" s="698"/>
      <c r="C872" s="982" t="s">
        <v>1770</v>
      </c>
      <c r="D872" s="982"/>
      <c r="E872" s="982"/>
      <c r="F872" s="700"/>
      <c r="G872" s="701"/>
      <c r="H872" s="701"/>
      <c r="I872" s="701"/>
      <c r="J872" s="711"/>
      <c r="K872" s="701"/>
      <c r="L872" s="702">
        <v>169.42</v>
      </c>
      <c r="M872" s="701"/>
      <c r="N872" s="705">
        <v>7584.93</v>
      </c>
      <c r="AF872" s="684"/>
      <c r="AG872" s="693"/>
      <c r="AK872" s="696" t="s">
        <v>1770</v>
      </c>
      <c r="AM872" s="693"/>
      <c r="AP872" s="693"/>
      <c r="AR872" s="693"/>
      <c r="AS872" s="693"/>
    </row>
    <row r="873" spans="1:45" s="646" customFormat="1" ht="20.399999999999999" x14ac:dyDescent="0.3">
      <c r="A873" s="708"/>
      <c r="B873" s="698" t="s">
        <v>1847</v>
      </c>
      <c r="C873" s="982" t="s">
        <v>1848</v>
      </c>
      <c r="D873" s="982"/>
      <c r="E873" s="982"/>
      <c r="F873" s="700" t="s">
        <v>1773</v>
      </c>
      <c r="G873" s="718">
        <v>109</v>
      </c>
      <c r="H873" s="701"/>
      <c r="I873" s="718">
        <v>109</v>
      </c>
      <c r="J873" s="711"/>
      <c r="K873" s="701"/>
      <c r="L873" s="702">
        <v>184.67</v>
      </c>
      <c r="M873" s="701"/>
      <c r="N873" s="705">
        <v>8267.57</v>
      </c>
      <c r="AF873" s="684"/>
      <c r="AG873" s="693"/>
      <c r="AK873" s="696" t="s">
        <v>1848</v>
      </c>
      <c r="AM873" s="693"/>
      <c r="AP873" s="693"/>
      <c r="AR873" s="693"/>
      <c r="AS873" s="693"/>
    </row>
    <row r="874" spans="1:45" s="646" customFormat="1" ht="40.799999999999997" x14ac:dyDescent="0.3">
      <c r="A874" s="708"/>
      <c r="B874" s="698" t="s">
        <v>1849</v>
      </c>
      <c r="C874" s="982" t="s">
        <v>1850</v>
      </c>
      <c r="D874" s="982"/>
      <c r="E874" s="982"/>
      <c r="F874" s="700" t="s">
        <v>1773</v>
      </c>
      <c r="G874" s="718">
        <v>65</v>
      </c>
      <c r="H874" s="704">
        <v>0.85</v>
      </c>
      <c r="I874" s="704">
        <v>55.25</v>
      </c>
      <c r="J874" s="711"/>
      <c r="K874" s="701"/>
      <c r="L874" s="702">
        <v>93.6</v>
      </c>
      <c r="M874" s="701"/>
      <c r="N874" s="705">
        <v>4190.67</v>
      </c>
      <c r="AF874" s="684"/>
      <c r="AG874" s="693"/>
      <c r="AK874" s="696" t="s">
        <v>1850</v>
      </c>
      <c r="AM874" s="693"/>
      <c r="AP874" s="693"/>
      <c r="AR874" s="693"/>
      <c r="AS874" s="693"/>
    </row>
    <row r="875" spans="1:45" s="646" customFormat="1" ht="14.4" x14ac:dyDescent="0.3">
      <c r="A875" s="719"/>
      <c r="B875" s="720"/>
      <c r="C875" s="985" t="s">
        <v>1776</v>
      </c>
      <c r="D875" s="985"/>
      <c r="E875" s="985"/>
      <c r="F875" s="687"/>
      <c r="G875" s="688"/>
      <c r="H875" s="688"/>
      <c r="I875" s="688"/>
      <c r="J875" s="691"/>
      <c r="K875" s="688"/>
      <c r="L875" s="721">
        <v>1518.1</v>
      </c>
      <c r="M875" s="715"/>
      <c r="N875" s="722">
        <v>32195.279999999999</v>
      </c>
      <c r="AF875" s="684"/>
      <c r="AG875" s="693"/>
      <c r="AM875" s="693" t="s">
        <v>1776</v>
      </c>
      <c r="AP875" s="693"/>
      <c r="AR875" s="693"/>
      <c r="AS875" s="693"/>
    </row>
    <row r="876" spans="1:45" s="646" customFormat="1" ht="0" hidden="1" customHeight="1" x14ac:dyDescent="0.3">
      <c r="A876" s="731"/>
      <c r="B876" s="732"/>
      <c r="C876" s="732"/>
      <c r="D876" s="732"/>
      <c r="E876" s="732"/>
      <c r="F876" s="733"/>
      <c r="G876" s="733"/>
      <c r="H876" s="733"/>
      <c r="I876" s="733"/>
      <c r="J876" s="734"/>
      <c r="K876" s="733"/>
      <c r="L876" s="734"/>
      <c r="M876" s="701"/>
      <c r="N876" s="734"/>
      <c r="AF876" s="684"/>
      <c r="AG876" s="693"/>
      <c r="AM876" s="693"/>
      <c r="AP876" s="693"/>
      <c r="AR876" s="693"/>
      <c r="AS876" s="693"/>
    </row>
    <row r="877" spans="1:45" s="646" customFormat="1" ht="14.4" x14ac:dyDescent="0.3">
      <c r="A877" s="735"/>
      <c r="B877" s="736"/>
      <c r="C877" s="985" t="s">
        <v>2123</v>
      </c>
      <c r="D877" s="985"/>
      <c r="E877" s="985"/>
      <c r="F877" s="985"/>
      <c r="G877" s="985"/>
      <c r="H877" s="985"/>
      <c r="I877" s="985"/>
      <c r="J877" s="985"/>
      <c r="K877" s="985"/>
      <c r="L877" s="737"/>
      <c r="M877" s="738"/>
      <c r="N877" s="739"/>
      <c r="AF877" s="684"/>
      <c r="AG877" s="693"/>
      <c r="AM877" s="693"/>
      <c r="AP877" s="693" t="s">
        <v>2123</v>
      </c>
      <c r="AR877" s="693"/>
      <c r="AS877" s="693"/>
    </row>
    <row r="878" spans="1:45" s="646" customFormat="1" ht="14.4" x14ac:dyDescent="0.3">
      <c r="A878" s="740"/>
      <c r="B878" s="698"/>
      <c r="C878" s="982" t="s">
        <v>1823</v>
      </c>
      <c r="D878" s="982"/>
      <c r="E878" s="982"/>
      <c r="F878" s="982"/>
      <c r="G878" s="982"/>
      <c r="H878" s="982"/>
      <c r="I878" s="982"/>
      <c r="J878" s="982"/>
      <c r="K878" s="982"/>
      <c r="L878" s="741">
        <v>13499143.85</v>
      </c>
      <c r="M878" s="742"/>
      <c r="N878" s="743"/>
      <c r="AF878" s="684"/>
      <c r="AG878" s="693"/>
      <c r="AM878" s="693"/>
      <c r="AP878" s="693"/>
      <c r="AQ878" s="696" t="s">
        <v>1823</v>
      </c>
      <c r="AR878" s="693"/>
      <c r="AS878" s="693"/>
    </row>
    <row r="879" spans="1:45" s="646" customFormat="1" ht="14.4" x14ac:dyDescent="0.3">
      <c r="A879" s="740"/>
      <c r="B879" s="698"/>
      <c r="C879" s="982" t="s">
        <v>1824</v>
      </c>
      <c r="D879" s="982"/>
      <c r="E879" s="982"/>
      <c r="F879" s="982"/>
      <c r="G879" s="982"/>
      <c r="H879" s="982"/>
      <c r="I879" s="982"/>
      <c r="J879" s="982"/>
      <c r="K879" s="982"/>
      <c r="L879" s="744"/>
      <c r="M879" s="742"/>
      <c r="N879" s="743"/>
      <c r="AF879" s="684"/>
      <c r="AG879" s="693"/>
      <c r="AM879" s="693"/>
      <c r="AP879" s="693"/>
      <c r="AQ879" s="696" t="s">
        <v>1824</v>
      </c>
      <c r="AR879" s="693"/>
      <c r="AS879" s="693"/>
    </row>
    <row r="880" spans="1:45" s="646" customFormat="1" ht="14.4" x14ac:dyDescent="0.3">
      <c r="A880" s="740"/>
      <c r="B880" s="698"/>
      <c r="C880" s="982" t="s">
        <v>1825</v>
      </c>
      <c r="D880" s="982"/>
      <c r="E880" s="982"/>
      <c r="F880" s="982"/>
      <c r="G880" s="982"/>
      <c r="H880" s="982"/>
      <c r="I880" s="982"/>
      <c r="J880" s="982"/>
      <c r="K880" s="982"/>
      <c r="L880" s="741">
        <v>45070.35</v>
      </c>
      <c r="M880" s="742"/>
      <c r="N880" s="743"/>
      <c r="AF880" s="684"/>
      <c r="AG880" s="693"/>
      <c r="AM880" s="693"/>
      <c r="AP880" s="693"/>
      <c r="AQ880" s="696" t="s">
        <v>1825</v>
      </c>
      <c r="AR880" s="693"/>
      <c r="AS880" s="693"/>
    </row>
    <row r="881" spans="1:45" s="646" customFormat="1" ht="14.4" x14ac:dyDescent="0.3">
      <c r="A881" s="740"/>
      <c r="B881" s="698"/>
      <c r="C881" s="982" t="s">
        <v>1826</v>
      </c>
      <c r="D881" s="982"/>
      <c r="E881" s="982"/>
      <c r="F881" s="982"/>
      <c r="G881" s="982"/>
      <c r="H881" s="982"/>
      <c r="I881" s="982"/>
      <c r="J881" s="982"/>
      <c r="K881" s="982"/>
      <c r="L881" s="741">
        <v>341524.58</v>
      </c>
      <c r="M881" s="742"/>
      <c r="N881" s="743"/>
      <c r="AF881" s="684"/>
      <c r="AG881" s="693"/>
      <c r="AM881" s="693"/>
      <c r="AP881" s="693"/>
      <c r="AQ881" s="696" t="s">
        <v>1826</v>
      </c>
      <c r="AR881" s="693"/>
      <c r="AS881" s="693"/>
    </row>
    <row r="882" spans="1:45" s="646" customFormat="1" ht="14.4" x14ac:dyDescent="0.3">
      <c r="A882" s="740"/>
      <c r="B882" s="698"/>
      <c r="C882" s="982" t="s">
        <v>1827</v>
      </c>
      <c r="D882" s="982"/>
      <c r="E882" s="982"/>
      <c r="F882" s="982"/>
      <c r="G882" s="982"/>
      <c r="H882" s="982"/>
      <c r="I882" s="982"/>
      <c r="J882" s="982"/>
      <c r="K882" s="982"/>
      <c r="L882" s="741">
        <v>19132.060000000001</v>
      </c>
      <c r="M882" s="742"/>
      <c r="N882" s="743"/>
      <c r="AF882" s="684"/>
      <c r="AG882" s="693"/>
      <c r="AM882" s="693"/>
      <c r="AP882" s="693"/>
      <c r="AQ882" s="696" t="s">
        <v>1827</v>
      </c>
      <c r="AR882" s="693"/>
      <c r="AS882" s="693"/>
    </row>
    <row r="883" spans="1:45" s="646" customFormat="1" ht="14.4" x14ac:dyDescent="0.3">
      <c r="A883" s="740"/>
      <c r="B883" s="698"/>
      <c r="C883" s="982" t="s">
        <v>1828</v>
      </c>
      <c r="D883" s="982"/>
      <c r="E883" s="982"/>
      <c r="F883" s="982"/>
      <c r="G883" s="982"/>
      <c r="H883" s="982"/>
      <c r="I883" s="982"/>
      <c r="J883" s="982"/>
      <c r="K883" s="982"/>
      <c r="L883" s="741">
        <v>13112548.92</v>
      </c>
      <c r="M883" s="742"/>
      <c r="N883" s="743"/>
      <c r="AF883" s="684"/>
      <c r="AG883" s="693"/>
      <c r="AM883" s="693"/>
      <c r="AP883" s="693"/>
      <c r="AQ883" s="696" t="s">
        <v>1828</v>
      </c>
      <c r="AR883" s="693"/>
      <c r="AS883" s="693"/>
    </row>
    <row r="884" spans="1:45" s="646" customFormat="1" ht="14.4" x14ac:dyDescent="0.3">
      <c r="A884" s="740"/>
      <c r="B884" s="698"/>
      <c r="C884" s="982" t="s">
        <v>1829</v>
      </c>
      <c r="D884" s="982"/>
      <c r="E884" s="982"/>
      <c r="F884" s="982"/>
      <c r="G884" s="982"/>
      <c r="H884" s="982"/>
      <c r="I884" s="982"/>
      <c r="J884" s="982"/>
      <c r="K884" s="982"/>
      <c r="L884" s="741">
        <v>13604876.25</v>
      </c>
      <c r="M884" s="742"/>
      <c r="N884" s="743"/>
      <c r="AF884" s="684"/>
      <c r="AG884" s="693"/>
      <c r="AM884" s="693"/>
      <c r="AP884" s="693"/>
      <c r="AQ884" s="696" t="s">
        <v>1829</v>
      </c>
      <c r="AR884" s="693"/>
      <c r="AS884" s="693"/>
    </row>
    <row r="885" spans="1:45" s="646" customFormat="1" ht="14.4" x14ac:dyDescent="0.3">
      <c r="A885" s="740"/>
      <c r="B885" s="698"/>
      <c r="C885" s="982" t="s">
        <v>1824</v>
      </c>
      <c r="D885" s="982"/>
      <c r="E885" s="982"/>
      <c r="F885" s="982"/>
      <c r="G885" s="982"/>
      <c r="H885" s="982"/>
      <c r="I885" s="982"/>
      <c r="J885" s="982"/>
      <c r="K885" s="982"/>
      <c r="L885" s="744"/>
      <c r="M885" s="742"/>
      <c r="N885" s="743"/>
      <c r="AF885" s="684"/>
      <c r="AG885" s="693"/>
      <c r="AM885" s="693"/>
      <c r="AP885" s="693"/>
      <c r="AQ885" s="696" t="s">
        <v>1824</v>
      </c>
      <c r="AR885" s="693"/>
      <c r="AS885" s="693"/>
    </row>
    <row r="886" spans="1:45" s="646" customFormat="1" ht="14.4" x14ac:dyDescent="0.3">
      <c r="A886" s="740"/>
      <c r="B886" s="698"/>
      <c r="C886" s="982" t="s">
        <v>2124</v>
      </c>
      <c r="D886" s="982"/>
      <c r="E886" s="982"/>
      <c r="F886" s="982"/>
      <c r="G886" s="982"/>
      <c r="H886" s="982"/>
      <c r="I886" s="982"/>
      <c r="J886" s="982"/>
      <c r="K886" s="982"/>
      <c r="L886" s="741">
        <v>45070.35</v>
      </c>
      <c r="M886" s="742"/>
      <c r="N886" s="743"/>
      <c r="AF886" s="684"/>
      <c r="AG886" s="693"/>
      <c r="AM886" s="693"/>
      <c r="AP886" s="693"/>
      <c r="AQ886" s="696" t="s">
        <v>2124</v>
      </c>
      <c r="AR886" s="693"/>
      <c r="AS886" s="693"/>
    </row>
    <row r="887" spans="1:45" s="646" customFormat="1" ht="14.4" x14ac:dyDescent="0.3">
      <c r="A887" s="740"/>
      <c r="B887" s="698"/>
      <c r="C887" s="982" t="s">
        <v>2125</v>
      </c>
      <c r="D887" s="982"/>
      <c r="E887" s="982"/>
      <c r="F887" s="982"/>
      <c r="G887" s="982"/>
      <c r="H887" s="982"/>
      <c r="I887" s="982"/>
      <c r="J887" s="982"/>
      <c r="K887" s="982"/>
      <c r="L887" s="741">
        <v>341524.58</v>
      </c>
      <c r="M887" s="742"/>
      <c r="N887" s="743"/>
      <c r="AF887" s="684"/>
      <c r="AG887" s="693"/>
      <c r="AM887" s="693"/>
      <c r="AP887" s="693"/>
      <c r="AQ887" s="696" t="s">
        <v>2125</v>
      </c>
      <c r="AR887" s="693"/>
      <c r="AS887" s="693"/>
    </row>
    <row r="888" spans="1:45" s="646" customFormat="1" ht="14.4" x14ac:dyDescent="0.3">
      <c r="A888" s="740"/>
      <c r="B888" s="698"/>
      <c r="C888" s="982" t="s">
        <v>2126</v>
      </c>
      <c r="D888" s="982"/>
      <c r="E888" s="982"/>
      <c r="F888" s="982"/>
      <c r="G888" s="982"/>
      <c r="H888" s="982"/>
      <c r="I888" s="982"/>
      <c r="J888" s="982"/>
      <c r="K888" s="982"/>
      <c r="L888" s="741">
        <v>19132.060000000001</v>
      </c>
      <c r="M888" s="742"/>
      <c r="N888" s="743"/>
      <c r="AF888" s="684"/>
      <c r="AG888" s="693"/>
      <c r="AM888" s="693"/>
      <c r="AP888" s="693"/>
      <c r="AQ888" s="696" t="s">
        <v>2126</v>
      </c>
      <c r="AR888" s="693"/>
      <c r="AS888" s="693"/>
    </row>
    <row r="889" spans="1:45" s="646" customFormat="1" ht="14.4" x14ac:dyDescent="0.3">
      <c r="A889" s="740"/>
      <c r="B889" s="698"/>
      <c r="C889" s="982" t="s">
        <v>2127</v>
      </c>
      <c r="D889" s="982"/>
      <c r="E889" s="982"/>
      <c r="F889" s="982"/>
      <c r="G889" s="982"/>
      <c r="H889" s="982"/>
      <c r="I889" s="982"/>
      <c r="J889" s="982"/>
      <c r="K889" s="982"/>
      <c r="L889" s="741">
        <v>13112548.92</v>
      </c>
      <c r="M889" s="742"/>
      <c r="N889" s="743"/>
      <c r="AF889" s="684"/>
      <c r="AG889" s="693"/>
      <c r="AM889" s="693"/>
      <c r="AP889" s="693"/>
      <c r="AQ889" s="696" t="s">
        <v>2127</v>
      </c>
      <c r="AR889" s="693"/>
      <c r="AS889" s="693"/>
    </row>
    <row r="890" spans="1:45" s="646" customFormat="1" ht="14.4" x14ac:dyDescent="0.3">
      <c r="A890" s="740"/>
      <c r="B890" s="698"/>
      <c r="C890" s="982" t="s">
        <v>2128</v>
      </c>
      <c r="D890" s="982"/>
      <c r="E890" s="982"/>
      <c r="F890" s="982"/>
      <c r="G890" s="982"/>
      <c r="H890" s="982"/>
      <c r="I890" s="982"/>
      <c r="J890" s="982"/>
      <c r="K890" s="982"/>
      <c r="L890" s="741">
        <v>70208.27</v>
      </c>
      <c r="M890" s="742"/>
      <c r="N890" s="743"/>
      <c r="AF890" s="684"/>
      <c r="AG890" s="693"/>
      <c r="AM890" s="693"/>
      <c r="AP890" s="693"/>
      <c r="AQ890" s="696" t="s">
        <v>2128</v>
      </c>
      <c r="AR890" s="693"/>
      <c r="AS890" s="693"/>
    </row>
    <row r="891" spans="1:45" s="646" customFormat="1" ht="14.4" x14ac:dyDescent="0.3">
      <c r="A891" s="740"/>
      <c r="B891" s="698"/>
      <c r="C891" s="982" t="s">
        <v>2129</v>
      </c>
      <c r="D891" s="982"/>
      <c r="E891" s="982"/>
      <c r="F891" s="982"/>
      <c r="G891" s="982"/>
      <c r="H891" s="982"/>
      <c r="I891" s="982"/>
      <c r="J891" s="982"/>
      <c r="K891" s="982"/>
      <c r="L891" s="741">
        <v>35524.129999999997</v>
      </c>
      <c r="M891" s="742"/>
      <c r="N891" s="743"/>
      <c r="AF891" s="684"/>
      <c r="AG891" s="693"/>
      <c r="AM891" s="693"/>
      <c r="AP891" s="693"/>
      <c r="AQ891" s="696" t="s">
        <v>2129</v>
      </c>
      <c r="AR891" s="693"/>
      <c r="AS891" s="693"/>
    </row>
    <row r="892" spans="1:45" s="646" customFormat="1" ht="14.4" x14ac:dyDescent="0.3">
      <c r="A892" s="740"/>
      <c r="B892" s="698"/>
      <c r="C892" s="982" t="s">
        <v>1839</v>
      </c>
      <c r="D892" s="982"/>
      <c r="E892" s="982"/>
      <c r="F892" s="982"/>
      <c r="G892" s="982"/>
      <c r="H892" s="982"/>
      <c r="I892" s="982"/>
      <c r="J892" s="982"/>
      <c r="K892" s="982"/>
      <c r="L892" s="741">
        <v>64202.41</v>
      </c>
      <c r="M892" s="742"/>
      <c r="N892" s="743"/>
      <c r="AF892" s="684"/>
      <c r="AG892" s="693"/>
      <c r="AM892" s="693"/>
      <c r="AP892" s="693"/>
      <c r="AQ892" s="696" t="s">
        <v>1839</v>
      </c>
      <c r="AR892" s="693"/>
      <c r="AS892" s="693"/>
    </row>
    <row r="893" spans="1:45" s="646" customFormat="1" ht="14.4" x14ac:dyDescent="0.3">
      <c r="A893" s="740"/>
      <c r="B893" s="698"/>
      <c r="C893" s="982" t="s">
        <v>1840</v>
      </c>
      <c r="D893" s="982"/>
      <c r="E893" s="982"/>
      <c r="F893" s="982"/>
      <c r="G893" s="982"/>
      <c r="H893" s="982"/>
      <c r="I893" s="982"/>
      <c r="J893" s="982"/>
      <c r="K893" s="982"/>
      <c r="L893" s="741">
        <v>70208.27</v>
      </c>
      <c r="M893" s="742"/>
      <c r="N893" s="743"/>
      <c r="AF893" s="684"/>
      <c r="AG893" s="693"/>
      <c r="AM893" s="693"/>
      <c r="AP893" s="693"/>
      <c r="AQ893" s="696" t="s">
        <v>1840</v>
      </c>
      <c r="AR893" s="693"/>
      <c r="AS893" s="693"/>
    </row>
    <row r="894" spans="1:45" s="646" customFormat="1" ht="14.4" x14ac:dyDescent="0.3">
      <c r="A894" s="740"/>
      <c r="B894" s="698"/>
      <c r="C894" s="982" t="s">
        <v>1841</v>
      </c>
      <c r="D894" s="982"/>
      <c r="E894" s="982"/>
      <c r="F894" s="982"/>
      <c r="G894" s="982"/>
      <c r="H894" s="982"/>
      <c r="I894" s="982"/>
      <c r="J894" s="982"/>
      <c r="K894" s="982"/>
      <c r="L894" s="741">
        <v>35524.129999999997</v>
      </c>
      <c r="M894" s="742"/>
      <c r="N894" s="743"/>
      <c r="AF894" s="684"/>
      <c r="AG894" s="693"/>
      <c r="AM894" s="693"/>
      <c r="AP894" s="693"/>
      <c r="AQ894" s="696" t="s">
        <v>1841</v>
      </c>
      <c r="AR894" s="693"/>
      <c r="AS894" s="693"/>
    </row>
    <row r="895" spans="1:45" s="646" customFormat="1" ht="14.4" x14ac:dyDescent="0.3">
      <c r="A895" s="740"/>
      <c r="B895" s="746"/>
      <c r="C895" s="984" t="s">
        <v>2130</v>
      </c>
      <c r="D895" s="984"/>
      <c r="E895" s="984"/>
      <c r="F895" s="984"/>
      <c r="G895" s="984"/>
      <c r="H895" s="984"/>
      <c r="I895" s="984"/>
      <c r="J895" s="984"/>
      <c r="K895" s="984"/>
      <c r="L895" s="747">
        <v>13604876.25</v>
      </c>
      <c r="M895" s="748"/>
      <c r="N895" s="749"/>
      <c r="AF895" s="684"/>
      <c r="AG895" s="693"/>
      <c r="AM895" s="693"/>
      <c r="AP895" s="693"/>
      <c r="AR895" s="693" t="s">
        <v>2130</v>
      </c>
      <c r="AS895" s="693"/>
    </row>
    <row r="896" spans="1:45" s="646" customFormat="1" ht="14.4" x14ac:dyDescent="0.3">
      <c r="A896" s="992" t="s">
        <v>2131</v>
      </c>
      <c r="B896" s="993"/>
      <c r="C896" s="993"/>
      <c r="D896" s="993"/>
      <c r="E896" s="993"/>
      <c r="F896" s="993"/>
      <c r="G896" s="993"/>
      <c r="H896" s="993"/>
      <c r="I896" s="993"/>
      <c r="J896" s="993"/>
      <c r="K896" s="993"/>
      <c r="L896" s="993"/>
      <c r="M896" s="993"/>
      <c r="N896" s="994"/>
      <c r="AF896" s="684" t="s">
        <v>2131</v>
      </c>
      <c r="AG896" s="693"/>
      <c r="AM896" s="693"/>
      <c r="AP896" s="693"/>
      <c r="AR896" s="693"/>
      <c r="AS896" s="693"/>
    </row>
    <row r="897" spans="1:45" s="646" customFormat="1" ht="14.4" x14ac:dyDescent="0.3">
      <c r="A897" s="989" t="s">
        <v>2132</v>
      </c>
      <c r="B897" s="990"/>
      <c r="C897" s="990"/>
      <c r="D897" s="990"/>
      <c r="E897" s="990"/>
      <c r="F897" s="990"/>
      <c r="G897" s="990"/>
      <c r="H897" s="990"/>
      <c r="I897" s="990"/>
      <c r="J897" s="990"/>
      <c r="K897" s="990"/>
      <c r="L897" s="990"/>
      <c r="M897" s="990"/>
      <c r="N897" s="991"/>
      <c r="AF897" s="684"/>
      <c r="AG897" s="693"/>
      <c r="AM897" s="693"/>
      <c r="AP897" s="693"/>
      <c r="AR897" s="693"/>
      <c r="AS897" s="693" t="s">
        <v>2132</v>
      </c>
    </row>
    <row r="898" spans="1:45" s="646" customFormat="1" ht="14.4" x14ac:dyDescent="0.3">
      <c r="A898" s="989" t="s">
        <v>2133</v>
      </c>
      <c r="B898" s="990"/>
      <c r="C898" s="990"/>
      <c r="D898" s="990"/>
      <c r="E898" s="990"/>
      <c r="F898" s="990"/>
      <c r="G898" s="990"/>
      <c r="H898" s="990"/>
      <c r="I898" s="990"/>
      <c r="J898" s="990"/>
      <c r="K898" s="990"/>
      <c r="L898" s="990"/>
      <c r="M898" s="990"/>
      <c r="N898" s="991"/>
      <c r="AF898" s="684"/>
      <c r="AG898" s="693"/>
      <c r="AM898" s="693"/>
      <c r="AP898" s="693"/>
      <c r="AR898" s="693"/>
      <c r="AS898" s="693" t="s">
        <v>2133</v>
      </c>
    </row>
    <row r="899" spans="1:45" s="646" customFormat="1" ht="14.4" x14ac:dyDescent="0.3">
      <c r="A899" s="685" t="s">
        <v>2134</v>
      </c>
      <c r="B899" s="686" t="s">
        <v>2135</v>
      </c>
      <c r="C899" s="985" t="s">
        <v>2136</v>
      </c>
      <c r="D899" s="985"/>
      <c r="E899" s="985"/>
      <c r="F899" s="687" t="s">
        <v>224</v>
      </c>
      <c r="G899" s="688">
        <v>4.62</v>
      </c>
      <c r="H899" s="689">
        <v>1</v>
      </c>
      <c r="I899" s="727">
        <v>4.62</v>
      </c>
      <c r="J899" s="691"/>
      <c r="K899" s="688"/>
      <c r="L899" s="691"/>
      <c r="M899" s="688"/>
      <c r="N899" s="692"/>
      <c r="AF899" s="684"/>
      <c r="AG899" s="693" t="s">
        <v>2136</v>
      </c>
      <c r="AM899" s="693"/>
      <c r="AP899" s="693"/>
      <c r="AR899" s="693"/>
      <c r="AS899" s="693"/>
    </row>
    <row r="900" spans="1:45" s="646" customFormat="1" ht="14.4" x14ac:dyDescent="0.3">
      <c r="A900" s="694"/>
      <c r="B900" s="695"/>
      <c r="C900" s="982" t="s">
        <v>2137</v>
      </c>
      <c r="D900" s="982"/>
      <c r="E900" s="982"/>
      <c r="F900" s="982"/>
      <c r="G900" s="982"/>
      <c r="H900" s="982"/>
      <c r="I900" s="982"/>
      <c r="J900" s="982"/>
      <c r="K900" s="982"/>
      <c r="L900" s="982"/>
      <c r="M900" s="982"/>
      <c r="N900" s="988"/>
      <c r="AF900" s="684"/>
      <c r="AG900" s="693"/>
      <c r="AH900" s="696" t="s">
        <v>2137</v>
      </c>
      <c r="AM900" s="693"/>
      <c r="AP900" s="693"/>
      <c r="AR900" s="693"/>
      <c r="AS900" s="693"/>
    </row>
    <row r="901" spans="1:45" s="646" customFormat="1" ht="20.399999999999999" x14ac:dyDescent="0.3">
      <c r="A901" s="697"/>
      <c r="B901" s="698" t="s">
        <v>2138</v>
      </c>
      <c r="C901" s="974" t="s">
        <v>2139</v>
      </c>
      <c r="D901" s="974"/>
      <c r="E901" s="974"/>
      <c r="F901" s="974"/>
      <c r="G901" s="974"/>
      <c r="H901" s="974"/>
      <c r="I901" s="974"/>
      <c r="J901" s="974"/>
      <c r="K901" s="974"/>
      <c r="L901" s="974"/>
      <c r="M901" s="974"/>
      <c r="N901" s="987"/>
      <c r="AF901" s="684"/>
      <c r="AG901" s="693"/>
      <c r="AI901" s="696" t="s">
        <v>2139</v>
      </c>
      <c r="AM901" s="693"/>
      <c r="AP901" s="693"/>
      <c r="AR901" s="693"/>
      <c r="AS901" s="693"/>
    </row>
    <row r="902" spans="1:45" s="646" customFormat="1" ht="21.6" x14ac:dyDescent="0.3">
      <c r="A902" s="697"/>
      <c r="B902" s="698" t="s">
        <v>1759</v>
      </c>
      <c r="C902" s="974" t="s">
        <v>1760</v>
      </c>
      <c r="D902" s="974"/>
      <c r="E902" s="974"/>
      <c r="F902" s="974"/>
      <c r="G902" s="974"/>
      <c r="H902" s="974"/>
      <c r="I902" s="974"/>
      <c r="J902" s="974"/>
      <c r="K902" s="974"/>
      <c r="L902" s="974"/>
      <c r="M902" s="974"/>
      <c r="N902" s="987"/>
      <c r="AF902" s="684"/>
      <c r="AG902" s="693"/>
      <c r="AI902" s="696" t="s">
        <v>1760</v>
      </c>
      <c r="AM902" s="693"/>
      <c r="AP902" s="693"/>
      <c r="AR902" s="693"/>
      <c r="AS902" s="693"/>
    </row>
    <row r="903" spans="1:45" s="646" customFormat="1" ht="52.2" x14ac:dyDescent="0.3">
      <c r="A903" s="697"/>
      <c r="B903" s="698" t="s">
        <v>1761</v>
      </c>
      <c r="C903" s="974" t="s">
        <v>1762</v>
      </c>
      <c r="D903" s="974"/>
      <c r="E903" s="974"/>
      <c r="F903" s="974"/>
      <c r="G903" s="974"/>
      <c r="H903" s="974"/>
      <c r="I903" s="974"/>
      <c r="J903" s="974"/>
      <c r="K903" s="974"/>
      <c r="L903" s="974"/>
      <c r="M903" s="974"/>
      <c r="N903" s="987"/>
      <c r="AF903" s="684"/>
      <c r="AG903" s="693"/>
      <c r="AI903" s="696" t="s">
        <v>1762</v>
      </c>
      <c r="AM903" s="693"/>
      <c r="AP903" s="693"/>
      <c r="AR903" s="693"/>
      <c r="AS903" s="693"/>
    </row>
    <row r="904" spans="1:45" s="646" customFormat="1" ht="14.4" x14ac:dyDescent="0.3">
      <c r="A904" s="699"/>
      <c r="B904" s="698" t="s">
        <v>18</v>
      </c>
      <c r="C904" s="982" t="s">
        <v>1763</v>
      </c>
      <c r="D904" s="982"/>
      <c r="E904" s="982"/>
      <c r="F904" s="700"/>
      <c r="G904" s="701"/>
      <c r="H904" s="701"/>
      <c r="I904" s="701"/>
      <c r="J904" s="702">
        <v>51.85</v>
      </c>
      <c r="K904" s="713">
        <v>0.92574999999999996</v>
      </c>
      <c r="L904" s="702">
        <v>221.76</v>
      </c>
      <c r="M904" s="704">
        <v>44.77</v>
      </c>
      <c r="N904" s="705">
        <v>9928.2000000000007</v>
      </c>
      <c r="AF904" s="684"/>
      <c r="AG904" s="693"/>
      <c r="AJ904" s="696" t="s">
        <v>1763</v>
      </c>
      <c r="AM904" s="693"/>
      <c r="AP904" s="693"/>
      <c r="AR904" s="693"/>
      <c r="AS904" s="693"/>
    </row>
    <row r="905" spans="1:45" s="646" customFormat="1" ht="14.4" x14ac:dyDescent="0.3">
      <c r="A905" s="699"/>
      <c r="B905" s="698" t="s">
        <v>21</v>
      </c>
      <c r="C905" s="982" t="s">
        <v>1764</v>
      </c>
      <c r="D905" s="982"/>
      <c r="E905" s="982"/>
      <c r="F905" s="700"/>
      <c r="G905" s="701"/>
      <c r="H905" s="701"/>
      <c r="I905" s="701"/>
      <c r="J905" s="702">
        <v>266.39</v>
      </c>
      <c r="K905" s="713">
        <v>1.0062500000000001</v>
      </c>
      <c r="L905" s="706">
        <v>1238.4100000000001</v>
      </c>
      <c r="M905" s="704">
        <v>13.24</v>
      </c>
      <c r="N905" s="705">
        <v>16396.55</v>
      </c>
      <c r="AF905" s="684"/>
      <c r="AG905" s="693"/>
      <c r="AJ905" s="696" t="s">
        <v>1764</v>
      </c>
      <c r="AM905" s="693"/>
      <c r="AP905" s="693"/>
      <c r="AR905" s="693"/>
      <c r="AS905" s="693"/>
    </row>
    <row r="906" spans="1:45" s="646" customFormat="1" ht="14.4" x14ac:dyDescent="0.3">
      <c r="A906" s="699"/>
      <c r="B906" s="698" t="s">
        <v>23</v>
      </c>
      <c r="C906" s="982" t="s">
        <v>1765</v>
      </c>
      <c r="D906" s="982"/>
      <c r="E906" s="982"/>
      <c r="F906" s="700"/>
      <c r="G906" s="701"/>
      <c r="H906" s="701"/>
      <c r="I906" s="701"/>
      <c r="J906" s="702">
        <v>32.21</v>
      </c>
      <c r="K906" s="713">
        <v>1.0062500000000001</v>
      </c>
      <c r="L906" s="702">
        <v>149.74</v>
      </c>
      <c r="M906" s="704">
        <v>44.77</v>
      </c>
      <c r="N906" s="705">
        <v>6703.86</v>
      </c>
      <c r="AF906" s="684"/>
      <c r="AG906" s="693"/>
      <c r="AJ906" s="696" t="s">
        <v>1765</v>
      </c>
      <c r="AM906" s="693"/>
      <c r="AP906" s="693"/>
      <c r="AR906" s="693"/>
      <c r="AS906" s="693"/>
    </row>
    <row r="907" spans="1:45" s="646" customFormat="1" ht="14.4" x14ac:dyDescent="0.3">
      <c r="A907" s="699"/>
      <c r="B907" s="698" t="s">
        <v>25</v>
      </c>
      <c r="C907" s="982" t="s">
        <v>1766</v>
      </c>
      <c r="D907" s="982"/>
      <c r="E907" s="982"/>
      <c r="F907" s="700"/>
      <c r="G907" s="701"/>
      <c r="H907" s="701"/>
      <c r="I907" s="701"/>
      <c r="J907" s="702">
        <v>121.33</v>
      </c>
      <c r="K907" s="718">
        <v>0</v>
      </c>
      <c r="L907" s="702">
        <v>0</v>
      </c>
      <c r="M907" s="704">
        <v>8.16</v>
      </c>
      <c r="N907" s="712"/>
      <c r="AF907" s="684"/>
      <c r="AG907" s="693"/>
      <c r="AJ907" s="696" t="s">
        <v>1766</v>
      </c>
      <c r="AM907" s="693"/>
      <c r="AP907" s="693"/>
      <c r="AR907" s="693"/>
      <c r="AS907" s="693"/>
    </row>
    <row r="908" spans="1:45" s="646" customFormat="1" ht="14.4" x14ac:dyDescent="0.3">
      <c r="A908" s="708"/>
      <c r="B908" s="698"/>
      <c r="C908" s="982" t="s">
        <v>1767</v>
      </c>
      <c r="D908" s="982"/>
      <c r="E908" s="982"/>
      <c r="F908" s="700" t="s">
        <v>695</v>
      </c>
      <c r="G908" s="704">
        <v>5.78</v>
      </c>
      <c r="H908" s="713">
        <v>0.92574999999999996</v>
      </c>
      <c r="I908" s="710">
        <v>24.7208577</v>
      </c>
      <c r="J908" s="711"/>
      <c r="K908" s="701"/>
      <c r="L908" s="711"/>
      <c r="M908" s="701"/>
      <c r="N908" s="712"/>
      <c r="AF908" s="684"/>
      <c r="AG908" s="693"/>
      <c r="AK908" s="696" t="s">
        <v>1767</v>
      </c>
      <c r="AM908" s="693"/>
      <c r="AP908" s="693"/>
      <c r="AR908" s="693"/>
      <c r="AS908" s="693"/>
    </row>
    <row r="909" spans="1:45" s="646" customFormat="1" ht="14.4" x14ac:dyDescent="0.3">
      <c r="A909" s="708"/>
      <c r="B909" s="698"/>
      <c r="C909" s="982" t="s">
        <v>1768</v>
      </c>
      <c r="D909" s="982"/>
      <c r="E909" s="982"/>
      <c r="F909" s="700" t="s">
        <v>695</v>
      </c>
      <c r="G909" s="704">
        <v>2.29</v>
      </c>
      <c r="H909" s="713">
        <v>1.0062500000000001</v>
      </c>
      <c r="I909" s="710">
        <v>10.6459238</v>
      </c>
      <c r="J909" s="711"/>
      <c r="K909" s="701"/>
      <c r="L909" s="711"/>
      <c r="M909" s="701"/>
      <c r="N909" s="712"/>
      <c r="AF909" s="684"/>
      <c r="AG909" s="693"/>
      <c r="AK909" s="696" t="s">
        <v>1768</v>
      </c>
      <c r="AM909" s="693"/>
      <c r="AP909" s="693"/>
      <c r="AR909" s="693"/>
      <c r="AS909" s="693"/>
    </row>
    <row r="910" spans="1:45" s="646" customFormat="1" ht="14.4" x14ac:dyDescent="0.3">
      <c r="A910" s="699"/>
      <c r="B910" s="698"/>
      <c r="C910" s="986" t="s">
        <v>1769</v>
      </c>
      <c r="D910" s="986"/>
      <c r="E910" s="986"/>
      <c r="F910" s="714"/>
      <c r="G910" s="715"/>
      <c r="H910" s="715"/>
      <c r="I910" s="715"/>
      <c r="J910" s="724">
        <v>439.57</v>
      </c>
      <c r="K910" s="715"/>
      <c r="L910" s="716">
        <v>1460.17</v>
      </c>
      <c r="M910" s="715"/>
      <c r="N910" s="717">
        <v>26324.75</v>
      </c>
      <c r="AF910" s="684"/>
      <c r="AG910" s="693"/>
      <c r="AL910" s="696" t="s">
        <v>1769</v>
      </c>
      <c r="AM910" s="693"/>
      <c r="AP910" s="693"/>
      <c r="AR910" s="693"/>
      <c r="AS910" s="693"/>
    </row>
    <row r="911" spans="1:45" s="646" customFormat="1" ht="14.4" x14ac:dyDescent="0.3">
      <c r="A911" s="708"/>
      <c r="B911" s="698"/>
      <c r="C911" s="982" t="s">
        <v>1770</v>
      </c>
      <c r="D911" s="982"/>
      <c r="E911" s="982"/>
      <c r="F911" s="700"/>
      <c r="G911" s="701"/>
      <c r="H911" s="701"/>
      <c r="I911" s="701"/>
      <c r="J911" s="711"/>
      <c r="K911" s="701"/>
      <c r="L911" s="702">
        <v>371.5</v>
      </c>
      <c r="M911" s="701"/>
      <c r="N911" s="705">
        <v>16632.060000000001</v>
      </c>
      <c r="AF911" s="684"/>
      <c r="AG911" s="693"/>
      <c r="AK911" s="696" t="s">
        <v>1770</v>
      </c>
      <c r="AM911" s="693"/>
      <c r="AP911" s="693"/>
      <c r="AR911" s="693"/>
      <c r="AS911" s="693"/>
    </row>
    <row r="912" spans="1:45" s="646" customFormat="1" ht="20.399999999999999" x14ac:dyDescent="0.3">
      <c r="A912" s="708"/>
      <c r="B912" s="698" t="s">
        <v>2140</v>
      </c>
      <c r="C912" s="982" t="s">
        <v>2141</v>
      </c>
      <c r="D912" s="982"/>
      <c r="E912" s="982"/>
      <c r="F912" s="700" t="s">
        <v>1773</v>
      </c>
      <c r="G912" s="718">
        <v>93</v>
      </c>
      <c r="H912" s="701"/>
      <c r="I912" s="718">
        <v>93</v>
      </c>
      <c r="J912" s="711"/>
      <c r="K912" s="701"/>
      <c r="L912" s="702">
        <v>345.5</v>
      </c>
      <c r="M912" s="701"/>
      <c r="N912" s="705">
        <v>15467.82</v>
      </c>
      <c r="AF912" s="684"/>
      <c r="AG912" s="693"/>
      <c r="AK912" s="696" t="s">
        <v>2141</v>
      </c>
      <c r="AM912" s="693"/>
      <c r="AP912" s="693"/>
      <c r="AR912" s="693"/>
      <c r="AS912" s="693"/>
    </row>
    <row r="913" spans="1:45" s="646" customFormat="1" ht="40.799999999999997" x14ac:dyDescent="0.3">
      <c r="A913" s="708"/>
      <c r="B913" s="698" t="s">
        <v>2142</v>
      </c>
      <c r="C913" s="982" t="s">
        <v>2143</v>
      </c>
      <c r="D913" s="982"/>
      <c r="E913" s="982"/>
      <c r="F913" s="700" t="s">
        <v>1773</v>
      </c>
      <c r="G913" s="718">
        <v>62</v>
      </c>
      <c r="H913" s="704">
        <v>0.85</v>
      </c>
      <c r="I913" s="709">
        <v>52.7</v>
      </c>
      <c r="J913" s="711"/>
      <c r="K913" s="701"/>
      <c r="L913" s="702">
        <v>195.78</v>
      </c>
      <c r="M913" s="701"/>
      <c r="N913" s="705">
        <v>8765.1</v>
      </c>
      <c r="AF913" s="684"/>
      <c r="AG913" s="693"/>
      <c r="AK913" s="696" t="s">
        <v>2143</v>
      </c>
      <c r="AM913" s="693"/>
      <c r="AP913" s="693"/>
      <c r="AR913" s="693"/>
      <c r="AS913" s="693"/>
    </row>
    <row r="914" spans="1:45" s="646" customFormat="1" ht="14.4" x14ac:dyDescent="0.3">
      <c r="A914" s="719"/>
      <c r="B914" s="720"/>
      <c r="C914" s="985" t="s">
        <v>1776</v>
      </c>
      <c r="D914" s="985"/>
      <c r="E914" s="985"/>
      <c r="F914" s="687"/>
      <c r="G914" s="688"/>
      <c r="H914" s="688"/>
      <c r="I914" s="688"/>
      <c r="J914" s="691"/>
      <c r="K914" s="688"/>
      <c r="L914" s="721">
        <v>2001.45</v>
      </c>
      <c r="M914" s="715"/>
      <c r="N914" s="722">
        <v>50557.67</v>
      </c>
      <c r="AF914" s="684"/>
      <c r="AG914" s="693"/>
      <c r="AM914" s="693" t="s">
        <v>1776</v>
      </c>
      <c r="AP914" s="693"/>
      <c r="AR914" s="693"/>
      <c r="AS914" s="693"/>
    </row>
    <row r="915" spans="1:45" s="646" customFormat="1" ht="31.8" x14ac:dyDescent="0.3">
      <c r="A915" s="685" t="s">
        <v>2144</v>
      </c>
      <c r="B915" s="686" t="s">
        <v>2145</v>
      </c>
      <c r="C915" s="985" t="s">
        <v>2146</v>
      </c>
      <c r="D915" s="985"/>
      <c r="E915" s="985"/>
      <c r="F915" s="687" t="s">
        <v>224</v>
      </c>
      <c r="G915" s="688">
        <v>6.82</v>
      </c>
      <c r="H915" s="689">
        <v>1</v>
      </c>
      <c r="I915" s="727">
        <v>6.82</v>
      </c>
      <c r="J915" s="691"/>
      <c r="K915" s="688"/>
      <c r="L915" s="691"/>
      <c r="M915" s="688"/>
      <c r="N915" s="692"/>
      <c r="AF915" s="684"/>
      <c r="AG915" s="693" t="s">
        <v>2146</v>
      </c>
      <c r="AM915" s="693"/>
      <c r="AP915" s="693"/>
      <c r="AR915" s="693"/>
      <c r="AS915" s="693"/>
    </row>
    <row r="916" spans="1:45" s="646" customFormat="1" ht="20.399999999999999" x14ac:dyDescent="0.3">
      <c r="A916" s="697"/>
      <c r="B916" s="698" t="s">
        <v>2138</v>
      </c>
      <c r="C916" s="974" t="s">
        <v>2139</v>
      </c>
      <c r="D916" s="974"/>
      <c r="E916" s="974"/>
      <c r="F916" s="974"/>
      <c r="G916" s="974"/>
      <c r="H916" s="974"/>
      <c r="I916" s="974"/>
      <c r="J916" s="974"/>
      <c r="K916" s="974"/>
      <c r="L916" s="974"/>
      <c r="M916" s="974"/>
      <c r="N916" s="987"/>
      <c r="AF916" s="684"/>
      <c r="AG916" s="693"/>
      <c r="AI916" s="696" t="s">
        <v>2139</v>
      </c>
      <c r="AM916" s="693"/>
      <c r="AP916" s="693"/>
      <c r="AR916" s="693"/>
      <c r="AS916" s="693"/>
    </row>
    <row r="917" spans="1:45" s="646" customFormat="1" ht="21.6" x14ac:dyDescent="0.3">
      <c r="A917" s="697"/>
      <c r="B917" s="698" t="s">
        <v>1759</v>
      </c>
      <c r="C917" s="974" t="s">
        <v>1760</v>
      </c>
      <c r="D917" s="974"/>
      <c r="E917" s="974"/>
      <c r="F917" s="974"/>
      <c r="G917" s="974"/>
      <c r="H917" s="974"/>
      <c r="I917" s="974"/>
      <c r="J917" s="974"/>
      <c r="K917" s="974"/>
      <c r="L917" s="974"/>
      <c r="M917" s="974"/>
      <c r="N917" s="987"/>
      <c r="AF917" s="684"/>
      <c r="AG917" s="693"/>
      <c r="AI917" s="696" t="s">
        <v>1760</v>
      </c>
      <c r="AM917" s="693"/>
      <c r="AP917" s="693"/>
      <c r="AR917" s="693"/>
      <c r="AS917" s="693"/>
    </row>
    <row r="918" spans="1:45" s="646" customFormat="1" ht="52.2" x14ac:dyDescent="0.3">
      <c r="A918" s="697"/>
      <c r="B918" s="698" t="s">
        <v>1761</v>
      </c>
      <c r="C918" s="974" t="s">
        <v>1762</v>
      </c>
      <c r="D918" s="974"/>
      <c r="E918" s="974"/>
      <c r="F918" s="974"/>
      <c r="G918" s="974"/>
      <c r="H918" s="974"/>
      <c r="I918" s="974"/>
      <c r="J918" s="974"/>
      <c r="K918" s="974"/>
      <c r="L918" s="974"/>
      <c r="M918" s="974"/>
      <c r="N918" s="987"/>
      <c r="AF918" s="684"/>
      <c r="AG918" s="693"/>
      <c r="AI918" s="696" t="s">
        <v>1762</v>
      </c>
      <c r="AM918" s="693"/>
      <c r="AP918" s="693"/>
      <c r="AR918" s="693"/>
      <c r="AS918" s="693"/>
    </row>
    <row r="919" spans="1:45" s="646" customFormat="1" ht="14.4" x14ac:dyDescent="0.3">
      <c r="A919" s="699"/>
      <c r="B919" s="698" t="s">
        <v>18</v>
      </c>
      <c r="C919" s="982" t="s">
        <v>1763</v>
      </c>
      <c r="D919" s="982"/>
      <c r="E919" s="982"/>
      <c r="F919" s="700"/>
      <c r="G919" s="701"/>
      <c r="H919" s="701"/>
      <c r="I919" s="701"/>
      <c r="J919" s="702">
        <v>206.31</v>
      </c>
      <c r="K919" s="713">
        <v>0.92574999999999996</v>
      </c>
      <c r="L919" s="706">
        <v>1302.56</v>
      </c>
      <c r="M919" s="704">
        <v>44.77</v>
      </c>
      <c r="N919" s="705">
        <v>58315.61</v>
      </c>
      <c r="AF919" s="684"/>
      <c r="AG919" s="693"/>
      <c r="AJ919" s="696" t="s">
        <v>1763</v>
      </c>
      <c r="AM919" s="693"/>
      <c r="AP919" s="693"/>
      <c r="AR919" s="693"/>
      <c r="AS919" s="693"/>
    </row>
    <row r="920" spans="1:45" s="646" customFormat="1" ht="14.4" x14ac:dyDescent="0.3">
      <c r="A920" s="699"/>
      <c r="B920" s="698" t="s">
        <v>21</v>
      </c>
      <c r="C920" s="982" t="s">
        <v>1764</v>
      </c>
      <c r="D920" s="982"/>
      <c r="E920" s="982"/>
      <c r="F920" s="700"/>
      <c r="G920" s="701"/>
      <c r="H920" s="701"/>
      <c r="I920" s="701"/>
      <c r="J920" s="702">
        <v>548.89</v>
      </c>
      <c r="K920" s="713">
        <v>1.0062500000000001</v>
      </c>
      <c r="L920" s="706">
        <v>3766.83</v>
      </c>
      <c r="M920" s="704">
        <v>13.24</v>
      </c>
      <c r="N920" s="705">
        <v>49872.83</v>
      </c>
      <c r="AF920" s="684"/>
      <c r="AG920" s="693"/>
      <c r="AJ920" s="696" t="s">
        <v>1764</v>
      </c>
      <c r="AM920" s="693"/>
      <c r="AP920" s="693"/>
      <c r="AR920" s="693"/>
      <c r="AS920" s="693"/>
    </row>
    <row r="921" spans="1:45" s="646" customFormat="1" ht="14.4" x14ac:dyDescent="0.3">
      <c r="A921" s="699"/>
      <c r="B921" s="698" t="s">
        <v>23</v>
      </c>
      <c r="C921" s="982" t="s">
        <v>1765</v>
      </c>
      <c r="D921" s="982"/>
      <c r="E921" s="982"/>
      <c r="F921" s="700"/>
      <c r="G921" s="701"/>
      <c r="H921" s="701"/>
      <c r="I921" s="701"/>
      <c r="J921" s="702">
        <v>63.88</v>
      </c>
      <c r="K921" s="713">
        <v>1.0062500000000001</v>
      </c>
      <c r="L921" s="702">
        <v>438.38</v>
      </c>
      <c r="M921" s="704">
        <v>44.77</v>
      </c>
      <c r="N921" s="705">
        <v>19626.27</v>
      </c>
      <c r="AF921" s="684"/>
      <c r="AG921" s="693"/>
      <c r="AJ921" s="696" t="s">
        <v>1765</v>
      </c>
      <c r="AM921" s="693"/>
      <c r="AP921" s="693"/>
      <c r="AR921" s="693"/>
      <c r="AS921" s="693"/>
    </row>
    <row r="922" spans="1:45" s="646" customFormat="1" ht="14.4" x14ac:dyDescent="0.3">
      <c r="A922" s="699"/>
      <c r="B922" s="698" t="s">
        <v>25</v>
      </c>
      <c r="C922" s="982" t="s">
        <v>1766</v>
      </c>
      <c r="D922" s="982"/>
      <c r="E922" s="982"/>
      <c r="F922" s="700"/>
      <c r="G922" s="701"/>
      <c r="H922" s="701"/>
      <c r="I922" s="701"/>
      <c r="J922" s="702">
        <v>93.03</v>
      </c>
      <c r="K922" s="718">
        <v>0</v>
      </c>
      <c r="L922" s="702">
        <v>0</v>
      </c>
      <c r="M922" s="704">
        <v>8.16</v>
      </c>
      <c r="N922" s="712"/>
      <c r="AF922" s="684"/>
      <c r="AG922" s="693"/>
      <c r="AJ922" s="696" t="s">
        <v>1766</v>
      </c>
      <c r="AM922" s="693"/>
      <c r="AP922" s="693"/>
      <c r="AR922" s="693"/>
      <c r="AS922" s="693"/>
    </row>
    <row r="923" spans="1:45" s="646" customFormat="1" ht="14.4" x14ac:dyDescent="0.3">
      <c r="A923" s="708"/>
      <c r="B923" s="698"/>
      <c r="C923" s="982" t="s">
        <v>1767</v>
      </c>
      <c r="D923" s="982"/>
      <c r="E923" s="982"/>
      <c r="F923" s="700" t="s">
        <v>695</v>
      </c>
      <c r="G923" s="718">
        <v>23</v>
      </c>
      <c r="H923" s="713">
        <v>0.92574999999999996</v>
      </c>
      <c r="I923" s="723">
        <v>145.213145</v>
      </c>
      <c r="J923" s="711"/>
      <c r="K923" s="701"/>
      <c r="L923" s="711"/>
      <c r="M923" s="701"/>
      <c r="N923" s="712"/>
      <c r="AF923" s="684"/>
      <c r="AG923" s="693"/>
      <c r="AK923" s="696" t="s">
        <v>1767</v>
      </c>
      <c r="AM923" s="693"/>
      <c r="AP923" s="693"/>
      <c r="AR923" s="693"/>
      <c r="AS923" s="693"/>
    </row>
    <row r="924" spans="1:45" s="646" customFormat="1" ht="14.4" x14ac:dyDescent="0.3">
      <c r="A924" s="708"/>
      <c r="B924" s="698"/>
      <c r="C924" s="982" t="s">
        <v>1768</v>
      </c>
      <c r="D924" s="982"/>
      <c r="E924" s="982"/>
      <c r="F924" s="700" t="s">
        <v>695</v>
      </c>
      <c r="G924" s="704">
        <v>4.82</v>
      </c>
      <c r="H924" s="713">
        <v>1.0062500000000001</v>
      </c>
      <c r="I924" s="710">
        <v>33.077852499999999</v>
      </c>
      <c r="J924" s="711"/>
      <c r="K924" s="701"/>
      <c r="L924" s="711"/>
      <c r="M924" s="701"/>
      <c r="N924" s="712"/>
      <c r="AF924" s="684"/>
      <c r="AG924" s="693"/>
      <c r="AK924" s="696" t="s">
        <v>1768</v>
      </c>
      <c r="AM924" s="693"/>
      <c r="AP924" s="693"/>
      <c r="AR924" s="693"/>
      <c r="AS924" s="693"/>
    </row>
    <row r="925" spans="1:45" s="646" customFormat="1" ht="14.4" x14ac:dyDescent="0.3">
      <c r="A925" s="699"/>
      <c r="B925" s="698"/>
      <c r="C925" s="986" t="s">
        <v>1769</v>
      </c>
      <c r="D925" s="986"/>
      <c r="E925" s="986"/>
      <c r="F925" s="714"/>
      <c r="G925" s="715"/>
      <c r="H925" s="715"/>
      <c r="I925" s="715"/>
      <c r="J925" s="724">
        <v>848.23</v>
      </c>
      <c r="K925" s="715"/>
      <c r="L925" s="716">
        <v>5069.3900000000003</v>
      </c>
      <c r="M925" s="715"/>
      <c r="N925" s="717">
        <v>108188.44</v>
      </c>
      <c r="AF925" s="684"/>
      <c r="AG925" s="693"/>
      <c r="AL925" s="696" t="s">
        <v>1769</v>
      </c>
      <c r="AM925" s="693"/>
      <c r="AP925" s="693"/>
      <c r="AR925" s="693"/>
      <c r="AS925" s="693"/>
    </row>
    <row r="926" spans="1:45" s="646" customFormat="1" ht="14.4" x14ac:dyDescent="0.3">
      <c r="A926" s="708"/>
      <c r="B926" s="698"/>
      <c r="C926" s="982" t="s">
        <v>1770</v>
      </c>
      <c r="D926" s="982"/>
      <c r="E926" s="982"/>
      <c r="F926" s="700"/>
      <c r="G926" s="701"/>
      <c r="H926" s="701"/>
      <c r="I926" s="701"/>
      <c r="J926" s="711"/>
      <c r="K926" s="701"/>
      <c r="L926" s="706">
        <v>1740.94</v>
      </c>
      <c r="M926" s="701"/>
      <c r="N926" s="705">
        <v>77941.88</v>
      </c>
      <c r="AF926" s="684"/>
      <c r="AG926" s="693"/>
      <c r="AK926" s="696" t="s">
        <v>1770</v>
      </c>
      <c r="AM926" s="693"/>
      <c r="AP926" s="693"/>
      <c r="AR926" s="693"/>
      <c r="AS926" s="693"/>
    </row>
    <row r="927" spans="1:45" s="646" customFormat="1" ht="20.399999999999999" x14ac:dyDescent="0.3">
      <c r="A927" s="708"/>
      <c r="B927" s="698" t="s">
        <v>2140</v>
      </c>
      <c r="C927" s="982" t="s">
        <v>2141</v>
      </c>
      <c r="D927" s="982"/>
      <c r="E927" s="982"/>
      <c r="F927" s="700" t="s">
        <v>1773</v>
      </c>
      <c r="G927" s="718">
        <v>93</v>
      </c>
      <c r="H927" s="701"/>
      <c r="I927" s="718">
        <v>93</v>
      </c>
      <c r="J927" s="711"/>
      <c r="K927" s="701"/>
      <c r="L927" s="706">
        <v>1619.07</v>
      </c>
      <c r="M927" s="701"/>
      <c r="N927" s="705">
        <v>72485.95</v>
      </c>
      <c r="AF927" s="684"/>
      <c r="AG927" s="693"/>
      <c r="AK927" s="696" t="s">
        <v>2141</v>
      </c>
      <c r="AM927" s="693"/>
      <c r="AP927" s="693"/>
      <c r="AR927" s="693"/>
      <c r="AS927" s="693"/>
    </row>
    <row r="928" spans="1:45" s="646" customFormat="1" ht="40.799999999999997" x14ac:dyDescent="0.3">
      <c r="A928" s="708"/>
      <c r="B928" s="698" t="s">
        <v>2142</v>
      </c>
      <c r="C928" s="982" t="s">
        <v>2143</v>
      </c>
      <c r="D928" s="982"/>
      <c r="E928" s="982"/>
      <c r="F928" s="700" t="s">
        <v>1773</v>
      </c>
      <c r="G928" s="718">
        <v>62</v>
      </c>
      <c r="H928" s="704">
        <v>0.85</v>
      </c>
      <c r="I928" s="709">
        <v>52.7</v>
      </c>
      <c r="J928" s="711"/>
      <c r="K928" s="701"/>
      <c r="L928" s="702">
        <v>917.48</v>
      </c>
      <c r="M928" s="701"/>
      <c r="N928" s="705">
        <v>41075.370000000003</v>
      </c>
      <c r="AF928" s="684"/>
      <c r="AG928" s="693"/>
      <c r="AK928" s="696" t="s">
        <v>2143</v>
      </c>
      <c r="AM928" s="693"/>
      <c r="AP928" s="693"/>
      <c r="AR928" s="693"/>
      <c r="AS928" s="693"/>
    </row>
    <row r="929" spans="1:45" s="646" customFormat="1" ht="14.4" x14ac:dyDescent="0.3">
      <c r="A929" s="719"/>
      <c r="B929" s="720"/>
      <c r="C929" s="985" t="s">
        <v>1776</v>
      </c>
      <c r="D929" s="985"/>
      <c r="E929" s="985"/>
      <c r="F929" s="687"/>
      <c r="G929" s="688"/>
      <c r="H929" s="688"/>
      <c r="I929" s="688"/>
      <c r="J929" s="691"/>
      <c r="K929" s="688"/>
      <c r="L929" s="721">
        <v>7605.94</v>
      </c>
      <c r="M929" s="715"/>
      <c r="N929" s="722">
        <v>221749.76000000001</v>
      </c>
      <c r="AF929" s="684"/>
      <c r="AG929" s="693"/>
      <c r="AM929" s="693" t="s">
        <v>1776</v>
      </c>
      <c r="AP929" s="693"/>
      <c r="AR929" s="693"/>
      <c r="AS929" s="693"/>
    </row>
    <row r="930" spans="1:45" s="646" customFormat="1" ht="21.6" x14ac:dyDescent="0.3">
      <c r="A930" s="685" t="s">
        <v>2147</v>
      </c>
      <c r="B930" s="686" t="s">
        <v>1863</v>
      </c>
      <c r="C930" s="985" t="s">
        <v>1417</v>
      </c>
      <c r="D930" s="985"/>
      <c r="E930" s="985"/>
      <c r="F930" s="687" t="s">
        <v>1790</v>
      </c>
      <c r="G930" s="688">
        <v>11.44</v>
      </c>
      <c r="H930" s="689">
        <v>1</v>
      </c>
      <c r="I930" s="727">
        <v>11.44</v>
      </c>
      <c r="J930" s="726">
        <v>22.33</v>
      </c>
      <c r="K930" s="688"/>
      <c r="L930" s="726">
        <v>255.46</v>
      </c>
      <c r="M930" s="727">
        <v>13.24</v>
      </c>
      <c r="N930" s="722">
        <v>3382.29</v>
      </c>
      <c r="AF930" s="684"/>
      <c r="AG930" s="693" t="s">
        <v>1417</v>
      </c>
      <c r="AM930" s="693"/>
      <c r="AP930" s="693"/>
      <c r="AR930" s="693"/>
      <c r="AS930" s="693"/>
    </row>
    <row r="931" spans="1:45" s="646" customFormat="1" ht="14.4" x14ac:dyDescent="0.3">
      <c r="A931" s="719"/>
      <c r="B931" s="720"/>
      <c r="C931" s="982" t="s">
        <v>1862</v>
      </c>
      <c r="D931" s="982"/>
      <c r="E931" s="982"/>
      <c r="F931" s="982"/>
      <c r="G931" s="982"/>
      <c r="H931" s="982"/>
      <c r="I931" s="982"/>
      <c r="J931" s="982"/>
      <c r="K931" s="982"/>
      <c r="L931" s="982"/>
      <c r="M931" s="982"/>
      <c r="N931" s="988"/>
      <c r="AF931" s="684"/>
      <c r="AG931" s="693"/>
      <c r="AM931" s="693"/>
      <c r="AN931" s="696" t="s">
        <v>1862</v>
      </c>
      <c r="AP931" s="693"/>
      <c r="AR931" s="693"/>
      <c r="AS931" s="693"/>
    </row>
    <row r="932" spans="1:45" s="646" customFormat="1" ht="14.4" x14ac:dyDescent="0.3">
      <c r="A932" s="694"/>
      <c r="B932" s="695"/>
      <c r="C932" s="982" t="s">
        <v>2148</v>
      </c>
      <c r="D932" s="982"/>
      <c r="E932" s="982"/>
      <c r="F932" s="982"/>
      <c r="G932" s="982"/>
      <c r="H932" s="982"/>
      <c r="I932" s="982"/>
      <c r="J932" s="982"/>
      <c r="K932" s="982"/>
      <c r="L932" s="982"/>
      <c r="M932" s="982"/>
      <c r="N932" s="988"/>
      <c r="AF932" s="684"/>
      <c r="AG932" s="693"/>
      <c r="AH932" s="696" t="s">
        <v>2148</v>
      </c>
      <c r="AM932" s="693"/>
      <c r="AP932" s="693"/>
      <c r="AR932" s="693"/>
      <c r="AS932" s="693"/>
    </row>
    <row r="933" spans="1:45" s="646" customFormat="1" ht="14.4" x14ac:dyDescent="0.3">
      <c r="A933" s="719"/>
      <c r="B933" s="720"/>
      <c r="C933" s="985" t="s">
        <v>1776</v>
      </c>
      <c r="D933" s="985"/>
      <c r="E933" s="985"/>
      <c r="F933" s="687"/>
      <c r="G933" s="688"/>
      <c r="H933" s="688"/>
      <c r="I933" s="688"/>
      <c r="J933" s="691"/>
      <c r="K933" s="688"/>
      <c r="L933" s="726">
        <v>255.46</v>
      </c>
      <c r="M933" s="715"/>
      <c r="N933" s="722">
        <v>3382.29</v>
      </c>
      <c r="AF933" s="684"/>
      <c r="AG933" s="693"/>
      <c r="AM933" s="693" t="s">
        <v>1776</v>
      </c>
      <c r="AP933" s="693"/>
      <c r="AR933" s="693"/>
      <c r="AS933" s="693"/>
    </row>
    <row r="934" spans="1:45" s="646" customFormat="1" ht="21.6" x14ac:dyDescent="0.3">
      <c r="A934" s="685" t="s">
        <v>2149</v>
      </c>
      <c r="B934" s="686" t="s">
        <v>1866</v>
      </c>
      <c r="C934" s="985" t="s">
        <v>873</v>
      </c>
      <c r="D934" s="985"/>
      <c r="E934" s="985"/>
      <c r="F934" s="687" t="s">
        <v>1790</v>
      </c>
      <c r="G934" s="688">
        <v>11.44</v>
      </c>
      <c r="H934" s="689">
        <v>1</v>
      </c>
      <c r="I934" s="727">
        <v>11.44</v>
      </c>
      <c r="J934" s="726">
        <v>22.33</v>
      </c>
      <c r="K934" s="688"/>
      <c r="L934" s="726">
        <v>255.46</v>
      </c>
      <c r="M934" s="727">
        <v>13.24</v>
      </c>
      <c r="N934" s="722">
        <v>3382.29</v>
      </c>
      <c r="AF934" s="684"/>
      <c r="AG934" s="693" t="s">
        <v>873</v>
      </c>
      <c r="AM934" s="693"/>
      <c r="AP934" s="693"/>
      <c r="AR934" s="693"/>
      <c r="AS934" s="693"/>
    </row>
    <row r="935" spans="1:45" s="646" customFormat="1" ht="14.4" x14ac:dyDescent="0.3">
      <c r="A935" s="719"/>
      <c r="B935" s="720"/>
      <c r="C935" s="982" t="s">
        <v>1862</v>
      </c>
      <c r="D935" s="982"/>
      <c r="E935" s="982"/>
      <c r="F935" s="982"/>
      <c r="G935" s="982"/>
      <c r="H935" s="982"/>
      <c r="I935" s="982"/>
      <c r="J935" s="982"/>
      <c r="K935" s="982"/>
      <c r="L935" s="982"/>
      <c r="M935" s="982"/>
      <c r="N935" s="988"/>
      <c r="AF935" s="684"/>
      <c r="AG935" s="693"/>
      <c r="AM935" s="693"/>
      <c r="AN935" s="696" t="s">
        <v>1862</v>
      </c>
      <c r="AP935" s="693"/>
      <c r="AR935" s="693"/>
      <c r="AS935" s="693"/>
    </row>
    <row r="936" spans="1:45" s="646" customFormat="1" ht="14.4" x14ac:dyDescent="0.3">
      <c r="A936" s="719"/>
      <c r="B936" s="720"/>
      <c r="C936" s="985" t="s">
        <v>1776</v>
      </c>
      <c r="D936" s="985"/>
      <c r="E936" s="985"/>
      <c r="F936" s="687"/>
      <c r="G936" s="688"/>
      <c r="H936" s="688"/>
      <c r="I936" s="688"/>
      <c r="J936" s="691"/>
      <c r="K936" s="688"/>
      <c r="L936" s="726">
        <v>255.46</v>
      </c>
      <c r="M936" s="715"/>
      <c r="N936" s="722">
        <v>3382.29</v>
      </c>
      <c r="AF936" s="684"/>
      <c r="AG936" s="693"/>
      <c r="AM936" s="693" t="s">
        <v>1776</v>
      </c>
      <c r="AP936" s="693"/>
      <c r="AR936" s="693"/>
      <c r="AS936" s="693"/>
    </row>
    <row r="937" spans="1:45" s="646" customFormat="1" ht="31.8" x14ac:dyDescent="0.3">
      <c r="A937" s="685" t="s">
        <v>2150</v>
      </c>
      <c r="B937" s="686" t="s">
        <v>1789</v>
      </c>
      <c r="C937" s="985" t="s">
        <v>911</v>
      </c>
      <c r="D937" s="985"/>
      <c r="E937" s="985"/>
      <c r="F937" s="687" t="s">
        <v>1790</v>
      </c>
      <c r="G937" s="688">
        <v>11.44</v>
      </c>
      <c r="H937" s="689">
        <v>1</v>
      </c>
      <c r="I937" s="727">
        <v>11.44</v>
      </c>
      <c r="J937" s="726">
        <v>2.91</v>
      </c>
      <c r="K937" s="688"/>
      <c r="L937" s="726">
        <v>33.29</v>
      </c>
      <c r="M937" s="727">
        <v>13.62</v>
      </c>
      <c r="N937" s="751">
        <v>453.41</v>
      </c>
      <c r="AF937" s="684"/>
      <c r="AG937" s="693" t="s">
        <v>911</v>
      </c>
      <c r="AM937" s="693"/>
      <c r="AP937" s="693"/>
      <c r="AR937" s="693"/>
      <c r="AS937" s="693"/>
    </row>
    <row r="938" spans="1:45" s="646" customFormat="1" ht="14.4" x14ac:dyDescent="0.3">
      <c r="A938" s="719"/>
      <c r="B938" s="720"/>
      <c r="C938" s="985" t="s">
        <v>1776</v>
      </c>
      <c r="D938" s="985"/>
      <c r="E938" s="985"/>
      <c r="F938" s="687"/>
      <c r="G938" s="688"/>
      <c r="H938" s="688"/>
      <c r="I938" s="688"/>
      <c r="J938" s="691"/>
      <c r="K938" s="688"/>
      <c r="L938" s="726">
        <v>33.29</v>
      </c>
      <c r="M938" s="715"/>
      <c r="N938" s="751">
        <v>453.41</v>
      </c>
      <c r="AF938" s="684"/>
      <c r="AG938" s="693"/>
      <c r="AM938" s="693" t="s">
        <v>1776</v>
      </c>
      <c r="AP938" s="693"/>
      <c r="AR938" s="693"/>
      <c r="AS938" s="693"/>
    </row>
    <row r="939" spans="1:45" s="646" customFormat="1" ht="14.4" x14ac:dyDescent="0.3">
      <c r="A939" s="989" t="s">
        <v>2151</v>
      </c>
      <c r="B939" s="990"/>
      <c r="C939" s="990"/>
      <c r="D939" s="990"/>
      <c r="E939" s="990"/>
      <c r="F939" s="990"/>
      <c r="G939" s="990"/>
      <c r="H939" s="990"/>
      <c r="I939" s="990"/>
      <c r="J939" s="990"/>
      <c r="K939" s="990"/>
      <c r="L939" s="990"/>
      <c r="M939" s="990"/>
      <c r="N939" s="991"/>
      <c r="AF939" s="684"/>
      <c r="AG939" s="693"/>
      <c r="AM939" s="693"/>
      <c r="AP939" s="693"/>
      <c r="AR939" s="693"/>
      <c r="AS939" s="693" t="s">
        <v>2151</v>
      </c>
    </row>
    <row r="940" spans="1:45" s="646" customFormat="1" ht="31.8" x14ac:dyDescent="0.3">
      <c r="A940" s="685" t="s">
        <v>2152</v>
      </c>
      <c r="B940" s="686" t="s">
        <v>2153</v>
      </c>
      <c r="C940" s="985" t="s">
        <v>2154</v>
      </c>
      <c r="D940" s="985"/>
      <c r="E940" s="985"/>
      <c r="F940" s="687" t="s">
        <v>745</v>
      </c>
      <c r="G940" s="688">
        <v>30</v>
      </c>
      <c r="H940" s="689">
        <v>1</v>
      </c>
      <c r="I940" s="689">
        <v>30</v>
      </c>
      <c r="J940" s="691"/>
      <c r="K940" s="688"/>
      <c r="L940" s="691"/>
      <c r="M940" s="688"/>
      <c r="N940" s="692"/>
      <c r="AF940" s="684"/>
      <c r="AG940" s="693" t="s">
        <v>2154</v>
      </c>
      <c r="AM940" s="693"/>
      <c r="AP940" s="693"/>
      <c r="AR940" s="693"/>
      <c r="AS940" s="693"/>
    </row>
    <row r="941" spans="1:45" s="646" customFormat="1" ht="14.4" x14ac:dyDescent="0.3">
      <c r="A941" s="694"/>
      <c r="B941" s="695"/>
      <c r="C941" s="982" t="s">
        <v>2155</v>
      </c>
      <c r="D941" s="982"/>
      <c r="E941" s="982"/>
      <c r="F941" s="982"/>
      <c r="G941" s="982"/>
      <c r="H941" s="982"/>
      <c r="I941" s="982"/>
      <c r="J941" s="982"/>
      <c r="K941" s="982"/>
      <c r="L941" s="982"/>
      <c r="M941" s="982"/>
      <c r="N941" s="988"/>
      <c r="AF941" s="684"/>
      <c r="AG941" s="693"/>
      <c r="AH941" s="696" t="s">
        <v>2155</v>
      </c>
      <c r="AM941" s="693"/>
      <c r="AP941" s="693"/>
      <c r="AR941" s="693"/>
      <c r="AS941" s="693"/>
    </row>
    <row r="942" spans="1:45" s="646" customFormat="1" ht="52.2" x14ac:dyDescent="0.3">
      <c r="A942" s="697"/>
      <c r="B942" s="698" t="s">
        <v>1761</v>
      </c>
      <c r="C942" s="974" t="s">
        <v>1762</v>
      </c>
      <c r="D942" s="974"/>
      <c r="E942" s="974"/>
      <c r="F942" s="974"/>
      <c r="G942" s="974"/>
      <c r="H942" s="974"/>
      <c r="I942" s="974"/>
      <c r="J942" s="974"/>
      <c r="K942" s="974"/>
      <c r="L942" s="974"/>
      <c r="M942" s="974"/>
      <c r="N942" s="987"/>
      <c r="AF942" s="684"/>
      <c r="AG942" s="693"/>
      <c r="AI942" s="696" t="s">
        <v>1762</v>
      </c>
      <c r="AM942" s="693"/>
      <c r="AP942" s="693"/>
      <c r="AR942" s="693"/>
      <c r="AS942" s="693"/>
    </row>
    <row r="943" spans="1:45" s="646" customFormat="1" ht="14.4" x14ac:dyDescent="0.3">
      <c r="A943" s="699"/>
      <c r="B943" s="698" t="s">
        <v>18</v>
      </c>
      <c r="C943" s="982" t="s">
        <v>1763</v>
      </c>
      <c r="D943" s="982"/>
      <c r="E943" s="982"/>
      <c r="F943" s="700"/>
      <c r="G943" s="701"/>
      <c r="H943" s="701"/>
      <c r="I943" s="701"/>
      <c r="J943" s="702">
        <v>7.76</v>
      </c>
      <c r="K943" s="704">
        <v>1.1499999999999999</v>
      </c>
      <c r="L943" s="702">
        <v>267.72000000000003</v>
      </c>
      <c r="M943" s="704">
        <v>44.77</v>
      </c>
      <c r="N943" s="705">
        <v>11985.82</v>
      </c>
      <c r="AF943" s="684"/>
      <c r="AG943" s="693"/>
      <c r="AJ943" s="696" t="s">
        <v>1763</v>
      </c>
      <c r="AM943" s="693"/>
      <c r="AP943" s="693"/>
      <c r="AR943" s="693"/>
      <c r="AS943" s="693"/>
    </row>
    <row r="944" spans="1:45" s="646" customFormat="1" ht="14.4" x14ac:dyDescent="0.3">
      <c r="A944" s="699"/>
      <c r="B944" s="698" t="s">
        <v>21</v>
      </c>
      <c r="C944" s="982" t="s">
        <v>1764</v>
      </c>
      <c r="D944" s="982"/>
      <c r="E944" s="982"/>
      <c r="F944" s="700"/>
      <c r="G944" s="701"/>
      <c r="H944" s="701"/>
      <c r="I944" s="701"/>
      <c r="J944" s="706">
        <v>1293.92</v>
      </c>
      <c r="K944" s="704">
        <v>1.1499999999999999</v>
      </c>
      <c r="L944" s="706">
        <v>44640.24</v>
      </c>
      <c r="M944" s="704">
        <v>13.24</v>
      </c>
      <c r="N944" s="705">
        <v>591036.78</v>
      </c>
      <c r="AF944" s="684"/>
      <c r="AG944" s="693"/>
      <c r="AJ944" s="696" t="s">
        <v>1764</v>
      </c>
      <c r="AM944" s="693"/>
      <c r="AP944" s="693"/>
      <c r="AR944" s="693"/>
      <c r="AS944" s="693"/>
    </row>
    <row r="945" spans="1:45" s="646" customFormat="1" ht="14.4" x14ac:dyDescent="0.3">
      <c r="A945" s="699"/>
      <c r="B945" s="698" t="s">
        <v>23</v>
      </c>
      <c r="C945" s="982" t="s">
        <v>1765</v>
      </c>
      <c r="D945" s="982"/>
      <c r="E945" s="982"/>
      <c r="F945" s="700"/>
      <c r="G945" s="701"/>
      <c r="H945" s="701"/>
      <c r="I945" s="701"/>
      <c r="J945" s="702">
        <v>32.909999999999997</v>
      </c>
      <c r="K945" s="704">
        <v>1.1499999999999999</v>
      </c>
      <c r="L945" s="706">
        <v>1135.4000000000001</v>
      </c>
      <c r="M945" s="704">
        <v>44.77</v>
      </c>
      <c r="N945" s="705">
        <v>50831.86</v>
      </c>
      <c r="AF945" s="684"/>
      <c r="AG945" s="693"/>
      <c r="AJ945" s="696" t="s">
        <v>1765</v>
      </c>
      <c r="AM945" s="693"/>
      <c r="AP945" s="693"/>
      <c r="AR945" s="693"/>
      <c r="AS945" s="693"/>
    </row>
    <row r="946" spans="1:45" s="646" customFormat="1" ht="14.4" x14ac:dyDescent="0.3">
      <c r="A946" s="699"/>
      <c r="B946" s="698" t="s">
        <v>25</v>
      </c>
      <c r="C946" s="982" t="s">
        <v>1766</v>
      </c>
      <c r="D946" s="982"/>
      <c r="E946" s="982"/>
      <c r="F946" s="700"/>
      <c r="G946" s="701"/>
      <c r="H946" s="701"/>
      <c r="I946" s="701"/>
      <c r="J946" s="702">
        <v>21.02</v>
      </c>
      <c r="K946" s="701"/>
      <c r="L946" s="702">
        <v>630.6</v>
      </c>
      <c r="M946" s="704">
        <v>8.16</v>
      </c>
      <c r="N946" s="705">
        <v>5145.7</v>
      </c>
      <c r="AF946" s="684"/>
      <c r="AG946" s="693"/>
      <c r="AJ946" s="696" t="s">
        <v>1766</v>
      </c>
      <c r="AM946" s="693"/>
      <c r="AP946" s="693"/>
      <c r="AR946" s="693"/>
      <c r="AS946" s="693"/>
    </row>
    <row r="947" spans="1:45" s="646" customFormat="1" ht="14.4" x14ac:dyDescent="0.3">
      <c r="A947" s="708"/>
      <c r="B947" s="698"/>
      <c r="C947" s="982" t="s">
        <v>1767</v>
      </c>
      <c r="D947" s="982"/>
      <c r="E947" s="982"/>
      <c r="F947" s="700" t="s">
        <v>695</v>
      </c>
      <c r="G947" s="704">
        <v>0.91</v>
      </c>
      <c r="H947" s="704">
        <v>1.1499999999999999</v>
      </c>
      <c r="I947" s="703">
        <v>31.395</v>
      </c>
      <c r="J947" s="711"/>
      <c r="K947" s="701"/>
      <c r="L947" s="711"/>
      <c r="M947" s="701"/>
      <c r="N947" s="712"/>
      <c r="AF947" s="684"/>
      <c r="AG947" s="693"/>
      <c r="AK947" s="696" t="s">
        <v>1767</v>
      </c>
      <c r="AM947" s="693"/>
      <c r="AP947" s="693"/>
      <c r="AR947" s="693"/>
      <c r="AS947" s="693"/>
    </row>
    <row r="948" spans="1:45" s="646" customFormat="1" ht="14.4" x14ac:dyDescent="0.3">
      <c r="A948" s="708"/>
      <c r="B948" s="698"/>
      <c r="C948" s="982" t="s">
        <v>1768</v>
      </c>
      <c r="D948" s="982"/>
      <c r="E948" s="982"/>
      <c r="F948" s="700" t="s">
        <v>695</v>
      </c>
      <c r="G948" s="709">
        <v>2.1</v>
      </c>
      <c r="H948" s="704">
        <v>1.1499999999999999</v>
      </c>
      <c r="I948" s="704">
        <v>72.45</v>
      </c>
      <c r="J948" s="711"/>
      <c r="K948" s="701"/>
      <c r="L948" s="711"/>
      <c r="M948" s="701"/>
      <c r="N948" s="712"/>
      <c r="AF948" s="684"/>
      <c r="AG948" s="693"/>
      <c r="AK948" s="696" t="s">
        <v>1768</v>
      </c>
      <c r="AM948" s="693"/>
      <c r="AP948" s="693"/>
      <c r="AR948" s="693"/>
      <c r="AS948" s="693"/>
    </row>
    <row r="949" spans="1:45" s="646" customFormat="1" ht="14.4" x14ac:dyDescent="0.3">
      <c r="A949" s="699"/>
      <c r="B949" s="698"/>
      <c r="C949" s="986" t="s">
        <v>1769</v>
      </c>
      <c r="D949" s="986"/>
      <c r="E949" s="986"/>
      <c r="F949" s="714"/>
      <c r="G949" s="715"/>
      <c r="H949" s="715"/>
      <c r="I949" s="715"/>
      <c r="J949" s="716">
        <v>1322.7</v>
      </c>
      <c r="K949" s="715"/>
      <c r="L949" s="716">
        <v>45538.559999999998</v>
      </c>
      <c r="M949" s="715"/>
      <c r="N949" s="717">
        <v>608168.30000000005</v>
      </c>
      <c r="AF949" s="684"/>
      <c r="AG949" s="693"/>
      <c r="AL949" s="696" t="s">
        <v>1769</v>
      </c>
      <c r="AM949" s="693"/>
      <c r="AP949" s="693"/>
      <c r="AR949" s="693"/>
      <c r="AS949" s="693"/>
    </row>
    <row r="950" spans="1:45" s="646" customFormat="1" ht="14.4" x14ac:dyDescent="0.3">
      <c r="A950" s="708"/>
      <c r="B950" s="698"/>
      <c r="C950" s="982" t="s">
        <v>1770</v>
      </c>
      <c r="D950" s="982"/>
      <c r="E950" s="982"/>
      <c r="F950" s="700"/>
      <c r="G950" s="701"/>
      <c r="H950" s="701"/>
      <c r="I950" s="701"/>
      <c r="J950" s="711"/>
      <c r="K950" s="701"/>
      <c r="L950" s="706">
        <v>1403.12</v>
      </c>
      <c r="M950" s="701"/>
      <c r="N950" s="705">
        <v>62817.68</v>
      </c>
      <c r="AF950" s="684"/>
      <c r="AG950" s="693"/>
      <c r="AK950" s="696" t="s">
        <v>1770</v>
      </c>
      <c r="AM950" s="693"/>
      <c r="AP950" s="693"/>
      <c r="AR950" s="693"/>
      <c r="AS950" s="693"/>
    </row>
    <row r="951" spans="1:45" s="646" customFormat="1" ht="31.8" x14ac:dyDescent="0.3">
      <c r="A951" s="708"/>
      <c r="B951" s="698" t="s">
        <v>2156</v>
      </c>
      <c r="C951" s="982" t="s">
        <v>2157</v>
      </c>
      <c r="D951" s="982"/>
      <c r="E951" s="982"/>
      <c r="F951" s="700" t="s">
        <v>1773</v>
      </c>
      <c r="G951" s="718">
        <v>91</v>
      </c>
      <c r="H951" s="701"/>
      <c r="I951" s="718">
        <v>91</v>
      </c>
      <c r="J951" s="711"/>
      <c r="K951" s="701"/>
      <c r="L951" s="706">
        <v>1276.8399999999999</v>
      </c>
      <c r="M951" s="701"/>
      <c r="N951" s="705">
        <v>57164.09</v>
      </c>
      <c r="AF951" s="684"/>
      <c r="AG951" s="693"/>
      <c r="AK951" s="696" t="s">
        <v>2157</v>
      </c>
      <c r="AM951" s="693"/>
      <c r="AP951" s="693"/>
      <c r="AR951" s="693"/>
      <c r="AS951" s="693"/>
    </row>
    <row r="952" spans="1:45" s="646" customFormat="1" ht="31.8" x14ac:dyDescent="0.3">
      <c r="A952" s="708"/>
      <c r="B952" s="698" t="s">
        <v>2158</v>
      </c>
      <c r="C952" s="982" t="s">
        <v>2159</v>
      </c>
      <c r="D952" s="982"/>
      <c r="E952" s="982"/>
      <c r="F952" s="700" t="s">
        <v>1773</v>
      </c>
      <c r="G952" s="718">
        <v>52</v>
      </c>
      <c r="H952" s="701"/>
      <c r="I952" s="718">
        <v>52</v>
      </c>
      <c r="J952" s="711"/>
      <c r="K952" s="701"/>
      <c r="L952" s="702">
        <v>729.62</v>
      </c>
      <c r="M952" s="701"/>
      <c r="N952" s="705">
        <v>32665.19</v>
      </c>
      <c r="AF952" s="684"/>
      <c r="AG952" s="693"/>
      <c r="AK952" s="696" t="s">
        <v>2159</v>
      </c>
      <c r="AM952" s="693"/>
      <c r="AP952" s="693"/>
      <c r="AR952" s="693"/>
      <c r="AS952" s="693"/>
    </row>
    <row r="953" spans="1:45" s="646" customFormat="1" ht="14.4" x14ac:dyDescent="0.3">
      <c r="A953" s="719"/>
      <c r="B953" s="720"/>
      <c r="C953" s="985" t="s">
        <v>1776</v>
      </c>
      <c r="D953" s="985"/>
      <c r="E953" s="985"/>
      <c r="F953" s="687"/>
      <c r="G953" s="688"/>
      <c r="H953" s="688"/>
      <c r="I953" s="688"/>
      <c r="J953" s="691"/>
      <c r="K953" s="688"/>
      <c r="L953" s="721">
        <v>47545.02</v>
      </c>
      <c r="M953" s="715"/>
      <c r="N953" s="722">
        <v>697997.58</v>
      </c>
      <c r="AF953" s="684"/>
      <c r="AG953" s="693"/>
      <c r="AM953" s="693" t="s">
        <v>1776</v>
      </c>
      <c r="AP953" s="693"/>
      <c r="AR953" s="693"/>
      <c r="AS953" s="693"/>
    </row>
    <row r="954" spans="1:45" s="646" customFormat="1" ht="31.8" x14ac:dyDescent="0.3">
      <c r="A954" s="685" t="s">
        <v>2160</v>
      </c>
      <c r="B954" s="686" t="s">
        <v>2153</v>
      </c>
      <c r="C954" s="985" t="s">
        <v>2161</v>
      </c>
      <c r="D954" s="985"/>
      <c r="E954" s="985"/>
      <c r="F954" s="687" t="s">
        <v>745</v>
      </c>
      <c r="G954" s="688">
        <v>19.2</v>
      </c>
      <c r="H954" s="689">
        <v>1</v>
      </c>
      <c r="I954" s="730">
        <v>19.2</v>
      </c>
      <c r="J954" s="691"/>
      <c r="K954" s="688"/>
      <c r="L954" s="691"/>
      <c r="M954" s="688"/>
      <c r="N954" s="692"/>
      <c r="AF954" s="684"/>
      <c r="AG954" s="693" t="s">
        <v>2161</v>
      </c>
      <c r="AM954" s="693"/>
      <c r="AP954" s="693"/>
      <c r="AR954" s="693"/>
      <c r="AS954" s="693"/>
    </row>
    <row r="955" spans="1:45" s="646" customFormat="1" ht="14.4" x14ac:dyDescent="0.3">
      <c r="A955" s="694"/>
      <c r="B955" s="695"/>
      <c r="C955" s="982" t="s">
        <v>2162</v>
      </c>
      <c r="D955" s="982"/>
      <c r="E955" s="982"/>
      <c r="F955" s="982"/>
      <c r="G955" s="982"/>
      <c r="H955" s="982"/>
      <c r="I955" s="982"/>
      <c r="J955" s="982"/>
      <c r="K955" s="982"/>
      <c r="L955" s="982"/>
      <c r="M955" s="982"/>
      <c r="N955" s="988"/>
      <c r="AF955" s="684"/>
      <c r="AG955" s="693"/>
      <c r="AH955" s="696" t="s">
        <v>2162</v>
      </c>
      <c r="AM955" s="693"/>
      <c r="AP955" s="693"/>
      <c r="AR955" s="693"/>
      <c r="AS955" s="693"/>
    </row>
    <row r="956" spans="1:45" s="646" customFormat="1" ht="52.2" x14ac:dyDescent="0.3">
      <c r="A956" s="697"/>
      <c r="B956" s="698" t="s">
        <v>1761</v>
      </c>
      <c r="C956" s="974" t="s">
        <v>1762</v>
      </c>
      <c r="D956" s="974"/>
      <c r="E956" s="974"/>
      <c r="F956" s="974"/>
      <c r="G956" s="974"/>
      <c r="H956" s="974"/>
      <c r="I956" s="974"/>
      <c r="J956" s="974"/>
      <c r="K956" s="974"/>
      <c r="L956" s="974"/>
      <c r="M956" s="974"/>
      <c r="N956" s="987"/>
      <c r="AF956" s="684"/>
      <c r="AG956" s="693"/>
      <c r="AI956" s="696" t="s">
        <v>1762</v>
      </c>
      <c r="AM956" s="693"/>
      <c r="AP956" s="693"/>
      <c r="AR956" s="693"/>
      <c r="AS956" s="693"/>
    </row>
    <row r="957" spans="1:45" s="646" customFormat="1" ht="14.4" x14ac:dyDescent="0.3">
      <c r="A957" s="699"/>
      <c r="B957" s="698" t="s">
        <v>18</v>
      </c>
      <c r="C957" s="982" t="s">
        <v>1763</v>
      </c>
      <c r="D957" s="982"/>
      <c r="E957" s="982"/>
      <c r="F957" s="700"/>
      <c r="G957" s="701"/>
      <c r="H957" s="701"/>
      <c r="I957" s="701"/>
      <c r="J957" s="702">
        <v>7.76</v>
      </c>
      <c r="K957" s="704">
        <v>1.1499999999999999</v>
      </c>
      <c r="L957" s="702">
        <v>171.34</v>
      </c>
      <c r="M957" s="704">
        <v>44.77</v>
      </c>
      <c r="N957" s="705">
        <v>7670.89</v>
      </c>
      <c r="AF957" s="684"/>
      <c r="AG957" s="693"/>
      <c r="AJ957" s="696" t="s">
        <v>1763</v>
      </c>
      <c r="AM957" s="693"/>
      <c r="AP957" s="693"/>
      <c r="AR957" s="693"/>
      <c r="AS957" s="693"/>
    </row>
    <row r="958" spans="1:45" s="646" customFormat="1" ht="14.4" x14ac:dyDescent="0.3">
      <c r="A958" s="699"/>
      <c r="B958" s="698" t="s">
        <v>21</v>
      </c>
      <c r="C958" s="982" t="s">
        <v>1764</v>
      </c>
      <c r="D958" s="982"/>
      <c r="E958" s="982"/>
      <c r="F958" s="700"/>
      <c r="G958" s="701"/>
      <c r="H958" s="701"/>
      <c r="I958" s="701"/>
      <c r="J958" s="706">
        <v>1293.92</v>
      </c>
      <c r="K958" s="704">
        <v>1.1499999999999999</v>
      </c>
      <c r="L958" s="706">
        <v>28569.75</v>
      </c>
      <c r="M958" s="704">
        <v>13.24</v>
      </c>
      <c r="N958" s="705">
        <v>378263.49</v>
      </c>
      <c r="AF958" s="684"/>
      <c r="AG958" s="693"/>
      <c r="AJ958" s="696" t="s">
        <v>1764</v>
      </c>
      <c r="AM958" s="693"/>
      <c r="AP958" s="693"/>
      <c r="AR958" s="693"/>
      <c r="AS958" s="693"/>
    </row>
    <row r="959" spans="1:45" s="646" customFormat="1" ht="14.4" x14ac:dyDescent="0.3">
      <c r="A959" s="699"/>
      <c r="B959" s="698" t="s">
        <v>23</v>
      </c>
      <c r="C959" s="982" t="s">
        <v>1765</v>
      </c>
      <c r="D959" s="982"/>
      <c r="E959" s="982"/>
      <c r="F959" s="700"/>
      <c r="G959" s="701"/>
      <c r="H959" s="701"/>
      <c r="I959" s="701"/>
      <c r="J959" s="702">
        <v>32.909999999999997</v>
      </c>
      <c r="K959" s="704">
        <v>1.1499999999999999</v>
      </c>
      <c r="L959" s="702">
        <v>726.65</v>
      </c>
      <c r="M959" s="704">
        <v>44.77</v>
      </c>
      <c r="N959" s="705">
        <v>32532.12</v>
      </c>
      <c r="AF959" s="684"/>
      <c r="AG959" s="693"/>
      <c r="AJ959" s="696" t="s">
        <v>1765</v>
      </c>
      <c r="AM959" s="693"/>
      <c r="AP959" s="693"/>
      <c r="AR959" s="693"/>
      <c r="AS959" s="693"/>
    </row>
    <row r="960" spans="1:45" s="646" customFormat="1" ht="14.4" x14ac:dyDescent="0.3">
      <c r="A960" s="699"/>
      <c r="B960" s="698" t="s">
        <v>25</v>
      </c>
      <c r="C960" s="982" t="s">
        <v>1766</v>
      </c>
      <c r="D960" s="982"/>
      <c r="E960" s="982"/>
      <c r="F960" s="700"/>
      <c r="G960" s="701"/>
      <c r="H960" s="701"/>
      <c r="I960" s="701"/>
      <c r="J960" s="702">
        <v>21.02</v>
      </c>
      <c r="K960" s="701"/>
      <c r="L960" s="702">
        <v>403.58</v>
      </c>
      <c r="M960" s="704">
        <v>8.16</v>
      </c>
      <c r="N960" s="705">
        <v>3293.21</v>
      </c>
      <c r="AF960" s="684"/>
      <c r="AG960" s="693"/>
      <c r="AJ960" s="696" t="s">
        <v>1766</v>
      </c>
      <c r="AM960" s="693"/>
      <c r="AP960" s="693"/>
      <c r="AR960" s="693"/>
      <c r="AS960" s="693"/>
    </row>
    <row r="961" spans="1:45" s="646" customFormat="1" ht="14.4" x14ac:dyDescent="0.3">
      <c r="A961" s="708"/>
      <c r="B961" s="698"/>
      <c r="C961" s="982" t="s">
        <v>1767</v>
      </c>
      <c r="D961" s="982"/>
      <c r="E961" s="982"/>
      <c r="F961" s="700" t="s">
        <v>695</v>
      </c>
      <c r="G961" s="704">
        <v>0.91</v>
      </c>
      <c r="H961" s="704">
        <v>1.1499999999999999</v>
      </c>
      <c r="I961" s="725">
        <v>20.0928</v>
      </c>
      <c r="J961" s="711"/>
      <c r="K961" s="701"/>
      <c r="L961" s="711"/>
      <c r="M961" s="701"/>
      <c r="N961" s="712"/>
      <c r="AF961" s="684"/>
      <c r="AG961" s="693"/>
      <c r="AK961" s="696" t="s">
        <v>1767</v>
      </c>
      <c r="AM961" s="693"/>
      <c r="AP961" s="693"/>
      <c r="AR961" s="693"/>
      <c r="AS961" s="693"/>
    </row>
    <row r="962" spans="1:45" s="646" customFormat="1" ht="14.4" x14ac:dyDescent="0.3">
      <c r="A962" s="708"/>
      <c r="B962" s="698"/>
      <c r="C962" s="982" t="s">
        <v>1768</v>
      </c>
      <c r="D962" s="982"/>
      <c r="E962" s="982"/>
      <c r="F962" s="700" t="s">
        <v>695</v>
      </c>
      <c r="G962" s="709">
        <v>2.1</v>
      </c>
      <c r="H962" s="704">
        <v>1.1499999999999999</v>
      </c>
      <c r="I962" s="703">
        <v>46.368000000000002</v>
      </c>
      <c r="J962" s="711"/>
      <c r="K962" s="701"/>
      <c r="L962" s="711"/>
      <c r="M962" s="701"/>
      <c r="N962" s="712"/>
      <c r="AF962" s="684"/>
      <c r="AG962" s="693"/>
      <c r="AK962" s="696" t="s">
        <v>1768</v>
      </c>
      <c r="AM962" s="693"/>
      <c r="AP962" s="693"/>
      <c r="AR962" s="693"/>
      <c r="AS962" s="693"/>
    </row>
    <row r="963" spans="1:45" s="646" customFormat="1" ht="14.4" x14ac:dyDescent="0.3">
      <c r="A963" s="699"/>
      <c r="B963" s="698"/>
      <c r="C963" s="986" t="s">
        <v>1769</v>
      </c>
      <c r="D963" s="986"/>
      <c r="E963" s="986"/>
      <c r="F963" s="714"/>
      <c r="G963" s="715"/>
      <c r="H963" s="715"/>
      <c r="I963" s="715"/>
      <c r="J963" s="716">
        <v>1322.7</v>
      </c>
      <c r="K963" s="715"/>
      <c r="L963" s="716">
        <v>29144.67</v>
      </c>
      <c r="M963" s="715"/>
      <c r="N963" s="717">
        <v>389227.59</v>
      </c>
      <c r="AF963" s="684"/>
      <c r="AG963" s="693"/>
      <c r="AL963" s="696" t="s">
        <v>1769</v>
      </c>
      <c r="AM963" s="693"/>
      <c r="AP963" s="693"/>
      <c r="AR963" s="693"/>
      <c r="AS963" s="693"/>
    </row>
    <row r="964" spans="1:45" s="646" customFormat="1" ht="14.4" x14ac:dyDescent="0.3">
      <c r="A964" s="708"/>
      <c r="B964" s="698"/>
      <c r="C964" s="982" t="s">
        <v>1770</v>
      </c>
      <c r="D964" s="982"/>
      <c r="E964" s="982"/>
      <c r="F964" s="700"/>
      <c r="G964" s="701"/>
      <c r="H964" s="701"/>
      <c r="I964" s="701"/>
      <c r="J964" s="711"/>
      <c r="K964" s="701"/>
      <c r="L964" s="702">
        <v>897.99</v>
      </c>
      <c r="M964" s="701"/>
      <c r="N964" s="705">
        <v>40203.01</v>
      </c>
      <c r="AF964" s="684"/>
      <c r="AG964" s="693"/>
      <c r="AK964" s="696" t="s">
        <v>1770</v>
      </c>
      <c r="AM964" s="693"/>
      <c r="AP964" s="693"/>
      <c r="AR964" s="693"/>
      <c r="AS964" s="693"/>
    </row>
    <row r="965" spans="1:45" s="646" customFormat="1" ht="31.8" x14ac:dyDescent="0.3">
      <c r="A965" s="708"/>
      <c r="B965" s="698" t="s">
        <v>2156</v>
      </c>
      <c r="C965" s="982" t="s">
        <v>2157</v>
      </c>
      <c r="D965" s="982"/>
      <c r="E965" s="982"/>
      <c r="F965" s="700" t="s">
        <v>1773</v>
      </c>
      <c r="G965" s="718">
        <v>91</v>
      </c>
      <c r="H965" s="701"/>
      <c r="I965" s="718">
        <v>91</v>
      </c>
      <c r="J965" s="711"/>
      <c r="K965" s="701"/>
      <c r="L965" s="702">
        <v>817.17</v>
      </c>
      <c r="M965" s="701"/>
      <c r="N965" s="705">
        <v>36584.74</v>
      </c>
      <c r="AF965" s="684"/>
      <c r="AG965" s="693"/>
      <c r="AK965" s="696" t="s">
        <v>2157</v>
      </c>
      <c r="AM965" s="693"/>
      <c r="AP965" s="693"/>
      <c r="AR965" s="693"/>
      <c r="AS965" s="693"/>
    </row>
    <row r="966" spans="1:45" s="646" customFormat="1" ht="31.8" x14ac:dyDescent="0.3">
      <c r="A966" s="708"/>
      <c r="B966" s="698" t="s">
        <v>2158</v>
      </c>
      <c r="C966" s="982" t="s">
        <v>2159</v>
      </c>
      <c r="D966" s="982"/>
      <c r="E966" s="982"/>
      <c r="F966" s="700" t="s">
        <v>1773</v>
      </c>
      <c r="G966" s="718">
        <v>52</v>
      </c>
      <c r="H966" s="701"/>
      <c r="I966" s="718">
        <v>52</v>
      </c>
      <c r="J966" s="711"/>
      <c r="K966" s="701"/>
      <c r="L966" s="702">
        <v>466.95</v>
      </c>
      <c r="M966" s="701"/>
      <c r="N966" s="705">
        <v>20905.57</v>
      </c>
      <c r="AF966" s="684"/>
      <c r="AG966" s="693"/>
      <c r="AK966" s="696" t="s">
        <v>2159</v>
      </c>
      <c r="AM966" s="693"/>
      <c r="AP966" s="693"/>
      <c r="AR966" s="693"/>
      <c r="AS966" s="693"/>
    </row>
    <row r="967" spans="1:45" s="646" customFormat="1" ht="14.4" x14ac:dyDescent="0.3">
      <c r="A967" s="719"/>
      <c r="B967" s="720"/>
      <c r="C967" s="985" t="s">
        <v>1776</v>
      </c>
      <c r="D967" s="985"/>
      <c r="E967" s="985"/>
      <c r="F967" s="687"/>
      <c r="G967" s="688"/>
      <c r="H967" s="688"/>
      <c r="I967" s="688"/>
      <c r="J967" s="691"/>
      <c r="K967" s="688"/>
      <c r="L967" s="721">
        <v>30428.79</v>
      </c>
      <c r="M967" s="715"/>
      <c r="N967" s="722">
        <v>446717.9</v>
      </c>
      <c r="AF967" s="684"/>
      <c r="AG967" s="693"/>
      <c r="AM967" s="693" t="s">
        <v>1776</v>
      </c>
      <c r="AP967" s="693"/>
      <c r="AR967" s="693"/>
      <c r="AS967" s="693"/>
    </row>
    <row r="968" spans="1:45" s="646" customFormat="1" ht="31.8" x14ac:dyDescent="0.3">
      <c r="A968" s="685" t="s">
        <v>2163</v>
      </c>
      <c r="B968" s="686" t="s">
        <v>1870</v>
      </c>
      <c r="C968" s="985" t="s">
        <v>2164</v>
      </c>
      <c r="D968" s="985"/>
      <c r="E968" s="985"/>
      <c r="F968" s="687" t="s">
        <v>1790</v>
      </c>
      <c r="G968" s="688">
        <v>98.4</v>
      </c>
      <c r="H968" s="689">
        <v>1</v>
      </c>
      <c r="I968" s="730">
        <v>98.4</v>
      </c>
      <c r="J968" s="726">
        <v>3.28</v>
      </c>
      <c r="K968" s="688"/>
      <c r="L968" s="726">
        <v>322.75</v>
      </c>
      <c r="M968" s="727">
        <v>13.24</v>
      </c>
      <c r="N968" s="722">
        <v>4273.21</v>
      </c>
      <c r="AF968" s="684"/>
      <c r="AG968" s="693" t="s">
        <v>2164</v>
      </c>
      <c r="AM968" s="693"/>
      <c r="AP968" s="693"/>
      <c r="AR968" s="693"/>
      <c r="AS968" s="693"/>
    </row>
    <row r="969" spans="1:45" s="646" customFormat="1" ht="14.4" x14ac:dyDescent="0.3">
      <c r="A969" s="694"/>
      <c r="B969" s="695"/>
      <c r="C969" s="982" t="s">
        <v>2165</v>
      </c>
      <c r="D969" s="982"/>
      <c r="E969" s="982"/>
      <c r="F969" s="982"/>
      <c r="G969" s="982"/>
      <c r="H969" s="982"/>
      <c r="I969" s="982"/>
      <c r="J969" s="982"/>
      <c r="K969" s="982"/>
      <c r="L969" s="982"/>
      <c r="M969" s="982"/>
      <c r="N969" s="988"/>
      <c r="AF969" s="684"/>
      <c r="AG969" s="693"/>
      <c r="AH969" s="696" t="s">
        <v>2165</v>
      </c>
      <c r="AM969" s="693"/>
      <c r="AP969" s="693"/>
      <c r="AR969" s="693"/>
      <c r="AS969" s="693"/>
    </row>
    <row r="970" spans="1:45" s="646" customFormat="1" ht="14.4" x14ac:dyDescent="0.3">
      <c r="A970" s="719"/>
      <c r="B970" s="720"/>
      <c r="C970" s="985" t="s">
        <v>1776</v>
      </c>
      <c r="D970" s="985"/>
      <c r="E970" s="985"/>
      <c r="F970" s="687"/>
      <c r="G970" s="688"/>
      <c r="H970" s="688"/>
      <c r="I970" s="688"/>
      <c r="J970" s="691"/>
      <c r="K970" s="688"/>
      <c r="L970" s="726">
        <v>322.75</v>
      </c>
      <c r="M970" s="715"/>
      <c r="N970" s="722">
        <v>4273.21</v>
      </c>
      <c r="AF970" s="684"/>
      <c r="AG970" s="693"/>
      <c r="AM970" s="693" t="s">
        <v>1776</v>
      </c>
      <c r="AP970" s="693"/>
      <c r="AR970" s="693"/>
      <c r="AS970" s="693"/>
    </row>
    <row r="971" spans="1:45" s="646" customFormat="1" ht="21.6" x14ac:dyDescent="0.3">
      <c r="A971" s="685" t="s">
        <v>2166</v>
      </c>
      <c r="B971" s="686" t="s">
        <v>1872</v>
      </c>
      <c r="C971" s="985" t="s">
        <v>834</v>
      </c>
      <c r="D971" s="985"/>
      <c r="E971" s="985"/>
      <c r="F971" s="687" t="s">
        <v>1790</v>
      </c>
      <c r="G971" s="688">
        <v>24.6</v>
      </c>
      <c r="H971" s="689">
        <v>1</v>
      </c>
      <c r="I971" s="730">
        <v>24.6</v>
      </c>
      <c r="J971" s="726">
        <v>42.98</v>
      </c>
      <c r="K971" s="688"/>
      <c r="L971" s="721">
        <v>1057.31</v>
      </c>
      <c r="M971" s="727">
        <v>13.24</v>
      </c>
      <c r="N971" s="722">
        <v>13998.78</v>
      </c>
      <c r="AF971" s="684"/>
      <c r="AG971" s="693" t="s">
        <v>834</v>
      </c>
      <c r="AM971" s="693"/>
      <c r="AP971" s="693"/>
      <c r="AR971" s="693"/>
      <c r="AS971" s="693"/>
    </row>
    <row r="972" spans="1:45" s="646" customFormat="1" ht="14.4" x14ac:dyDescent="0.3">
      <c r="A972" s="694"/>
      <c r="B972" s="695"/>
      <c r="C972" s="982" t="s">
        <v>2167</v>
      </c>
      <c r="D972" s="982"/>
      <c r="E972" s="982"/>
      <c r="F972" s="982"/>
      <c r="G972" s="982"/>
      <c r="H972" s="982"/>
      <c r="I972" s="982"/>
      <c r="J972" s="982"/>
      <c r="K972" s="982"/>
      <c r="L972" s="982"/>
      <c r="M972" s="982"/>
      <c r="N972" s="988"/>
      <c r="AF972" s="684"/>
      <c r="AG972" s="693"/>
      <c r="AH972" s="696" t="s">
        <v>2167</v>
      </c>
      <c r="AM972" s="693"/>
      <c r="AP972" s="693"/>
      <c r="AR972" s="693"/>
      <c r="AS972" s="693"/>
    </row>
    <row r="973" spans="1:45" s="646" customFormat="1" ht="14.4" x14ac:dyDescent="0.3">
      <c r="A973" s="719"/>
      <c r="B973" s="720"/>
      <c r="C973" s="985" t="s">
        <v>1776</v>
      </c>
      <c r="D973" s="985"/>
      <c r="E973" s="985"/>
      <c r="F973" s="687"/>
      <c r="G973" s="688"/>
      <c r="H973" s="688"/>
      <c r="I973" s="688"/>
      <c r="J973" s="691"/>
      <c r="K973" s="688"/>
      <c r="L973" s="721">
        <v>1057.31</v>
      </c>
      <c r="M973" s="715"/>
      <c r="N973" s="722">
        <v>13998.78</v>
      </c>
      <c r="AF973" s="684"/>
      <c r="AG973" s="693"/>
      <c r="AM973" s="693" t="s">
        <v>1776</v>
      </c>
      <c r="AP973" s="693"/>
      <c r="AR973" s="693"/>
      <c r="AS973" s="693"/>
    </row>
    <row r="974" spans="1:45" s="646" customFormat="1" ht="21.6" x14ac:dyDescent="0.3">
      <c r="A974" s="685" t="s">
        <v>2168</v>
      </c>
      <c r="B974" s="686" t="s">
        <v>744</v>
      </c>
      <c r="C974" s="985" t="s">
        <v>1792</v>
      </c>
      <c r="D974" s="985"/>
      <c r="E974" s="985"/>
      <c r="F974" s="687" t="s">
        <v>745</v>
      </c>
      <c r="G974" s="688">
        <v>49.2</v>
      </c>
      <c r="H974" s="689">
        <v>1</v>
      </c>
      <c r="I974" s="730">
        <v>49.2</v>
      </c>
      <c r="J974" s="726">
        <v>162.38</v>
      </c>
      <c r="K974" s="688"/>
      <c r="L974" s="721">
        <v>7989.1</v>
      </c>
      <c r="M974" s="727">
        <v>13.62</v>
      </c>
      <c r="N974" s="722">
        <v>108811.54</v>
      </c>
      <c r="AF974" s="684"/>
      <c r="AG974" s="693" t="s">
        <v>1792</v>
      </c>
      <c r="AM974" s="693"/>
      <c r="AP974" s="693"/>
      <c r="AR974" s="693"/>
      <c r="AS974" s="693"/>
    </row>
    <row r="975" spans="1:45" s="646" customFormat="1" ht="14.4" x14ac:dyDescent="0.3">
      <c r="A975" s="719"/>
      <c r="B975" s="720"/>
      <c r="C975" s="982" t="s">
        <v>2169</v>
      </c>
      <c r="D975" s="982"/>
      <c r="E975" s="982"/>
      <c r="F975" s="982"/>
      <c r="G975" s="982"/>
      <c r="H975" s="982"/>
      <c r="I975" s="982"/>
      <c r="J975" s="982"/>
      <c r="K975" s="982"/>
      <c r="L975" s="982"/>
      <c r="M975" s="982"/>
      <c r="N975" s="988"/>
      <c r="AF975" s="684"/>
      <c r="AG975" s="693"/>
      <c r="AM975" s="693"/>
      <c r="AN975" s="696" t="s">
        <v>2169</v>
      </c>
      <c r="AP975" s="693"/>
      <c r="AR975" s="693"/>
      <c r="AS975" s="693"/>
    </row>
    <row r="976" spans="1:45" s="646" customFormat="1" ht="14.4" x14ac:dyDescent="0.3">
      <c r="A976" s="694"/>
      <c r="B976" s="695"/>
      <c r="C976" s="982" t="s">
        <v>2170</v>
      </c>
      <c r="D976" s="982"/>
      <c r="E976" s="982"/>
      <c r="F976" s="982"/>
      <c r="G976" s="982"/>
      <c r="H976" s="982"/>
      <c r="I976" s="982"/>
      <c r="J976" s="982"/>
      <c r="K976" s="982"/>
      <c r="L976" s="982"/>
      <c r="M976" s="982"/>
      <c r="N976" s="988"/>
      <c r="AF976" s="684"/>
      <c r="AG976" s="693"/>
      <c r="AH976" s="696" t="s">
        <v>2170</v>
      </c>
      <c r="AM976" s="693"/>
      <c r="AP976" s="693"/>
      <c r="AR976" s="693"/>
      <c r="AS976" s="693"/>
    </row>
    <row r="977" spans="1:45" s="646" customFormat="1" ht="14.4" x14ac:dyDescent="0.3">
      <c r="A977" s="694"/>
      <c r="B977" s="695"/>
      <c r="C977" s="982" t="s">
        <v>1794</v>
      </c>
      <c r="D977" s="982"/>
      <c r="E977" s="982"/>
      <c r="F977" s="982"/>
      <c r="G977" s="982"/>
      <c r="H977" s="982"/>
      <c r="I977" s="982"/>
      <c r="J977" s="982"/>
      <c r="K977" s="982"/>
      <c r="L977" s="982"/>
      <c r="M977" s="982"/>
      <c r="N977" s="988"/>
      <c r="AF977" s="684"/>
      <c r="AG977" s="693"/>
      <c r="AM977" s="693"/>
      <c r="AO977" s="696" t="s">
        <v>1794</v>
      </c>
      <c r="AP977" s="693"/>
      <c r="AR977" s="693"/>
      <c r="AS977" s="693"/>
    </row>
    <row r="978" spans="1:45" s="646" customFormat="1" ht="14.4" x14ac:dyDescent="0.3">
      <c r="A978" s="719"/>
      <c r="B978" s="720"/>
      <c r="C978" s="985" t="s">
        <v>1776</v>
      </c>
      <c r="D978" s="985"/>
      <c r="E978" s="985"/>
      <c r="F978" s="687"/>
      <c r="G978" s="688"/>
      <c r="H978" s="688"/>
      <c r="I978" s="688"/>
      <c r="J978" s="691"/>
      <c r="K978" s="688"/>
      <c r="L978" s="721">
        <v>7989.1</v>
      </c>
      <c r="M978" s="715"/>
      <c r="N978" s="722">
        <v>108811.54</v>
      </c>
      <c r="AF978" s="684"/>
      <c r="AG978" s="693"/>
      <c r="AM978" s="693" t="s">
        <v>1776</v>
      </c>
      <c r="AP978" s="693"/>
      <c r="AR978" s="693"/>
      <c r="AS978" s="693"/>
    </row>
    <row r="979" spans="1:45" s="646" customFormat="1" ht="14.4" x14ac:dyDescent="0.3">
      <c r="A979" s="989" t="s">
        <v>2171</v>
      </c>
      <c r="B979" s="990"/>
      <c r="C979" s="990"/>
      <c r="D979" s="990"/>
      <c r="E979" s="990"/>
      <c r="F979" s="990"/>
      <c r="G979" s="990"/>
      <c r="H979" s="990"/>
      <c r="I979" s="990"/>
      <c r="J979" s="990"/>
      <c r="K979" s="990"/>
      <c r="L979" s="990"/>
      <c r="M979" s="990"/>
      <c r="N979" s="991"/>
      <c r="AF979" s="684"/>
      <c r="AG979" s="693"/>
      <c r="AM979" s="693"/>
      <c r="AP979" s="693"/>
      <c r="AR979" s="693"/>
      <c r="AS979" s="693" t="s">
        <v>2171</v>
      </c>
    </row>
    <row r="980" spans="1:45" s="646" customFormat="1" ht="31.8" x14ac:dyDescent="0.3">
      <c r="A980" s="685" t="s">
        <v>2172</v>
      </c>
      <c r="B980" s="686" t="s">
        <v>2173</v>
      </c>
      <c r="C980" s="985" t="s">
        <v>2174</v>
      </c>
      <c r="D980" s="985"/>
      <c r="E980" s="985"/>
      <c r="F980" s="687" t="s">
        <v>763</v>
      </c>
      <c r="G980" s="688">
        <v>0.157</v>
      </c>
      <c r="H980" s="689">
        <v>1</v>
      </c>
      <c r="I980" s="690">
        <v>0.157</v>
      </c>
      <c r="J980" s="691"/>
      <c r="K980" s="688"/>
      <c r="L980" s="691"/>
      <c r="M980" s="688"/>
      <c r="N980" s="692"/>
      <c r="AF980" s="684"/>
      <c r="AG980" s="693" t="s">
        <v>2174</v>
      </c>
      <c r="AM980" s="693"/>
      <c r="AP980" s="693"/>
      <c r="AR980" s="693"/>
      <c r="AS980" s="693"/>
    </row>
    <row r="981" spans="1:45" s="646" customFormat="1" ht="14.4" x14ac:dyDescent="0.3">
      <c r="A981" s="694"/>
      <c r="B981" s="695"/>
      <c r="C981" s="982" t="s">
        <v>2175</v>
      </c>
      <c r="D981" s="982"/>
      <c r="E981" s="982"/>
      <c r="F981" s="982"/>
      <c r="G981" s="982"/>
      <c r="H981" s="982"/>
      <c r="I981" s="982"/>
      <c r="J981" s="982"/>
      <c r="K981" s="982"/>
      <c r="L981" s="982"/>
      <c r="M981" s="982"/>
      <c r="N981" s="988"/>
      <c r="AF981" s="684"/>
      <c r="AG981" s="693"/>
      <c r="AH981" s="696" t="s">
        <v>2175</v>
      </c>
      <c r="AM981" s="693"/>
      <c r="AP981" s="693"/>
      <c r="AR981" s="693"/>
      <c r="AS981" s="693"/>
    </row>
    <row r="982" spans="1:45" s="646" customFormat="1" ht="21.6" x14ac:dyDescent="0.3">
      <c r="A982" s="697"/>
      <c r="B982" s="698" t="s">
        <v>1759</v>
      </c>
      <c r="C982" s="974" t="s">
        <v>1760</v>
      </c>
      <c r="D982" s="974"/>
      <c r="E982" s="974"/>
      <c r="F982" s="974"/>
      <c r="G982" s="974"/>
      <c r="H982" s="974"/>
      <c r="I982" s="974"/>
      <c r="J982" s="974"/>
      <c r="K982" s="974"/>
      <c r="L982" s="974"/>
      <c r="M982" s="974"/>
      <c r="N982" s="987"/>
      <c r="AF982" s="684"/>
      <c r="AG982" s="693"/>
      <c r="AI982" s="696" t="s">
        <v>1760</v>
      </c>
      <c r="AM982" s="693"/>
      <c r="AP982" s="693"/>
      <c r="AR982" s="693"/>
      <c r="AS982" s="693"/>
    </row>
    <row r="983" spans="1:45" s="646" customFormat="1" ht="52.2" x14ac:dyDescent="0.3">
      <c r="A983" s="697"/>
      <c r="B983" s="698" t="s">
        <v>1761</v>
      </c>
      <c r="C983" s="974" t="s">
        <v>1762</v>
      </c>
      <c r="D983" s="974"/>
      <c r="E983" s="974"/>
      <c r="F983" s="974"/>
      <c r="G983" s="974"/>
      <c r="H983" s="974"/>
      <c r="I983" s="974"/>
      <c r="J983" s="974"/>
      <c r="K983" s="974"/>
      <c r="L983" s="974"/>
      <c r="M983" s="974"/>
      <c r="N983" s="987"/>
      <c r="AF983" s="684"/>
      <c r="AG983" s="693"/>
      <c r="AI983" s="696" t="s">
        <v>1762</v>
      </c>
      <c r="AM983" s="693"/>
      <c r="AP983" s="693"/>
      <c r="AR983" s="693"/>
      <c r="AS983" s="693"/>
    </row>
    <row r="984" spans="1:45" s="646" customFormat="1" ht="14.4" x14ac:dyDescent="0.3">
      <c r="A984" s="699"/>
      <c r="B984" s="698" t="s">
        <v>18</v>
      </c>
      <c r="C984" s="982" t="s">
        <v>1763</v>
      </c>
      <c r="D984" s="982"/>
      <c r="E984" s="982"/>
      <c r="F984" s="700"/>
      <c r="G984" s="701"/>
      <c r="H984" s="701"/>
      <c r="I984" s="701"/>
      <c r="J984" s="702">
        <v>76.75</v>
      </c>
      <c r="K984" s="725">
        <v>1.3225</v>
      </c>
      <c r="L984" s="702">
        <v>15.94</v>
      </c>
      <c r="M984" s="704">
        <v>44.77</v>
      </c>
      <c r="N984" s="707">
        <v>713.63</v>
      </c>
      <c r="AF984" s="684"/>
      <c r="AG984" s="693"/>
      <c r="AJ984" s="696" t="s">
        <v>1763</v>
      </c>
      <c r="AM984" s="693"/>
      <c r="AP984" s="693"/>
      <c r="AR984" s="693"/>
      <c r="AS984" s="693"/>
    </row>
    <row r="985" spans="1:45" s="646" customFormat="1" ht="14.4" x14ac:dyDescent="0.3">
      <c r="A985" s="699"/>
      <c r="B985" s="698" t="s">
        <v>21</v>
      </c>
      <c r="C985" s="982" t="s">
        <v>1764</v>
      </c>
      <c r="D985" s="982"/>
      <c r="E985" s="982"/>
      <c r="F985" s="700"/>
      <c r="G985" s="701"/>
      <c r="H985" s="701"/>
      <c r="I985" s="701"/>
      <c r="J985" s="706">
        <v>3030.55</v>
      </c>
      <c r="K985" s="725">
        <v>1.4375</v>
      </c>
      <c r="L985" s="702">
        <v>683.96</v>
      </c>
      <c r="M985" s="704">
        <v>13.24</v>
      </c>
      <c r="N985" s="705">
        <v>9055.6299999999992</v>
      </c>
      <c r="AF985" s="684"/>
      <c r="AG985" s="693"/>
      <c r="AJ985" s="696" t="s">
        <v>1764</v>
      </c>
      <c r="AM985" s="693"/>
      <c r="AP985" s="693"/>
      <c r="AR985" s="693"/>
      <c r="AS985" s="693"/>
    </row>
    <row r="986" spans="1:45" s="646" customFormat="1" ht="14.4" x14ac:dyDescent="0.3">
      <c r="A986" s="699"/>
      <c r="B986" s="698" t="s">
        <v>23</v>
      </c>
      <c r="C986" s="982" t="s">
        <v>1765</v>
      </c>
      <c r="D986" s="982"/>
      <c r="E986" s="982"/>
      <c r="F986" s="700"/>
      <c r="G986" s="701"/>
      <c r="H986" s="701"/>
      <c r="I986" s="701"/>
      <c r="J986" s="702">
        <v>385.16</v>
      </c>
      <c r="K986" s="725">
        <v>1.4375</v>
      </c>
      <c r="L986" s="702">
        <v>86.93</v>
      </c>
      <c r="M986" s="704">
        <v>44.77</v>
      </c>
      <c r="N986" s="705">
        <v>3891.86</v>
      </c>
      <c r="AF986" s="684"/>
      <c r="AG986" s="693"/>
      <c r="AJ986" s="696" t="s">
        <v>1765</v>
      </c>
      <c r="AM986" s="693"/>
      <c r="AP986" s="693"/>
      <c r="AR986" s="693"/>
      <c r="AS986" s="693"/>
    </row>
    <row r="987" spans="1:45" s="646" customFormat="1" ht="14.4" x14ac:dyDescent="0.3">
      <c r="A987" s="699"/>
      <c r="B987" s="698" t="s">
        <v>25</v>
      </c>
      <c r="C987" s="982" t="s">
        <v>1766</v>
      </c>
      <c r="D987" s="982"/>
      <c r="E987" s="982"/>
      <c r="F987" s="700"/>
      <c r="G987" s="701"/>
      <c r="H987" s="701"/>
      <c r="I987" s="701"/>
      <c r="J987" s="702">
        <v>4.34</v>
      </c>
      <c r="K987" s="701"/>
      <c r="L987" s="702">
        <v>0.68</v>
      </c>
      <c r="M987" s="704">
        <v>8.16</v>
      </c>
      <c r="N987" s="707">
        <v>5.55</v>
      </c>
      <c r="AF987" s="684"/>
      <c r="AG987" s="693"/>
      <c r="AJ987" s="696" t="s">
        <v>1766</v>
      </c>
      <c r="AM987" s="693"/>
      <c r="AP987" s="693"/>
      <c r="AR987" s="693"/>
      <c r="AS987" s="693"/>
    </row>
    <row r="988" spans="1:45" s="646" customFormat="1" ht="14.4" x14ac:dyDescent="0.3">
      <c r="A988" s="708"/>
      <c r="B988" s="698"/>
      <c r="C988" s="982" t="s">
        <v>1767</v>
      </c>
      <c r="D988" s="982"/>
      <c r="E988" s="982"/>
      <c r="F988" s="700" t="s">
        <v>695</v>
      </c>
      <c r="G988" s="704">
        <v>9.84</v>
      </c>
      <c r="H988" s="725">
        <v>1.3225</v>
      </c>
      <c r="I988" s="710">
        <v>2.0431037999999999</v>
      </c>
      <c r="J988" s="711"/>
      <c r="K988" s="701"/>
      <c r="L988" s="711"/>
      <c r="M988" s="701"/>
      <c r="N988" s="712"/>
      <c r="AF988" s="684"/>
      <c r="AG988" s="693"/>
      <c r="AK988" s="696" t="s">
        <v>1767</v>
      </c>
      <c r="AM988" s="693"/>
      <c r="AP988" s="693"/>
      <c r="AR988" s="693"/>
      <c r="AS988" s="693"/>
    </row>
    <row r="989" spans="1:45" s="646" customFormat="1" ht="14.4" x14ac:dyDescent="0.3">
      <c r="A989" s="708"/>
      <c r="B989" s="698"/>
      <c r="C989" s="982" t="s">
        <v>1768</v>
      </c>
      <c r="D989" s="982"/>
      <c r="E989" s="982"/>
      <c r="F989" s="700" t="s">
        <v>695</v>
      </c>
      <c r="G989" s="704">
        <v>28.53</v>
      </c>
      <c r="H989" s="725">
        <v>1.4375</v>
      </c>
      <c r="I989" s="710">
        <v>6.4388643999999999</v>
      </c>
      <c r="J989" s="711"/>
      <c r="K989" s="701"/>
      <c r="L989" s="711"/>
      <c r="M989" s="701"/>
      <c r="N989" s="712"/>
      <c r="AF989" s="684"/>
      <c r="AG989" s="693"/>
      <c r="AK989" s="696" t="s">
        <v>1768</v>
      </c>
      <c r="AM989" s="693"/>
      <c r="AP989" s="693"/>
      <c r="AR989" s="693"/>
      <c r="AS989" s="693"/>
    </row>
    <row r="990" spans="1:45" s="646" customFormat="1" ht="14.4" x14ac:dyDescent="0.3">
      <c r="A990" s="699"/>
      <c r="B990" s="698"/>
      <c r="C990" s="986" t="s">
        <v>1769</v>
      </c>
      <c r="D990" s="986"/>
      <c r="E990" s="986"/>
      <c r="F990" s="714"/>
      <c r="G990" s="715"/>
      <c r="H990" s="715"/>
      <c r="I990" s="715"/>
      <c r="J990" s="716">
        <v>3111.64</v>
      </c>
      <c r="K990" s="715"/>
      <c r="L990" s="724">
        <v>700.58</v>
      </c>
      <c r="M990" s="715"/>
      <c r="N990" s="717">
        <v>9774.81</v>
      </c>
      <c r="AF990" s="684"/>
      <c r="AG990" s="693"/>
      <c r="AL990" s="696" t="s">
        <v>1769</v>
      </c>
      <c r="AM990" s="693"/>
      <c r="AP990" s="693"/>
      <c r="AR990" s="693"/>
      <c r="AS990" s="693"/>
    </row>
    <row r="991" spans="1:45" s="646" customFormat="1" ht="14.4" x14ac:dyDescent="0.3">
      <c r="A991" s="708"/>
      <c r="B991" s="698"/>
      <c r="C991" s="982" t="s">
        <v>1770</v>
      </c>
      <c r="D991" s="982"/>
      <c r="E991" s="982"/>
      <c r="F991" s="700"/>
      <c r="G991" s="701"/>
      <c r="H991" s="701"/>
      <c r="I991" s="701"/>
      <c r="J991" s="711"/>
      <c r="K991" s="701"/>
      <c r="L991" s="702">
        <v>102.87</v>
      </c>
      <c r="M991" s="701"/>
      <c r="N991" s="705">
        <v>4605.49</v>
      </c>
      <c r="AF991" s="684"/>
      <c r="AG991" s="693"/>
      <c r="AK991" s="696" t="s">
        <v>1770</v>
      </c>
      <c r="AM991" s="693"/>
      <c r="AP991" s="693"/>
      <c r="AR991" s="693"/>
      <c r="AS991" s="693"/>
    </row>
    <row r="992" spans="1:45" s="646" customFormat="1" ht="21.6" x14ac:dyDescent="0.3">
      <c r="A992" s="708"/>
      <c r="B992" s="698" t="s">
        <v>1771</v>
      </c>
      <c r="C992" s="982" t="s">
        <v>1772</v>
      </c>
      <c r="D992" s="982"/>
      <c r="E992" s="982"/>
      <c r="F992" s="700" t="s">
        <v>1773</v>
      </c>
      <c r="G992" s="718">
        <v>92</v>
      </c>
      <c r="H992" s="701"/>
      <c r="I992" s="718">
        <v>92</v>
      </c>
      <c r="J992" s="711"/>
      <c r="K992" s="701"/>
      <c r="L992" s="702">
        <v>94.64</v>
      </c>
      <c r="M992" s="701"/>
      <c r="N992" s="705">
        <v>4237.05</v>
      </c>
      <c r="AF992" s="684"/>
      <c r="AG992" s="693"/>
      <c r="AK992" s="696" t="s">
        <v>1772</v>
      </c>
      <c r="AM992" s="693"/>
      <c r="AP992" s="693"/>
      <c r="AR992" s="693"/>
      <c r="AS992" s="693"/>
    </row>
    <row r="993" spans="1:45" s="646" customFormat="1" ht="40.799999999999997" x14ac:dyDescent="0.3">
      <c r="A993" s="708"/>
      <c r="B993" s="698" t="s">
        <v>1774</v>
      </c>
      <c r="C993" s="982" t="s">
        <v>1775</v>
      </c>
      <c r="D993" s="982"/>
      <c r="E993" s="982"/>
      <c r="F993" s="700" t="s">
        <v>1773</v>
      </c>
      <c r="G993" s="718">
        <v>46</v>
      </c>
      <c r="H993" s="704">
        <v>0.85</v>
      </c>
      <c r="I993" s="709">
        <v>39.1</v>
      </c>
      <c r="J993" s="711"/>
      <c r="K993" s="701"/>
      <c r="L993" s="702">
        <v>40.22</v>
      </c>
      <c r="M993" s="701"/>
      <c r="N993" s="705">
        <v>1800.75</v>
      </c>
      <c r="AF993" s="684"/>
      <c r="AG993" s="693"/>
      <c r="AK993" s="696" t="s">
        <v>1775</v>
      </c>
      <c r="AM993" s="693"/>
      <c r="AP993" s="693"/>
      <c r="AR993" s="693"/>
      <c r="AS993" s="693"/>
    </row>
    <row r="994" spans="1:45" s="646" customFormat="1" ht="14.4" x14ac:dyDescent="0.3">
      <c r="A994" s="719"/>
      <c r="B994" s="720"/>
      <c r="C994" s="985" t="s">
        <v>1776</v>
      </c>
      <c r="D994" s="985"/>
      <c r="E994" s="985"/>
      <c r="F994" s="687"/>
      <c r="G994" s="688"/>
      <c r="H994" s="688"/>
      <c r="I994" s="688"/>
      <c r="J994" s="691"/>
      <c r="K994" s="688"/>
      <c r="L994" s="726">
        <v>835.44</v>
      </c>
      <c r="M994" s="715"/>
      <c r="N994" s="722">
        <v>15812.61</v>
      </c>
      <c r="AF994" s="684"/>
      <c r="AG994" s="693"/>
      <c r="AM994" s="693" t="s">
        <v>1776</v>
      </c>
      <c r="AP994" s="693"/>
      <c r="AR994" s="693"/>
      <c r="AS994" s="693"/>
    </row>
    <row r="995" spans="1:45" s="646" customFormat="1" ht="31.8" x14ac:dyDescent="0.3">
      <c r="A995" s="685" t="s">
        <v>2176</v>
      </c>
      <c r="B995" s="686" t="s">
        <v>2177</v>
      </c>
      <c r="C995" s="985" t="s">
        <v>2178</v>
      </c>
      <c r="D995" s="985"/>
      <c r="E995" s="985"/>
      <c r="F995" s="687" t="s">
        <v>901</v>
      </c>
      <c r="G995" s="688">
        <v>0.03</v>
      </c>
      <c r="H995" s="689">
        <v>1</v>
      </c>
      <c r="I995" s="727">
        <v>0.03</v>
      </c>
      <c r="J995" s="691"/>
      <c r="K995" s="688"/>
      <c r="L995" s="691"/>
      <c r="M995" s="688"/>
      <c r="N995" s="692"/>
      <c r="AF995" s="684"/>
      <c r="AG995" s="693" t="s">
        <v>2178</v>
      </c>
      <c r="AM995" s="693"/>
      <c r="AP995" s="693"/>
      <c r="AR995" s="693"/>
      <c r="AS995" s="693"/>
    </row>
    <row r="996" spans="1:45" s="646" customFormat="1" ht="14.4" x14ac:dyDescent="0.3">
      <c r="A996" s="694"/>
      <c r="B996" s="695"/>
      <c r="C996" s="982" t="s">
        <v>2179</v>
      </c>
      <c r="D996" s="982"/>
      <c r="E996" s="982"/>
      <c r="F996" s="982"/>
      <c r="G996" s="982"/>
      <c r="H996" s="982"/>
      <c r="I996" s="982"/>
      <c r="J996" s="982"/>
      <c r="K996" s="982"/>
      <c r="L996" s="982"/>
      <c r="M996" s="982"/>
      <c r="N996" s="988"/>
      <c r="AF996" s="684"/>
      <c r="AG996" s="693"/>
      <c r="AH996" s="696" t="s">
        <v>2179</v>
      </c>
      <c r="AM996" s="693"/>
      <c r="AP996" s="693"/>
      <c r="AR996" s="693"/>
      <c r="AS996" s="693"/>
    </row>
    <row r="997" spans="1:45" s="646" customFormat="1" ht="52.2" x14ac:dyDescent="0.3">
      <c r="A997" s="697"/>
      <c r="B997" s="698" t="s">
        <v>1761</v>
      </c>
      <c r="C997" s="974" t="s">
        <v>1762</v>
      </c>
      <c r="D997" s="974"/>
      <c r="E997" s="974"/>
      <c r="F997" s="974"/>
      <c r="G997" s="974"/>
      <c r="H997" s="974"/>
      <c r="I997" s="974"/>
      <c r="J997" s="974"/>
      <c r="K997" s="974"/>
      <c r="L997" s="974"/>
      <c r="M997" s="974"/>
      <c r="N997" s="987"/>
      <c r="AF997" s="684"/>
      <c r="AG997" s="693"/>
      <c r="AI997" s="696" t="s">
        <v>1762</v>
      </c>
      <c r="AM997" s="693"/>
      <c r="AP997" s="693"/>
      <c r="AR997" s="693"/>
      <c r="AS997" s="693"/>
    </row>
    <row r="998" spans="1:45" s="646" customFormat="1" ht="14.4" x14ac:dyDescent="0.3">
      <c r="A998" s="699"/>
      <c r="B998" s="698" t="s">
        <v>18</v>
      </c>
      <c r="C998" s="982" t="s">
        <v>1763</v>
      </c>
      <c r="D998" s="982"/>
      <c r="E998" s="982"/>
      <c r="F998" s="700"/>
      <c r="G998" s="701"/>
      <c r="H998" s="701"/>
      <c r="I998" s="701"/>
      <c r="J998" s="706">
        <v>2751.21</v>
      </c>
      <c r="K998" s="704">
        <v>1.1499999999999999</v>
      </c>
      <c r="L998" s="702">
        <v>94.92</v>
      </c>
      <c r="M998" s="704">
        <v>44.77</v>
      </c>
      <c r="N998" s="705">
        <v>4249.57</v>
      </c>
      <c r="AF998" s="684"/>
      <c r="AG998" s="693"/>
      <c r="AJ998" s="696" t="s">
        <v>1763</v>
      </c>
      <c r="AM998" s="693"/>
      <c r="AP998" s="693"/>
      <c r="AR998" s="693"/>
      <c r="AS998" s="693"/>
    </row>
    <row r="999" spans="1:45" s="646" customFormat="1" ht="14.4" x14ac:dyDescent="0.3">
      <c r="A999" s="699"/>
      <c r="B999" s="698" t="s">
        <v>21</v>
      </c>
      <c r="C999" s="982" t="s">
        <v>1764</v>
      </c>
      <c r="D999" s="982"/>
      <c r="E999" s="982"/>
      <c r="F999" s="700"/>
      <c r="G999" s="701"/>
      <c r="H999" s="701"/>
      <c r="I999" s="701"/>
      <c r="J999" s="702">
        <v>0.66</v>
      </c>
      <c r="K999" s="704">
        <v>1.1499999999999999</v>
      </c>
      <c r="L999" s="702">
        <v>0.02</v>
      </c>
      <c r="M999" s="704">
        <v>13.24</v>
      </c>
      <c r="N999" s="707">
        <v>0.26</v>
      </c>
      <c r="AF999" s="684"/>
      <c r="AG999" s="693"/>
      <c r="AJ999" s="696" t="s">
        <v>1764</v>
      </c>
      <c r="AM999" s="693"/>
      <c r="AP999" s="693"/>
      <c r="AR999" s="693"/>
      <c r="AS999" s="693"/>
    </row>
    <row r="1000" spans="1:45" s="646" customFormat="1" ht="14.4" x14ac:dyDescent="0.3">
      <c r="A1000" s="699"/>
      <c r="B1000" s="698" t="s">
        <v>23</v>
      </c>
      <c r="C1000" s="982" t="s">
        <v>1765</v>
      </c>
      <c r="D1000" s="982"/>
      <c r="E1000" s="982"/>
      <c r="F1000" s="700"/>
      <c r="G1000" s="701"/>
      <c r="H1000" s="701"/>
      <c r="I1000" s="701"/>
      <c r="J1000" s="702">
        <v>0.12</v>
      </c>
      <c r="K1000" s="704">
        <v>1.1499999999999999</v>
      </c>
      <c r="L1000" s="702">
        <v>0</v>
      </c>
      <c r="M1000" s="704">
        <v>44.77</v>
      </c>
      <c r="N1000" s="712"/>
      <c r="AF1000" s="684"/>
      <c r="AG1000" s="693"/>
      <c r="AJ1000" s="696" t="s">
        <v>1765</v>
      </c>
      <c r="AM1000" s="693"/>
      <c r="AP1000" s="693"/>
      <c r="AR1000" s="693"/>
      <c r="AS1000" s="693"/>
    </row>
    <row r="1001" spans="1:45" s="646" customFormat="1" ht="14.4" x14ac:dyDescent="0.3">
      <c r="A1001" s="708"/>
      <c r="B1001" s="698"/>
      <c r="C1001" s="982" t="s">
        <v>1767</v>
      </c>
      <c r="D1001" s="982"/>
      <c r="E1001" s="982"/>
      <c r="F1001" s="700" t="s">
        <v>695</v>
      </c>
      <c r="G1001" s="709">
        <v>346.5</v>
      </c>
      <c r="H1001" s="704">
        <v>1.1499999999999999</v>
      </c>
      <c r="I1001" s="713">
        <v>11.95425</v>
      </c>
      <c r="J1001" s="711"/>
      <c r="K1001" s="701"/>
      <c r="L1001" s="711"/>
      <c r="M1001" s="701"/>
      <c r="N1001" s="712"/>
      <c r="AF1001" s="684"/>
      <c r="AG1001" s="693"/>
      <c r="AK1001" s="696" t="s">
        <v>1767</v>
      </c>
      <c r="AM1001" s="693"/>
      <c r="AP1001" s="693"/>
      <c r="AR1001" s="693"/>
      <c r="AS1001" s="693"/>
    </row>
    <row r="1002" spans="1:45" s="646" customFormat="1" ht="14.4" x14ac:dyDescent="0.3">
      <c r="A1002" s="708"/>
      <c r="B1002" s="698"/>
      <c r="C1002" s="982" t="s">
        <v>1768</v>
      </c>
      <c r="D1002" s="982"/>
      <c r="E1002" s="982"/>
      <c r="F1002" s="700" t="s">
        <v>695</v>
      </c>
      <c r="G1002" s="704">
        <v>0.01</v>
      </c>
      <c r="H1002" s="704">
        <v>1.1499999999999999</v>
      </c>
      <c r="I1002" s="723">
        <v>3.4499999999999998E-4</v>
      </c>
      <c r="J1002" s="711"/>
      <c r="K1002" s="701"/>
      <c r="L1002" s="711"/>
      <c r="M1002" s="701"/>
      <c r="N1002" s="712"/>
      <c r="AF1002" s="684"/>
      <c r="AG1002" s="693"/>
      <c r="AK1002" s="696" t="s">
        <v>1768</v>
      </c>
      <c r="AM1002" s="693"/>
      <c r="AP1002" s="693"/>
      <c r="AR1002" s="693"/>
      <c r="AS1002" s="693"/>
    </row>
    <row r="1003" spans="1:45" s="646" customFormat="1" ht="14.4" x14ac:dyDescent="0.3">
      <c r="A1003" s="699"/>
      <c r="B1003" s="698"/>
      <c r="C1003" s="986" t="s">
        <v>1769</v>
      </c>
      <c r="D1003" s="986"/>
      <c r="E1003" s="986"/>
      <c r="F1003" s="714"/>
      <c r="G1003" s="715"/>
      <c r="H1003" s="715"/>
      <c r="I1003" s="715"/>
      <c r="J1003" s="716">
        <v>2751.87</v>
      </c>
      <c r="K1003" s="715"/>
      <c r="L1003" s="724">
        <v>94.94</v>
      </c>
      <c r="M1003" s="715"/>
      <c r="N1003" s="717">
        <v>4249.83</v>
      </c>
      <c r="AF1003" s="684"/>
      <c r="AG1003" s="693"/>
      <c r="AL1003" s="696" t="s">
        <v>1769</v>
      </c>
      <c r="AM1003" s="693"/>
      <c r="AP1003" s="693"/>
      <c r="AR1003" s="693"/>
      <c r="AS1003" s="693"/>
    </row>
    <row r="1004" spans="1:45" s="646" customFormat="1" ht="14.4" x14ac:dyDescent="0.3">
      <c r="A1004" s="708"/>
      <c r="B1004" s="698"/>
      <c r="C1004" s="982" t="s">
        <v>1770</v>
      </c>
      <c r="D1004" s="982"/>
      <c r="E1004" s="982"/>
      <c r="F1004" s="700"/>
      <c r="G1004" s="701"/>
      <c r="H1004" s="701"/>
      <c r="I1004" s="701"/>
      <c r="J1004" s="711"/>
      <c r="K1004" s="701"/>
      <c r="L1004" s="702">
        <v>94.92</v>
      </c>
      <c r="M1004" s="701"/>
      <c r="N1004" s="705">
        <v>4249.57</v>
      </c>
      <c r="AF1004" s="684"/>
      <c r="AG1004" s="693"/>
      <c r="AK1004" s="696" t="s">
        <v>1770</v>
      </c>
      <c r="AM1004" s="693"/>
      <c r="AP1004" s="693"/>
      <c r="AR1004" s="693"/>
      <c r="AS1004" s="693"/>
    </row>
    <row r="1005" spans="1:45" s="646" customFormat="1" ht="21.6" x14ac:dyDescent="0.3">
      <c r="A1005" s="708"/>
      <c r="B1005" s="698" t="s">
        <v>2180</v>
      </c>
      <c r="C1005" s="982" t="s">
        <v>2181</v>
      </c>
      <c r="D1005" s="982"/>
      <c r="E1005" s="982"/>
      <c r="F1005" s="700" t="s">
        <v>1773</v>
      </c>
      <c r="G1005" s="718">
        <v>87</v>
      </c>
      <c r="H1005" s="701"/>
      <c r="I1005" s="718">
        <v>87</v>
      </c>
      <c r="J1005" s="711"/>
      <c r="K1005" s="701"/>
      <c r="L1005" s="702">
        <v>82.58</v>
      </c>
      <c r="M1005" s="701"/>
      <c r="N1005" s="705">
        <v>3697.13</v>
      </c>
      <c r="AF1005" s="684"/>
      <c r="AG1005" s="693"/>
      <c r="AK1005" s="696" t="s">
        <v>2181</v>
      </c>
      <c r="AM1005" s="693"/>
      <c r="AP1005" s="693"/>
      <c r="AR1005" s="693"/>
      <c r="AS1005" s="693"/>
    </row>
    <row r="1006" spans="1:45" s="646" customFormat="1" ht="21.6" x14ac:dyDescent="0.3">
      <c r="A1006" s="708"/>
      <c r="B1006" s="698" t="s">
        <v>2182</v>
      </c>
      <c r="C1006" s="982" t="s">
        <v>2183</v>
      </c>
      <c r="D1006" s="982"/>
      <c r="E1006" s="982"/>
      <c r="F1006" s="700" t="s">
        <v>1773</v>
      </c>
      <c r="G1006" s="718">
        <v>40</v>
      </c>
      <c r="H1006" s="701"/>
      <c r="I1006" s="718">
        <v>40</v>
      </c>
      <c r="J1006" s="711"/>
      <c r="K1006" s="701"/>
      <c r="L1006" s="702">
        <v>37.97</v>
      </c>
      <c r="M1006" s="701"/>
      <c r="N1006" s="705">
        <v>1699.83</v>
      </c>
      <c r="AF1006" s="684"/>
      <c r="AG1006" s="693"/>
      <c r="AK1006" s="696" t="s">
        <v>2183</v>
      </c>
      <c r="AM1006" s="693"/>
      <c r="AP1006" s="693"/>
      <c r="AR1006" s="693"/>
      <c r="AS1006" s="693"/>
    </row>
    <row r="1007" spans="1:45" s="646" customFormat="1" ht="14.4" x14ac:dyDescent="0.3">
      <c r="A1007" s="719"/>
      <c r="B1007" s="720"/>
      <c r="C1007" s="985" t="s">
        <v>1776</v>
      </c>
      <c r="D1007" s="985"/>
      <c r="E1007" s="985"/>
      <c r="F1007" s="687"/>
      <c r="G1007" s="688"/>
      <c r="H1007" s="688"/>
      <c r="I1007" s="688"/>
      <c r="J1007" s="691"/>
      <c r="K1007" s="688"/>
      <c r="L1007" s="726">
        <v>215.49</v>
      </c>
      <c r="M1007" s="715"/>
      <c r="N1007" s="722">
        <v>9646.7900000000009</v>
      </c>
      <c r="AF1007" s="684"/>
      <c r="AG1007" s="693"/>
      <c r="AM1007" s="693" t="s">
        <v>1776</v>
      </c>
      <c r="AP1007" s="693"/>
      <c r="AR1007" s="693"/>
      <c r="AS1007" s="693"/>
    </row>
    <row r="1008" spans="1:45" s="646" customFormat="1" ht="31.8" x14ac:dyDescent="0.3">
      <c r="A1008" s="685" t="s">
        <v>2184</v>
      </c>
      <c r="B1008" s="686" t="s">
        <v>1786</v>
      </c>
      <c r="C1008" s="985" t="s">
        <v>1787</v>
      </c>
      <c r="D1008" s="985"/>
      <c r="E1008" s="985"/>
      <c r="F1008" s="687" t="s">
        <v>901</v>
      </c>
      <c r="G1008" s="688">
        <v>0.03</v>
      </c>
      <c r="H1008" s="689">
        <v>1</v>
      </c>
      <c r="I1008" s="727">
        <v>0.03</v>
      </c>
      <c r="J1008" s="691"/>
      <c r="K1008" s="688"/>
      <c r="L1008" s="691"/>
      <c r="M1008" s="688"/>
      <c r="N1008" s="692"/>
      <c r="AF1008" s="684"/>
      <c r="AG1008" s="693" t="s">
        <v>1787</v>
      </c>
      <c r="AM1008" s="693"/>
      <c r="AP1008" s="693"/>
      <c r="AR1008" s="693"/>
      <c r="AS1008" s="693"/>
    </row>
    <row r="1009" spans="1:45" s="646" customFormat="1" ht="21.6" x14ac:dyDescent="0.3">
      <c r="A1009" s="697"/>
      <c r="B1009" s="698" t="s">
        <v>1759</v>
      </c>
      <c r="C1009" s="974" t="s">
        <v>1760</v>
      </c>
      <c r="D1009" s="974"/>
      <c r="E1009" s="974"/>
      <c r="F1009" s="974"/>
      <c r="G1009" s="974"/>
      <c r="H1009" s="974"/>
      <c r="I1009" s="974"/>
      <c r="J1009" s="974"/>
      <c r="K1009" s="974"/>
      <c r="L1009" s="974"/>
      <c r="M1009" s="974"/>
      <c r="N1009" s="987"/>
      <c r="AF1009" s="684"/>
      <c r="AG1009" s="693"/>
      <c r="AI1009" s="696" t="s">
        <v>1760</v>
      </c>
      <c r="AM1009" s="693"/>
      <c r="AP1009" s="693"/>
      <c r="AR1009" s="693"/>
      <c r="AS1009" s="693"/>
    </row>
    <row r="1010" spans="1:45" s="646" customFormat="1" ht="52.2" x14ac:dyDescent="0.3">
      <c r="A1010" s="697"/>
      <c r="B1010" s="698" t="s">
        <v>1761</v>
      </c>
      <c r="C1010" s="974" t="s">
        <v>1762</v>
      </c>
      <c r="D1010" s="974"/>
      <c r="E1010" s="974"/>
      <c r="F1010" s="974"/>
      <c r="G1010" s="974"/>
      <c r="H1010" s="974"/>
      <c r="I1010" s="974"/>
      <c r="J1010" s="974"/>
      <c r="K1010" s="974"/>
      <c r="L1010" s="974"/>
      <c r="M1010" s="974"/>
      <c r="N1010" s="987"/>
      <c r="AF1010" s="684"/>
      <c r="AG1010" s="693"/>
      <c r="AI1010" s="696" t="s">
        <v>1762</v>
      </c>
      <c r="AM1010" s="693"/>
      <c r="AP1010" s="693"/>
      <c r="AR1010" s="693"/>
      <c r="AS1010" s="693"/>
    </row>
    <row r="1011" spans="1:45" s="646" customFormat="1" ht="14.4" x14ac:dyDescent="0.3">
      <c r="A1011" s="699"/>
      <c r="B1011" s="698" t="s">
        <v>18</v>
      </c>
      <c r="C1011" s="982" t="s">
        <v>1763</v>
      </c>
      <c r="D1011" s="982"/>
      <c r="E1011" s="982"/>
      <c r="F1011" s="700"/>
      <c r="G1011" s="701"/>
      <c r="H1011" s="701"/>
      <c r="I1011" s="701"/>
      <c r="J1011" s="702">
        <v>401.7</v>
      </c>
      <c r="K1011" s="725">
        <v>1.3225</v>
      </c>
      <c r="L1011" s="702">
        <v>15.94</v>
      </c>
      <c r="M1011" s="704">
        <v>44.77</v>
      </c>
      <c r="N1011" s="707">
        <v>713.63</v>
      </c>
      <c r="AF1011" s="684"/>
      <c r="AG1011" s="693"/>
      <c r="AJ1011" s="696" t="s">
        <v>1763</v>
      </c>
      <c r="AM1011" s="693"/>
      <c r="AP1011" s="693"/>
      <c r="AR1011" s="693"/>
      <c r="AS1011" s="693"/>
    </row>
    <row r="1012" spans="1:45" s="646" customFormat="1" ht="14.4" x14ac:dyDescent="0.3">
      <c r="A1012" s="708"/>
      <c r="B1012" s="698"/>
      <c r="C1012" s="982" t="s">
        <v>1767</v>
      </c>
      <c r="D1012" s="982"/>
      <c r="E1012" s="982"/>
      <c r="F1012" s="700" t="s">
        <v>695</v>
      </c>
      <c r="G1012" s="704">
        <v>53.56</v>
      </c>
      <c r="H1012" s="725">
        <v>1.3225</v>
      </c>
      <c r="I1012" s="723">
        <v>2.1249929999999999</v>
      </c>
      <c r="J1012" s="711"/>
      <c r="K1012" s="701"/>
      <c r="L1012" s="711"/>
      <c r="M1012" s="701"/>
      <c r="N1012" s="712"/>
      <c r="AF1012" s="684"/>
      <c r="AG1012" s="693"/>
      <c r="AK1012" s="696" t="s">
        <v>1767</v>
      </c>
      <c r="AM1012" s="693"/>
      <c r="AP1012" s="693"/>
      <c r="AR1012" s="693"/>
      <c r="AS1012" s="693"/>
    </row>
    <row r="1013" spans="1:45" s="646" customFormat="1" ht="14.4" x14ac:dyDescent="0.3">
      <c r="A1013" s="699"/>
      <c r="B1013" s="698"/>
      <c r="C1013" s="986" t="s">
        <v>1769</v>
      </c>
      <c r="D1013" s="986"/>
      <c r="E1013" s="986"/>
      <c r="F1013" s="714"/>
      <c r="G1013" s="715"/>
      <c r="H1013" s="715"/>
      <c r="I1013" s="715"/>
      <c r="J1013" s="724">
        <v>401.7</v>
      </c>
      <c r="K1013" s="715"/>
      <c r="L1013" s="724">
        <v>15.94</v>
      </c>
      <c r="M1013" s="715"/>
      <c r="N1013" s="752">
        <v>713.63</v>
      </c>
      <c r="AF1013" s="684"/>
      <c r="AG1013" s="693"/>
      <c r="AL1013" s="696" t="s">
        <v>1769</v>
      </c>
      <c r="AM1013" s="693"/>
      <c r="AP1013" s="693"/>
      <c r="AR1013" s="693"/>
      <c r="AS1013" s="693"/>
    </row>
    <row r="1014" spans="1:45" s="646" customFormat="1" ht="14.4" x14ac:dyDescent="0.3">
      <c r="A1014" s="708"/>
      <c r="B1014" s="698"/>
      <c r="C1014" s="982" t="s">
        <v>1770</v>
      </c>
      <c r="D1014" s="982"/>
      <c r="E1014" s="982"/>
      <c r="F1014" s="700"/>
      <c r="G1014" s="701"/>
      <c r="H1014" s="701"/>
      <c r="I1014" s="701"/>
      <c r="J1014" s="711"/>
      <c r="K1014" s="701"/>
      <c r="L1014" s="702">
        <v>15.94</v>
      </c>
      <c r="M1014" s="701"/>
      <c r="N1014" s="707">
        <v>713.63</v>
      </c>
      <c r="AF1014" s="684"/>
      <c r="AG1014" s="693"/>
      <c r="AK1014" s="696" t="s">
        <v>1770</v>
      </c>
      <c r="AM1014" s="693"/>
      <c r="AP1014" s="693"/>
      <c r="AR1014" s="693"/>
      <c r="AS1014" s="693"/>
    </row>
    <row r="1015" spans="1:45" s="646" customFormat="1" ht="20.399999999999999" x14ac:dyDescent="0.3">
      <c r="A1015" s="708"/>
      <c r="B1015" s="698" t="s">
        <v>1782</v>
      </c>
      <c r="C1015" s="982" t="s">
        <v>1783</v>
      </c>
      <c r="D1015" s="982"/>
      <c r="E1015" s="982"/>
      <c r="F1015" s="700" t="s">
        <v>1773</v>
      </c>
      <c r="G1015" s="718">
        <v>89</v>
      </c>
      <c r="H1015" s="701"/>
      <c r="I1015" s="718">
        <v>89</v>
      </c>
      <c r="J1015" s="711"/>
      <c r="K1015" s="701"/>
      <c r="L1015" s="702">
        <v>14.19</v>
      </c>
      <c r="M1015" s="701"/>
      <c r="N1015" s="707">
        <v>635.13</v>
      </c>
      <c r="AF1015" s="684"/>
      <c r="AG1015" s="693"/>
      <c r="AK1015" s="696" t="s">
        <v>1783</v>
      </c>
      <c r="AM1015" s="693"/>
      <c r="AP1015" s="693"/>
      <c r="AR1015" s="693"/>
      <c r="AS1015" s="693"/>
    </row>
    <row r="1016" spans="1:45" s="646" customFormat="1" ht="40.799999999999997" x14ac:dyDescent="0.3">
      <c r="A1016" s="708"/>
      <c r="B1016" s="698" t="s">
        <v>1784</v>
      </c>
      <c r="C1016" s="982" t="s">
        <v>1785</v>
      </c>
      <c r="D1016" s="982"/>
      <c r="E1016" s="982"/>
      <c r="F1016" s="700" t="s">
        <v>1773</v>
      </c>
      <c r="G1016" s="718">
        <v>40</v>
      </c>
      <c r="H1016" s="704">
        <v>0.85</v>
      </c>
      <c r="I1016" s="718">
        <v>34</v>
      </c>
      <c r="J1016" s="711"/>
      <c r="K1016" s="701"/>
      <c r="L1016" s="702">
        <v>5.42</v>
      </c>
      <c r="M1016" s="701"/>
      <c r="N1016" s="707">
        <v>242.63</v>
      </c>
      <c r="AF1016" s="684"/>
      <c r="AG1016" s="693"/>
      <c r="AK1016" s="696" t="s">
        <v>1785</v>
      </c>
      <c r="AM1016" s="693"/>
      <c r="AP1016" s="693"/>
      <c r="AR1016" s="693"/>
      <c r="AS1016" s="693"/>
    </row>
    <row r="1017" spans="1:45" s="646" customFormat="1" ht="14.4" x14ac:dyDescent="0.3">
      <c r="A1017" s="719"/>
      <c r="B1017" s="720"/>
      <c r="C1017" s="985" t="s">
        <v>1776</v>
      </c>
      <c r="D1017" s="985"/>
      <c r="E1017" s="985"/>
      <c r="F1017" s="687"/>
      <c r="G1017" s="688"/>
      <c r="H1017" s="688"/>
      <c r="I1017" s="688"/>
      <c r="J1017" s="691"/>
      <c r="K1017" s="688"/>
      <c r="L1017" s="726">
        <v>35.549999999999997</v>
      </c>
      <c r="M1017" s="715"/>
      <c r="N1017" s="722">
        <v>1591.39</v>
      </c>
      <c r="AF1017" s="684"/>
      <c r="AG1017" s="693"/>
      <c r="AM1017" s="693" t="s">
        <v>1776</v>
      </c>
      <c r="AP1017" s="693"/>
      <c r="AR1017" s="693"/>
      <c r="AS1017" s="693"/>
    </row>
    <row r="1018" spans="1:45" s="646" customFormat="1" ht="31.8" x14ac:dyDescent="0.3">
      <c r="A1018" s="685" t="s">
        <v>2185</v>
      </c>
      <c r="B1018" s="686" t="s">
        <v>1789</v>
      </c>
      <c r="C1018" s="985" t="s">
        <v>889</v>
      </c>
      <c r="D1018" s="985"/>
      <c r="E1018" s="985"/>
      <c r="F1018" s="687" t="s">
        <v>1790</v>
      </c>
      <c r="G1018" s="688">
        <v>252</v>
      </c>
      <c r="H1018" s="689">
        <v>1</v>
      </c>
      <c r="I1018" s="689">
        <v>252</v>
      </c>
      <c r="J1018" s="726">
        <v>2.91</v>
      </c>
      <c r="K1018" s="688"/>
      <c r="L1018" s="726">
        <v>733.32</v>
      </c>
      <c r="M1018" s="727">
        <v>13.62</v>
      </c>
      <c r="N1018" s="722">
        <v>9987.82</v>
      </c>
      <c r="AF1018" s="684"/>
      <c r="AG1018" s="693" t="s">
        <v>889</v>
      </c>
      <c r="AM1018" s="693"/>
      <c r="AP1018" s="693"/>
      <c r="AR1018" s="693"/>
      <c r="AS1018" s="693"/>
    </row>
    <row r="1019" spans="1:45" s="646" customFormat="1" ht="14.4" x14ac:dyDescent="0.3">
      <c r="A1019" s="694"/>
      <c r="B1019" s="695"/>
      <c r="C1019" s="982" t="s">
        <v>2186</v>
      </c>
      <c r="D1019" s="982"/>
      <c r="E1019" s="982"/>
      <c r="F1019" s="982"/>
      <c r="G1019" s="982"/>
      <c r="H1019" s="982"/>
      <c r="I1019" s="982"/>
      <c r="J1019" s="982"/>
      <c r="K1019" s="982"/>
      <c r="L1019" s="982"/>
      <c r="M1019" s="982"/>
      <c r="N1019" s="988"/>
      <c r="AF1019" s="684"/>
      <c r="AG1019" s="693"/>
      <c r="AH1019" s="696" t="s">
        <v>2186</v>
      </c>
      <c r="AM1019" s="693"/>
      <c r="AP1019" s="693"/>
      <c r="AR1019" s="693"/>
      <c r="AS1019" s="693"/>
    </row>
    <row r="1020" spans="1:45" s="646" customFormat="1" ht="14.4" x14ac:dyDescent="0.3">
      <c r="A1020" s="719"/>
      <c r="B1020" s="720"/>
      <c r="C1020" s="985" t="s">
        <v>1776</v>
      </c>
      <c r="D1020" s="985"/>
      <c r="E1020" s="985"/>
      <c r="F1020" s="687"/>
      <c r="G1020" s="688"/>
      <c r="H1020" s="688"/>
      <c r="I1020" s="688"/>
      <c r="J1020" s="691"/>
      <c r="K1020" s="688"/>
      <c r="L1020" s="726">
        <v>733.32</v>
      </c>
      <c r="M1020" s="715"/>
      <c r="N1020" s="722">
        <v>9987.82</v>
      </c>
      <c r="AF1020" s="684"/>
      <c r="AG1020" s="693"/>
      <c r="AM1020" s="693" t="s">
        <v>1776</v>
      </c>
      <c r="AP1020" s="693"/>
      <c r="AR1020" s="693"/>
      <c r="AS1020" s="693"/>
    </row>
    <row r="1021" spans="1:45" s="646" customFormat="1" ht="31.8" x14ac:dyDescent="0.3">
      <c r="A1021" s="685" t="s">
        <v>2187</v>
      </c>
      <c r="B1021" s="686" t="s">
        <v>2188</v>
      </c>
      <c r="C1021" s="985" t="s">
        <v>913</v>
      </c>
      <c r="D1021" s="985"/>
      <c r="E1021" s="985"/>
      <c r="F1021" s="687" t="s">
        <v>1790</v>
      </c>
      <c r="G1021" s="688">
        <v>47.4</v>
      </c>
      <c r="H1021" s="689">
        <v>1</v>
      </c>
      <c r="I1021" s="730">
        <v>47.4</v>
      </c>
      <c r="J1021" s="726">
        <v>3.96</v>
      </c>
      <c r="K1021" s="688"/>
      <c r="L1021" s="726">
        <v>187.7</v>
      </c>
      <c r="M1021" s="727">
        <v>13.24</v>
      </c>
      <c r="N1021" s="722">
        <v>2485.15</v>
      </c>
      <c r="AF1021" s="684"/>
      <c r="AG1021" s="693" t="s">
        <v>913</v>
      </c>
      <c r="AM1021" s="693"/>
      <c r="AP1021" s="693"/>
      <c r="AR1021" s="693"/>
      <c r="AS1021" s="693"/>
    </row>
    <row r="1022" spans="1:45" s="646" customFormat="1" ht="14.4" x14ac:dyDescent="0.3">
      <c r="A1022" s="719"/>
      <c r="B1022" s="720"/>
      <c r="C1022" s="982" t="s">
        <v>1862</v>
      </c>
      <c r="D1022" s="982"/>
      <c r="E1022" s="982"/>
      <c r="F1022" s="982"/>
      <c r="G1022" s="982"/>
      <c r="H1022" s="982"/>
      <c r="I1022" s="982"/>
      <c r="J1022" s="982"/>
      <c r="K1022" s="982"/>
      <c r="L1022" s="982"/>
      <c r="M1022" s="982"/>
      <c r="N1022" s="988"/>
      <c r="AF1022" s="684"/>
      <c r="AG1022" s="693"/>
      <c r="AM1022" s="693"/>
      <c r="AN1022" s="696" t="s">
        <v>1862</v>
      </c>
      <c r="AP1022" s="693"/>
      <c r="AR1022" s="693"/>
      <c r="AS1022" s="693"/>
    </row>
    <row r="1023" spans="1:45" s="646" customFormat="1" ht="14.4" x14ac:dyDescent="0.3">
      <c r="A1023" s="694"/>
      <c r="B1023" s="695"/>
      <c r="C1023" s="982" t="s">
        <v>2189</v>
      </c>
      <c r="D1023" s="982"/>
      <c r="E1023" s="982"/>
      <c r="F1023" s="982"/>
      <c r="G1023" s="982"/>
      <c r="H1023" s="982"/>
      <c r="I1023" s="982"/>
      <c r="J1023" s="982"/>
      <c r="K1023" s="982"/>
      <c r="L1023" s="982"/>
      <c r="M1023" s="982"/>
      <c r="N1023" s="988"/>
      <c r="AF1023" s="684"/>
      <c r="AG1023" s="693"/>
      <c r="AH1023" s="696" t="s">
        <v>2189</v>
      </c>
      <c r="AM1023" s="693"/>
      <c r="AP1023" s="693"/>
      <c r="AR1023" s="693"/>
      <c r="AS1023" s="693"/>
    </row>
    <row r="1024" spans="1:45" s="646" customFormat="1" ht="14.4" x14ac:dyDescent="0.3">
      <c r="A1024" s="719"/>
      <c r="B1024" s="720"/>
      <c r="C1024" s="985" t="s">
        <v>1776</v>
      </c>
      <c r="D1024" s="985"/>
      <c r="E1024" s="985"/>
      <c r="F1024" s="687"/>
      <c r="G1024" s="688"/>
      <c r="H1024" s="688"/>
      <c r="I1024" s="688"/>
      <c r="J1024" s="691"/>
      <c r="K1024" s="688"/>
      <c r="L1024" s="726">
        <v>187.7</v>
      </c>
      <c r="M1024" s="715"/>
      <c r="N1024" s="722">
        <v>2485.15</v>
      </c>
      <c r="AF1024" s="684"/>
      <c r="AG1024" s="693"/>
      <c r="AM1024" s="693" t="s">
        <v>1776</v>
      </c>
      <c r="AP1024" s="693"/>
      <c r="AR1024" s="693"/>
      <c r="AS1024" s="693"/>
    </row>
    <row r="1025" spans="1:45" s="646" customFormat="1" ht="31.8" x14ac:dyDescent="0.3">
      <c r="A1025" s="685" t="s">
        <v>2190</v>
      </c>
      <c r="B1025" s="686" t="s">
        <v>1789</v>
      </c>
      <c r="C1025" s="985" t="s">
        <v>911</v>
      </c>
      <c r="D1025" s="985"/>
      <c r="E1025" s="985"/>
      <c r="F1025" s="687" t="s">
        <v>1790</v>
      </c>
      <c r="G1025" s="688">
        <v>299.39999999999998</v>
      </c>
      <c r="H1025" s="689">
        <v>1</v>
      </c>
      <c r="I1025" s="730">
        <v>299.39999999999998</v>
      </c>
      <c r="J1025" s="726">
        <v>2.91</v>
      </c>
      <c r="K1025" s="688"/>
      <c r="L1025" s="726">
        <v>871.25</v>
      </c>
      <c r="M1025" s="727">
        <v>13.62</v>
      </c>
      <c r="N1025" s="722">
        <v>11866.43</v>
      </c>
      <c r="AF1025" s="684"/>
      <c r="AG1025" s="693" t="s">
        <v>911</v>
      </c>
      <c r="AM1025" s="693"/>
      <c r="AP1025" s="693"/>
      <c r="AR1025" s="693"/>
      <c r="AS1025" s="693"/>
    </row>
    <row r="1026" spans="1:45" s="646" customFormat="1" ht="14.4" x14ac:dyDescent="0.3">
      <c r="A1026" s="694"/>
      <c r="B1026" s="695"/>
      <c r="C1026" s="982" t="s">
        <v>2191</v>
      </c>
      <c r="D1026" s="982"/>
      <c r="E1026" s="982"/>
      <c r="F1026" s="982"/>
      <c r="G1026" s="982"/>
      <c r="H1026" s="982"/>
      <c r="I1026" s="982"/>
      <c r="J1026" s="982"/>
      <c r="K1026" s="982"/>
      <c r="L1026" s="982"/>
      <c r="M1026" s="982"/>
      <c r="N1026" s="988"/>
      <c r="AF1026" s="684"/>
      <c r="AG1026" s="693"/>
      <c r="AH1026" s="696" t="s">
        <v>2191</v>
      </c>
      <c r="AM1026" s="693"/>
      <c r="AP1026" s="693"/>
      <c r="AR1026" s="693"/>
      <c r="AS1026" s="693"/>
    </row>
    <row r="1027" spans="1:45" s="646" customFormat="1" ht="14.4" x14ac:dyDescent="0.3">
      <c r="A1027" s="719"/>
      <c r="B1027" s="720"/>
      <c r="C1027" s="985" t="s">
        <v>1776</v>
      </c>
      <c r="D1027" s="985"/>
      <c r="E1027" s="985"/>
      <c r="F1027" s="687"/>
      <c r="G1027" s="688"/>
      <c r="H1027" s="688"/>
      <c r="I1027" s="688"/>
      <c r="J1027" s="691"/>
      <c r="K1027" s="688"/>
      <c r="L1027" s="726">
        <v>871.25</v>
      </c>
      <c r="M1027" s="715"/>
      <c r="N1027" s="722">
        <v>11866.43</v>
      </c>
      <c r="AF1027" s="684"/>
      <c r="AG1027" s="693"/>
      <c r="AM1027" s="693" t="s">
        <v>1776</v>
      </c>
      <c r="AP1027" s="693"/>
      <c r="AR1027" s="693"/>
      <c r="AS1027" s="693"/>
    </row>
    <row r="1028" spans="1:45" s="646" customFormat="1" ht="31.8" x14ac:dyDescent="0.3">
      <c r="A1028" s="685" t="s">
        <v>2192</v>
      </c>
      <c r="B1028" s="686" t="s">
        <v>2193</v>
      </c>
      <c r="C1028" s="985" t="s">
        <v>2194</v>
      </c>
      <c r="D1028" s="985"/>
      <c r="E1028" s="985"/>
      <c r="F1028" s="687" t="s">
        <v>763</v>
      </c>
      <c r="G1028" s="688">
        <v>0.187</v>
      </c>
      <c r="H1028" s="689">
        <v>1</v>
      </c>
      <c r="I1028" s="690">
        <v>0.187</v>
      </c>
      <c r="J1028" s="691"/>
      <c r="K1028" s="688"/>
      <c r="L1028" s="691"/>
      <c r="M1028" s="688"/>
      <c r="N1028" s="692"/>
      <c r="AF1028" s="684"/>
      <c r="AG1028" s="693" t="s">
        <v>2194</v>
      </c>
      <c r="AM1028" s="693"/>
      <c r="AP1028" s="693"/>
      <c r="AR1028" s="693"/>
      <c r="AS1028" s="693"/>
    </row>
    <row r="1029" spans="1:45" s="646" customFormat="1" ht="14.4" x14ac:dyDescent="0.3">
      <c r="A1029" s="694"/>
      <c r="B1029" s="695"/>
      <c r="C1029" s="982" t="s">
        <v>2195</v>
      </c>
      <c r="D1029" s="982"/>
      <c r="E1029" s="982"/>
      <c r="F1029" s="982"/>
      <c r="G1029" s="982"/>
      <c r="H1029" s="982"/>
      <c r="I1029" s="982"/>
      <c r="J1029" s="982"/>
      <c r="K1029" s="982"/>
      <c r="L1029" s="982"/>
      <c r="M1029" s="982"/>
      <c r="N1029" s="988"/>
      <c r="AF1029" s="684"/>
      <c r="AG1029" s="693"/>
      <c r="AH1029" s="696" t="s">
        <v>2195</v>
      </c>
      <c r="AM1029" s="693"/>
      <c r="AP1029" s="693"/>
      <c r="AR1029" s="693"/>
      <c r="AS1029" s="693"/>
    </row>
    <row r="1030" spans="1:45" s="646" customFormat="1" ht="21.6" x14ac:dyDescent="0.3">
      <c r="A1030" s="697"/>
      <c r="B1030" s="698" t="s">
        <v>1759</v>
      </c>
      <c r="C1030" s="974" t="s">
        <v>1760</v>
      </c>
      <c r="D1030" s="974"/>
      <c r="E1030" s="974"/>
      <c r="F1030" s="974"/>
      <c r="G1030" s="974"/>
      <c r="H1030" s="974"/>
      <c r="I1030" s="974"/>
      <c r="J1030" s="974"/>
      <c r="K1030" s="974"/>
      <c r="L1030" s="974"/>
      <c r="M1030" s="974"/>
      <c r="N1030" s="987"/>
      <c r="AF1030" s="684"/>
      <c r="AG1030" s="693"/>
      <c r="AI1030" s="696" t="s">
        <v>1760</v>
      </c>
      <c r="AM1030" s="693"/>
      <c r="AP1030" s="693"/>
      <c r="AR1030" s="693"/>
      <c r="AS1030" s="693"/>
    </row>
    <row r="1031" spans="1:45" s="646" customFormat="1" ht="52.2" x14ac:dyDescent="0.3">
      <c r="A1031" s="697"/>
      <c r="B1031" s="698" t="s">
        <v>1761</v>
      </c>
      <c r="C1031" s="974" t="s">
        <v>1762</v>
      </c>
      <c r="D1031" s="974"/>
      <c r="E1031" s="974"/>
      <c r="F1031" s="974"/>
      <c r="G1031" s="974"/>
      <c r="H1031" s="974"/>
      <c r="I1031" s="974"/>
      <c r="J1031" s="974"/>
      <c r="K1031" s="974"/>
      <c r="L1031" s="974"/>
      <c r="M1031" s="974"/>
      <c r="N1031" s="987"/>
      <c r="AF1031" s="684"/>
      <c r="AG1031" s="693"/>
      <c r="AI1031" s="696" t="s">
        <v>1762</v>
      </c>
      <c r="AM1031" s="693"/>
      <c r="AP1031" s="693"/>
      <c r="AR1031" s="693"/>
      <c r="AS1031" s="693"/>
    </row>
    <row r="1032" spans="1:45" s="646" customFormat="1" ht="14.4" x14ac:dyDescent="0.3">
      <c r="A1032" s="699"/>
      <c r="B1032" s="698" t="s">
        <v>21</v>
      </c>
      <c r="C1032" s="982" t="s">
        <v>1764</v>
      </c>
      <c r="D1032" s="982"/>
      <c r="E1032" s="982"/>
      <c r="F1032" s="700"/>
      <c r="G1032" s="701"/>
      <c r="H1032" s="701"/>
      <c r="I1032" s="701"/>
      <c r="J1032" s="702">
        <v>479.33</v>
      </c>
      <c r="K1032" s="725">
        <v>1.4375</v>
      </c>
      <c r="L1032" s="702">
        <v>128.85</v>
      </c>
      <c r="M1032" s="704">
        <v>13.24</v>
      </c>
      <c r="N1032" s="705">
        <v>1705.97</v>
      </c>
      <c r="AF1032" s="684"/>
      <c r="AG1032" s="693"/>
      <c r="AJ1032" s="696" t="s">
        <v>1764</v>
      </c>
      <c r="AM1032" s="693"/>
      <c r="AP1032" s="693"/>
      <c r="AR1032" s="693"/>
      <c r="AS1032" s="693"/>
    </row>
    <row r="1033" spans="1:45" s="646" customFormat="1" ht="14.4" x14ac:dyDescent="0.3">
      <c r="A1033" s="699"/>
      <c r="B1033" s="698" t="s">
        <v>23</v>
      </c>
      <c r="C1033" s="982" t="s">
        <v>1765</v>
      </c>
      <c r="D1033" s="982"/>
      <c r="E1033" s="982"/>
      <c r="F1033" s="700"/>
      <c r="G1033" s="701"/>
      <c r="H1033" s="701"/>
      <c r="I1033" s="701"/>
      <c r="J1033" s="702">
        <v>93.5</v>
      </c>
      <c r="K1033" s="725">
        <v>1.4375</v>
      </c>
      <c r="L1033" s="702">
        <v>25.13</v>
      </c>
      <c r="M1033" s="704">
        <v>44.77</v>
      </c>
      <c r="N1033" s="705">
        <v>1125.07</v>
      </c>
      <c r="AF1033" s="684"/>
      <c r="AG1033" s="693"/>
      <c r="AJ1033" s="696" t="s">
        <v>1765</v>
      </c>
      <c r="AM1033" s="693"/>
      <c r="AP1033" s="693"/>
      <c r="AR1033" s="693"/>
      <c r="AS1033" s="693"/>
    </row>
    <row r="1034" spans="1:45" s="646" customFormat="1" ht="14.4" x14ac:dyDescent="0.3">
      <c r="A1034" s="708"/>
      <c r="B1034" s="698"/>
      <c r="C1034" s="982" t="s">
        <v>1768</v>
      </c>
      <c r="D1034" s="982"/>
      <c r="E1034" s="982"/>
      <c r="F1034" s="700" t="s">
        <v>695</v>
      </c>
      <c r="G1034" s="704">
        <v>8.06</v>
      </c>
      <c r="H1034" s="725">
        <v>1.4375</v>
      </c>
      <c r="I1034" s="710">
        <v>2.1666287999999998</v>
      </c>
      <c r="J1034" s="711"/>
      <c r="K1034" s="701"/>
      <c r="L1034" s="711"/>
      <c r="M1034" s="701"/>
      <c r="N1034" s="712"/>
      <c r="AF1034" s="684"/>
      <c r="AG1034" s="693"/>
      <c r="AK1034" s="696" t="s">
        <v>1768</v>
      </c>
      <c r="AM1034" s="693"/>
      <c r="AP1034" s="693"/>
      <c r="AR1034" s="693"/>
      <c r="AS1034" s="693"/>
    </row>
    <row r="1035" spans="1:45" s="646" customFormat="1" ht="14.4" x14ac:dyDescent="0.3">
      <c r="A1035" s="699"/>
      <c r="B1035" s="698"/>
      <c r="C1035" s="986" t="s">
        <v>1769</v>
      </c>
      <c r="D1035" s="986"/>
      <c r="E1035" s="986"/>
      <c r="F1035" s="714"/>
      <c r="G1035" s="715"/>
      <c r="H1035" s="715"/>
      <c r="I1035" s="715"/>
      <c r="J1035" s="724">
        <v>479.33</v>
      </c>
      <c r="K1035" s="715"/>
      <c r="L1035" s="724">
        <v>128.85</v>
      </c>
      <c r="M1035" s="715"/>
      <c r="N1035" s="717">
        <v>1705.97</v>
      </c>
      <c r="AF1035" s="684"/>
      <c r="AG1035" s="693"/>
      <c r="AL1035" s="696" t="s">
        <v>1769</v>
      </c>
      <c r="AM1035" s="693"/>
      <c r="AP1035" s="693"/>
      <c r="AR1035" s="693"/>
      <c r="AS1035" s="693"/>
    </row>
    <row r="1036" spans="1:45" s="646" customFormat="1" ht="14.4" x14ac:dyDescent="0.3">
      <c r="A1036" s="708"/>
      <c r="B1036" s="698"/>
      <c r="C1036" s="982" t="s">
        <v>1770</v>
      </c>
      <c r="D1036" s="982"/>
      <c r="E1036" s="982"/>
      <c r="F1036" s="700"/>
      <c r="G1036" s="701"/>
      <c r="H1036" s="701"/>
      <c r="I1036" s="701"/>
      <c r="J1036" s="711"/>
      <c r="K1036" s="701"/>
      <c r="L1036" s="702">
        <v>25.13</v>
      </c>
      <c r="M1036" s="701"/>
      <c r="N1036" s="705">
        <v>1125.07</v>
      </c>
      <c r="AF1036" s="684"/>
      <c r="AG1036" s="693"/>
      <c r="AK1036" s="696" t="s">
        <v>1770</v>
      </c>
      <c r="AM1036" s="693"/>
      <c r="AP1036" s="693"/>
      <c r="AR1036" s="693"/>
      <c r="AS1036" s="693"/>
    </row>
    <row r="1037" spans="1:45" s="646" customFormat="1" ht="21.6" x14ac:dyDescent="0.3">
      <c r="A1037" s="708"/>
      <c r="B1037" s="698" t="s">
        <v>1771</v>
      </c>
      <c r="C1037" s="982" t="s">
        <v>1772</v>
      </c>
      <c r="D1037" s="982"/>
      <c r="E1037" s="982"/>
      <c r="F1037" s="700" t="s">
        <v>1773</v>
      </c>
      <c r="G1037" s="718">
        <v>92</v>
      </c>
      <c r="H1037" s="701"/>
      <c r="I1037" s="718">
        <v>92</v>
      </c>
      <c r="J1037" s="711"/>
      <c r="K1037" s="701"/>
      <c r="L1037" s="702">
        <v>23.12</v>
      </c>
      <c r="M1037" s="701"/>
      <c r="N1037" s="705">
        <v>1035.06</v>
      </c>
      <c r="AF1037" s="684"/>
      <c r="AG1037" s="693"/>
      <c r="AK1037" s="696" t="s">
        <v>1772</v>
      </c>
      <c r="AM1037" s="693"/>
      <c r="AP1037" s="693"/>
      <c r="AR1037" s="693"/>
      <c r="AS1037" s="693"/>
    </row>
    <row r="1038" spans="1:45" s="646" customFormat="1" ht="40.799999999999997" x14ac:dyDescent="0.3">
      <c r="A1038" s="708"/>
      <c r="B1038" s="698" t="s">
        <v>1774</v>
      </c>
      <c r="C1038" s="982" t="s">
        <v>1775</v>
      </c>
      <c r="D1038" s="982"/>
      <c r="E1038" s="982"/>
      <c r="F1038" s="700" t="s">
        <v>1773</v>
      </c>
      <c r="G1038" s="718">
        <v>46</v>
      </c>
      <c r="H1038" s="704">
        <v>0.85</v>
      </c>
      <c r="I1038" s="709">
        <v>39.1</v>
      </c>
      <c r="J1038" s="711"/>
      <c r="K1038" s="701"/>
      <c r="L1038" s="702">
        <v>9.83</v>
      </c>
      <c r="M1038" s="701"/>
      <c r="N1038" s="707">
        <v>439.9</v>
      </c>
      <c r="AF1038" s="684"/>
      <c r="AG1038" s="693"/>
      <c r="AK1038" s="696" t="s">
        <v>1775</v>
      </c>
      <c r="AM1038" s="693"/>
      <c r="AP1038" s="693"/>
      <c r="AR1038" s="693"/>
      <c r="AS1038" s="693"/>
    </row>
    <row r="1039" spans="1:45" s="646" customFormat="1" ht="14.4" x14ac:dyDescent="0.3">
      <c r="A1039" s="719"/>
      <c r="B1039" s="720"/>
      <c r="C1039" s="985" t="s">
        <v>1776</v>
      </c>
      <c r="D1039" s="985"/>
      <c r="E1039" s="985"/>
      <c r="F1039" s="687"/>
      <c r="G1039" s="688"/>
      <c r="H1039" s="688"/>
      <c r="I1039" s="688"/>
      <c r="J1039" s="691"/>
      <c r="K1039" s="688"/>
      <c r="L1039" s="726">
        <v>161.80000000000001</v>
      </c>
      <c r="M1039" s="715"/>
      <c r="N1039" s="722">
        <v>3180.93</v>
      </c>
      <c r="AF1039" s="684"/>
      <c r="AG1039" s="693"/>
      <c r="AM1039" s="693" t="s">
        <v>1776</v>
      </c>
      <c r="AP1039" s="693"/>
      <c r="AR1039" s="693"/>
      <c r="AS1039" s="693"/>
    </row>
    <row r="1040" spans="1:45" s="646" customFormat="1" ht="31.8" x14ac:dyDescent="0.3">
      <c r="A1040" s="685" t="s">
        <v>2196</v>
      </c>
      <c r="B1040" s="686" t="s">
        <v>2197</v>
      </c>
      <c r="C1040" s="985" t="s">
        <v>2198</v>
      </c>
      <c r="D1040" s="985"/>
      <c r="E1040" s="985"/>
      <c r="F1040" s="687" t="s">
        <v>763</v>
      </c>
      <c r="G1040" s="688">
        <v>0.187</v>
      </c>
      <c r="H1040" s="689">
        <v>1</v>
      </c>
      <c r="I1040" s="690">
        <v>0.187</v>
      </c>
      <c r="J1040" s="691"/>
      <c r="K1040" s="688"/>
      <c r="L1040" s="691"/>
      <c r="M1040" s="688"/>
      <c r="N1040" s="692"/>
      <c r="AF1040" s="684"/>
      <c r="AG1040" s="693" t="s">
        <v>2198</v>
      </c>
      <c r="AM1040" s="693"/>
      <c r="AP1040" s="693"/>
      <c r="AR1040" s="693"/>
      <c r="AS1040" s="693"/>
    </row>
    <row r="1041" spans="1:45" s="646" customFormat="1" ht="21.6" x14ac:dyDescent="0.3">
      <c r="A1041" s="697"/>
      <c r="B1041" s="698" t="s">
        <v>1759</v>
      </c>
      <c r="C1041" s="974" t="s">
        <v>1760</v>
      </c>
      <c r="D1041" s="974"/>
      <c r="E1041" s="974"/>
      <c r="F1041" s="974"/>
      <c r="G1041" s="974"/>
      <c r="H1041" s="974"/>
      <c r="I1041" s="974"/>
      <c r="J1041" s="974"/>
      <c r="K1041" s="974"/>
      <c r="L1041" s="974"/>
      <c r="M1041" s="974"/>
      <c r="N1041" s="987"/>
      <c r="AF1041" s="684"/>
      <c r="AG1041" s="693"/>
      <c r="AI1041" s="696" t="s">
        <v>1760</v>
      </c>
      <c r="AM1041" s="693"/>
      <c r="AP1041" s="693"/>
      <c r="AR1041" s="693"/>
      <c r="AS1041" s="693"/>
    </row>
    <row r="1042" spans="1:45" s="646" customFormat="1" ht="52.2" x14ac:dyDescent="0.3">
      <c r="A1042" s="697"/>
      <c r="B1042" s="698" t="s">
        <v>1761</v>
      </c>
      <c r="C1042" s="974" t="s">
        <v>1762</v>
      </c>
      <c r="D1042" s="974"/>
      <c r="E1042" s="974"/>
      <c r="F1042" s="974"/>
      <c r="G1042" s="974"/>
      <c r="H1042" s="974"/>
      <c r="I1042" s="974"/>
      <c r="J1042" s="974"/>
      <c r="K1042" s="974"/>
      <c r="L1042" s="974"/>
      <c r="M1042" s="974"/>
      <c r="N1042" s="987"/>
      <c r="AF1042" s="684"/>
      <c r="AG1042" s="693"/>
      <c r="AI1042" s="696" t="s">
        <v>1762</v>
      </c>
      <c r="AM1042" s="693"/>
      <c r="AP1042" s="693"/>
      <c r="AR1042" s="693"/>
      <c r="AS1042" s="693"/>
    </row>
    <row r="1043" spans="1:45" s="646" customFormat="1" ht="14.4" x14ac:dyDescent="0.3">
      <c r="A1043" s="699"/>
      <c r="B1043" s="698" t="s">
        <v>21</v>
      </c>
      <c r="C1043" s="982" t="s">
        <v>1764</v>
      </c>
      <c r="D1043" s="982"/>
      <c r="E1043" s="982"/>
      <c r="F1043" s="700"/>
      <c r="G1043" s="701"/>
      <c r="H1043" s="701"/>
      <c r="I1043" s="701"/>
      <c r="J1043" s="706">
        <v>1160.98</v>
      </c>
      <c r="K1043" s="725">
        <v>1.4375</v>
      </c>
      <c r="L1043" s="702">
        <v>312.08999999999997</v>
      </c>
      <c r="M1043" s="704">
        <v>13.24</v>
      </c>
      <c r="N1043" s="705">
        <v>4132.07</v>
      </c>
      <c r="AF1043" s="684"/>
      <c r="AG1043" s="693"/>
      <c r="AJ1043" s="696" t="s">
        <v>1764</v>
      </c>
      <c r="AM1043" s="693"/>
      <c r="AP1043" s="693"/>
      <c r="AR1043" s="693"/>
      <c r="AS1043" s="693"/>
    </row>
    <row r="1044" spans="1:45" s="646" customFormat="1" ht="14.4" x14ac:dyDescent="0.3">
      <c r="A1044" s="699"/>
      <c r="B1044" s="698" t="s">
        <v>23</v>
      </c>
      <c r="C1044" s="982" t="s">
        <v>1765</v>
      </c>
      <c r="D1044" s="982"/>
      <c r="E1044" s="982"/>
      <c r="F1044" s="700"/>
      <c r="G1044" s="701"/>
      <c r="H1044" s="701"/>
      <c r="I1044" s="701"/>
      <c r="J1044" s="702">
        <v>189.99</v>
      </c>
      <c r="K1044" s="725">
        <v>1.4375</v>
      </c>
      <c r="L1044" s="702">
        <v>51.07</v>
      </c>
      <c r="M1044" s="704">
        <v>44.77</v>
      </c>
      <c r="N1044" s="705">
        <v>2286.4</v>
      </c>
      <c r="AF1044" s="684"/>
      <c r="AG1044" s="693"/>
      <c r="AJ1044" s="696" t="s">
        <v>1765</v>
      </c>
      <c r="AM1044" s="693"/>
      <c r="AP1044" s="693"/>
      <c r="AR1044" s="693"/>
      <c r="AS1044" s="693"/>
    </row>
    <row r="1045" spans="1:45" s="646" customFormat="1" ht="14.4" x14ac:dyDescent="0.3">
      <c r="A1045" s="708"/>
      <c r="B1045" s="698"/>
      <c r="C1045" s="982" t="s">
        <v>1768</v>
      </c>
      <c r="D1045" s="982"/>
      <c r="E1045" s="982"/>
      <c r="F1045" s="700" t="s">
        <v>695</v>
      </c>
      <c r="G1045" s="704">
        <v>13.99</v>
      </c>
      <c r="H1045" s="725">
        <v>1.4375</v>
      </c>
      <c r="I1045" s="710">
        <v>3.7606869000000001</v>
      </c>
      <c r="J1045" s="711"/>
      <c r="K1045" s="701"/>
      <c r="L1045" s="711"/>
      <c r="M1045" s="701"/>
      <c r="N1045" s="712"/>
      <c r="AF1045" s="684"/>
      <c r="AG1045" s="693"/>
      <c r="AK1045" s="696" t="s">
        <v>1768</v>
      </c>
      <c r="AM1045" s="693"/>
      <c r="AP1045" s="693"/>
      <c r="AR1045" s="693"/>
      <c r="AS1045" s="693"/>
    </row>
    <row r="1046" spans="1:45" s="646" customFormat="1" ht="14.4" x14ac:dyDescent="0.3">
      <c r="A1046" s="699"/>
      <c r="B1046" s="698"/>
      <c r="C1046" s="986" t="s">
        <v>1769</v>
      </c>
      <c r="D1046" s="986"/>
      <c r="E1046" s="986"/>
      <c r="F1046" s="714"/>
      <c r="G1046" s="715"/>
      <c r="H1046" s="715"/>
      <c r="I1046" s="715"/>
      <c r="J1046" s="716">
        <v>1160.98</v>
      </c>
      <c r="K1046" s="715"/>
      <c r="L1046" s="724">
        <v>312.08999999999997</v>
      </c>
      <c r="M1046" s="715"/>
      <c r="N1046" s="717">
        <v>4132.07</v>
      </c>
      <c r="AF1046" s="684"/>
      <c r="AG1046" s="693"/>
      <c r="AL1046" s="696" t="s">
        <v>1769</v>
      </c>
      <c r="AM1046" s="693"/>
      <c r="AP1046" s="693"/>
      <c r="AR1046" s="693"/>
      <c r="AS1046" s="693"/>
    </row>
    <row r="1047" spans="1:45" s="646" customFormat="1" ht="14.4" x14ac:dyDescent="0.3">
      <c r="A1047" s="708"/>
      <c r="B1047" s="698"/>
      <c r="C1047" s="982" t="s">
        <v>1770</v>
      </c>
      <c r="D1047" s="982"/>
      <c r="E1047" s="982"/>
      <c r="F1047" s="700"/>
      <c r="G1047" s="701"/>
      <c r="H1047" s="701"/>
      <c r="I1047" s="701"/>
      <c r="J1047" s="711"/>
      <c r="K1047" s="701"/>
      <c r="L1047" s="702">
        <v>51.07</v>
      </c>
      <c r="M1047" s="701"/>
      <c r="N1047" s="705">
        <v>2286.4</v>
      </c>
      <c r="AF1047" s="684"/>
      <c r="AG1047" s="693"/>
      <c r="AK1047" s="696" t="s">
        <v>1770</v>
      </c>
      <c r="AM1047" s="693"/>
      <c r="AP1047" s="693"/>
      <c r="AR1047" s="693"/>
      <c r="AS1047" s="693"/>
    </row>
    <row r="1048" spans="1:45" s="646" customFormat="1" ht="21.6" x14ac:dyDescent="0.3">
      <c r="A1048" s="708"/>
      <c r="B1048" s="698" t="s">
        <v>1771</v>
      </c>
      <c r="C1048" s="982" t="s">
        <v>1772</v>
      </c>
      <c r="D1048" s="982"/>
      <c r="E1048" s="982"/>
      <c r="F1048" s="700" t="s">
        <v>1773</v>
      </c>
      <c r="G1048" s="718">
        <v>92</v>
      </c>
      <c r="H1048" s="701"/>
      <c r="I1048" s="718">
        <v>92</v>
      </c>
      <c r="J1048" s="711"/>
      <c r="K1048" s="701"/>
      <c r="L1048" s="702">
        <v>46.98</v>
      </c>
      <c r="M1048" s="701"/>
      <c r="N1048" s="705">
        <v>2103.4899999999998</v>
      </c>
      <c r="AF1048" s="684"/>
      <c r="AG1048" s="693"/>
      <c r="AK1048" s="696" t="s">
        <v>1772</v>
      </c>
      <c r="AM1048" s="693"/>
      <c r="AP1048" s="693"/>
      <c r="AR1048" s="693"/>
      <c r="AS1048" s="693"/>
    </row>
    <row r="1049" spans="1:45" s="646" customFormat="1" ht="40.799999999999997" x14ac:dyDescent="0.3">
      <c r="A1049" s="708"/>
      <c r="B1049" s="698" t="s">
        <v>1774</v>
      </c>
      <c r="C1049" s="982" t="s">
        <v>1775</v>
      </c>
      <c r="D1049" s="982"/>
      <c r="E1049" s="982"/>
      <c r="F1049" s="700" t="s">
        <v>1773</v>
      </c>
      <c r="G1049" s="718">
        <v>46</v>
      </c>
      <c r="H1049" s="704">
        <v>0.85</v>
      </c>
      <c r="I1049" s="709">
        <v>39.1</v>
      </c>
      <c r="J1049" s="711"/>
      <c r="K1049" s="701"/>
      <c r="L1049" s="702">
        <v>19.97</v>
      </c>
      <c r="M1049" s="701"/>
      <c r="N1049" s="707">
        <v>893.98</v>
      </c>
      <c r="AF1049" s="684"/>
      <c r="AG1049" s="693"/>
      <c r="AK1049" s="696" t="s">
        <v>1775</v>
      </c>
      <c r="AM1049" s="693"/>
      <c r="AP1049" s="693"/>
      <c r="AR1049" s="693"/>
      <c r="AS1049" s="693"/>
    </row>
    <row r="1050" spans="1:45" s="646" customFormat="1" ht="14.4" x14ac:dyDescent="0.3">
      <c r="A1050" s="719"/>
      <c r="B1050" s="720"/>
      <c r="C1050" s="985" t="s">
        <v>1776</v>
      </c>
      <c r="D1050" s="985"/>
      <c r="E1050" s="985"/>
      <c r="F1050" s="687"/>
      <c r="G1050" s="688"/>
      <c r="H1050" s="688"/>
      <c r="I1050" s="688"/>
      <c r="J1050" s="691"/>
      <c r="K1050" s="688"/>
      <c r="L1050" s="726">
        <v>379.04</v>
      </c>
      <c r="M1050" s="715"/>
      <c r="N1050" s="722">
        <v>7129.54</v>
      </c>
      <c r="AF1050" s="684"/>
      <c r="AG1050" s="693"/>
      <c r="AM1050" s="693" t="s">
        <v>1776</v>
      </c>
      <c r="AP1050" s="693"/>
      <c r="AR1050" s="693"/>
      <c r="AS1050" s="693"/>
    </row>
    <row r="1051" spans="1:45" s="646" customFormat="1" ht="21.6" x14ac:dyDescent="0.3">
      <c r="A1051" s="685" t="s">
        <v>2199</v>
      </c>
      <c r="B1051" s="686" t="s">
        <v>2200</v>
      </c>
      <c r="C1051" s="985" t="s">
        <v>2201</v>
      </c>
      <c r="D1051" s="985"/>
      <c r="E1051" s="985"/>
      <c r="F1051" s="687" t="s">
        <v>763</v>
      </c>
      <c r="G1051" s="688">
        <v>0.187</v>
      </c>
      <c r="H1051" s="689">
        <v>1</v>
      </c>
      <c r="I1051" s="690">
        <v>0.187</v>
      </c>
      <c r="J1051" s="691"/>
      <c r="K1051" s="688"/>
      <c r="L1051" s="691"/>
      <c r="M1051" s="688"/>
      <c r="N1051" s="692"/>
      <c r="AF1051" s="684"/>
      <c r="AG1051" s="693" t="s">
        <v>2201</v>
      </c>
      <c r="AM1051" s="693"/>
      <c r="AP1051" s="693"/>
      <c r="AR1051" s="693"/>
      <c r="AS1051" s="693"/>
    </row>
    <row r="1052" spans="1:45" s="646" customFormat="1" ht="21.6" x14ac:dyDescent="0.3">
      <c r="A1052" s="697"/>
      <c r="B1052" s="698" t="s">
        <v>1759</v>
      </c>
      <c r="C1052" s="974" t="s">
        <v>1760</v>
      </c>
      <c r="D1052" s="974"/>
      <c r="E1052" s="974"/>
      <c r="F1052" s="974"/>
      <c r="G1052" s="974"/>
      <c r="H1052" s="974"/>
      <c r="I1052" s="974"/>
      <c r="J1052" s="974"/>
      <c r="K1052" s="974"/>
      <c r="L1052" s="974"/>
      <c r="M1052" s="974"/>
      <c r="N1052" s="987"/>
      <c r="AF1052" s="684"/>
      <c r="AG1052" s="693"/>
      <c r="AI1052" s="696" t="s">
        <v>1760</v>
      </c>
      <c r="AM1052" s="693"/>
      <c r="AP1052" s="693"/>
      <c r="AR1052" s="693"/>
      <c r="AS1052" s="693"/>
    </row>
    <row r="1053" spans="1:45" s="646" customFormat="1" ht="52.2" x14ac:dyDescent="0.3">
      <c r="A1053" s="697"/>
      <c r="B1053" s="698" t="s">
        <v>1761</v>
      </c>
      <c r="C1053" s="974" t="s">
        <v>1762</v>
      </c>
      <c r="D1053" s="974"/>
      <c r="E1053" s="974"/>
      <c r="F1053" s="974"/>
      <c r="G1053" s="974"/>
      <c r="H1053" s="974"/>
      <c r="I1053" s="974"/>
      <c r="J1053" s="974"/>
      <c r="K1053" s="974"/>
      <c r="L1053" s="974"/>
      <c r="M1053" s="974"/>
      <c r="N1053" s="987"/>
      <c r="AF1053" s="684"/>
      <c r="AG1053" s="693"/>
      <c r="AI1053" s="696" t="s">
        <v>1762</v>
      </c>
      <c r="AM1053" s="693"/>
      <c r="AP1053" s="693"/>
      <c r="AR1053" s="693"/>
      <c r="AS1053" s="693"/>
    </row>
    <row r="1054" spans="1:45" s="646" customFormat="1" ht="14.4" x14ac:dyDescent="0.3">
      <c r="A1054" s="699"/>
      <c r="B1054" s="698" t="s">
        <v>21</v>
      </c>
      <c r="C1054" s="982" t="s">
        <v>1764</v>
      </c>
      <c r="D1054" s="982"/>
      <c r="E1054" s="982"/>
      <c r="F1054" s="700"/>
      <c r="G1054" s="701"/>
      <c r="H1054" s="701"/>
      <c r="I1054" s="701"/>
      <c r="J1054" s="702">
        <v>153.63</v>
      </c>
      <c r="K1054" s="725">
        <v>1.4375</v>
      </c>
      <c r="L1054" s="702">
        <v>41.3</v>
      </c>
      <c r="M1054" s="704">
        <v>13.24</v>
      </c>
      <c r="N1054" s="707">
        <v>546.80999999999995</v>
      </c>
      <c r="AF1054" s="684"/>
      <c r="AG1054" s="693"/>
      <c r="AJ1054" s="696" t="s">
        <v>1764</v>
      </c>
      <c r="AM1054" s="693"/>
      <c r="AP1054" s="693"/>
      <c r="AR1054" s="693"/>
      <c r="AS1054" s="693"/>
    </row>
    <row r="1055" spans="1:45" s="646" customFormat="1" ht="14.4" x14ac:dyDescent="0.3">
      <c r="A1055" s="699"/>
      <c r="B1055" s="698" t="s">
        <v>23</v>
      </c>
      <c r="C1055" s="982" t="s">
        <v>1765</v>
      </c>
      <c r="D1055" s="982"/>
      <c r="E1055" s="982"/>
      <c r="F1055" s="700"/>
      <c r="G1055" s="701"/>
      <c r="H1055" s="701"/>
      <c r="I1055" s="701"/>
      <c r="J1055" s="702">
        <v>18</v>
      </c>
      <c r="K1055" s="725">
        <v>1.4375</v>
      </c>
      <c r="L1055" s="702">
        <v>4.84</v>
      </c>
      <c r="M1055" s="704">
        <v>44.77</v>
      </c>
      <c r="N1055" s="707">
        <v>216.69</v>
      </c>
      <c r="AF1055" s="684"/>
      <c r="AG1055" s="693"/>
      <c r="AJ1055" s="696" t="s">
        <v>1765</v>
      </c>
      <c r="AM1055" s="693"/>
      <c r="AP1055" s="693"/>
      <c r="AR1055" s="693"/>
      <c r="AS1055" s="693"/>
    </row>
    <row r="1056" spans="1:45" s="646" customFormat="1" ht="14.4" x14ac:dyDescent="0.3">
      <c r="A1056" s="708"/>
      <c r="B1056" s="698"/>
      <c r="C1056" s="982" t="s">
        <v>1768</v>
      </c>
      <c r="D1056" s="982"/>
      <c r="E1056" s="982"/>
      <c r="F1056" s="700" t="s">
        <v>695</v>
      </c>
      <c r="G1056" s="704">
        <v>1.25</v>
      </c>
      <c r="H1056" s="725">
        <v>1.4375</v>
      </c>
      <c r="I1056" s="710">
        <v>0.33601560000000003</v>
      </c>
      <c r="J1056" s="711"/>
      <c r="K1056" s="701"/>
      <c r="L1056" s="711"/>
      <c r="M1056" s="701"/>
      <c r="N1056" s="712"/>
      <c r="AF1056" s="684"/>
      <c r="AG1056" s="693"/>
      <c r="AK1056" s="696" t="s">
        <v>1768</v>
      </c>
      <c r="AM1056" s="693"/>
      <c r="AP1056" s="693"/>
      <c r="AR1056" s="693"/>
      <c r="AS1056" s="693"/>
    </row>
    <row r="1057" spans="1:45" s="646" customFormat="1" ht="14.4" x14ac:dyDescent="0.3">
      <c r="A1057" s="699"/>
      <c r="B1057" s="698"/>
      <c r="C1057" s="986" t="s">
        <v>1769</v>
      </c>
      <c r="D1057" s="986"/>
      <c r="E1057" s="986"/>
      <c r="F1057" s="714"/>
      <c r="G1057" s="715"/>
      <c r="H1057" s="715"/>
      <c r="I1057" s="715"/>
      <c r="J1057" s="724">
        <v>153.63</v>
      </c>
      <c r="K1057" s="715"/>
      <c r="L1057" s="724">
        <v>41.3</v>
      </c>
      <c r="M1057" s="715"/>
      <c r="N1057" s="752">
        <v>546.80999999999995</v>
      </c>
      <c r="AF1057" s="684"/>
      <c r="AG1057" s="693"/>
      <c r="AL1057" s="696" t="s">
        <v>1769</v>
      </c>
      <c r="AM1057" s="693"/>
      <c r="AP1057" s="693"/>
      <c r="AR1057" s="693"/>
      <c r="AS1057" s="693"/>
    </row>
    <row r="1058" spans="1:45" s="646" customFormat="1" ht="14.4" x14ac:dyDescent="0.3">
      <c r="A1058" s="708"/>
      <c r="B1058" s="698"/>
      <c r="C1058" s="982" t="s">
        <v>1770</v>
      </c>
      <c r="D1058" s="982"/>
      <c r="E1058" s="982"/>
      <c r="F1058" s="700"/>
      <c r="G1058" s="701"/>
      <c r="H1058" s="701"/>
      <c r="I1058" s="701"/>
      <c r="J1058" s="711"/>
      <c r="K1058" s="701"/>
      <c r="L1058" s="702">
        <v>4.84</v>
      </c>
      <c r="M1058" s="701"/>
      <c r="N1058" s="707">
        <v>216.69</v>
      </c>
      <c r="AF1058" s="684"/>
      <c r="AG1058" s="693"/>
      <c r="AK1058" s="696" t="s">
        <v>1770</v>
      </c>
      <c r="AM1058" s="693"/>
      <c r="AP1058" s="693"/>
      <c r="AR1058" s="693"/>
      <c r="AS1058" s="693"/>
    </row>
    <row r="1059" spans="1:45" s="646" customFormat="1" ht="21.6" x14ac:dyDescent="0.3">
      <c r="A1059" s="708"/>
      <c r="B1059" s="698" t="s">
        <v>1771</v>
      </c>
      <c r="C1059" s="982" t="s">
        <v>1772</v>
      </c>
      <c r="D1059" s="982"/>
      <c r="E1059" s="982"/>
      <c r="F1059" s="700" t="s">
        <v>1773</v>
      </c>
      <c r="G1059" s="718">
        <v>92</v>
      </c>
      <c r="H1059" s="701"/>
      <c r="I1059" s="718">
        <v>92</v>
      </c>
      <c r="J1059" s="711"/>
      <c r="K1059" s="701"/>
      <c r="L1059" s="702">
        <v>4.45</v>
      </c>
      <c r="M1059" s="701"/>
      <c r="N1059" s="707">
        <v>199.35</v>
      </c>
      <c r="AF1059" s="684"/>
      <c r="AG1059" s="693"/>
      <c r="AK1059" s="696" t="s">
        <v>1772</v>
      </c>
      <c r="AM1059" s="693"/>
      <c r="AP1059" s="693"/>
      <c r="AR1059" s="693"/>
      <c r="AS1059" s="693"/>
    </row>
    <row r="1060" spans="1:45" s="646" customFormat="1" ht="40.799999999999997" x14ac:dyDescent="0.3">
      <c r="A1060" s="708"/>
      <c r="B1060" s="698" t="s">
        <v>1774</v>
      </c>
      <c r="C1060" s="982" t="s">
        <v>1775</v>
      </c>
      <c r="D1060" s="982"/>
      <c r="E1060" s="982"/>
      <c r="F1060" s="700" t="s">
        <v>1773</v>
      </c>
      <c r="G1060" s="718">
        <v>46</v>
      </c>
      <c r="H1060" s="704">
        <v>0.85</v>
      </c>
      <c r="I1060" s="709">
        <v>39.1</v>
      </c>
      <c r="J1060" s="711"/>
      <c r="K1060" s="701"/>
      <c r="L1060" s="702">
        <v>1.89</v>
      </c>
      <c r="M1060" s="701"/>
      <c r="N1060" s="707">
        <v>84.73</v>
      </c>
      <c r="AF1060" s="684"/>
      <c r="AG1060" s="693"/>
      <c r="AK1060" s="696" t="s">
        <v>1775</v>
      </c>
      <c r="AM1060" s="693"/>
      <c r="AP1060" s="693"/>
      <c r="AR1060" s="693"/>
      <c r="AS1060" s="693"/>
    </row>
    <row r="1061" spans="1:45" s="646" customFormat="1" ht="14.4" x14ac:dyDescent="0.3">
      <c r="A1061" s="719"/>
      <c r="B1061" s="720"/>
      <c r="C1061" s="985" t="s">
        <v>1776</v>
      </c>
      <c r="D1061" s="985"/>
      <c r="E1061" s="985"/>
      <c r="F1061" s="687"/>
      <c r="G1061" s="688"/>
      <c r="H1061" s="688"/>
      <c r="I1061" s="688"/>
      <c r="J1061" s="691"/>
      <c r="K1061" s="688"/>
      <c r="L1061" s="726">
        <v>47.64</v>
      </c>
      <c r="M1061" s="715"/>
      <c r="N1061" s="751">
        <v>830.89</v>
      </c>
      <c r="AF1061" s="684"/>
      <c r="AG1061" s="693"/>
      <c r="AM1061" s="693" t="s">
        <v>1776</v>
      </c>
      <c r="AP1061" s="693"/>
      <c r="AR1061" s="693"/>
      <c r="AS1061" s="693"/>
    </row>
    <row r="1062" spans="1:45" s="646" customFormat="1" ht="0" hidden="1" customHeight="1" x14ac:dyDescent="0.3">
      <c r="A1062" s="731"/>
      <c r="B1062" s="732"/>
      <c r="C1062" s="732"/>
      <c r="D1062" s="732"/>
      <c r="E1062" s="732"/>
      <c r="F1062" s="733"/>
      <c r="G1062" s="733"/>
      <c r="H1062" s="733"/>
      <c r="I1062" s="733"/>
      <c r="J1062" s="734"/>
      <c r="K1062" s="733"/>
      <c r="L1062" s="734"/>
      <c r="M1062" s="701"/>
      <c r="N1062" s="734"/>
      <c r="AF1062" s="684"/>
      <c r="AG1062" s="693"/>
      <c r="AM1062" s="693"/>
      <c r="AP1062" s="693"/>
      <c r="AR1062" s="693"/>
      <c r="AS1062" s="693"/>
    </row>
    <row r="1063" spans="1:45" s="646" customFormat="1" ht="14.4" x14ac:dyDescent="0.3">
      <c r="A1063" s="735"/>
      <c r="B1063" s="736"/>
      <c r="C1063" s="985" t="s">
        <v>2202</v>
      </c>
      <c r="D1063" s="985"/>
      <c r="E1063" s="985"/>
      <c r="F1063" s="985"/>
      <c r="G1063" s="985"/>
      <c r="H1063" s="985"/>
      <c r="I1063" s="985"/>
      <c r="J1063" s="985"/>
      <c r="K1063" s="985"/>
      <c r="L1063" s="737"/>
      <c r="M1063" s="738"/>
      <c r="N1063" s="739"/>
      <c r="AF1063" s="684"/>
      <c r="AG1063" s="693"/>
      <c r="AM1063" s="693"/>
      <c r="AP1063" s="693" t="s">
        <v>2202</v>
      </c>
      <c r="AR1063" s="693"/>
      <c r="AS1063" s="693"/>
    </row>
    <row r="1064" spans="1:45" s="646" customFormat="1" ht="14.4" x14ac:dyDescent="0.3">
      <c r="A1064" s="740"/>
      <c r="B1064" s="698"/>
      <c r="C1064" s="982" t="s">
        <v>1823</v>
      </c>
      <c r="D1064" s="982"/>
      <c r="E1064" s="982"/>
      <c r="F1064" s="982"/>
      <c r="G1064" s="982"/>
      <c r="H1064" s="982"/>
      <c r="I1064" s="982"/>
      <c r="J1064" s="982"/>
      <c r="K1064" s="982"/>
      <c r="L1064" s="741">
        <v>94212.13</v>
      </c>
      <c r="M1064" s="742"/>
      <c r="N1064" s="743"/>
      <c r="AF1064" s="684"/>
      <c r="AG1064" s="693"/>
      <c r="AM1064" s="693"/>
      <c r="AP1064" s="693"/>
      <c r="AQ1064" s="696" t="s">
        <v>1823</v>
      </c>
      <c r="AR1064" s="693"/>
      <c r="AS1064" s="693"/>
    </row>
    <row r="1065" spans="1:45" s="646" customFormat="1" ht="14.4" x14ac:dyDescent="0.3">
      <c r="A1065" s="740"/>
      <c r="B1065" s="698"/>
      <c r="C1065" s="982" t="s">
        <v>1824</v>
      </c>
      <c r="D1065" s="982"/>
      <c r="E1065" s="982"/>
      <c r="F1065" s="982"/>
      <c r="G1065" s="982"/>
      <c r="H1065" s="982"/>
      <c r="I1065" s="982"/>
      <c r="J1065" s="982"/>
      <c r="K1065" s="982"/>
      <c r="L1065" s="744"/>
      <c r="M1065" s="742"/>
      <c r="N1065" s="743"/>
      <c r="AF1065" s="684"/>
      <c r="AG1065" s="693"/>
      <c r="AM1065" s="693"/>
      <c r="AP1065" s="693"/>
      <c r="AQ1065" s="696" t="s">
        <v>1824</v>
      </c>
      <c r="AR1065" s="693"/>
      <c r="AS1065" s="693"/>
    </row>
    <row r="1066" spans="1:45" s="646" customFormat="1" ht="14.4" x14ac:dyDescent="0.3">
      <c r="A1066" s="740"/>
      <c r="B1066" s="698"/>
      <c r="C1066" s="982" t="s">
        <v>1825</v>
      </c>
      <c r="D1066" s="982"/>
      <c r="E1066" s="982"/>
      <c r="F1066" s="982"/>
      <c r="G1066" s="982"/>
      <c r="H1066" s="982"/>
      <c r="I1066" s="982"/>
      <c r="J1066" s="982"/>
      <c r="K1066" s="982"/>
      <c r="L1066" s="741">
        <v>2090.1799999999998</v>
      </c>
      <c r="M1066" s="742"/>
      <c r="N1066" s="743"/>
      <c r="AF1066" s="684"/>
      <c r="AG1066" s="693"/>
      <c r="AM1066" s="693"/>
      <c r="AP1066" s="693"/>
      <c r="AQ1066" s="696" t="s">
        <v>1825</v>
      </c>
      <c r="AR1066" s="693"/>
      <c r="AS1066" s="693"/>
    </row>
    <row r="1067" spans="1:45" s="646" customFormat="1" ht="14.4" x14ac:dyDescent="0.3">
      <c r="A1067" s="740"/>
      <c r="B1067" s="698"/>
      <c r="C1067" s="982" t="s">
        <v>1826</v>
      </c>
      <c r="D1067" s="982"/>
      <c r="E1067" s="982"/>
      <c r="F1067" s="982"/>
      <c r="G1067" s="982"/>
      <c r="H1067" s="982"/>
      <c r="I1067" s="982"/>
      <c r="J1067" s="982"/>
      <c r="K1067" s="982"/>
      <c r="L1067" s="741">
        <v>81528.12</v>
      </c>
      <c r="M1067" s="742"/>
      <c r="N1067" s="743"/>
      <c r="AF1067" s="684"/>
      <c r="AG1067" s="693"/>
      <c r="AM1067" s="693"/>
      <c r="AP1067" s="693"/>
      <c r="AQ1067" s="696" t="s">
        <v>1826</v>
      </c>
      <c r="AR1067" s="693"/>
      <c r="AS1067" s="693"/>
    </row>
    <row r="1068" spans="1:45" s="646" customFormat="1" ht="14.4" x14ac:dyDescent="0.3">
      <c r="A1068" s="740"/>
      <c r="B1068" s="698"/>
      <c r="C1068" s="982" t="s">
        <v>1827</v>
      </c>
      <c r="D1068" s="982"/>
      <c r="E1068" s="982"/>
      <c r="F1068" s="982"/>
      <c r="G1068" s="982"/>
      <c r="H1068" s="982"/>
      <c r="I1068" s="982"/>
      <c r="J1068" s="982"/>
      <c r="K1068" s="982"/>
      <c r="L1068" s="741">
        <v>2618.14</v>
      </c>
      <c r="M1068" s="742"/>
      <c r="N1068" s="743"/>
      <c r="AF1068" s="684"/>
      <c r="AG1068" s="693"/>
      <c r="AM1068" s="693"/>
      <c r="AP1068" s="693"/>
      <c r="AQ1068" s="696" t="s">
        <v>1827</v>
      </c>
      <c r="AR1068" s="693"/>
      <c r="AS1068" s="693"/>
    </row>
    <row r="1069" spans="1:45" s="646" customFormat="1" ht="14.4" x14ac:dyDescent="0.3">
      <c r="A1069" s="740"/>
      <c r="B1069" s="698"/>
      <c r="C1069" s="982" t="s">
        <v>1828</v>
      </c>
      <c r="D1069" s="982"/>
      <c r="E1069" s="982"/>
      <c r="F1069" s="982"/>
      <c r="G1069" s="982"/>
      <c r="H1069" s="982"/>
      <c r="I1069" s="982"/>
      <c r="J1069" s="982"/>
      <c r="K1069" s="982"/>
      <c r="L1069" s="741">
        <v>9722.58</v>
      </c>
      <c r="M1069" s="742"/>
      <c r="N1069" s="743"/>
      <c r="AF1069" s="684"/>
      <c r="AG1069" s="693"/>
      <c r="AM1069" s="693"/>
      <c r="AP1069" s="693"/>
      <c r="AQ1069" s="696" t="s">
        <v>1828</v>
      </c>
      <c r="AR1069" s="693"/>
      <c r="AS1069" s="693"/>
    </row>
    <row r="1070" spans="1:45" s="646" customFormat="1" ht="14.4" x14ac:dyDescent="0.3">
      <c r="A1070" s="740"/>
      <c r="B1070" s="698"/>
      <c r="C1070" s="982" t="s">
        <v>1876</v>
      </c>
      <c r="D1070" s="982"/>
      <c r="E1070" s="982"/>
      <c r="F1070" s="982"/>
      <c r="G1070" s="982"/>
      <c r="H1070" s="982"/>
      <c r="I1070" s="982"/>
      <c r="J1070" s="982"/>
      <c r="K1070" s="982"/>
      <c r="L1070" s="745">
        <v>871.25</v>
      </c>
      <c r="M1070" s="742"/>
      <c r="N1070" s="743"/>
      <c r="AF1070" s="684"/>
      <c r="AG1070" s="693"/>
      <c r="AM1070" s="693"/>
      <c r="AP1070" s="693"/>
      <c r="AQ1070" s="696" t="s">
        <v>1876</v>
      </c>
      <c r="AR1070" s="693"/>
      <c r="AS1070" s="693"/>
    </row>
    <row r="1071" spans="1:45" s="646" customFormat="1" ht="14.4" x14ac:dyDescent="0.3">
      <c r="A1071" s="740"/>
      <c r="B1071" s="698"/>
      <c r="C1071" s="982" t="s">
        <v>1829</v>
      </c>
      <c r="D1071" s="982"/>
      <c r="E1071" s="982"/>
      <c r="F1071" s="982"/>
      <c r="G1071" s="982"/>
      <c r="H1071" s="982"/>
      <c r="I1071" s="982"/>
      <c r="J1071" s="982"/>
      <c r="K1071" s="982"/>
      <c r="L1071" s="741">
        <v>100961.8</v>
      </c>
      <c r="M1071" s="742"/>
      <c r="N1071" s="743"/>
      <c r="AF1071" s="684"/>
      <c r="AG1071" s="693"/>
      <c r="AM1071" s="693"/>
      <c r="AP1071" s="693"/>
      <c r="AQ1071" s="696" t="s">
        <v>1829</v>
      </c>
      <c r="AR1071" s="693"/>
      <c r="AS1071" s="693"/>
    </row>
    <row r="1072" spans="1:45" s="646" customFormat="1" ht="14.4" x14ac:dyDescent="0.3">
      <c r="A1072" s="740"/>
      <c r="B1072" s="698"/>
      <c r="C1072" s="982" t="s">
        <v>1830</v>
      </c>
      <c r="D1072" s="982"/>
      <c r="E1072" s="982"/>
      <c r="F1072" s="982"/>
      <c r="G1072" s="982"/>
      <c r="H1072" s="982"/>
      <c r="I1072" s="982"/>
      <c r="J1072" s="982"/>
      <c r="K1072" s="982"/>
      <c r="L1072" s="741">
        <v>89954.78</v>
      </c>
      <c r="M1072" s="742"/>
      <c r="N1072" s="743"/>
      <c r="AF1072" s="684"/>
      <c r="AG1072" s="693"/>
      <c r="AM1072" s="693"/>
      <c r="AP1072" s="693"/>
      <c r="AQ1072" s="696" t="s">
        <v>1830</v>
      </c>
      <c r="AR1072" s="693"/>
      <c r="AS1072" s="693"/>
    </row>
    <row r="1073" spans="1:45" s="646" customFormat="1" ht="14.4" x14ac:dyDescent="0.3">
      <c r="A1073" s="740"/>
      <c r="B1073" s="698"/>
      <c r="C1073" s="982" t="s">
        <v>1831</v>
      </c>
      <c r="D1073" s="982"/>
      <c r="E1073" s="982"/>
      <c r="F1073" s="982"/>
      <c r="G1073" s="982"/>
      <c r="H1073" s="982"/>
      <c r="I1073" s="982"/>
      <c r="J1073" s="982"/>
      <c r="K1073" s="982"/>
      <c r="L1073" s="744"/>
      <c r="M1073" s="742"/>
      <c r="N1073" s="743"/>
      <c r="AF1073" s="684"/>
      <c r="AG1073" s="693"/>
      <c r="AM1073" s="693"/>
      <c r="AP1073" s="693"/>
      <c r="AQ1073" s="696" t="s">
        <v>1831</v>
      </c>
      <c r="AR1073" s="693"/>
      <c r="AS1073" s="693"/>
    </row>
    <row r="1074" spans="1:45" s="646" customFormat="1" ht="14.4" x14ac:dyDescent="0.3">
      <c r="A1074" s="740"/>
      <c r="B1074" s="698"/>
      <c r="C1074" s="982" t="s">
        <v>1832</v>
      </c>
      <c r="D1074" s="982"/>
      <c r="E1074" s="982"/>
      <c r="F1074" s="982"/>
      <c r="G1074" s="982"/>
      <c r="H1074" s="982"/>
      <c r="I1074" s="982"/>
      <c r="J1074" s="982"/>
      <c r="K1074" s="982"/>
      <c r="L1074" s="741">
        <v>2090.1799999999998</v>
      </c>
      <c r="M1074" s="742"/>
      <c r="N1074" s="743"/>
      <c r="AF1074" s="684"/>
      <c r="AG1074" s="693"/>
      <c r="AM1074" s="693"/>
      <c r="AP1074" s="693"/>
      <c r="AQ1074" s="696" t="s">
        <v>1832</v>
      </c>
      <c r="AR1074" s="693"/>
      <c r="AS1074" s="693"/>
    </row>
    <row r="1075" spans="1:45" s="646" customFormat="1" ht="14.4" x14ac:dyDescent="0.3">
      <c r="A1075" s="740"/>
      <c r="B1075" s="698"/>
      <c r="C1075" s="982" t="s">
        <v>1833</v>
      </c>
      <c r="D1075" s="982"/>
      <c r="E1075" s="982"/>
      <c r="F1075" s="982"/>
      <c r="G1075" s="982"/>
      <c r="H1075" s="982"/>
      <c r="I1075" s="982"/>
      <c r="J1075" s="982"/>
      <c r="K1075" s="982"/>
      <c r="L1075" s="741">
        <v>79381.45</v>
      </c>
      <c r="M1075" s="742"/>
      <c r="N1075" s="743"/>
      <c r="AF1075" s="684"/>
      <c r="AG1075" s="693"/>
      <c r="AM1075" s="693"/>
      <c r="AP1075" s="693"/>
      <c r="AQ1075" s="696" t="s">
        <v>1833</v>
      </c>
      <c r="AR1075" s="693"/>
      <c r="AS1075" s="693"/>
    </row>
    <row r="1076" spans="1:45" s="646" customFormat="1" ht="14.4" x14ac:dyDescent="0.3">
      <c r="A1076" s="740"/>
      <c r="B1076" s="698"/>
      <c r="C1076" s="982" t="s">
        <v>1834</v>
      </c>
      <c r="D1076" s="982"/>
      <c r="E1076" s="982"/>
      <c r="F1076" s="982"/>
      <c r="G1076" s="982"/>
      <c r="H1076" s="982"/>
      <c r="I1076" s="982"/>
      <c r="J1076" s="982"/>
      <c r="K1076" s="982"/>
      <c r="L1076" s="741">
        <v>2618.14</v>
      </c>
      <c r="M1076" s="742"/>
      <c r="N1076" s="743"/>
      <c r="AF1076" s="684"/>
      <c r="AG1076" s="693"/>
      <c r="AM1076" s="693"/>
      <c r="AP1076" s="693"/>
      <c r="AQ1076" s="696" t="s">
        <v>1834</v>
      </c>
      <c r="AR1076" s="693"/>
      <c r="AS1076" s="693"/>
    </row>
    <row r="1077" spans="1:45" s="646" customFormat="1" ht="14.4" x14ac:dyDescent="0.3">
      <c r="A1077" s="740"/>
      <c r="B1077" s="698"/>
      <c r="C1077" s="982" t="s">
        <v>1835</v>
      </c>
      <c r="D1077" s="982"/>
      <c r="E1077" s="982"/>
      <c r="F1077" s="982"/>
      <c r="G1077" s="982"/>
      <c r="H1077" s="982"/>
      <c r="I1077" s="982"/>
      <c r="J1077" s="982"/>
      <c r="K1077" s="982"/>
      <c r="L1077" s="741">
        <v>1733.48</v>
      </c>
      <c r="M1077" s="742"/>
      <c r="N1077" s="743"/>
      <c r="AF1077" s="684"/>
      <c r="AG1077" s="693"/>
      <c r="AM1077" s="693"/>
      <c r="AP1077" s="693"/>
      <c r="AQ1077" s="696" t="s">
        <v>1835</v>
      </c>
      <c r="AR1077" s="693"/>
      <c r="AS1077" s="693"/>
    </row>
    <row r="1078" spans="1:45" s="646" customFormat="1" ht="14.4" x14ac:dyDescent="0.3">
      <c r="A1078" s="740"/>
      <c r="B1078" s="698"/>
      <c r="C1078" s="982" t="s">
        <v>1836</v>
      </c>
      <c r="D1078" s="982"/>
      <c r="E1078" s="982"/>
      <c r="F1078" s="982"/>
      <c r="G1078" s="982"/>
      <c r="H1078" s="982"/>
      <c r="I1078" s="982"/>
      <c r="J1078" s="982"/>
      <c r="K1078" s="982"/>
      <c r="L1078" s="741">
        <v>4324.54</v>
      </c>
      <c r="M1078" s="742"/>
      <c r="N1078" s="743"/>
      <c r="AF1078" s="684"/>
      <c r="AG1078" s="693"/>
      <c r="AM1078" s="693"/>
      <c r="AP1078" s="693"/>
      <c r="AQ1078" s="696" t="s">
        <v>1836</v>
      </c>
      <c r="AR1078" s="693"/>
      <c r="AS1078" s="693"/>
    </row>
    <row r="1079" spans="1:45" s="646" customFormat="1" ht="14.4" x14ac:dyDescent="0.3">
      <c r="A1079" s="740"/>
      <c r="B1079" s="698"/>
      <c r="C1079" s="982" t="s">
        <v>1837</v>
      </c>
      <c r="D1079" s="982"/>
      <c r="E1079" s="982"/>
      <c r="F1079" s="982"/>
      <c r="G1079" s="982"/>
      <c r="H1079" s="982"/>
      <c r="I1079" s="982"/>
      <c r="J1079" s="982"/>
      <c r="K1079" s="982"/>
      <c r="L1079" s="741">
        <v>2425.13</v>
      </c>
      <c r="M1079" s="742"/>
      <c r="N1079" s="743"/>
      <c r="AF1079" s="684"/>
      <c r="AG1079" s="693"/>
      <c r="AM1079" s="693"/>
      <c r="AP1079" s="693"/>
      <c r="AQ1079" s="696" t="s">
        <v>1837</v>
      </c>
      <c r="AR1079" s="693"/>
      <c r="AS1079" s="693"/>
    </row>
    <row r="1080" spans="1:45" s="646" customFormat="1" ht="14.4" x14ac:dyDescent="0.3">
      <c r="A1080" s="740"/>
      <c r="B1080" s="698"/>
      <c r="C1080" s="982" t="s">
        <v>1838</v>
      </c>
      <c r="D1080" s="982"/>
      <c r="E1080" s="982"/>
      <c r="F1080" s="982"/>
      <c r="G1080" s="982"/>
      <c r="H1080" s="982"/>
      <c r="I1080" s="982"/>
      <c r="J1080" s="982"/>
      <c r="K1080" s="982"/>
      <c r="L1080" s="741">
        <v>10135.77</v>
      </c>
      <c r="M1080" s="742"/>
      <c r="N1080" s="743"/>
      <c r="AF1080" s="684"/>
      <c r="AG1080" s="693"/>
      <c r="AM1080" s="693"/>
      <c r="AP1080" s="693"/>
      <c r="AQ1080" s="696" t="s">
        <v>1838</v>
      </c>
      <c r="AR1080" s="693"/>
      <c r="AS1080" s="693"/>
    </row>
    <row r="1081" spans="1:45" s="646" customFormat="1" ht="14.4" x14ac:dyDescent="0.3">
      <c r="A1081" s="740"/>
      <c r="B1081" s="698"/>
      <c r="C1081" s="982" t="s">
        <v>1831</v>
      </c>
      <c r="D1081" s="982"/>
      <c r="E1081" s="982"/>
      <c r="F1081" s="982"/>
      <c r="G1081" s="982"/>
      <c r="H1081" s="982"/>
      <c r="I1081" s="982"/>
      <c r="J1081" s="982"/>
      <c r="K1081" s="982"/>
      <c r="L1081" s="744"/>
      <c r="M1081" s="742"/>
      <c r="N1081" s="743"/>
      <c r="AF1081" s="684"/>
      <c r="AG1081" s="693"/>
      <c r="AM1081" s="693"/>
      <c r="AP1081" s="693"/>
      <c r="AQ1081" s="696" t="s">
        <v>1831</v>
      </c>
      <c r="AR1081" s="693"/>
      <c r="AS1081" s="693"/>
    </row>
    <row r="1082" spans="1:45" s="646" customFormat="1" ht="14.4" x14ac:dyDescent="0.3">
      <c r="A1082" s="740"/>
      <c r="B1082" s="698"/>
      <c r="C1082" s="982" t="s">
        <v>1833</v>
      </c>
      <c r="D1082" s="982"/>
      <c r="E1082" s="982"/>
      <c r="F1082" s="982"/>
      <c r="G1082" s="982"/>
      <c r="H1082" s="982"/>
      <c r="I1082" s="982"/>
      <c r="J1082" s="982"/>
      <c r="K1082" s="982"/>
      <c r="L1082" s="741">
        <v>2146.67</v>
      </c>
      <c r="M1082" s="742"/>
      <c r="N1082" s="743"/>
      <c r="AF1082" s="684"/>
      <c r="AG1082" s="693"/>
      <c r="AM1082" s="693"/>
      <c r="AP1082" s="693"/>
      <c r="AQ1082" s="696" t="s">
        <v>1833</v>
      </c>
      <c r="AR1082" s="693"/>
      <c r="AS1082" s="693"/>
    </row>
    <row r="1083" spans="1:45" s="646" customFormat="1" ht="14.4" x14ac:dyDescent="0.3">
      <c r="A1083" s="740"/>
      <c r="B1083" s="698"/>
      <c r="C1083" s="982" t="s">
        <v>1835</v>
      </c>
      <c r="D1083" s="982"/>
      <c r="E1083" s="982"/>
      <c r="F1083" s="982"/>
      <c r="G1083" s="982"/>
      <c r="H1083" s="982"/>
      <c r="I1083" s="982"/>
      <c r="J1083" s="982"/>
      <c r="K1083" s="982"/>
      <c r="L1083" s="741">
        <v>7989.1</v>
      </c>
      <c r="M1083" s="742"/>
      <c r="N1083" s="743"/>
      <c r="AF1083" s="684"/>
      <c r="AG1083" s="693"/>
      <c r="AM1083" s="693"/>
      <c r="AP1083" s="693"/>
      <c r="AQ1083" s="696" t="s">
        <v>1835</v>
      </c>
      <c r="AR1083" s="693"/>
      <c r="AS1083" s="693"/>
    </row>
    <row r="1084" spans="1:45" s="646" customFormat="1" ht="14.4" x14ac:dyDescent="0.3">
      <c r="A1084" s="740"/>
      <c r="B1084" s="698"/>
      <c r="C1084" s="982" t="s">
        <v>1877</v>
      </c>
      <c r="D1084" s="982"/>
      <c r="E1084" s="982"/>
      <c r="F1084" s="982"/>
      <c r="G1084" s="982"/>
      <c r="H1084" s="982"/>
      <c r="I1084" s="982"/>
      <c r="J1084" s="982"/>
      <c r="K1084" s="982"/>
      <c r="L1084" s="745">
        <v>871.25</v>
      </c>
      <c r="M1084" s="742"/>
      <c r="N1084" s="743"/>
      <c r="AF1084" s="684"/>
      <c r="AG1084" s="693"/>
      <c r="AM1084" s="693"/>
      <c r="AP1084" s="693"/>
      <c r="AQ1084" s="696" t="s">
        <v>1877</v>
      </c>
      <c r="AR1084" s="693"/>
      <c r="AS1084" s="693"/>
    </row>
    <row r="1085" spans="1:45" s="646" customFormat="1" ht="14.4" x14ac:dyDescent="0.3">
      <c r="A1085" s="740"/>
      <c r="B1085" s="698"/>
      <c r="C1085" s="982" t="s">
        <v>1839</v>
      </c>
      <c r="D1085" s="982"/>
      <c r="E1085" s="982"/>
      <c r="F1085" s="982"/>
      <c r="G1085" s="982"/>
      <c r="H1085" s="982"/>
      <c r="I1085" s="982"/>
      <c r="J1085" s="982"/>
      <c r="K1085" s="982"/>
      <c r="L1085" s="741">
        <v>4708.32</v>
      </c>
      <c r="M1085" s="742"/>
      <c r="N1085" s="743"/>
      <c r="AF1085" s="684"/>
      <c r="AG1085" s="693"/>
      <c r="AM1085" s="693"/>
      <c r="AP1085" s="693"/>
      <c r="AQ1085" s="696" t="s">
        <v>1839</v>
      </c>
      <c r="AR1085" s="693"/>
      <c r="AS1085" s="693"/>
    </row>
    <row r="1086" spans="1:45" s="646" customFormat="1" ht="14.4" x14ac:dyDescent="0.3">
      <c r="A1086" s="740"/>
      <c r="B1086" s="698"/>
      <c r="C1086" s="982" t="s">
        <v>1840</v>
      </c>
      <c r="D1086" s="982"/>
      <c r="E1086" s="982"/>
      <c r="F1086" s="982"/>
      <c r="G1086" s="982"/>
      <c r="H1086" s="982"/>
      <c r="I1086" s="982"/>
      <c r="J1086" s="982"/>
      <c r="K1086" s="982"/>
      <c r="L1086" s="741">
        <v>4324.54</v>
      </c>
      <c r="M1086" s="742"/>
      <c r="N1086" s="743"/>
      <c r="AF1086" s="684"/>
      <c r="AG1086" s="693"/>
      <c r="AM1086" s="693"/>
      <c r="AP1086" s="693"/>
      <c r="AQ1086" s="696" t="s">
        <v>1840</v>
      </c>
      <c r="AR1086" s="693"/>
      <c r="AS1086" s="693"/>
    </row>
    <row r="1087" spans="1:45" s="646" customFormat="1" ht="14.4" x14ac:dyDescent="0.3">
      <c r="A1087" s="740"/>
      <c r="B1087" s="698"/>
      <c r="C1087" s="982" t="s">
        <v>1841</v>
      </c>
      <c r="D1087" s="982"/>
      <c r="E1087" s="982"/>
      <c r="F1087" s="982"/>
      <c r="G1087" s="982"/>
      <c r="H1087" s="982"/>
      <c r="I1087" s="982"/>
      <c r="J1087" s="982"/>
      <c r="K1087" s="982"/>
      <c r="L1087" s="741">
        <v>2425.13</v>
      </c>
      <c r="M1087" s="742"/>
      <c r="N1087" s="743"/>
      <c r="AF1087" s="684"/>
      <c r="AG1087" s="693"/>
      <c r="AM1087" s="693"/>
      <c r="AP1087" s="693"/>
      <c r="AQ1087" s="696" t="s">
        <v>1841</v>
      </c>
      <c r="AR1087" s="693"/>
      <c r="AS1087" s="693"/>
    </row>
    <row r="1088" spans="1:45" s="646" customFormat="1" ht="14.4" x14ac:dyDescent="0.3">
      <c r="A1088" s="740"/>
      <c r="B1088" s="746"/>
      <c r="C1088" s="984" t="s">
        <v>2203</v>
      </c>
      <c r="D1088" s="984"/>
      <c r="E1088" s="984"/>
      <c r="F1088" s="984"/>
      <c r="G1088" s="984"/>
      <c r="H1088" s="984"/>
      <c r="I1088" s="984"/>
      <c r="J1088" s="984"/>
      <c r="K1088" s="984"/>
      <c r="L1088" s="747">
        <v>100961.8</v>
      </c>
      <c r="M1088" s="748"/>
      <c r="N1088" s="749"/>
      <c r="AF1088" s="684"/>
      <c r="AG1088" s="693"/>
      <c r="AM1088" s="693"/>
      <c r="AP1088" s="693"/>
      <c r="AR1088" s="693" t="s">
        <v>2203</v>
      </c>
      <c r="AS1088" s="693"/>
    </row>
    <row r="1089" spans="1:47" s="646" customFormat="1" ht="11.25" hidden="1" customHeight="1" x14ac:dyDescent="0.3">
      <c r="B1089" s="753"/>
      <c r="C1089" s="753"/>
      <c r="D1089" s="753"/>
      <c r="E1089" s="753"/>
      <c r="F1089" s="753"/>
      <c r="G1089" s="753"/>
      <c r="H1089" s="753"/>
      <c r="I1089" s="753"/>
      <c r="J1089" s="753"/>
      <c r="K1089" s="753"/>
      <c r="L1089" s="754"/>
      <c r="M1089" s="754"/>
      <c r="N1089" s="754"/>
      <c r="R1089" s="755"/>
    </row>
    <row r="1090" spans="1:47" s="646" customFormat="1" ht="14.4" x14ac:dyDescent="0.3">
      <c r="A1090" s="735"/>
      <c r="B1090" s="736"/>
      <c r="C1090" s="985" t="s">
        <v>2204</v>
      </c>
      <c r="D1090" s="985"/>
      <c r="E1090" s="985"/>
      <c r="F1090" s="985"/>
      <c r="G1090" s="985"/>
      <c r="H1090" s="985"/>
      <c r="I1090" s="985"/>
      <c r="J1090" s="985"/>
      <c r="K1090" s="985"/>
      <c r="L1090" s="737"/>
      <c r="M1090" s="738"/>
      <c r="N1090" s="739"/>
      <c r="AT1090" s="693" t="s">
        <v>2204</v>
      </c>
    </row>
    <row r="1091" spans="1:47" s="646" customFormat="1" ht="14.4" x14ac:dyDescent="0.3">
      <c r="A1091" s="740"/>
      <c r="B1091" s="698"/>
      <c r="C1091" s="982" t="s">
        <v>1823</v>
      </c>
      <c r="D1091" s="982"/>
      <c r="E1091" s="982"/>
      <c r="F1091" s="982"/>
      <c r="G1091" s="982"/>
      <c r="H1091" s="982"/>
      <c r="I1091" s="982"/>
      <c r="J1091" s="982"/>
      <c r="K1091" s="982"/>
      <c r="L1091" s="741">
        <v>17750116.960000001</v>
      </c>
      <c r="M1091" s="742"/>
      <c r="N1091" s="756">
        <v>151827796.37</v>
      </c>
      <c r="AT1091" s="693"/>
      <c r="AU1091" s="696" t="s">
        <v>1823</v>
      </c>
    </row>
    <row r="1092" spans="1:47" s="646" customFormat="1" ht="14.4" x14ac:dyDescent="0.3">
      <c r="A1092" s="740"/>
      <c r="B1092" s="698"/>
      <c r="C1092" s="982" t="s">
        <v>1824</v>
      </c>
      <c r="D1092" s="982"/>
      <c r="E1092" s="982"/>
      <c r="F1092" s="982"/>
      <c r="G1092" s="982"/>
      <c r="H1092" s="982"/>
      <c r="I1092" s="982"/>
      <c r="J1092" s="982"/>
      <c r="K1092" s="982"/>
      <c r="L1092" s="744"/>
      <c r="M1092" s="742"/>
      <c r="N1092" s="743"/>
      <c r="AT1092" s="693"/>
      <c r="AU1092" s="696" t="s">
        <v>1824</v>
      </c>
    </row>
    <row r="1093" spans="1:47" s="646" customFormat="1" ht="14.4" x14ac:dyDescent="0.3">
      <c r="A1093" s="740"/>
      <c r="B1093" s="698"/>
      <c r="C1093" s="982" t="s">
        <v>1825</v>
      </c>
      <c r="D1093" s="982"/>
      <c r="E1093" s="982"/>
      <c r="F1093" s="982"/>
      <c r="G1093" s="982"/>
      <c r="H1093" s="982"/>
      <c r="I1093" s="982"/>
      <c r="J1093" s="982"/>
      <c r="K1093" s="982"/>
      <c r="L1093" s="741">
        <v>77389.320000000007</v>
      </c>
      <c r="M1093" s="742"/>
      <c r="N1093" s="756">
        <v>3464719.83</v>
      </c>
      <c r="AT1093" s="693"/>
      <c r="AU1093" s="696" t="s">
        <v>1825</v>
      </c>
    </row>
    <row r="1094" spans="1:47" s="646" customFormat="1" ht="14.4" x14ac:dyDescent="0.3">
      <c r="A1094" s="740"/>
      <c r="B1094" s="698"/>
      <c r="C1094" s="982" t="s">
        <v>1826</v>
      </c>
      <c r="D1094" s="982"/>
      <c r="E1094" s="982"/>
      <c r="F1094" s="982"/>
      <c r="G1094" s="982"/>
      <c r="H1094" s="982"/>
      <c r="I1094" s="982"/>
      <c r="J1094" s="982"/>
      <c r="K1094" s="982"/>
      <c r="L1094" s="741">
        <v>786474.26</v>
      </c>
      <c r="M1094" s="742"/>
      <c r="N1094" s="756">
        <v>10413557.560000001</v>
      </c>
      <c r="AT1094" s="693"/>
      <c r="AU1094" s="696" t="s">
        <v>1826</v>
      </c>
    </row>
    <row r="1095" spans="1:47" s="646" customFormat="1" ht="14.4" x14ac:dyDescent="0.3">
      <c r="A1095" s="740"/>
      <c r="B1095" s="698"/>
      <c r="C1095" s="982" t="s">
        <v>1827</v>
      </c>
      <c r="D1095" s="982"/>
      <c r="E1095" s="982"/>
      <c r="F1095" s="982"/>
      <c r="G1095" s="982"/>
      <c r="H1095" s="982"/>
      <c r="I1095" s="982"/>
      <c r="J1095" s="982"/>
      <c r="K1095" s="982"/>
      <c r="L1095" s="741">
        <v>44166.43</v>
      </c>
      <c r="M1095" s="742"/>
      <c r="N1095" s="756">
        <v>1977331.08</v>
      </c>
      <c r="AT1095" s="693"/>
      <c r="AU1095" s="696" t="s">
        <v>1827</v>
      </c>
    </row>
    <row r="1096" spans="1:47" s="646" customFormat="1" ht="14.4" x14ac:dyDescent="0.3">
      <c r="A1096" s="740"/>
      <c r="B1096" s="698"/>
      <c r="C1096" s="982" t="s">
        <v>1828</v>
      </c>
      <c r="D1096" s="982"/>
      <c r="E1096" s="982"/>
      <c r="F1096" s="982"/>
      <c r="G1096" s="982"/>
      <c r="H1096" s="982"/>
      <c r="I1096" s="982"/>
      <c r="J1096" s="982"/>
      <c r="K1096" s="982"/>
      <c r="L1096" s="741">
        <v>16874749.68</v>
      </c>
      <c r="M1096" s="742"/>
      <c r="N1096" s="756">
        <v>137796571.09</v>
      </c>
      <c r="AT1096" s="693"/>
      <c r="AU1096" s="696" t="s">
        <v>1828</v>
      </c>
    </row>
    <row r="1097" spans="1:47" s="646" customFormat="1" ht="14.4" x14ac:dyDescent="0.3">
      <c r="A1097" s="740"/>
      <c r="B1097" s="698"/>
      <c r="C1097" s="982" t="s">
        <v>1876</v>
      </c>
      <c r="D1097" s="982"/>
      <c r="E1097" s="982"/>
      <c r="F1097" s="982"/>
      <c r="G1097" s="982"/>
      <c r="H1097" s="982"/>
      <c r="I1097" s="982"/>
      <c r="J1097" s="982"/>
      <c r="K1097" s="982"/>
      <c r="L1097" s="741">
        <v>11503.7</v>
      </c>
      <c r="M1097" s="742"/>
      <c r="N1097" s="756">
        <v>152947.89000000001</v>
      </c>
      <c r="AT1097" s="693"/>
      <c r="AU1097" s="696" t="s">
        <v>1876</v>
      </c>
    </row>
    <row r="1098" spans="1:47" s="646" customFormat="1" ht="14.4" x14ac:dyDescent="0.3">
      <c r="A1098" s="740"/>
      <c r="B1098" s="698"/>
      <c r="C1098" s="982" t="s">
        <v>1829</v>
      </c>
      <c r="D1098" s="982"/>
      <c r="E1098" s="982"/>
      <c r="F1098" s="982"/>
      <c r="G1098" s="982"/>
      <c r="H1098" s="982"/>
      <c r="I1098" s="982"/>
      <c r="J1098" s="982"/>
      <c r="K1098" s="982"/>
      <c r="L1098" s="741">
        <v>17965107.699999999</v>
      </c>
      <c r="M1098" s="742"/>
      <c r="N1098" s="756">
        <v>161452931.99000001</v>
      </c>
      <c r="AT1098" s="693"/>
      <c r="AU1098" s="696" t="s">
        <v>1829</v>
      </c>
    </row>
    <row r="1099" spans="1:47" s="646" customFormat="1" ht="14.4" x14ac:dyDescent="0.3">
      <c r="A1099" s="740"/>
      <c r="B1099" s="698"/>
      <c r="C1099" s="982" t="s">
        <v>1830</v>
      </c>
      <c r="D1099" s="982"/>
      <c r="E1099" s="982"/>
      <c r="F1099" s="982"/>
      <c r="G1099" s="982"/>
      <c r="H1099" s="982"/>
      <c r="I1099" s="982"/>
      <c r="J1099" s="982"/>
      <c r="K1099" s="982"/>
      <c r="L1099" s="741">
        <v>17939556.539999999</v>
      </c>
      <c r="M1099" s="742"/>
      <c r="N1099" s="756">
        <v>161110321.5</v>
      </c>
      <c r="AT1099" s="693"/>
      <c r="AU1099" s="696" t="s">
        <v>1830</v>
      </c>
    </row>
    <row r="1100" spans="1:47" s="646" customFormat="1" ht="14.4" x14ac:dyDescent="0.3">
      <c r="A1100" s="740"/>
      <c r="B1100" s="698"/>
      <c r="C1100" s="982" t="s">
        <v>1831</v>
      </c>
      <c r="D1100" s="982"/>
      <c r="E1100" s="982"/>
      <c r="F1100" s="982"/>
      <c r="G1100" s="982"/>
      <c r="H1100" s="982"/>
      <c r="I1100" s="982"/>
      <c r="J1100" s="982"/>
      <c r="K1100" s="982"/>
      <c r="L1100" s="744"/>
      <c r="M1100" s="742"/>
      <c r="N1100" s="743"/>
      <c r="AT1100" s="693"/>
      <c r="AU1100" s="696" t="s">
        <v>1831</v>
      </c>
    </row>
    <row r="1101" spans="1:47" s="646" customFormat="1" ht="14.4" x14ac:dyDescent="0.3">
      <c r="A1101" s="740"/>
      <c r="B1101" s="698"/>
      <c r="C1101" s="982" t="s">
        <v>1832</v>
      </c>
      <c r="D1101" s="982"/>
      <c r="E1101" s="982"/>
      <c r="F1101" s="982"/>
      <c r="G1101" s="982"/>
      <c r="H1101" s="982"/>
      <c r="I1101" s="982"/>
      <c r="J1101" s="982"/>
      <c r="K1101" s="982"/>
      <c r="L1101" s="741">
        <v>77389.320000000007</v>
      </c>
      <c r="M1101" s="742"/>
      <c r="N1101" s="756">
        <v>3464719.83</v>
      </c>
      <c r="AT1101" s="693"/>
      <c r="AU1101" s="696" t="s">
        <v>1832</v>
      </c>
    </row>
    <row r="1102" spans="1:47" s="646" customFormat="1" ht="14.4" x14ac:dyDescent="0.3">
      <c r="A1102" s="740"/>
      <c r="B1102" s="698"/>
      <c r="C1102" s="982" t="s">
        <v>1833</v>
      </c>
      <c r="D1102" s="982"/>
      <c r="E1102" s="982"/>
      <c r="F1102" s="982"/>
      <c r="G1102" s="982"/>
      <c r="H1102" s="982"/>
      <c r="I1102" s="982"/>
      <c r="J1102" s="982"/>
      <c r="K1102" s="982"/>
      <c r="L1102" s="741">
        <v>780415.9</v>
      </c>
      <c r="M1102" s="742"/>
      <c r="N1102" s="756">
        <v>10332706.5</v>
      </c>
      <c r="AT1102" s="693"/>
      <c r="AU1102" s="696" t="s">
        <v>1833</v>
      </c>
    </row>
    <row r="1103" spans="1:47" s="646" customFormat="1" ht="14.4" x14ac:dyDescent="0.3">
      <c r="A1103" s="740"/>
      <c r="B1103" s="698"/>
      <c r="C1103" s="982" t="s">
        <v>1834</v>
      </c>
      <c r="D1103" s="982"/>
      <c r="E1103" s="982"/>
      <c r="F1103" s="982"/>
      <c r="G1103" s="982"/>
      <c r="H1103" s="982"/>
      <c r="I1103" s="982"/>
      <c r="J1103" s="982"/>
      <c r="K1103" s="982"/>
      <c r="L1103" s="741">
        <v>44166.43</v>
      </c>
      <c r="M1103" s="742"/>
      <c r="N1103" s="756">
        <v>1977331.08</v>
      </c>
      <c r="AT1103" s="693"/>
      <c r="AU1103" s="696" t="s">
        <v>1834</v>
      </c>
    </row>
    <row r="1104" spans="1:47" s="646" customFormat="1" ht="14.4" x14ac:dyDescent="0.3">
      <c r="A1104" s="740"/>
      <c r="B1104" s="698"/>
      <c r="C1104" s="982" t="s">
        <v>1835</v>
      </c>
      <c r="D1104" s="982"/>
      <c r="E1104" s="982"/>
      <c r="F1104" s="982"/>
      <c r="G1104" s="982"/>
      <c r="H1104" s="982"/>
      <c r="I1104" s="982"/>
      <c r="J1104" s="982"/>
      <c r="K1104" s="982"/>
      <c r="L1104" s="741">
        <v>16866760.579999998</v>
      </c>
      <c r="M1104" s="742"/>
      <c r="N1104" s="756">
        <v>137687759.55000001</v>
      </c>
      <c r="AT1104" s="693"/>
      <c r="AU1104" s="696" t="s">
        <v>1835</v>
      </c>
    </row>
    <row r="1105" spans="1:48" s="646" customFormat="1" ht="14.4" x14ac:dyDescent="0.3">
      <c r="A1105" s="740"/>
      <c r="B1105" s="698"/>
      <c r="C1105" s="982" t="s">
        <v>1836</v>
      </c>
      <c r="D1105" s="982"/>
      <c r="E1105" s="982"/>
      <c r="F1105" s="982"/>
      <c r="G1105" s="982"/>
      <c r="H1105" s="982"/>
      <c r="I1105" s="982"/>
      <c r="J1105" s="982"/>
      <c r="K1105" s="982"/>
      <c r="L1105" s="741">
        <v>137421.81</v>
      </c>
      <c r="M1105" s="742"/>
      <c r="N1105" s="756">
        <v>6152374.8499999996</v>
      </c>
      <c r="AT1105" s="693"/>
      <c r="AU1105" s="696" t="s">
        <v>1836</v>
      </c>
    </row>
    <row r="1106" spans="1:48" s="646" customFormat="1" ht="14.4" x14ac:dyDescent="0.3">
      <c r="A1106" s="740"/>
      <c r="B1106" s="698"/>
      <c r="C1106" s="982" t="s">
        <v>1837</v>
      </c>
      <c r="D1106" s="982"/>
      <c r="E1106" s="982"/>
      <c r="F1106" s="982"/>
      <c r="G1106" s="982"/>
      <c r="H1106" s="982"/>
      <c r="I1106" s="982"/>
      <c r="J1106" s="982"/>
      <c r="K1106" s="982"/>
      <c r="L1106" s="741">
        <v>77568.929999999993</v>
      </c>
      <c r="M1106" s="742"/>
      <c r="N1106" s="756">
        <v>3472760.77</v>
      </c>
      <c r="AT1106" s="693"/>
      <c r="AU1106" s="696" t="s">
        <v>1837</v>
      </c>
    </row>
    <row r="1107" spans="1:48" s="646" customFormat="1" ht="14.4" x14ac:dyDescent="0.3">
      <c r="A1107" s="740"/>
      <c r="B1107" s="698"/>
      <c r="C1107" s="982" t="s">
        <v>1838</v>
      </c>
      <c r="D1107" s="982"/>
      <c r="E1107" s="982"/>
      <c r="F1107" s="982"/>
      <c r="G1107" s="982"/>
      <c r="H1107" s="982"/>
      <c r="I1107" s="982"/>
      <c r="J1107" s="982"/>
      <c r="K1107" s="982"/>
      <c r="L1107" s="741">
        <v>14047.46</v>
      </c>
      <c r="M1107" s="742"/>
      <c r="N1107" s="756">
        <v>189662.6</v>
      </c>
      <c r="AT1107" s="693"/>
      <c r="AU1107" s="696" t="s">
        <v>1838</v>
      </c>
    </row>
    <row r="1108" spans="1:48" s="646" customFormat="1" ht="14.4" x14ac:dyDescent="0.3">
      <c r="A1108" s="740"/>
      <c r="B1108" s="698"/>
      <c r="C1108" s="982" t="s">
        <v>1831</v>
      </c>
      <c r="D1108" s="982"/>
      <c r="E1108" s="982"/>
      <c r="F1108" s="982"/>
      <c r="G1108" s="982"/>
      <c r="H1108" s="982"/>
      <c r="I1108" s="982"/>
      <c r="J1108" s="982"/>
      <c r="K1108" s="982"/>
      <c r="L1108" s="744"/>
      <c r="M1108" s="742"/>
      <c r="N1108" s="743"/>
      <c r="AT1108" s="693"/>
      <c r="AU1108" s="696" t="s">
        <v>1831</v>
      </c>
    </row>
    <row r="1109" spans="1:48" s="646" customFormat="1" ht="14.4" x14ac:dyDescent="0.3">
      <c r="A1109" s="740"/>
      <c r="B1109" s="698"/>
      <c r="C1109" s="982" t="s">
        <v>1833</v>
      </c>
      <c r="D1109" s="982"/>
      <c r="E1109" s="982"/>
      <c r="F1109" s="982"/>
      <c r="G1109" s="982"/>
      <c r="H1109" s="982"/>
      <c r="I1109" s="982"/>
      <c r="J1109" s="982"/>
      <c r="K1109" s="982"/>
      <c r="L1109" s="741">
        <v>6058.36</v>
      </c>
      <c r="M1109" s="742"/>
      <c r="N1109" s="756">
        <v>80851.06</v>
      </c>
      <c r="AT1109" s="693"/>
      <c r="AU1109" s="696" t="s">
        <v>1833</v>
      </c>
    </row>
    <row r="1110" spans="1:48" s="646" customFormat="1" ht="14.4" x14ac:dyDescent="0.3">
      <c r="A1110" s="740"/>
      <c r="B1110" s="698"/>
      <c r="C1110" s="982" t="s">
        <v>1835</v>
      </c>
      <c r="D1110" s="982"/>
      <c r="E1110" s="982"/>
      <c r="F1110" s="982"/>
      <c r="G1110" s="982"/>
      <c r="H1110" s="982"/>
      <c r="I1110" s="982"/>
      <c r="J1110" s="982"/>
      <c r="K1110" s="982"/>
      <c r="L1110" s="741">
        <v>7989.1</v>
      </c>
      <c r="M1110" s="742"/>
      <c r="N1110" s="756">
        <v>108811.54</v>
      </c>
      <c r="AT1110" s="693"/>
      <c r="AU1110" s="696" t="s">
        <v>1835</v>
      </c>
    </row>
    <row r="1111" spans="1:48" s="646" customFormat="1" ht="14.4" x14ac:dyDescent="0.3">
      <c r="A1111" s="740"/>
      <c r="B1111" s="698"/>
      <c r="C1111" s="982" t="s">
        <v>1877</v>
      </c>
      <c r="D1111" s="982"/>
      <c r="E1111" s="982"/>
      <c r="F1111" s="982"/>
      <c r="G1111" s="982"/>
      <c r="H1111" s="982"/>
      <c r="I1111" s="982"/>
      <c r="J1111" s="982"/>
      <c r="K1111" s="982"/>
      <c r="L1111" s="741">
        <v>11503.7</v>
      </c>
      <c r="M1111" s="742"/>
      <c r="N1111" s="756">
        <v>152947.89000000001</v>
      </c>
      <c r="AT1111" s="693"/>
      <c r="AU1111" s="696" t="s">
        <v>1877</v>
      </c>
    </row>
    <row r="1112" spans="1:48" s="646" customFormat="1" ht="14.4" x14ac:dyDescent="0.3">
      <c r="A1112" s="740"/>
      <c r="B1112" s="698"/>
      <c r="C1112" s="982" t="s">
        <v>1839</v>
      </c>
      <c r="D1112" s="982"/>
      <c r="E1112" s="982"/>
      <c r="F1112" s="982"/>
      <c r="G1112" s="982"/>
      <c r="H1112" s="982"/>
      <c r="I1112" s="982"/>
      <c r="J1112" s="982"/>
      <c r="K1112" s="982"/>
      <c r="L1112" s="741">
        <v>121555.75</v>
      </c>
      <c r="M1112" s="742"/>
      <c r="N1112" s="756">
        <v>5442050.9100000001</v>
      </c>
      <c r="AT1112" s="693"/>
      <c r="AU1112" s="696" t="s">
        <v>1839</v>
      </c>
    </row>
    <row r="1113" spans="1:48" s="646" customFormat="1" ht="14.4" x14ac:dyDescent="0.3">
      <c r="A1113" s="740"/>
      <c r="B1113" s="698"/>
      <c r="C1113" s="982" t="s">
        <v>1840</v>
      </c>
      <c r="D1113" s="982"/>
      <c r="E1113" s="982"/>
      <c r="F1113" s="982"/>
      <c r="G1113" s="982"/>
      <c r="H1113" s="982"/>
      <c r="I1113" s="982"/>
      <c r="J1113" s="982"/>
      <c r="K1113" s="982"/>
      <c r="L1113" s="741">
        <v>137421.81</v>
      </c>
      <c r="M1113" s="742"/>
      <c r="N1113" s="756">
        <v>6152374.8499999996</v>
      </c>
      <c r="AT1113" s="693"/>
      <c r="AU1113" s="696" t="s">
        <v>1840</v>
      </c>
    </row>
    <row r="1114" spans="1:48" s="646" customFormat="1" ht="14.4" x14ac:dyDescent="0.3">
      <c r="A1114" s="740"/>
      <c r="B1114" s="698"/>
      <c r="C1114" s="982" t="s">
        <v>1841</v>
      </c>
      <c r="D1114" s="982"/>
      <c r="E1114" s="982"/>
      <c r="F1114" s="982"/>
      <c r="G1114" s="982"/>
      <c r="H1114" s="982"/>
      <c r="I1114" s="982"/>
      <c r="J1114" s="982"/>
      <c r="K1114" s="982"/>
      <c r="L1114" s="741">
        <v>77568.929999999993</v>
      </c>
      <c r="M1114" s="742"/>
      <c r="N1114" s="756">
        <v>3472760.77</v>
      </c>
      <c r="AT1114" s="693"/>
      <c r="AU1114" s="696" t="s">
        <v>1841</v>
      </c>
    </row>
    <row r="1115" spans="1:48" s="646" customFormat="1" ht="14.4" x14ac:dyDescent="0.3">
      <c r="A1115" s="740"/>
      <c r="B1115" s="746"/>
      <c r="C1115" s="983" t="s">
        <v>2205</v>
      </c>
      <c r="D1115" s="984"/>
      <c r="E1115" s="984"/>
      <c r="F1115" s="984"/>
      <c r="G1115" s="984"/>
      <c r="H1115" s="984"/>
      <c r="I1115" s="984"/>
      <c r="J1115" s="984"/>
      <c r="K1115" s="984"/>
      <c r="L1115" s="747">
        <v>17965107.699999999</v>
      </c>
      <c r="M1115" s="748"/>
      <c r="N1115" s="757">
        <f>161452931.99-10</f>
        <v>161452921.99000001</v>
      </c>
      <c r="AT1115" s="693"/>
      <c r="AV1115" s="693" t="s">
        <v>2206</v>
      </c>
    </row>
    <row r="1116" spans="1:48" s="658" customFormat="1" ht="14.4" x14ac:dyDescent="0.3">
      <c r="A1116" s="758"/>
      <c r="B1116" s="759"/>
      <c r="C1116" s="975" t="s">
        <v>784</v>
      </c>
      <c r="D1116" s="975"/>
      <c r="E1116" s="975"/>
      <c r="F1116" s="975"/>
      <c r="G1116" s="975"/>
      <c r="H1116" s="975"/>
      <c r="I1116" s="975"/>
      <c r="J1116" s="975"/>
      <c r="K1116" s="975"/>
      <c r="L1116" s="760"/>
      <c r="M1116" s="761"/>
      <c r="N1116" s="762">
        <f>ROUND(N1115*0.082,2)</f>
        <v>13239139.6</v>
      </c>
      <c r="AQ1116" s="763"/>
      <c r="AS1116" s="763"/>
    </row>
    <row r="1117" spans="1:48" s="658" customFormat="1" ht="14.4" x14ac:dyDescent="0.3">
      <c r="A1117" s="758"/>
      <c r="B1117" s="759"/>
      <c r="C1117" s="980" t="s">
        <v>785</v>
      </c>
      <c r="D1117" s="981"/>
      <c r="E1117" s="981"/>
      <c r="F1117" s="981"/>
      <c r="G1117" s="981"/>
      <c r="H1117" s="981"/>
      <c r="I1117" s="981"/>
      <c r="J1117" s="981"/>
      <c r="K1117" s="981"/>
      <c r="L1117" s="760"/>
      <c r="M1117" s="761"/>
      <c r="N1117" s="764">
        <f>N1115+N1116</f>
        <v>174692061.59</v>
      </c>
      <c r="AQ1117" s="763"/>
      <c r="AS1117" s="763"/>
    </row>
    <row r="1118" spans="1:48" s="658" customFormat="1" ht="14.4" x14ac:dyDescent="0.3">
      <c r="A1118" s="758"/>
      <c r="B1118" s="759"/>
      <c r="C1118" s="975" t="s">
        <v>786</v>
      </c>
      <c r="D1118" s="975"/>
      <c r="E1118" s="975"/>
      <c r="F1118" s="975"/>
      <c r="G1118" s="975"/>
      <c r="H1118" s="975"/>
      <c r="I1118" s="975"/>
      <c r="J1118" s="975"/>
      <c r="K1118" s="975"/>
      <c r="L1118" s="760"/>
      <c r="M1118" s="761"/>
      <c r="N1118" s="762">
        <f>ROUND(N1117*0.024,2)</f>
        <v>4192609.48</v>
      </c>
      <c r="AQ1118" s="763"/>
      <c r="AS1118" s="763"/>
    </row>
    <row r="1119" spans="1:48" s="658" customFormat="1" ht="14.4" x14ac:dyDescent="0.3">
      <c r="A1119" s="758"/>
      <c r="B1119" s="759"/>
      <c r="C1119" s="980" t="s">
        <v>2207</v>
      </c>
      <c r="D1119" s="981"/>
      <c r="E1119" s="981"/>
      <c r="F1119" s="981"/>
      <c r="G1119" s="981"/>
      <c r="H1119" s="981"/>
      <c r="I1119" s="981"/>
      <c r="J1119" s="981"/>
      <c r="K1119" s="981"/>
      <c r="L1119" s="760"/>
      <c r="M1119" s="761"/>
      <c r="N1119" s="764">
        <f>N1117+N1118</f>
        <v>178884671.06999999</v>
      </c>
      <c r="AQ1119" s="763"/>
      <c r="AS1119" s="763"/>
    </row>
    <row r="1120" spans="1:48" s="658" customFormat="1" ht="14.4" x14ac:dyDescent="0.3">
      <c r="A1120" s="758"/>
      <c r="B1120" s="759"/>
      <c r="C1120" s="980" t="s">
        <v>2208</v>
      </c>
      <c r="D1120" s="981"/>
      <c r="E1120" s="981"/>
      <c r="F1120" s="981"/>
      <c r="G1120" s="981"/>
      <c r="H1120" s="981"/>
      <c r="I1120" s="981"/>
      <c r="J1120" s="981"/>
      <c r="K1120" s="981"/>
      <c r="L1120" s="760"/>
      <c r="M1120" s="761"/>
      <c r="N1120" s="764">
        <f>ROUND(N1119*1.05136042,2)+0.94</f>
        <v>188072263.84999999</v>
      </c>
      <c r="AQ1120" s="763"/>
      <c r="AS1120" s="763"/>
    </row>
    <row r="1121" spans="1:52" s="658" customFormat="1" ht="14.4" x14ac:dyDescent="0.3">
      <c r="A1121" s="758"/>
      <c r="B1121" s="759"/>
      <c r="C1121" s="980" t="s">
        <v>2209</v>
      </c>
      <c r="D1121" s="981"/>
      <c r="E1121" s="981"/>
      <c r="F1121" s="981"/>
      <c r="G1121" s="981"/>
      <c r="H1121" s="981"/>
      <c r="I1121" s="981"/>
      <c r="J1121" s="981"/>
      <c r="K1121" s="981"/>
      <c r="L1121" s="760"/>
      <c r="M1121" s="761"/>
      <c r="N1121" s="764">
        <f>N1120</f>
        <v>188072263.84999999</v>
      </c>
      <c r="R1121" s="765"/>
      <c r="AQ1121" s="763"/>
      <c r="AS1121" s="763"/>
    </row>
    <row r="1122" spans="1:52" s="770" customFormat="1" ht="14.4" x14ac:dyDescent="0.3">
      <c r="A1122" s="766"/>
      <c r="B1122" s="767"/>
      <c r="C1122" s="975" t="s">
        <v>38</v>
      </c>
      <c r="D1122" s="975"/>
      <c r="E1122" s="975"/>
      <c r="F1122" s="975"/>
      <c r="G1122" s="975"/>
      <c r="H1122" s="975"/>
      <c r="I1122" s="975"/>
      <c r="J1122" s="975"/>
      <c r="K1122" s="975"/>
      <c r="L1122" s="768"/>
      <c r="M1122" s="769"/>
      <c r="N1122" s="762">
        <f>ROUND(N1121*0.2,2)</f>
        <v>37614452.770000003</v>
      </c>
      <c r="AQ1122" s="771"/>
      <c r="AS1122" s="771"/>
    </row>
    <row r="1123" spans="1:52" s="658" customFormat="1" ht="14.4" x14ac:dyDescent="0.3">
      <c r="A1123" s="772"/>
      <c r="B1123" s="773"/>
      <c r="C1123" s="976" t="s">
        <v>2210</v>
      </c>
      <c r="D1123" s="977"/>
      <c r="E1123" s="977"/>
      <c r="F1123" s="977"/>
      <c r="G1123" s="977"/>
      <c r="H1123" s="977"/>
      <c r="I1123" s="977"/>
      <c r="J1123" s="977"/>
      <c r="K1123" s="977"/>
      <c r="L1123" s="774"/>
      <c r="M1123" s="775"/>
      <c r="N1123" s="776">
        <f>N1121+N1122</f>
        <v>225686716.62</v>
      </c>
      <c r="AQ1123" s="763"/>
      <c r="AS1123" s="763"/>
    </row>
    <row r="1124" spans="1:52" s="646" customFormat="1" ht="21" customHeight="1" x14ac:dyDescent="0.3"/>
    <row r="1125" spans="1:52" s="646" customFormat="1" ht="26.25" customHeight="1" x14ac:dyDescent="0.3"/>
    <row r="1126" spans="1:52" s="650" customFormat="1" ht="14.4" x14ac:dyDescent="0.3">
      <c r="A1126" s="648"/>
      <c r="B1126" s="777" t="s">
        <v>2211</v>
      </c>
      <c r="C1126" s="978"/>
      <c r="D1126" s="978"/>
      <c r="E1126" s="978"/>
      <c r="F1126" s="978"/>
      <c r="G1126" s="978"/>
      <c r="H1126" s="979"/>
      <c r="I1126" s="979"/>
      <c r="J1126" s="979"/>
      <c r="K1126" s="979"/>
      <c r="L1126" s="979"/>
      <c r="M1126" s="646"/>
      <c r="N1126" s="646"/>
      <c r="O1126" s="646"/>
      <c r="P1126" s="646"/>
      <c r="Q1126" s="646"/>
      <c r="R1126" s="646"/>
      <c r="S1126" s="646"/>
      <c r="T1126" s="646"/>
      <c r="U1126" s="646"/>
      <c r="V1126" s="654"/>
      <c r="W1126" s="654"/>
      <c r="X1126" s="654"/>
      <c r="Y1126" s="654"/>
      <c r="Z1126" s="654"/>
      <c r="AA1126" s="654"/>
      <c r="AB1126" s="654"/>
      <c r="AC1126" s="654"/>
      <c r="AD1126" s="654"/>
      <c r="AE1126" s="654"/>
      <c r="AF1126" s="654"/>
      <c r="AG1126" s="654"/>
      <c r="AH1126" s="654"/>
      <c r="AI1126" s="654"/>
      <c r="AJ1126" s="654"/>
      <c r="AK1126" s="654"/>
      <c r="AL1126" s="654"/>
      <c r="AM1126" s="654"/>
      <c r="AN1126" s="654"/>
      <c r="AO1126" s="654"/>
      <c r="AP1126" s="654"/>
      <c r="AQ1126" s="654"/>
      <c r="AR1126" s="654"/>
      <c r="AS1126" s="654"/>
      <c r="AT1126" s="654"/>
      <c r="AU1126" s="654"/>
      <c r="AV1126" s="654"/>
      <c r="AW1126" s="654" t="s">
        <v>731</v>
      </c>
      <c r="AX1126" s="654" t="s">
        <v>2212</v>
      </c>
      <c r="AY1126" s="654"/>
      <c r="AZ1126" s="654"/>
    </row>
    <row r="1127" spans="1:52" s="778" customFormat="1" ht="16.5" customHeight="1" x14ac:dyDescent="0.3">
      <c r="A1127" s="652"/>
      <c r="B1127" s="777"/>
      <c r="C1127" s="973" t="s">
        <v>2213</v>
      </c>
      <c r="D1127" s="973"/>
      <c r="E1127" s="973"/>
      <c r="F1127" s="973"/>
      <c r="G1127" s="973"/>
      <c r="H1127" s="973"/>
      <c r="I1127" s="973"/>
      <c r="J1127" s="973"/>
      <c r="K1127" s="973"/>
      <c r="L1127" s="973"/>
      <c r="V1127" s="779"/>
      <c r="W1127" s="779"/>
      <c r="X1127" s="779"/>
      <c r="Y1127" s="779"/>
      <c r="Z1127" s="779"/>
      <c r="AA1127" s="779"/>
      <c r="AB1127" s="779"/>
      <c r="AC1127" s="779"/>
      <c r="AD1127" s="779"/>
      <c r="AE1127" s="779"/>
      <c r="AF1127" s="779"/>
      <c r="AG1127" s="779"/>
      <c r="AH1127" s="779"/>
      <c r="AI1127" s="779"/>
      <c r="AJ1127" s="779"/>
      <c r="AK1127" s="779"/>
      <c r="AL1127" s="779"/>
      <c r="AM1127" s="779"/>
      <c r="AN1127" s="779"/>
      <c r="AO1127" s="779"/>
      <c r="AP1127" s="779"/>
      <c r="AQ1127" s="779"/>
      <c r="AR1127" s="779"/>
      <c r="AS1127" s="779"/>
      <c r="AT1127" s="779"/>
      <c r="AU1127" s="779"/>
      <c r="AV1127" s="779"/>
      <c r="AW1127" s="779"/>
      <c r="AX1127" s="779"/>
      <c r="AY1127" s="779"/>
      <c r="AZ1127" s="779"/>
    </row>
    <row r="1128" spans="1:52" s="650" customFormat="1" ht="14.4" x14ac:dyDescent="0.3">
      <c r="A1128" s="648"/>
      <c r="B1128" s="777" t="s">
        <v>2214</v>
      </c>
      <c r="C1128" s="978"/>
      <c r="D1128" s="978"/>
      <c r="E1128" s="978"/>
      <c r="F1128" s="978"/>
      <c r="G1128" s="978"/>
      <c r="H1128" s="979"/>
      <c r="I1128" s="979"/>
      <c r="J1128" s="979"/>
      <c r="K1128" s="979"/>
      <c r="L1128" s="979"/>
      <c r="M1128" s="646"/>
      <c r="N1128" s="646"/>
      <c r="O1128" s="646"/>
      <c r="P1128" s="646"/>
      <c r="Q1128" s="646"/>
      <c r="R1128" s="646"/>
      <c r="S1128" s="646"/>
      <c r="T1128" s="646"/>
      <c r="U1128" s="646"/>
      <c r="V1128" s="654"/>
      <c r="W1128" s="654"/>
      <c r="X1128" s="654"/>
      <c r="Y1128" s="654"/>
      <c r="Z1128" s="654"/>
      <c r="AA1128" s="654"/>
      <c r="AB1128" s="654"/>
      <c r="AC1128" s="654"/>
      <c r="AD1128" s="654"/>
      <c r="AE1128" s="654"/>
      <c r="AF1128" s="654"/>
      <c r="AG1128" s="654"/>
      <c r="AH1128" s="654"/>
      <c r="AI1128" s="654"/>
      <c r="AJ1128" s="654"/>
      <c r="AK1128" s="654"/>
      <c r="AL1128" s="654"/>
      <c r="AM1128" s="654"/>
      <c r="AN1128" s="654"/>
      <c r="AO1128" s="654"/>
      <c r="AP1128" s="654"/>
      <c r="AQ1128" s="654"/>
      <c r="AR1128" s="654"/>
      <c r="AS1128" s="654"/>
      <c r="AT1128" s="654"/>
      <c r="AU1128" s="654"/>
      <c r="AV1128" s="654"/>
      <c r="AW1128" s="654"/>
      <c r="AX1128" s="654"/>
      <c r="AY1128" s="654" t="s">
        <v>731</v>
      </c>
      <c r="AZ1128" s="654" t="s">
        <v>731</v>
      </c>
    </row>
    <row r="1129" spans="1:52" s="778" customFormat="1" ht="16.5" customHeight="1" x14ac:dyDescent="0.3">
      <c r="A1129" s="652"/>
      <c r="C1129" s="973" t="s">
        <v>2213</v>
      </c>
      <c r="D1129" s="973"/>
      <c r="E1129" s="973"/>
      <c r="F1129" s="973"/>
      <c r="G1129" s="973"/>
      <c r="H1129" s="973"/>
      <c r="I1129" s="973"/>
      <c r="J1129" s="973"/>
      <c r="K1129" s="973"/>
      <c r="L1129" s="973"/>
      <c r="V1129" s="779"/>
      <c r="W1129" s="779"/>
      <c r="X1129" s="779"/>
      <c r="Y1129" s="779"/>
      <c r="Z1129" s="779"/>
      <c r="AA1129" s="779"/>
      <c r="AB1129" s="779"/>
      <c r="AC1129" s="779"/>
      <c r="AD1129" s="779"/>
      <c r="AE1129" s="779"/>
      <c r="AF1129" s="779"/>
      <c r="AG1129" s="779"/>
      <c r="AH1129" s="779"/>
      <c r="AI1129" s="779"/>
      <c r="AJ1129" s="779"/>
      <c r="AK1129" s="779"/>
      <c r="AL1129" s="779"/>
      <c r="AM1129" s="779"/>
      <c r="AN1129" s="779"/>
      <c r="AO1129" s="779"/>
      <c r="AP1129" s="779"/>
      <c r="AQ1129" s="779"/>
      <c r="AR1129" s="779"/>
      <c r="AS1129" s="779"/>
      <c r="AT1129" s="779"/>
      <c r="AU1129" s="779"/>
      <c r="AV1129" s="779"/>
      <c r="AW1129" s="779"/>
      <c r="AX1129" s="779"/>
      <c r="AY1129" s="779"/>
      <c r="AZ1129" s="779"/>
    </row>
    <row r="1130" spans="1:52" s="650" customFormat="1" ht="19.5" customHeight="1" x14ac:dyDescent="0.2">
      <c r="A1130" s="648"/>
      <c r="C1130" s="780"/>
      <c r="D1130" s="780"/>
      <c r="E1130" s="780"/>
      <c r="F1130" s="780"/>
      <c r="G1130" s="780"/>
      <c r="H1130" s="780"/>
      <c r="I1130" s="780"/>
      <c r="J1130" s="780"/>
      <c r="K1130" s="780"/>
      <c r="L1130" s="780"/>
      <c r="V1130" s="654"/>
      <c r="W1130" s="654"/>
      <c r="X1130" s="654"/>
      <c r="Y1130" s="654"/>
      <c r="Z1130" s="654"/>
      <c r="AA1130" s="654"/>
      <c r="AB1130" s="654"/>
      <c r="AC1130" s="654"/>
      <c r="AD1130" s="654"/>
      <c r="AE1130" s="654"/>
      <c r="AF1130" s="654"/>
      <c r="AG1130" s="654"/>
      <c r="AH1130" s="654"/>
      <c r="AI1130" s="654"/>
      <c r="AJ1130" s="654"/>
      <c r="AK1130" s="654"/>
      <c r="AL1130" s="654"/>
      <c r="AM1130" s="654"/>
      <c r="AN1130" s="654"/>
      <c r="AO1130" s="654"/>
      <c r="AP1130" s="654"/>
      <c r="AQ1130" s="654"/>
      <c r="AR1130" s="654"/>
      <c r="AS1130" s="654"/>
      <c r="AT1130" s="654"/>
      <c r="AU1130" s="654"/>
      <c r="AV1130" s="654"/>
      <c r="AW1130" s="654"/>
      <c r="AX1130" s="654"/>
      <c r="AY1130" s="654"/>
      <c r="AZ1130" s="654"/>
    </row>
    <row r="1131" spans="1:52" s="646" customFormat="1" ht="22.5" customHeight="1" x14ac:dyDescent="0.3">
      <c r="A1131" s="974" t="s">
        <v>2215</v>
      </c>
      <c r="B1131" s="974"/>
      <c r="C1131" s="974"/>
      <c r="D1131" s="974"/>
      <c r="E1131" s="974"/>
      <c r="F1131" s="974"/>
      <c r="G1131" s="974"/>
      <c r="H1131" s="974"/>
      <c r="I1131" s="974"/>
      <c r="J1131" s="974"/>
      <c r="K1131" s="974"/>
      <c r="L1131" s="974"/>
      <c r="M1131" s="974"/>
      <c r="N1131" s="974"/>
      <c r="O1131" s="753"/>
      <c r="P1131" s="753"/>
    </row>
    <row r="1132" spans="1:52" s="646" customFormat="1" ht="12.75" customHeight="1" x14ac:dyDescent="0.3">
      <c r="A1132" s="974" t="s">
        <v>2216</v>
      </c>
      <c r="B1132" s="974"/>
      <c r="C1132" s="974"/>
      <c r="D1132" s="974"/>
      <c r="E1132" s="974"/>
      <c r="F1132" s="974"/>
      <c r="G1132" s="974"/>
      <c r="H1132" s="974"/>
      <c r="I1132" s="974"/>
      <c r="J1132" s="974"/>
      <c r="K1132" s="974"/>
      <c r="L1132" s="974"/>
      <c r="M1132" s="974"/>
      <c r="N1132" s="974"/>
      <c r="O1132" s="753"/>
      <c r="P1132" s="753"/>
    </row>
    <row r="1133" spans="1:52" s="646" customFormat="1" ht="12.75" customHeight="1" x14ac:dyDescent="0.3">
      <c r="A1133" s="974" t="s">
        <v>2217</v>
      </c>
      <c r="B1133" s="974"/>
      <c r="C1133" s="974"/>
      <c r="D1133" s="974"/>
      <c r="E1133" s="974"/>
      <c r="F1133" s="974"/>
      <c r="G1133" s="974"/>
      <c r="H1133" s="974"/>
      <c r="I1133" s="974"/>
      <c r="J1133" s="974"/>
      <c r="K1133" s="974"/>
      <c r="L1133" s="974"/>
      <c r="M1133" s="974"/>
      <c r="N1133" s="974"/>
      <c r="O1133" s="753"/>
      <c r="P1133" s="753"/>
    </row>
    <row r="1134" spans="1:52" s="646" customFormat="1" ht="19.5" customHeight="1" x14ac:dyDescent="0.3"/>
    <row r="1135" spans="1:52" s="646" customFormat="1" ht="14.4" x14ac:dyDescent="0.3">
      <c r="B1135" s="781"/>
      <c r="D1135" s="781"/>
      <c r="F1135" s="781"/>
    </row>
  </sheetData>
  <mergeCells count="1123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N59"/>
    <mergeCell ref="C60:N60"/>
    <mergeCell ref="C49:E49"/>
    <mergeCell ref="C50:E50"/>
    <mergeCell ref="C51:E51"/>
    <mergeCell ref="C52:E52"/>
    <mergeCell ref="C53:E53"/>
    <mergeCell ref="C54:E54"/>
    <mergeCell ref="C79:E79"/>
    <mergeCell ref="C80:N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N69"/>
    <mergeCell ref="C70:N70"/>
    <mergeCell ref="C71:N71"/>
    <mergeCell ref="C72:E72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N87"/>
    <mergeCell ref="C88:N88"/>
    <mergeCell ref="C89:N89"/>
    <mergeCell ref="C90:E90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133:E133"/>
    <mergeCell ref="C134:E134"/>
    <mergeCell ref="C135:N135"/>
    <mergeCell ref="C136:N136"/>
    <mergeCell ref="C137:N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51:N151"/>
    <mergeCell ref="C152:N152"/>
    <mergeCell ref="C153:N153"/>
    <mergeCell ref="C154:E154"/>
    <mergeCell ref="C155:E155"/>
    <mergeCell ref="C156:N156"/>
    <mergeCell ref="C145:E145"/>
    <mergeCell ref="C146:E146"/>
    <mergeCell ref="C147:E147"/>
    <mergeCell ref="C148:E148"/>
    <mergeCell ref="C149:E149"/>
    <mergeCell ref="C150:N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N174"/>
    <mergeCell ref="C163:E163"/>
    <mergeCell ref="C164:E164"/>
    <mergeCell ref="C165:E165"/>
    <mergeCell ref="C166:E166"/>
    <mergeCell ref="C167:E167"/>
    <mergeCell ref="C168:E168"/>
    <mergeCell ref="C157:N157"/>
    <mergeCell ref="C158:N158"/>
    <mergeCell ref="C159:E159"/>
    <mergeCell ref="C160:E160"/>
    <mergeCell ref="C161:E161"/>
    <mergeCell ref="C162:E162"/>
    <mergeCell ref="C188:K188"/>
    <mergeCell ref="C189:K189"/>
    <mergeCell ref="C190:K190"/>
    <mergeCell ref="C191:K191"/>
    <mergeCell ref="C192:K192"/>
    <mergeCell ref="C193:K193"/>
    <mergeCell ref="C182:K182"/>
    <mergeCell ref="C183:K183"/>
    <mergeCell ref="C184:K184"/>
    <mergeCell ref="C185:K185"/>
    <mergeCell ref="C186:K186"/>
    <mergeCell ref="C187:K187"/>
    <mergeCell ref="C175:E175"/>
    <mergeCell ref="C177:K177"/>
    <mergeCell ref="C178:K178"/>
    <mergeCell ref="C179:K179"/>
    <mergeCell ref="C180:K180"/>
    <mergeCell ref="C181:K181"/>
    <mergeCell ref="C206:E206"/>
    <mergeCell ref="C207:E207"/>
    <mergeCell ref="C208:E208"/>
    <mergeCell ref="C209:E209"/>
    <mergeCell ref="C210:E210"/>
    <mergeCell ref="C211:E211"/>
    <mergeCell ref="C200:N200"/>
    <mergeCell ref="C201:E201"/>
    <mergeCell ref="C202:E202"/>
    <mergeCell ref="C203:E203"/>
    <mergeCell ref="C204:E204"/>
    <mergeCell ref="C205:E205"/>
    <mergeCell ref="C194:K194"/>
    <mergeCell ref="C195:K195"/>
    <mergeCell ref="C196:K196"/>
    <mergeCell ref="C197:K197"/>
    <mergeCell ref="A198:N198"/>
    <mergeCell ref="C199:E199"/>
    <mergeCell ref="C224:N224"/>
    <mergeCell ref="C225:N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E215"/>
    <mergeCell ref="C216:E216"/>
    <mergeCell ref="C217:E217"/>
    <mergeCell ref="C242:E242"/>
    <mergeCell ref="C243:E243"/>
    <mergeCell ref="C244:E244"/>
    <mergeCell ref="C245:E245"/>
    <mergeCell ref="C246:E246"/>
    <mergeCell ref="C247:E247"/>
    <mergeCell ref="C236:E236"/>
    <mergeCell ref="C237:N237"/>
    <mergeCell ref="C238:N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N256"/>
    <mergeCell ref="C257:E257"/>
    <mergeCell ref="C258:E258"/>
    <mergeCell ref="C259:N259"/>
    <mergeCell ref="C248:E248"/>
    <mergeCell ref="C249:E249"/>
    <mergeCell ref="C250:N250"/>
    <mergeCell ref="C251:E251"/>
    <mergeCell ref="C252:E252"/>
    <mergeCell ref="C253:N253"/>
    <mergeCell ref="C278:N278"/>
    <mergeCell ref="C279:N279"/>
    <mergeCell ref="C280:E280"/>
    <mergeCell ref="C282:K282"/>
    <mergeCell ref="C283:K283"/>
    <mergeCell ref="C284:K284"/>
    <mergeCell ref="C272:E272"/>
    <mergeCell ref="C273:E273"/>
    <mergeCell ref="C274:N274"/>
    <mergeCell ref="C275:E275"/>
    <mergeCell ref="C276:E276"/>
    <mergeCell ref="C277:N277"/>
    <mergeCell ref="C266:E266"/>
    <mergeCell ref="C267:E267"/>
    <mergeCell ref="C268:N268"/>
    <mergeCell ref="C269:E269"/>
    <mergeCell ref="C270:E270"/>
    <mergeCell ref="C271:N271"/>
    <mergeCell ref="C297:K297"/>
    <mergeCell ref="C298:K298"/>
    <mergeCell ref="C299:K299"/>
    <mergeCell ref="C300:K300"/>
    <mergeCell ref="C301:K301"/>
    <mergeCell ref="C302:K302"/>
    <mergeCell ref="C291:K291"/>
    <mergeCell ref="C292:K292"/>
    <mergeCell ref="C293:K293"/>
    <mergeCell ref="C294:K294"/>
    <mergeCell ref="C295:K295"/>
    <mergeCell ref="C296:K296"/>
    <mergeCell ref="C285:K285"/>
    <mergeCell ref="C286:K286"/>
    <mergeCell ref="C287:K287"/>
    <mergeCell ref="C288:K288"/>
    <mergeCell ref="C289:K289"/>
    <mergeCell ref="C290:K290"/>
    <mergeCell ref="C315:E315"/>
    <mergeCell ref="C316:E316"/>
    <mergeCell ref="C317:E317"/>
    <mergeCell ref="C318:E318"/>
    <mergeCell ref="C319:E319"/>
    <mergeCell ref="C320:E320"/>
    <mergeCell ref="C309:N309"/>
    <mergeCell ref="C310:E310"/>
    <mergeCell ref="C311:E311"/>
    <mergeCell ref="C312:E312"/>
    <mergeCell ref="C313:E313"/>
    <mergeCell ref="C314:E314"/>
    <mergeCell ref="C303:K303"/>
    <mergeCell ref="C304:K304"/>
    <mergeCell ref="A305:N305"/>
    <mergeCell ref="C306:E306"/>
    <mergeCell ref="C307:N307"/>
    <mergeCell ref="C308:N308"/>
    <mergeCell ref="C333:E333"/>
    <mergeCell ref="C334:N334"/>
    <mergeCell ref="C335:N335"/>
    <mergeCell ref="C336:N336"/>
    <mergeCell ref="C337:E337"/>
    <mergeCell ref="C338:E338"/>
    <mergeCell ref="C327:N327"/>
    <mergeCell ref="C328:N328"/>
    <mergeCell ref="C329:E329"/>
    <mergeCell ref="C330:E330"/>
    <mergeCell ref="C331:N331"/>
    <mergeCell ref="C332:E332"/>
    <mergeCell ref="C321:E321"/>
    <mergeCell ref="C322:N322"/>
    <mergeCell ref="C323:E323"/>
    <mergeCell ref="C324:E324"/>
    <mergeCell ref="C325:N325"/>
    <mergeCell ref="C326:N326"/>
    <mergeCell ref="C351:E351"/>
    <mergeCell ref="C352:E352"/>
    <mergeCell ref="C353:N353"/>
    <mergeCell ref="C354:E354"/>
    <mergeCell ref="C355:E355"/>
    <mergeCell ref="C356:N356"/>
    <mergeCell ref="C345:E345"/>
    <mergeCell ref="C346:E346"/>
    <mergeCell ref="C347:N347"/>
    <mergeCell ref="C348:E348"/>
    <mergeCell ref="C349:E349"/>
    <mergeCell ref="C350:N350"/>
    <mergeCell ref="C339:N339"/>
    <mergeCell ref="C340:E340"/>
    <mergeCell ref="C341:E341"/>
    <mergeCell ref="C342:N342"/>
    <mergeCell ref="C343:N343"/>
    <mergeCell ref="C344:N344"/>
    <mergeCell ref="C369:E369"/>
    <mergeCell ref="C370:E370"/>
    <mergeCell ref="C371:E371"/>
    <mergeCell ref="C372:E372"/>
    <mergeCell ref="C373:E373"/>
    <mergeCell ref="C374:E374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N359"/>
    <mergeCell ref="C360:N360"/>
    <mergeCell ref="C361:N361"/>
    <mergeCell ref="C362:E362"/>
    <mergeCell ref="C387:E387"/>
    <mergeCell ref="C388:N388"/>
    <mergeCell ref="C389:E389"/>
    <mergeCell ref="C390:E390"/>
    <mergeCell ref="C391:N391"/>
    <mergeCell ref="C392:E392"/>
    <mergeCell ref="C381:E381"/>
    <mergeCell ref="C382:N382"/>
    <mergeCell ref="C383:N383"/>
    <mergeCell ref="C384:N384"/>
    <mergeCell ref="C385:N385"/>
    <mergeCell ref="C386:E386"/>
    <mergeCell ref="C375:E375"/>
    <mergeCell ref="C376:E376"/>
    <mergeCell ref="C377:E377"/>
    <mergeCell ref="C378:E378"/>
    <mergeCell ref="C379:N379"/>
    <mergeCell ref="C380:E380"/>
    <mergeCell ref="C405:N405"/>
    <mergeCell ref="C406:E406"/>
    <mergeCell ref="C407:E407"/>
    <mergeCell ref="C408:N408"/>
    <mergeCell ref="C409:E409"/>
    <mergeCell ref="C410:E410"/>
    <mergeCell ref="C399:N399"/>
    <mergeCell ref="C400:E400"/>
    <mergeCell ref="C401:E401"/>
    <mergeCell ref="C402:N402"/>
    <mergeCell ref="C403:E403"/>
    <mergeCell ref="C404:E404"/>
    <mergeCell ref="C393:E393"/>
    <mergeCell ref="C394:N394"/>
    <mergeCell ref="C395:N395"/>
    <mergeCell ref="C396:N396"/>
    <mergeCell ref="C397:E397"/>
    <mergeCell ref="C398:E398"/>
    <mergeCell ref="C423:E423"/>
    <mergeCell ref="C424:E424"/>
    <mergeCell ref="C425:E425"/>
    <mergeCell ref="C426:E426"/>
    <mergeCell ref="C427:E427"/>
    <mergeCell ref="C428:E428"/>
    <mergeCell ref="C417:N417"/>
    <mergeCell ref="C418:N418"/>
    <mergeCell ref="C419:N419"/>
    <mergeCell ref="C420:E420"/>
    <mergeCell ref="C421:E421"/>
    <mergeCell ref="C422:E422"/>
    <mergeCell ref="C411:N411"/>
    <mergeCell ref="C412:N412"/>
    <mergeCell ref="C413:N413"/>
    <mergeCell ref="C414:N414"/>
    <mergeCell ref="C415:E415"/>
    <mergeCell ref="C416:E416"/>
    <mergeCell ref="C441:N441"/>
    <mergeCell ref="C442:E442"/>
    <mergeCell ref="C443:E443"/>
    <mergeCell ref="C444:N444"/>
    <mergeCell ref="C445:N445"/>
    <mergeCell ref="C446:N446"/>
    <mergeCell ref="C435:N435"/>
    <mergeCell ref="C436:N436"/>
    <mergeCell ref="C437:N437"/>
    <mergeCell ref="C438:N438"/>
    <mergeCell ref="C439:E439"/>
    <mergeCell ref="C440:E440"/>
    <mergeCell ref="C429:E429"/>
    <mergeCell ref="C430:E430"/>
    <mergeCell ref="C431:E431"/>
    <mergeCell ref="C432:N432"/>
    <mergeCell ref="C433:E433"/>
    <mergeCell ref="C434:E434"/>
    <mergeCell ref="C459:E459"/>
    <mergeCell ref="C460:E460"/>
    <mergeCell ref="C461:N461"/>
    <mergeCell ref="C462:E462"/>
    <mergeCell ref="C463:E463"/>
    <mergeCell ref="C464:N464"/>
    <mergeCell ref="C453:N453"/>
    <mergeCell ref="C454:N454"/>
    <mergeCell ref="C455:N455"/>
    <mergeCell ref="C456:E456"/>
    <mergeCell ref="C457:E457"/>
    <mergeCell ref="C458:N458"/>
    <mergeCell ref="C447:E447"/>
    <mergeCell ref="C448:E448"/>
    <mergeCell ref="C449:N449"/>
    <mergeCell ref="C450:E450"/>
    <mergeCell ref="C451:E451"/>
    <mergeCell ref="C452:N452"/>
    <mergeCell ref="C477:N477"/>
    <mergeCell ref="C478:N478"/>
    <mergeCell ref="C479:E479"/>
    <mergeCell ref="C480:E480"/>
    <mergeCell ref="C481:N481"/>
    <mergeCell ref="C482:N482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N467"/>
    <mergeCell ref="C468:E468"/>
    <mergeCell ref="C469:E469"/>
    <mergeCell ref="C470:N470"/>
    <mergeCell ref="C495:E495"/>
    <mergeCell ref="C496:N496"/>
    <mergeCell ref="C497:E497"/>
    <mergeCell ref="C498:E498"/>
    <mergeCell ref="C499:N499"/>
    <mergeCell ref="C500:E500"/>
    <mergeCell ref="C489:E489"/>
    <mergeCell ref="C490:E490"/>
    <mergeCell ref="C491:E491"/>
    <mergeCell ref="C492:E492"/>
    <mergeCell ref="C493:E493"/>
    <mergeCell ref="C494:E494"/>
    <mergeCell ref="C483:N483"/>
    <mergeCell ref="C484:E484"/>
    <mergeCell ref="C485:E485"/>
    <mergeCell ref="C486:E486"/>
    <mergeCell ref="C487:E487"/>
    <mergeCell ref="C488:E488"/>
    <mergeCell ref="C513:N513"/>
    <mergeCell ref="C514:E514"/>
    <mergeCell ref="C515:E515"/>
    <mergeCell ref="C516:N516"/>
    <mergeCell ref="C517:E517"/>
    <mergeCell ref="C518:E518"/>
    <mergeCell ref="C507:N507"/>
    <mergeCell ref="C508:E508"/>
    <mergeCell ref="C509:E509"/>
    <mergeCell ref="C510:N510"/>
    <mergeCell ref="C511:N511"/>
    <mergeCell ref="C512:N512"/>
    <mergeCell ref="C501:E501"/>
    <mergeCell ref="C502:N502"/>
    <mergeCell ref="C503:N503"/>
    <mergeCell ref="C504:N504"/>
    <mergeCell ref="C505:E505"/>
    <mergeCell ref="C506:E506"/>
    <mergeCell ref="C531:E531"/>
    <mergeCell ref="C532:E532"/>
    <mergeCell ref="C533:N533"/>
    <mergeCell ref="C534:N534"/>
    <mergeCell ref="C535:N535"/>
    <mergeCell ref="C536:E536"/>
    <mergeCell ref="C525:N525"/>
    <mergeCell ref="C526:E526"/>
    <mergeCell ref="C527:E527"/>
    <mergeCell ref="C528:N528"/>
    <mergeCell ref="C529:N529"/>
    <mergeCell ref="C530:N530"/>
    <mergeCell ref="C519:N519"/>
    <mergeCell ref="C520:E520"/>
    <mergeCell ref="C521:E521"/>
    <mergeCell ref="C522:N522"/>
    <mergeCell ref="C523:E523"/>
    <mergeCell ref="C524:E524"/>
    <mergeCell ref="C549:N549"/>
    <mergeCell ref="C550:E550"/>
    <mergeCell ref="C551:E551"/>
    <mergeCell ref="C552:N552"/>
    <mergeCell ref="C553:E553"/>
    <mergeCell ref="C554:E554"/>
    <mergeCell ref="C543:E543"/>
    <mergeCell ref="C544:E544"/>
    <mergeCell ref="C545:E545"/>
    <mergeCell ref="C546:N546"/>
    <mergeCell ref="C547:E547"/>
    <mergeCell ref="C548:E548"/>
    <mergeCell ref="C537:E537"/>
    <mergeCell ref="C538:E538"/>
    <mergeCell ref="C539:E539"/>
    <mergeCell ref="C540:E540"/>
    <mergeCell ref="C541:E541"/>
    <mergeCell ref="C542:E542"/>
    <mergeCell ref="C567:N567"/>
    <mergeCell ref="C568:N568"/>
    <mergeCell ref="C569:N569"/>
    <mergeCell ref="C570:E570"/>
    <mergeCell ref="C571:E571"/>
    <mergeCell ref="C572:N572"/>
    <mergeCell ref="C561:N561"/>
    <mergeCell ref="C562:E562"/>
    <mergeCell ref="C563:E563"/>
    <mergeCell ref="C564:N564"/>
    <mergeCell ref="C565:E565"/>
    <mergeCell ref="C566:E566"/>
    <mergeCell ref="C555:N555"/>
    <mergeCell ref="C556:E556"/>
    <mergeCell ref="C557:E557"/>
    <mergeCell ref="C558:N558"/>
    <mergeCell ref="C559:E559"/>
    <mergeCell ref="C560:E560"/>
    <mergeCell ref="C585:E585"/>
    <mergeCell ref="C586:N586"/>
    <mergeCell ref="C587:N587"/>
    <mergeCell ref="C588:N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N573"/>
    <mergeCell ref="C574:E574"/>
    <mergeCell ref="C575:E575"/>
    <mergeCell ref="C576:E576"/>
    <mergeCell ref="C577:E577"/>
    <mergeCell ref="C578:E578"/>
    <mergeCell ref="C603:E603"/>
    <mergeCell ref="C604:E604"/>
    <mergeCell ref="C605:E605"/>
    <mergeCell ref="C606:E606"/>
    <mergeCell ref="C607:E607"/>
    <mergeCell ref="C608:E608"/>
    <mergeCell ref="C597:N597"/>
    <mergeCell ref="C598:N598"/>
    <mergeCell ref="C599:E599"/>
    <mergeCell ref="C600:E600"/>
    <mergeCell ref="C601:E601"/>
    <mergeCell ref="C602:E602"/>
    <mergeCell ref="C591:N591"/>
    <mergeCell ref="C592:N592"/>
    <mergeCell ref="C593:N593"/>
    <mergeCell ref="C594:E594"/>
    <mergeCell ref="C595:E595"/>
    <mergeCell ref="C596:N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N611"/>
    <mergeCell ref="C612:N612"/>
    <mergeCell ref="C613:N613"/>
    <mergeCell ref="C614:E614"/>
    <mergeCell ref="C639:E639"/>
    <mergeCell ref="C640:E640"/>
    <mergeCell ref="C641:N641"/>
    <mergeCell ref="C642:N642"/>
    <mergeCell ref="C643:N643"/>
    <mergeCell ref="C644:E644"/>
    <mergeCell ref="C633:E633"/>
    <mergeCell ref="C634:E634"/>
    <mergeCell ref="C635:N635"/>
    <mergeCell ref="C636:N636"/>
    <mergeCell ref="C637:N637"/>
    <mergeCell ref="C638:N638"/>
    <mergeCell ref="C627:N627"/>
    <mergeCell ref="C628:E628"/>
    <mergeCell ref="C629:E629"/>
    <mergeCell ref="C630:N630"/>
    <mergeCell ref="C631:N631"/>
    <mergeCell ref="C632:N632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N656"/>
    <mergeCell ref="C645:E645"/>
    <mergeCell ref="C646:E646"/>
    <mergeCell ref="C647:E647"/>
    <mergeCell ref="C648:E648"/>
    <mergeCell ref="C649:E649"/>
    <mergeCell ref="C650:E650"/>
    <mergeCell ref="C675:N675"/>
    <mergeCell ref="C676:N676"/>
    <mergeCell ref="C677:N677"/>
    <mergeCell ref="C678:E678"/>
    <mergeCell ref="C679:E679"/>
    <mergeCell ref="C680:N680"/>
    <mergeCell ref="C669:E669"/>
    <mergeCell ref="C670:N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3:E693"/>
    <mergeCell ref="C694:E694"/>
    <mergeCell ref="C695:E695"/>
    <mergeCell ref="C696:E696"/>
    <mergeCell ref="C697:E697"/>
    <mergeCell ref="C698:E698"/>
    <mergeCell ref="C687:E687"/>
    <mergeCell ref="C688:E688"/>
    <mergeCell ref="C689:E689"/>
    <mergeCell ref="C690:E690"/>
    <mergeCell ref="C691:E691"/>
    <mergeCell ref="C692:E692"/>
    <mergeCell ref="C681:N681"/>
    <mergeCell ref="C682:N682"/>
    <mergeCell ref="C683:E683"/>
    <mergeCell ref="C684:E684"/>
    <mergeCell ref="C685:N685"/>
    <mergeCell ref="C686:N686"/>
    <mergeCell ref="C711:E711"/>
    <mergeCell ref="C712:N712"/>
    <mergeCell ref="C713:N713"/>
    <mergeCell ref="C714:N714"/>
    <mergeCell ref="C715:E715"/>
    <mergeCell ref="C716:E716"/>
    <mergeCell ref="C705:E705"/>
    <mergeCell ref="C706:E706"/>
    <mergeCell ref="C707:E707"/>
    <mergeCell ref="C708:E708"/>
    <mergeCell ref="C709:E709"/>
    <mergeCell ref="C710:E710"/>
    <mergeCell ref="C699:N699"/>
    <mergeCell ref="C700:N700"/>
    <mergeCell ref="C701:E701"/>
    <mergeCell ref="C702:E702"/>
    <mergeCell ref="C703:E703"/>
    <mergeCell ref="C704:E704"/>
    <mergeCell ref="C729:E729"/>
    <mergeCell ref="C730:E730"/>
    <mergeCell ref="C731:E731"/>
    <mergeCell ref="C732:E732"/>
    <mergeCell ref="C733:E733"/>
    <mergeCell ref="C734:E734"/>
    <mergeCell ref="C723:N723"/>
    <mergeCell ref="C724:E724"/>
    <mergeCell ref="C725:E725"/>
    <mergeCell ref="C726:E726"/>
    <mergeCell ref="C727:E727"/>
    <mergeCell ref="C728:E728"/>
    <mergeCell ref="C717:N717"/>
    <mergeCell ref="C718:N718"/>
    <mergeCell ref="C719:N719"/>
    <mergeCell ref="C720:E720"/>
    <mergeCell ref="C721:E721"/>
    <mergeCell ref="C722:N722"/>
    <mergeCell ref="C747:E747"/>
    <mergeCell ref="C748:E748"/>
    <mergeCell ref="C749:E749"/>
    <mergeCell ref="C750:E750"/>
    <mergeCell ref="C751:E751"/>
    <mergeCell ref="C752:E752"/>
    <mergeCell ref="C741:N741"/>
    <mergeCell ref="C742:E742"/>
    <mergeCell ref="C743:E743"/>
    <mergeCell ref="C744:N744"/>
    <mergeCell ref="C745:N745"/>
    <mergeCell ref="C746:E746"/>
    <mergeCell ref="C735:E735"/>
    <mergeCell ref="C736:N736"/>
    <mergeCell ref="C737:E737"/>
    <mergeCell ref="C738:E738"/>
    <mergeCell ref="C739:N739"/>
    <mergeCell ref="C740:N740"/>
    <mergeCell ref="C765:E765"/>
    <mergeCell ref="C766:E766"/>
    <mergeCell ref="C767:N767"/>
    <mergeCell ref="C768:E768"/>
    <mergeCell ref="C769:E769"/>
    <mergeCell ref="C770:N770"/>
    <mergeCell ref="C759:E759"/>
    <mergeCell ref="C760:E760"/>
    <mergeCell ref="C761:N761"/>
    <mergeCell ref="C762:E762"/>
    <mergeCell ref="C763:E763"/>
    <mergeCell ref="C764:N764"/>
    <mergeCell ref="C753:E753"/>
    <mergeCell ref="C754:E754"/>
    <mergeCell ref="C755:E755"/>
    <mergeCell ref="C756:E756"/>
    <mergeCell ref="C757:E757"/>
    <mergeCell ref="C758:N758"/>
    <mergeCell ref="C783:E783"/>
    <mergeCell ref="C784:N784"/>
    <mergeCell ref="C785:N785"/>
    <mergeCell ref="C786:N786"/>
    <mergeCell ref="C787:E787"/>
    <mergeCell ref="C788:E788"/>
    <mergeCell ref="C777:E777"/>
    <mergeCell ref="C778:E778"/>
    <mergeCell ref="C779:N779"/>
    <mergeCell ref="C780:N780"/>
    <mergeCell ref="C781:N781"/>
    <mergeCell ref="C782:E782"/>
    <mergeCell ref="C771:E771"/>
    <mergeCell ref="C772:E772"/>
    <mergeCell ref="C773:N773"/>
    <mergeCell ref="C774:E774"/>
    <mergeCell ref="C775:E775"/>
    <mergeCell ref="C776:N776"/>
    <mergeCell ref="C801:E801"/>
    <mergeCell ref="A802:N802"/>
    <mergeCell ref="C803:E803"/>
    <mergeCell ref="C804:N804"/>
    <mergeCell ref="C805:N805"/>
    <mergeCell ref="C806:N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N791"/>
    <mergeCell ref="C792:E792"/>
    <mergeCell ref="C793:E793"/>
    <mergeCell ref="C794:E794"/>
    <mergeCell ref="C819:N819"/>
    <mergeCell ref="C820:N820"/>
    <mergeCell ref="C821:N821"/>
    <mergeCell ref="C822:E822"/>
    <mergeCell ref="C823:E823"/>
    <mergeCell ref="C824:N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N825"/>
    <mergeCell ref="C826:N826"/>
    <mergeCell ref="C827:E827"/>
    <mergeCell ref="C828:E828"/>
    <mergeCell ref="C829:E829"/>
    <mergeCell ref="C830:E830"/>
    <mergeCell ref="C855:E855"/>
    <mergeCell ref="C856:E856"/>
    <mergeCell ref="C857:N857"/>
    <mergeCell ref="C858:N858"/>
    <mergeCell ref="C859:N859"/>
    <mergeCell ref="C860:N860"/>
    <mergeCell ref="C849:E849"/>
    <mergeCell ref="C850:E850"/>
    <mergeCell ref="C851:E851"/>
    <mergeCell ref="C852:E852"/>
    <mergeCell ref="C853:E853"/>
    <mergeCell ref="C854:N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7:K877"/>
    <mergeCell ref="C878:K878"/>
    <mergeCell ref="C879:K879"/>
    <mergeCell ref="C867:E867"/>
    <mergeCell ref="C868:E868"/>
    <mergeCell ref="C869:E869"/>
    <mergeCell ref="C870:E870"/>
    <mergeCell ref="C871:E871"/>
    <mergeCell ref="C872:E872"/>
    <mergeCell ref="C861:E861"/>
    <mergeCell ref="C862:E862"/>
    <mergeCell ref="C863:N863"/>
    <mergeCell ref="C864:N864"/>
    <mergeCell ref="C865:N865"/>
    <mergeCell ref="C866:E866"/>
    <mergeCell ref="C892:K892"/>
    <mergeCell ref="C893:K893"/>
    <mergeCell ref="C894:K894"/>
    <mergeCell ref="C895:K895"/>
    <mergeCell ref="A896:N896"/>
    <mergeCell ref="A897:N897"/>
    <mergeCell ref="C886:K886"/>
    <mergeCell ref="C887:K887"/>
    <mergeCell ref="C888:K888"/>
    <mergeCell ref="C889:K889"/>
    <mergeCell ref="C890:K890"/>
    <mergeCell ref="C891:K891"/>
    <mergeCell ref="C880:K880"/>
    <mergeCell ref="C881:K881"/>
    <mergeCell ref="C882:K882"/>
    <mergeCell ref="C883:K883"/>
    <mergeCell ref="C884:K884"/>
    <mergeCell ref="C885:K885"/>
    <mergeCell ref="C910:E910"/>
    <mergeCell ref="C911:E911"/>
    <mergeCell ref="C912:E912"/>
    <mergeCell ref="C913:E913"/>
    <mergeCell ref="C914:E914"/>
    <mergeCell ref="C915:E915"/>
    <mergeCell ref="C904:E904"/>
    <mergeCell ref="C905:E905"/>
    <mergeCell ref="C906:E906"/>
    <mergeCell ref="C907:E907"/>
    <mergeCell ref="C908:E908"/>
    <mergeCell ref="C909:E909"/>
    <mergeCell ref="A898:N898"/>
    <mergeCell ref="C899:E899"/>
    <mergeCell ref="C900:N900"/>
    <mergeCell ref="C901:N901"/>
    <mergeCell ref="C902:N902"/>
    <mergeCell ref="C903:N903"/>
    <mergeCell ref="C928:E928"/>
    <mergeCell ref="C929:E929"/>
    <mergeCell ref="C930:E930"/>
    <mergeCell ref="C931:N931"/>
    <mergeCell ref="C932:N932"/>
    <mergeCell ref="C933:E933"/>
    <mergeCell ref="C922:E922"/>
    <mergeCell ref="C923:E923"/>
    <mergeCell ref="C924:E924"/>
    <mergeCell ref="C925:E925"/>
    <mergeCell ref="C926:E926"/>
    <mergeCell ref="C927:E927"/>
    <mergeCell ref="C916:N916"/>
    <mergeCell ref="C917:N917"/>
    <mergeCell ref="C918:N918"/>
    <mergeCell ref="C919:E919"/>
    <mergeCell ref="C920:E920"/>
    <mergeCell ref="C921:E921"/>
    <mergeCell ref="C946:E946"/>
    <mergeCell ref="C947:E947"/>
    <mergeCell ref="C948:E948"/>
    <mergeCell ref="C949:E949"/>
    <mergeCell ref="C950:E950"/>
    <mergeCell ref="C951:E951"/>
    <mergeCell ref="C940:E940"/>
    <mergeCell ref="C941:N941"/>
    <mergeCell ref="C942:N942"/>
    <mergeCell ref="C943:E943"/>
    <mergeCell ref="C944:E944"/>
    <mergeCell ref="C945:E945"/>
    <mergeCell ref="C934:E934"/>
    <mergeCell ref="C935:N935"/>
    <mergeCell ref="C936:E936"/>
    <mergeCell ref="C937:E937"/>
    <mergeCell ref="C938:E938"/>
    <mergeCell ref="A939:N939"/>
    <mergeCell ref="C964:E964"/>
    <mergeCell ref="C965:E965"/>
    <mergeCell ref="C966:E966"/>
    <mergeCell ref="C967:E967"/>
    <mergeCell ref="C968:E968"/>
    <mergeCell ref="C969:N969"/>
    <mergeCell ref="C958:E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N955"/>
    <mergeCell ref="C956:N956"/>
    <mergeCell ref="C957:E957"/>
    <mergeCell ref="C982:N982"/>
    <mergeCell ref="C983:N983"/>
    <mergeCell ref="C984:E984"/>
    <mergeCell ref="C985:E985"/>
    <mergeCell ref="C986:E986"/>
    <mergeCell ref="C987:E987"/>
    <mergeCell ref="C976:N976"/>
    <mergeCell ref="C977:N977"/>
    <mergeCell ref="C978:E978"/>
    <mergeCell ref="A979:N979"/>
    <mergeCell ref="C980:E980"/>
    <mergeCell ref="C981:N981"/>
    <mergeCell ref="C970:E970"/>
    <mergeCell ref="C971:E971"/>
    <mergeCell ref="C972:N972"/>
    <mergeCell ref="C973:E973"/>
    <mergeCell ref="C974:E974"/>
    <mergeCell ref="C975:N975"/>
    <mergeCell ref="C1000:E1000"/>
    <mergeCell ref="C1001:E1001"/>
    <mergeCell ref="C1002:E1002"/>
    <mergeCell ref="C1003:E1003"/>
    <mergeCell ref="C1004:E1004"/>
    <mergeCell ref="C1005:E1005"/>
    <mergeCell ref="C994:E994"/>
    <mergeCell ref="C995:E995"/>
    <mergeCell ref="C996:N996"/>
    <mergeCell ref="C997:N997"/>
    <mergeCell ref="C998:E998"/>
    <mergeCell ref="C999:E999"/>
    <mergeCell ref="C988:E988"/>
    <mergeCell ref="C989:E989"/>
    <mergeCell ref="C990:E990"/>
    <mergeCell ref="C991:E991"/>
    <mergeCell ref="C992:E992"/>
    <mergeCell ref="C993:E993"/>
    <mergeCell ref="C1018:E1018"/>
    <mergeCell ref="C1019:N1019"/>
    <mergeCell ref="C1020:E1020"/>
    <mergeCell ref="C1021:E1021"/>
    <mergeCell ref="C1022:N1022"/>
    <mergeCell ref="C1023:N1023"/>
    <mergeCell ref="C1012:E1012"/>
    <mergeCell ref="C1013:E1013"/>
    <mergeCell ref="C1014:E1014"/>
    <mergeCell ref="C1015:E1015"/>
    <mergeCell ref="C1016:E1016"/>
    <mergeCell ref="C1017:E1017"/>
    <mergeCell ref="C1006:E1006"/>
    <mergeCell ref="C1007:E1007"/>
    <mergeCell ref="C1008:E1008"/>
    <mergeCell ref="C1009:N1009"/>
    <mergeCell ref="C1010:N1010"/>
    <mergeCell ref="C1011:E1011"/>
    <mergeCell ref="C1036:E1036"/>
    <mergeCell ref="C1037:E1037"/>
    <mergeCell ref="C1038:E1038"/>
    <mergeCell ref="C1039:E1039"/>
    <mergeCell ref="C1040:E1040"/>
    <mergeCell ref="C1041:N1041"/>
    <mergeCell ref="C1030:N1030"/>
    <mergeCell ref="C1031:N1031"/>
    <mergeCell ref="C1032:E1032"/>
    <mergeCell ref="C1033:E1033"/>
    <mergeCell ref="C1034:E1034"/>
    <mergeCell ref="C1035:E1035"/>
    <mergeCell ref="C1024:E1024"/>
    <mergeCell ref="C1025:E1025"/>
    <mergeCell ref="C1026:N1026"/>
    <mergeCell ref="C1027:E1027"/>
    <mergeCell ref="C1028:E1028"/>
    <mergeCell ref="C1029:N1029"/>
    <mergeCell ref="C1054:E1054"/>
    <mergeCell ref="C1055:E1055"/>
    <mergeCell ref="C1056:E1056"/>
    <mergeCell ref="C1057:E1057"/>
    <mergeCell ref="C1058:E1058"/>
    <mergeCell ref="C1059:E1059"/>
    <mergeCell ref="C1048:E1048"/>
    <mergeCell ref="C1049:E1049"/>
    <mergeCell ref="C1050:E1050"/>
    <mergeCell ref="C1051:E1051"/>
    <mergeCell ref="C1052:N1052"/>
    <mergeCell ref="C1053:N1053"/>
    <mergeCell ref="C1042:N1042"/>
    <mergeCell ref="C1043:E1043"/>
    <mergeCell ref="C1044:E1044"/>
    <mergeCell ref="C1045:E1045"/>
    <mergeCell ref="C1046:E1046"/>
    <mergeCell ref="C1047:E1047"/>
    <mergeCell ref="C1073:K1073"/>
    <mergeCell ref="C1074:K1074"/>
    <mergeCell ref="C1075:K1075"/>
    <mergeCell ref="C1076:K1076"/>
    <mergeCell ref="C1077:K1077"/>
    <mergeCell ref="C1078:K1078"/>
    <mergeCell ref="C1067:K1067"/>
    <mergeCell ref="C1068:K1068"/>
    <mergeCell ref="C1069:K1069"/>
    <mergeCell ref="C1070:K1070"/>
    <mergeCell ref="C1071:K1071"/>
    <mergeCell ref="C1072:K1072"/>
    <mergeCell ref="C1060:E1060"/>
    <mergeCell ref="C1061:E1061"/>
    <mergeCell ref="C1063:K1063"/>
    <mergeCell ref="C1064:K1064"/>
    <mergeCell ref="C1065:K1065"/>
    <mergeCell ref="C1066:K1066"/>
    <mergeCell ref="C1092:K1092"/>
    <mergeCell ref="C1093:K1093"/>
    <mergeCell ref="C1094:K1094"/>
    <mergeCell ref="C1095:K1095"/>
    <mergeCell ref="C1096:K1096"/>
    <mergeCell ref="C1097:K1097"/>
    <mergeCell ref="C1085:K1085"/>
    <mergeCell ref="C1086:K1086"/>
    <mergeCell ref="C1087:K1087"/>
    <mergeCell ref="C1088:K1088"/>
    <mergeCell ref="C1090:K1090"/>
    <mergeCell ref="C1091:K1091"/>
    <mergeCell ref="C1079:K1079"/>
    <mergeCell ref="C1080:K1080"/>
    <mergeCell ref="C1081:K1081"/>
    <mergeCell ref="C1082:K1082"/>
    <mergeCell ref="C1083:K1083"/>
    <mergeCell ref="C1084:K1084"/>
    <mergeCell ref="C1110:K1110"/>
    <mergeCell ref="C1111:K1111"/>
    <mergeCell ref="C1112:K1112"/>
    <mergeCell ref="C1113:K1113"/>
    <mergeCell ref="C1114:K1114"/>
    <mergeCell ref="C1115:K1115"/>
    <mergeCell ref="C1104:K1104"/>
    <mergeCell ref="C1105:K1105"/>
    <mergeCell ref="C1106:K1106"/>
    <mergeCell ref="C1107:K1107"/>
    <mergeCell ref="C1108:K1108"/>
    <mergeCell ref="C1109:K1109"/>
    <mergeCell ref="C1098:K1098"/>
    <mergeCell ref="C1099:K1099"/>
    <mergeCell ref="C1100:K1100"/>
    <mergeCell ref="C1101:K1101"/>
    <mergeCell ref="C1102:K1102"/>
    <mergeCell ref="C1103:K1103"/>
    <mergeCell ref="C1129:L1129"/>
    <mergeCell ref="A1131:N1131"/>
    <mergeCell ref="A1132:N1132"/>
    <mergeCell ref="A1133:N1133"/>
    <mergeCell ref="C1122:K1122"/>
    <mergeCell ref="C1123:K1123"/>
    <mergeCell ref="C1126:G1126"/>
    <mergeCell ref="H1126:L1126"/>
    <mergeCell ref="C1127:L1127"/>
    <mergeCell ref="C1128:G1128"/>
    <mergeCell ref="H1128:L1128"/>
    <mergeCell ref="C1116:K1116"/>
    <mergeCell ref="C1117:K1117"/>
    <mergeCell ref="C1118:K1118"/>
    <mergeCell ref="C1119:K1119"/>
    <mergeCell ref="C1120:K1120"/>
    <mergeCell ref="C1121:K112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97"/>
  <sheetViews>
    <sheetView view="pageBreakPreview" topLeftCell="A14" zoomScaleNormal="100" zoomScaleSheetLayoutView="100" workbookViewId="0">
      <selection activeCell="F20" sqref="F20"/>
    </sheetView>
  </sheetViews>
  <sheetFormatPr defaultColWidth="9" defaultRowHeight="13.2" x14ac:dyDescent="0.25"/>
  <cols>
    <col min="1" max="1" width="6.33203125" style="472" customWidth="1"/>
    <col min="2" max="2" width="10.44140625" style="472" customWidth="1"/>
    <col min="3" max="3" width="22.5546875" style="472" customWidth="1"/>
    <col min="4" max="4" width="18.88671875" style="472" customWidth="1"/>
    <col min="5" max="5" width="12.88671875" style="472" customWidth="1"/>
    <col min="6" max="6" width="15.44140625" style="472" customWidth="1"/>
    <col min="7" max="7" width="15.5546875" style="472" customWidth="1"/>
    <col min="8" max="8" width="16.88671875" style="472" customWidth="1"/>
    <col min="9" max="9" width="18.44140625" style="472" customWidth="1"/>
    <col min="10" max="10" width="15.33203125" style="473" customWidth="1"/>
    <col min="11" max="12" width="15.5546875" style="473" customWidth="1"/>
    <col min="13" max="13" width="16.44140625" style="473" customWidth="1"/>
    <col min="14" max="14" width="16.6640625" style="472" customWidth="1"/>
    <col min="15" max="16384" width="9" style="472"/>
  </cols>
  <sheetData>
    <row r="1" spans="1:13" x14ac:dyDescent="0.25">
      <c r="G1" s="575"/>
      <c r="H1" s="588" t="s">
        <v>1685</v>
      </c>
    </row>
    <row r="2" spans="1:13" x14ac:dyDescent="0.25">
      <c r="G2" s="575"/>
      <c r="H2" s="588" t="s">
        <v>241</v>
      </c>
    </row>
    <row r="3" spans="1:13" x14ac:dyDescent="0.25">
      <c r="G3" s="575"/>
      <c r="H3" s="588" t="s">
        <v>1684</v>
      </c>
    </row>
    <row r="4" spans="1:13" ht="9.75" customHeight="1" x14ac:dyDescent="0.25"/>
    <row r="5" spans="1:13" ht="16.350000000000001" customHeight="1" x14ac:dyDescent="0.25">
      <c r="G5" s="481"/>
      <c r="H5" s="603" t="s">
        <v>0</v>
      </c>
    </row>
    <row r="6" spans="1:13" x14ac:dyDescent="0.25">
      <c r="G6" s="592" t="s">
        <v>1</v>
      </c>
      <c r="H6" s="513" t="s">
        <v>243</v>
      </c>
    </row>
    <row r="7" spans="1:13" ht="25.95" customHeight="1" x14ac:dyDescent="0.25">
      <c r="A7" s="472" t="s">
        <v>3</v>
      </c>
      <c r="C7" s="1028"/>
      <c r="D7" s="1028"/>
      <c r="E7" s="1028"/>
      <c r="F7" s="1028"/>
      <c r="G7" s="592"/>
      <c r="H7" s="510"/>
    </row>
    <row r="8" spans="1:13" s="575" customFormat="1" ht="18.45" customHeight="1" x14ac:dyDescent="0.25">
      <c r="A8" s="472"/>
      <c r="B8" s="472"/>
      <c r="C8" s="472"/>
      <c r="D8" s="604"/>
      <c r="E8" s="604"/>
      <c r="F8" s="472"/>
      <c r="G8" s="592"/>
      <c r="H8" s="510"/>
      <c r="J8" s="576"/>
      <c r="K8" s="576"/>
      <c r="L8" s="576"/>
      <c r="M8" s="576"/>
    </row>
    <row r="9" spans="1:13" s="575" customFormat="1" ht="25.5" customHeight="1" x14ac:dyDescent="0.25">
      <c r="A9" s="601" t="s">
        <v>682</v>
      </c>
      <c r="B9" s="601"/>
      <c r="C9" s="1029" t="s">
        <v>780</v>
      </c>
      <c r="D9" s="1029"/>
      <c r="E9" s="1029"/>
      <c r="F9" s="1029"/>
      <c r="G9" s="592" t="s">
        <v>4</v>
      </c>
      <c r="H9" s="603"/>
      <c r="J9" s="576"/>
      <c r="K9" s="576"/>
      <c r="L9" s="576"/>
      <c r="M9" s="576"/>
    </row>
    <row r="10" spans="1:13" s="575" customFormat="1" x14ac:dyDescent="0.25">
      <c r="A10" s="601"/>
      <c r="B10" s="601"/>
      <c r="C10" s="472"/>
      <c r="D10" s="604"/>
      <c r="E10" s="472"/>
      <c r="H10" s="603"/>
      <c r="J10" s="576"/>
      <c r="K10" s="576"/>
      <c r="L10" s="576"/>
      <c r="M10" s="576"/>
    </row>
    <row r="11" spans="1:13" s="575" customFormat="1" ht="17.25" customHeight="1" x14ac:dyDescent="0.25">
      <c r="A11" s="601" t="s">
        <v>1629</v>
      </c>
      <c r="B11" s="601"/>
      <c r="C11" s="1030" t="s">
        <v>781</v>
      </c>
      <c r="D11" s="1030"/>
      <c r="E11" s="1030"/>
      <c r="F11" s="1030"/>
      <c r="G11" s="606" t="s">
        <v>4</v>
      </c>
      <c r="H11" s="605"/>
      <c r="J11" s="576"/>
      <c r="K11" s="576"/>
      <c r="L11" s="576"/>
      <c r="M11" s="576"/>
    </row>
    <row r="12" spans="1:13" s="575" customFormat="1" x14ac:dyDescent="0.25">
      <c r="A12" s="601"/>
      <c r="B12" s="601"/>
      <c r="C12" s="472"/>
      <c r="D12" s="604"/>
      <c r="G12" s="592"/>
      <c r="H12" s="603"/>
      <c r="J12" s="576"/>
      <c r="K12" s="576"/>
      <c r="L12" s="576"/>
      <c r="M12" s="576"/>
    </row>
    <row r="13" spans="1:13" s="575" customFormat="1" ht="42" hidden="1" customHeight="1" x14ac:dyDescent="0.25">
      <c r="A13" s="601" t="s">
        <v>48</v>
      </c>
      <c r="B13" s="601"/>
      <c r="C13" s="1028" t="s">
        <v>1683</v>
      </c>
      <c r="D13" s="1028"/>
      <c r="E13" s="1028"/>
      <c r="F13" s="1028"/>
      <c r="G13" s="472"/>
      <c r="H13" s="510"/>
      <c r="J13" s="576"/>
      <c r="K13" s="576"/>
      <c r="L13" s="602"/>
      <c r="M13" s="576"/>
    </row>
    <row r="14" spans="1:13" ht="36.75" customHeight="1" x14ac:dyDescent="0.25">
      <c r="A14" s="601" t="s">
        <v>1682</v>
      </c>
      <c r="B14" s="601"/>
      <c r="C14" s="1028">
        <f>'реестр октябрь'!B6</f>
        <v>1</v>
      </c>
      <c r="D14" s="1028"/>
      <c r="E14" s="1028"/>
      <c r="F14" s="1028"/>
      <c r="G14" s="598"/>
      <c r="H14" s="510"/>
      <c r="I14" s="600"/>
    </row>
    <row r="15" spans="1:13" ht="78" customHeight="1" x14ac:dyDescent="0.25">
      <c r="D15" s="472" t="s">
        <v>281</v>
      </c>
      <c r="E15" s="599"/>
      <c r="F15" s="599"/>
      <c r="G15" s="595" t="s">
        <v>1681</v>
      </c>
      <c r="H15" s="595"/>
    </row>
    <row r="16" spans="1:13" s="575" customFormat="1" ht="15.6" customHeight="1" thickBot="1" x14ac:dyDescent="0.3">
      <c r="D16" s="599"/>
      <c r="E16" s="599"/>
      <c r="F16" s="492" t="s">
        <v>1680</v>
      </c>
      <c r="G16" s="592" t="s">
        <v>1679</v>
      </c>
      <c r="H16" s="510"/>
      <c r="J16" s="576"/>
      <c r="K16" s="576"/>
      <c r="L16" s="576"/>
      <c r="M16" s="576"/>
    </row>
    <row r="17" spans="1:13" s="575" customFormat="1" ht="15" customHeight="1" thickBot="1" x14ac:dyDescent="0.3">
      <c r="D17" s="598"/>
      <c r="E17" s="598"/>
      <c r="F17" s="592" t="s">
        <v>1678</v>
      </c>
      <c r="G17" s="595" t="s">
        <v>9</v>
      </c>
      <c r="H17" s="597" t="s">
        <v>1677</v>
      </c>
      <c r="I17" s="596"/>
      <c r="J17" s="1015"/>
      <c r="K17" s="1015"/>
      <c r="L17" s="1015"/>
      <c r="M17" s="576"/>
    </row>
    <row r="18" spans="1:13" s="575" customFormat="1" ht="15" customHeight="1" thickBot="1" x14ac:dyDescent="0.3">
      <c r="C18" s="607"/>
      <c r="D18" s="608"/>
      <c r="G18" s="595" t="s">
        <v>10</v>
      </c>
      <c r="H18" s="594">
        <v>44875</v>
      </c>
      <c r="I18" s="593"/>
      <c r="J18" s="1019"/>
      <c r="K18" s="1019"/>
      <c r="L18" s="1019"/>
      <c r="M18" s="576"/>
    </row>
    <row r="19" spans="1:13" s="575" customFormat="1" ht="15" customHeight="1" x14ac:dyDescent="0.25">
      <c r="C19" s="607"/>
      <c r="D19" s="609"/>
      <c r="F19" s="492"/>
      <c r="G19" s="592" t="s">
        <v>11</v>
      </c>
      <c r="H19" s="510"/>
      <c r="I19" s="591">
        <f>D18-F33</f>
        <v>-169767060.06</v>
      </c>
      <c r="J19" s="576"/>
      <c r="K19" s="576"/>
      <c r="L19" s="576"/>
      <c r="M19" s="576"/>
    </row>
    <row r="20" spans="1:13" s="575" customFormat="1" ht="15" customHeight="1" x14ac:dyDescent="0.25">
      <c r="C20" s="607"/>
      <c r="D20" s="610"/>
      <c r="F20" s="588"/>
      <c r="G20" s="472" t="s">
        <v>281</v>
      </c>
      <c r="H20" s="472"/>
      <c r="J20" s="576"/>
      <c r="K20" s="576"/>
      <c r="L20" s="576"/>
      <c r="M20" s="576"/>
    </row>
    <row r="21" spans="1:13" s="575" customFormat="1" ht="5.4" customHeight="1" thickBot="1" x14ac:dyDescent="0.3">
      <c r="C21" s="590"/>
      <c r="D21" s="589"/>
      <c r="F21" s="588"/>
      <c r="G21" s="472"/>
      <c r="H21" s="472"/>
      <c r="J21" s="576"/>
      <c r="K21" s="576"/>
      <c r="L21" s="576"/>
      <c r="M21" s="576"/>
    </row>
    <row r="22" spans="1:13" s="575" customFormat="1" ht="12.15" customHeight="1" thickBot="1" x14ac:dyDescent="0.25">
      <c r="D22" s="587"/>
      <c r="E22" s="586" t="s">
        <v>1676</v>
      </c>
      <c r="F22" s="585" t="s">
        <v>1675</v>
      </c>
      <c r="G22" s="1020" t="s">
        <v>14</v>
      </c>
      <c r="H22" s="1021"/>
      <c r="J22" s="576"/>
      <c r="K22" s="576"/>
      <c r="L22" s="576"/>
      <c r="M22" s="576"/>
    </row>
    <row r="23" spans="1:13" s="575" customFormat="1" ht="12.15" customHeight="1" thickBot="1" x14ac:dyDescent="0.3">
      <c r="D23" s="584"/>
      <c r="E23" s="583"/>
      <c r="F23" s="582"/>
      <c r="G23" s="581" t="s">
        <v>15</v>
      </c>
      <c r="H23" s="581" t="s">
        <v>16</v>
      </c>
      <c r="J23" s="576"/>
      <c r="K23" s="576"/>
      <c r="L23" s="576"/>
      <c r="M23" s="576"/>
    </row>
    <row r="24" spans="1:13" s="575" customFormat="1" ht="18" customHeight="1" thickBot="1" x14ac:dyDescent="0.3">
      <c r="D24" s="472"/>
      <c r="E24" s="580">
        <v>1</v>
      </c>
      <c r="F24" s="578">
        <v>45230</v>
      </c>
      <c r="G24" s="579">
        <v>45200</v>
      </c>
      <c r="H24" s="578">
        <f>F24</f>
        <v>45230</v>
      </c>
      <c r="I24" s="577"/>
      <c r="J24" s="576"/>
      <c r="K24" s="576"/>
      <c r="L24" s="576"/>
      <c r="M24" s="576"/>
    </row>
    <row r="25" spans="1:13" s="476" customFormat="1" ht="10.199999999999999" x14ac:dyDescent="0.2">
      <c r="J25" s="574"/>
      <c r="K25" s="574"/>
      <c r="L25" s="574"/>
      <c r="M25" s="574"/>
    </row>
    <row r="26" spans="1:13" x14ac:dyDescent="0.25">
      <c r="E26" s="481" t="s">
        <v>251</v>
      </c>
    </row>
    <row r="27" spans="1:13" x14ac:dyDescent="0.25">
      <c r="D27" s="573"/>
      <c r="E27" s="481" t="s">
        <v>252</v>
      </c>
      <c r="F27" s="573"/>
      <c r="G27" s="573"/>
    </row>
    <row r="28" spans="1:13" x14ac:dyDescent="0.25">
      <c r="A28" s="572" t="s">
        <v>1674</v>
      </c>
      <c r="B28" s="1022" t="s">
        <v>1673</v>
      </c>
      <c r="C28" s="1023"/>
      <c r="D28" s="1024"/>
      <c r="E28" s="571" t="s">
        <v>1672</v>
      </c>
      <c r="F28" s="570" t="s">
        <v>1671</v>
      </c>
      <c r="G28" s="569"/>
      <c r="H28" s="526"/>
    </row>
    <row r="29" spans="1:13" x14ac:dyDescent="0.25">
      <c r="A29" s="567" t="s">
        <v>1670</v>
      </c>
      <c r="B29" s="1025" t="s">
        <v>1669</v>
      </c>
      <c r="C29" s="1026"/>
      <c r="D29" s="1027"/>
      <c r="E29" s="568"/>
      <c r="F29" s="566" t="s">
        <v>1668</v>
      </c>
      <c r="G29" s="503"/>
      <c r="H29" s="566" t="s">
        <v>1667</v>
      </c>
    </row>
    <row r="30" spans="1:13" x14ac:dyDescent="0.25">
      <c r="A30" s="567" t="s">
        <v>1666</v>
      </c>
      <c r="B30" s="1025"/>
      <c r="C30" s="1026"/>
      <c r="D30" s="1027"/>
      <c r="E30" s="568"/>
      <c r="F30" s="566" t="s">
        <v>1665</v>
      </c>
      <c r="G30" s="567" t="s">
        <v>257</v>
      </c>
      <c r="H30" s="566" t="s">
        <v>1664</v>
      </c>
    </row>
    <row r="31" spans="1:13" x14ac:dyDescent="0.25">
      <c r="A31" s="534"/>
      <c r="B31" s="1016"/>
      <c r="C31" s="1017"/>
      <c r="D31" s="1018"/>
      <c r="E31" s="565"/>
      <c r="F31" s="563" t="s">
        <v>1663</v>
      </c>
      <c r="G31" s="564"/>
      <c r="H31" s="563" t="s">
        <v>1662</v>
      </c>
    </row>
    <row r="32" spans="1:13" ht="13.8" thickBot="1" x14ac:dyDescent="0.3">
      <c r="A32" s="562">
        <v>1</v>
      </c>
      <c r="B32" s="1032">
        <v>2</v>
      </c>
      <c r="C32" s="1033"/>
      <c r="D32" s="1034"/>
      <c r="E32" s="562">
        <v>3</v>
      </c>
      <c r="F32" s="562">
        <v>4</v>
      </c>
      <c r="G32" s="562">
        <v>5</v>
      </c>
      <c r="H32" s="562">
        <v>6</v>
      </c>
    </row>
    <row r="33" spans="1:14" ht="24" customHeight="1" thickBot="1" x14ac:dyDescent="0.3">
      <c r="A33" s="561"/>
      <c r="B33" s="1035" t="s">
        <v>1661</v>
      </c>
      <c r="C33" s="1036"/>
      <c r="D33" s="1037"/>
      <c r="E33" s="560" t="s">
        <v>1660</v>
      </c>
      <c r="F33" s="559">
        <f t="shared" ref="F33:F39" si="0">G33</f>
        <v>169767060.06</v>
      </c>
      <c r="G33" s="559">
        <f>SUM(G34:G39)</f>
        <v>169767060.06</v>
      </c>
      <c r="H33" s="559">
        <f>SUM(H34:H39)</f>
        <v>169767060.06</v>
      </c>
      <c r="I33" s="558"/>
      <c r="J33" s="557"/>
    </row>
    <row r="34" spans="1:14" x14ac:dyDescent="0.25">
      <c r="A34" s="537" t="s">
        <v>18</v>
      </c>
      <c r="B34" s="1038" t="s">
        <v>1659</v>
      </c>
      <c r="C34" s="1039"/>
      <c r="D34" s="1040"/>
      <c r="E34" s="534"/>
      <c r="F34" s="554">
        <f t="shared" si="0"/>
        <v>169767060.06</v>
      </c>
      <c r="G34" s="530">
        <f t="shared" ref="G34:G39" si="1">H34</f>
        <v>169767060.06</v>
      </c>
      <c r="H34" s="545">
        <f>'реестр октябрь'!H27</f>
        <v>169767060.06</v>
      </c>
      <c r="I34" s="553"/>
      <c r="J34" s="552"/>
    </row>
    <row r="35" spans="1:14" hidden="1" x14ac:dyDescent="0.25">
      <c r="A35" s="537" t="s">
        <v>21</v>
      </c>
      <c r="B35" s="1038" t="s">
        <v>1659</v>
      </c>
      <c r="C35" s="1039"/>
      <c r="D35" s="1040"/>
      <c r="E35" s="534"/>
      <c r="F35" s="554">
        <f t="shared" si="0"/>
        <v>0</v>
      </c>
      <c r="G35" s="530">
        <f t="shared" si="1"/>
        <v>0</v>
      </c>
      <c r="H35" s="545">
        <f>SUM(I35:Q35)</f>
        <v>0</v>
      </c>
      <c r="I35" s="556"/>
      <c r="J35" s="555"/>
      <c r="N35" s="483"/>
    </row>
    <row r="36" spans="1:14" hidden="1" x14ac:dyDescent="0.25">
      <c r="A36" s="537" t="s">
        <v>23</v>
      </c>
      <c r="B36" s="1038" t="s">
        <v>1658</v>
      </c>
      <c r="C36" s="1039"/>
      <c r="D36" s="1040"/>
      <c r="E36" s="534"/>
      <c r="F36" s="554">
        <f t="shared" si="0"/>
        <v>0</v>
      </c>
      <c r="G36" s="530">
        <f t="shared" si="1"/>
        <v>0</v>
      </c>
      <c r="H36" s="545">
        <f>SUM(I36:Q36)</f>
        <v>0</v>
      </c>
      <c r="I36" s="489"/>
      <c r="N36" s="483"/>
    </row>
    <row r="37" spans="1:14" hidden="1" x14ac:dyDescent="0.25">
      <c r="A37" s="537" t="s">
        <v>25</v>
      </c>
      <c r="B37" s="1038" t="s">
        <v>1657</v>
      </c>
      <c r="C37" s="1039"/>
      <c r="D37" s="1040"/>
      <c r="E37" s="534"/>
      <c r="F37" s="554">
        <f t="shared" si="0"/>
        <v>0</v>
      </c>
      <c r="G37" s="530">
        <f t="shared" si="1"/>
        <v>0</v>
      </c>
      <c r="H37" s="545">
        <f>SUM(I37:Q37)</f>
        <v>0</v>
      </c>
      <c r="J37" s="552"/>
      <c r="N37" s="483"/>
    </row>
    <row r="38" spans="1:14" hidden="1" x14ac:dyDescent="0.25">
      <c r="A38" s="537" t="s">
        <v>25</v>
      </c>
      <c r="B38" s="1038" t="s">
        <v>1656</v>
      </c>
      <c r="C38" s="1039"/>
      <c r="D38" s="1040"/>
      <c r="E38" s="534"/>
      <c r="F38" s="554">
        <f t="shared" si="0"/>
        <v>0</v>
      </c>
      <c r="G38" s="530">
        <f t="shared" si="1"/>
        <v>0</v>
      </c>
      <c r="H38" s="545">
        <f>SUM(I38:Q38)</f>
        <v>0</v>
      </c>
      <c r="I38" s="489"/>
      <c r="N38" s="483"/>
    </row>
    <row r="39" spans="1:14" hidden="1" x14ac:dyDescent="0.25">
      <c r="A39" s="537" t="s">
        <v>43</v>
      </c>
      <c r="B39" s="1038" t="s">
        <v>1655</v>
      </c>
      <c r="C39" s="1039"/>
      <c r="D39" s="1040"/>
      <c r="E39" s="534"/>
      <c r="F39" s="554">
        <f t="shared" si="0"/>
        <v>0</v>
      </c>
      <c r="G39" s="530">
        <f t="shared" si="1"/>
        <v>0</v>
      </c>
      <c r="H39" s="545">
        <f>SUM(I39:Q39)</f>
        <v>0</v>
      </c>
      <c r="I39" s="489"/>
      <c r="N39" s="483"/>
    </row>
    <row r="40" spans="1:14" ht="14.25" customHeight="1" x14ac:dyDescent="0.25">
      <c r="A40" s="551"/>
      <c r="E40" s="1041" t="s">
        <v>284</v>
      </c>
      <c r="F40" s="1041"/>
      <c r="G40" s="1041"/>
      <c r="H40" s="550">
        <f>H33</f>
        <v>169767060.06</v>
      </c>
      <c r="I40" s="553"/>
      <c r="J40" s="552"/>
      <c r="K40" s="488"/>
      <c r="N40" s="483"/>
    </row>
    <row r="41" spans="1:14" ht="14.25" customHeight="1" x14ac:dyDescent="0.25">
      <c r="A41" s="551"/>
      <c r="E41" s="1041" t="s">
        <v>1654</v>
      </c>
      <c r="F41" s="1041"/>
      <c r="G41" s="1041"/>
      <c r="H41" s="550">
        <f>ROUND(H40*0.2,2)</f>
        <v>33953412.009999998</v>
      </c>
      <c r="I41" s="489"/>
      <c r="J41" s="552"/>
      <c r="N41" s="483"/>
    </row>
    <row r="42" spans="1:14" ht="14.25" customHeight="1" x14ac:dyDescent="0.25">
      <c r="A42" s="551"/>
      <c r="E42" s="1041" t="s">
        <v>1653</v>
      </c>
      <c r="F42" s="1041"/>
      <c r="G42" s="1041"/>
      <c r="H42" s="550">
        <f>H40+H41</f>
        <v>203720472.06999999</v>
      </c>
      <c r="I42" s="489"/>
      <c r="J42" s="488"/>
      <c r="N42" s="483"/>
    </row>
    <row r="43" spans="1:14" hidden="1" x14ac:dyDescent="0.25">
      <c r="A43" s="547"/>
      <c r="B43" s="549"/>
      <c r="C43" s="549"/>
      <c r="D43" s="535"/>
      <c r="E43" s="534"/>
      <c r="F43" s="548"/>
      <c r="G43" s="539"/>
      <c r="H43" s="540"/>
      <c r="I43" s="489"/>
      <c r="N43" s="483"/>
    </row>
    <row r="44" spans="1:14" hidden="1" x14ac:dyDescent="0.25">
      <c r="A44" s="547" t="s">
        <v>1652</v>
      </c>
      <c r="B44" s="546"/>
      <c r="C44" s="546"/>
      <c r="D44" s="514" t="s">
        <v>1635</v>
      </c>
      <c r="E44" s="534"/>
      <c r="F44" s="545" t="e">
        <v>#REF!</v>
      </c>
      <c r="G44" s="530" t="e">
        <v>#REF!</v>
      </c>
      <c r="H44" s="524">
        <v>68388.36</v>
      </c>
      <c r="I44" s="489"/>
      <c r="N44" s="483"/>
    </row>
    <row r="45" spans="1:14" hidden="1" x14ac:dyDescent="0.25">
      <c r="A45" s="513"/>
      <c r="B45" s="512"/>
      <c r="C45" s="512"/>
      <c r="D45" s="511" t="s">
        <v>1651</v>
      </c>
      <c r="E45" s="510"/>
      <c r="F45" s="543"/>
      <c r="G45" s="530" t="e">
        <v>#REF!</v>
      </c>
      <c r="H45" s="544">
        <v>437891.54</v>
      </c>
      <c r="I45" s="489"/>
      <c r="N45" s="483"/>
    </row>
    <row r="46" spans="1:14" hidden="1" x14ac:dyDescent="0.25">
      <c r="A46" s="513"/>
      <c r="B46" s="512"/>
      <c r="C46" s="512"/>
      <c r="D46" s="511" t="s">
        <v>1650</v>
      </c>
      <c r="E46" s="510"/>
      <c r="F46" s="543"/>
      <c r="G46" s="530">
        <v>0</v>
      </c>
      <c r="H46" s="544">
        <v>0</v>
      </c>
      <c r="I46" s="489"/>
      <c r="N46" s="483"/>
    </row>
    <row r="47" spans="1:14" hidden="1" x14ac:dyDescent="0.25">
      <c r="A47" s="513"/>
      <c r="B47" s="512"/>
      <c r="C47" s="512"/>
      <c r="D47" s="511" t="s">
        <v>1635</v>
      </c>
      <c r="E47" s="510"/>
      <c r="F47" s="543"/>
      <c r="G47" s="530">
        <v>0</v>
      </c>
      <c r="H47" s="544">
        <v>0</v>
      </c>
      <c r="I47" s="489"/>
      <c r="N47" s="483"/>
    </row>
    <row r="48" spans="1:14" hidden="1" x14ac:dyDescent="0.25">
      <c r="A48" s="513"/>
      <c r="B48" s="512"/>
      <c r="C48" s="512"/>
      <c r="D48" s="511" t="s">
        <v>1649</v>
      </c>
      <c r="E48" s="510"/>
      <c r="F48" s="543"/>
      <c r="G48" s="530">
        <v>0</v>
      </c>
      <c r="H48" s="524">
        <v>0</v>
      </c>
      <c r="I48" s="489"/>
      <c r="N48" s="483"/>
    </row>
    <row r="49" spans="1:14" hidden="1" x14ac:dyDescent="0.25">
      <c r="A49" s="537" t="s">
        <v>1648</v>
      </c>
      <c r="B49" s="536"/>
      <c r="C49" s="536"/>
      <c r="D49" s="535" t="s">
        <v>1635</v>
      </c>
      <c r="E49" s="534"/>
      <c r="F49" s="542">
        <v>0</v>
      </c>
      <c r="G49" s="541">
        <v>0</v>
      </c>
      <c r="H49" s="540">
        <v>0</v>
      </c>
      <c r="I49" s="489"/>
      <c r="N49" s="483"/>
    </row>
    <row r="50" spans="1:14" hidden="1" x14ac:dyDescent="0.25">
      <c r="A50" s="537"/>
      <c r="B50" s="536"/>
      <c r="C50" s="536"/>
      <c r="D50" s="535"/>
      <c r="E50" s="534"/>
      <c r="F50" s="531"/>
      <c r="G50" s="530"/>
      <c r="H50" s="524"/>
      <c r="I50" s="489"/>
      <c r="N50" s="483"/>
    </row>
    <row r="51" spans="1:14" hidden="1" x14ac:dyDescent="0.25">
      <c r="A51" s="537" t="s">
        <v>1645</v>
      </c>
      <c r="B51" s="536"/>
      <c r="C51" s="536"/>
      <c r="D51" s="535" t="s">
        <v>1647</v>
      </c>
      <c r="E51" s="534"/>
      <c r="F51" s="531">
        <v>0</v>
      </c>
      <c r="G51" s="530">
        <v>0</v>
      </c>
      <c r="H51" s="524">
        <v>0</v>
      </c>
      <c r="I51" s="489"/>
      <c r="N51" s="483"/>
    </row>
    <row r="52" spans="1:14" hidden="1" x14ac:dyDescent="0.25">
      <c r="A52" s="537"/>
      <c r="B52" s="536"/>
      <c r="C52" s="536"/>
      <c r="D52" s="535" t="s">
        <v>1646</v>
      </c>
      <c r="E52" s="534"/>
      <c r="F52" s="531">
        <v>0</v>
      </c>
      <c r="G52" s="539">
        <v>0</v>
      </c>
      <c r="H52" s="538">
        <v>0</v>
      </c>
      <c r="I52" s="489"/>
      <c r="N52" s="483"/>
    </row>
    <row r="53" spans="1:14" hidden="1" x14ac:dyDescent="0.25">
      <c r="A53" s="537"/>
      <c r="B53" s="536"/>
      <c r="C53" s="536"/>
      <c r="D53" s="535"/>
      <c r="E53" s="534"/>
      <c r="F53" s="529"/>
      <c r="G53" s="533"/>
      <c r="H53" s="532"/>
      <c r="I53" s="489"/>
      <c r="N53" s="483"/>
    </row>
    <row r="54" spans="1:14" hidden="1" x14ac:dyDescent="0.25">
      <c r="A54" s="513" t="s">
        <v>1643</v>
      </c>
      <c r="B54" s="520"/>
      <c r="C54" s="520"/>
      <c r="D54" s="519" t="s">
        <v>1635</v>
      </c>
      <c r="E54" s="510"/>
      <c r="F54" s="531">
        <v>0</v>
      </c>
      <c r="G54" s="530">
        <v>0</v>
      </c>
      <c r="H54" s="524">
        <v>0</v>
      </c>
      <c r="I54" s="489"/>
      <c r="N54" s="483"/>
    </row>
    <row r="55" spans="1:14" hidden="1" x14ac:dyDescent="0.25">
      <c r="A55" s="513"/>
      <c r="B55" s="520"/>
      <c r="C55" s="520"/>
      <c r="D55" s="519"/>
      <c r="E55" s="510"/>
      <c r="F55" s="531"/>
      <c r="G55" s="530"/>
      <c r="H55" s="524"/>
      <c r="I55" s="489"/>
      <c r="N55" s="483"/>
    </row>
    <row r="56" spans="1:14" hidden="1" x14ac:dyDescent="0.25">
      <c r="A56" s="513" t="s">
        <v>1645</v>
      </c>
      <c r="B56" s="520"/>
      <c r="C56" s="520"/>
      <c r="D56" s="519" t="s">
        <v>1644</v>
      </c>
      <c r="E56" s="510"/>
      <c r="F56" s="531">
        <v>401728.83</v>
      </c>
      <c r="G56" s="530">
        <v>401728.83</v>
      </c>
      <c r="H56" s="524">
        <v>401728.83</v>
      </c>
      <c r="I56" s="489"/>
      <c r="N56" s="483"/>
    </row>
    <row r="57" spans="1:14" hidden="1" x14ac:dyDescent="0.25">
      <c r="A57" s="513"/>
      <c r="B57" s="520"/>
      <c r="C57" s="520"/>
      <c r="D57" s="519"/>
      <c r="E57" s="510"/>
      <c r="F57" s="529"/>
      <c r="G57" s="528"/>
      <c r="H57" s="527"/>
      <c r="I57" s="489"/>
      <c r="N57" s="483"/>
    </row>
    <row r="58" spans="1:14" hidden="1" x14ac:dyDescent="0.25">
      <c r="A58" s="513" t="s">
        <v>1643</v>
      </c>
      <c r="B58" s="520"/>
      <c r="C58" s="520"/>
      <c r="D58" s="519" t="s">
        <v>1635</v>
      </c>
      <c r="E58" s="510"/>
      <c r="F58" s="531">
        <v>72311.19</v>
      </c>
      <c r="G58" s="530">
        <v>72311.19</v>
      </c>
      <c r="H58" s="524">
        <v>72311.19</v>
      </c>
      <c r="I58" s="489"/>
      <c r="N58" s="483"/>
    </row>
    <row r="59" spans="1:14" hidden="1" x14ac:dyDescent="0.25">
      <c r="A59" s="513"/>
      <c r="B59" s="520"/>
      <c r="C59" s="520"/>
      <c r="D59" s="519"/>
      <c r="E59" s="510"/>
      <c r="F59" s="529"/>
      <c r="G59" s="528"/>
      <c r="H59" s="527"/>
      <c r="I59" s="489"/>
      <c r="N59" s="483"/>
    </row>
    <row r="60" spans="1:14" hidden="1" x14ac:dyDescent="0.25">
      <c r="A60" s="513"/>
      <c r="B60" s="520"/>
      <c r="C60" s="520"/>
      <c r="D60" s="519"/>
      <c r="E60" s="510"/>
      <c r="F60" s="526"/>
      <c r="G60" s="525"/>
      <c r="H60" s="524"/>
      <c r="I60" s="489"/>
      <c r="N60" s="483"/>
    </row>
    <row r="61" spans="1:14" hidden="1" x14ac:dyDescent="0.25">
      <c r="A61" s="515"/>
      <c r="B61" s="505"/>
      <c r="C61" s="505"/>
      <c r="D61" s="504"/>
      <c r="E61" s="503"/>
      <c r="F61" s="523"/>
      <c r="G61" s="523"/>
      <c r="H61" s="522"/>
      <c r="I61" s="489"/>
      <c r="N61" s="483"/>
    </row>
    <row r="62" spans="1:14" hidden="1" x14ac:dyDescent="0.25">
      <c r="A62" s="513"/>
      <c r="B62" s="520"/>
      <c r="C62" s="520"/>
      <c r="D62" s="519" t="s">
        <v>1642</v>
      </c>
      <c r="E62" s="510"/>
      <c r="F62" s="521"/>
      <c r="G62" s="501">
        <v>0</v>
      </c>
      <c r="H62" s="500">
        <v>0</v>
      </c>
      <c r="I62" s="489"/>
      <c r="N62" s="483"/>
    </row>
    <row r="63" spans="1:14" hidden="1" x14ac:dyDescent="0.25">
      <c r="A63" s="513"/>
      <c r="B63" s="520"/>
      <c r="C63" s="520"/>
      <c r="D63" s="519" t="s">
        <v>1635</v>
      </c>
      <c r="E63" s="510"/>
      <c r="F63" s="509"/>
      <c r="G63" s="508">
        <v>0</v>
      </c>
      <c r="H63" s="507">
        <v>0</v>
      </c>
      <c r="I63" s="489"/>
      <c r="N63" s="483"/>
    </row>
    <row r="64" spans="1:14" hidden="1" x14ac:dyDescent="0.25">
      <c r="A64" s="513"/>
      <c r="B64" s="520"/>
      <c r="C64" s="520"/>
      <c r="D64" s="519" t="s">
        <v>1641</v>
      </c>
      <c r="E64" s="510"/>
      <c r="F64" s="509"/>
      <c r="G64" s="508">
        <v>0</v>
      </c>
      <c r="H64" s="507">
        <v>0</v>
      </c>
      <c r="I64" s="489"/>
      <c r="N64" s="483"/>
    </row>
    <row r="65" spans="1:14" hidden="1" x14ac:dyDescent="0.25">
      <c r="A65" s="513"/>
      <c r="B65" s="520"/>
      <c r="C65" s="520"/>
      <c r="D65" s="519" t="s">
        <v>1640</v>
      </c>
      <c r="E65" s="503"/>
      <c r="F65" s="509"/>
      <c r="G65" s="508">
        <v>0</v>
      </c>
      <c r="H65" s="507">
        <v>0</v>
      </c>
      <c r="I65" s="489"/>
      <c r="N65" s="483"/>
    </row>
    <row r="66" spans="1:14" hidden="1" x14ac:dyDescent="0.25">
      <c r="A66" s="513"/>
      <c r="B66" s="520"/>
      <c r="C66" s="520"/>
      <c r="D66" s="519" t="s">
        <v>1635</v>
      </c>
      <c r="E66" s="510"/>
      <c r="F66" s="518"/>
      <c r="G66" s="517">
        <v>0</v>
      </c>
      <c r="H66" s="516">
        <v>0</v>
      </c>
      <c r="I66" s="489"/>
      <c r="N66" s="483"/>
    </row>
    <row r="67" spans="1:14" hidden="1" x14ac:dyDescent="0.25">
      <c r="A67" s="506"/>
      <c r="B67" s="515"/>
      <c r="C67" s="515"/>
      <c r="D67" s="514" t="s">
        <v>1639</v>
      </c>
      <c r="E67" s="503"/>
      <c r="F67" s="502"/>
      <c r="G67" s="501">
        <v>0</v>
      </c>
      <c r="H67" s="507">
        <v>0</v>
      </c>
      <c r="I67" s="489"/>
      <c r="N67" s="483"/>
    </row>
    <row r="68" spans="1:14" hidden="1" x14ac:dyDescent="0.25">
      <c r="A68" s="513"/>
      <c r="B68" s="512"/>
      <c r="C68" s="512"/>
      <c r="D68" s="511" t="s">
        <v>1638</v>
      </c>
      <c r="E68" s="510"/>
      <c r="F68" s="509"/>
      <c r="G68" s="508">
        <v>0</v>
      </c>
      <c r="H68" s="507">
        <v>0</v>
      </c>
      <c r="I68" s="489"/>
      <c r="N68" s="483"/>
    </row>
    <row r="69" spans="1:14" hidden="1" x14ac:dyDescent="0.25">
      <c r="A69" s="513"/>
      <c r="B69" s="512"/>
      <c r="C69" s="512"/>
      <c r="D69" s="511" t="s">
        <v>1635</v>
      </c>
      <c r="E69" s="510"/>
      <c r="F69" s="509"/>
      <c r="G69" s="508">
        <v>0</v>
      </c>
      <c r="H69" s="507">
        <v>0</v>
      </c>
      <c r="I69" s="489"/>
      <c r="N69" s="483"/>
    </row>
    <row r="70" spans="1:14" hidden="1" x14ac:dyDescent="0.25">
      <c r="A70" s="513"/>
      <c r="B70" s="512"/>
      <c r="C70" s="512"/>
      <c r="D70" s="511" t="s">
        <v>1637</v>
      </c>
      <c r="E70" s="510"/>
      <c r="F70" s="509"/>
      <c r="G70" s="508">
        <v>0</v>
      </c>
      <c r="H70" s="507">
        <v>0</v>
      </c>
      <c r="I70" s="489"/>
      <c r="N70" s="483"/>
    </row>
    <row r="71" spans="1:14" hidden="1" x14ac:dyDescent="0.25">
      <c r="A71" s="506"/>
      <c r="B71" s="505"/>
      <c r="C71" s="505"/>
      <c r="D71" s="504" t="s">
        <v>1636</v>
      </c>
      <c r="E71" s="503"/>
      <c r="F71" s="502"/>
      <c r="G71" s="501">
        <v>0</v>
      </c>
      <c r="H71" s="500">
        <v>0</v>
      </c>
      <c r="I71" s="489"/>
      <c r="N71" s="483"/>
    </row>
    <row r="72" spans="1:14" hidden="1" x14ac:dyDescent="0.25">
      <c r="A72" s="506"/>
      <c r="B72" s="505"/>
      <c r="C72" s="505"/>
      <c r="D72" s="504" t="s">
        <v>1635</v>
      </c>
      <c r="E72" s="503"/>
      <c r="F72" s="502"/>
      <c r="G72" s="501">
        <v>0</v>
      </c>
      <c r="H72" s="500">
        <v>0</v>
      </c>
      <c r="I72" s="489"/>
      <c r="N72" s="483"/>
    </row>
    <row r="73" spans="1:14" hidden="1" x14ac:dyDescent="0.25">
      <c r="A73" s="506"/>
      <c r="B73" s="505"/>
      <c r="C73" s="505"/>
      <c r="D73" s="504" t="s">
        <v>1634</v>
      </c>
      <c r="E73" s="503"/>
      <c r="F73" s="502"/>
      <c r="G73" s="501">
        <v>0</v>
      </c>
      <c r="H73" s="500">
        <v>0</v>
      </c>
      <c r="I73" s="489"/>
      <c r="N73" s="483"/>
    </row>
    <row r="74" spans="1:14" ht="12.75" hidden="1" customHeight="1" thickBot="1" x14ac:dyDescent="0.3">
      <c r="A74" s="499" t="s">
        <v>112</v>
      </c>
      <c r="B74" s="498"/>
      <c r="C74" s="498"/>
      <c r="D74" s="497" t="s">
        <v>1633</v>
      </c>
      <c r="E74" s="496"/>
      <c r="F74" s="495"/>
      <c r="G74" s="494" t="e">
        <v>#REF!</v>
      </c>
      <c r="H74" s="493"/>
      <c r="I74" s="489"/>
      <c r="N74" s="483"/>
    </row>
    <row r="75" spans="1:14" ht="13.8" hidden="1" thickBot="1" x14ac:dyDescent="0.3">
      <c r="A75" s="476"/>
      <c r="B75" s="476"/>
      <c r="C75" s="476"/>
      <c r="F75" s="476"/>
      <c r="G75" s="492" t="s">
        <v>1632</v>
      </c>
      <c r="H75" s="491">
        <v>379935.31</v>
      </c>
      <c r="I75" s="489"/>
      <c r="N75" s="483"/>
    </row>
    <row r="76" spans="1:14" ht="13.8" hidden="1" thickBot="1" x14ac:dyDescent="0.3">
      <c r="F76" s="476"/>
      <c r="G76" s="492" t="s">
        <v>1631</v>
      </c>
      <c r="H76" s="491">
        <v>68388.36</v>
      </c>
      <c r="I76" s="489"/>
      <c r="N76" s="483"/>
    </row>
    <row r="77" spans="1:14" ht="13.8" hidden="1" thickBot="1" x14ac:dyDescent="0.3">
      <c r="F77" s="1031" t="s">
        <v>1630</v>
      </c>
      <c r="G77" s="1031"/>
      <c r="H77" s="491">
        <v>448323.67</v>
      </c>
      <c r="I77" s="489"/>
      <c r="N77" s="483"/>
    </row>
    <row r="78" spans="1:14" hidden="1" x14ac:dyDescent="0.25">
      <c r="F78" s="476"/>
      <c r="G78" s="476"/>
      <c r="H78" s="490"/>
      <c r="I78" s="489"/>
      <c r="N78" s="483"/>
    </row>
    <row r="79" spans="1:14" x14ac:dyDescent="0.25">
      <c r="F79" s="476"/>
      <c r="G79" s="476"/>
      <c r="H79" s="490"/>
      <c r="I79" s="489"/>
      <c r="J79" s="488"/>
      <c r="N79" s="483"/>
    </row>
    <row r="80" spans="1:14" x14ac:dyDescent="0.25">
      <c r="F80" s="476"/>
      <c r="G80" s="476"/>
      <c r="H80" s="490"/>
      <c r="I80" s="489"/>
      <c r="J80" s="488"/>
      <c r="N80" s="483"/>
    </row>
    <row r="81" spans="1:14" x14ac:dyDescent="0.25">
      <c r="F81" s="476"/>
      <c r="G81" s="476"/>
      <c r="H81" s="490"/>
      <c r="I81" s="489"/>
      <c r="J81" s="488"/>
      <c r="N81" s="483"/>
    </row>
    <row r="82" spans="1:14" x14ac:dyDescent="0.25">
      <c r="F82" s="476"/>
      <c r="G82" s="476"/>
      <c r="H82" s="490"/>
      <c r="I82" s="489"/>
      <c r="J82" s="488"/>
      <c r="N82" s="483"/>
    </row>
    <row r="83" spans="1:14" x14ac:dyDescent="0.25">
      <c r="F83" s="476"/>
      <c r="G83" s="476"/>
      <c r="H83" s="490"/>
      <c r="I83" s="489"/>
      <c r="J83" s="488"/>
      <c r="K83" s="488"/>
      <c r="N83" s="483"/>
    </row>
    <row r="84" spans="1:14" s="474" customFormat="1" ht="25.5" customHeight="1" x14ac:dyDescent="0.25">
      <c r="A84" s="482" t="s">
        <v>682</v>
      </c>
      <c r="B84" s="482"/>
      <c r="C84" s="1047" t="s">
        <v>821</v>
      </c>
      <c r="D84" s="1047"/>
      <c r="E84" s="1047"/>
      <c r="F84" s="1048"/>
      <c r="G84" s="1048"/>
      <c r="H84" s="474" t="s">
        <v>822</v>
      </c>
      <c r="I84" s="486"/>
      <c r="J84" s="485"/>
      <c r="K84" s="475"/>
      <c r="L84" s="473"/>
      <c r="M84" s="475"/>
      <c r="N84" s="483"/>
    </row>
    <row r="85" spans="1:14" s="474" customFormat="1" ht="9.75" customHeight="1" x14ac:dyDescent="0.25">
      <c r="C85" s="1049" t="s">
        <v>1628</v>
      </c>
      <c r="D85" s="1049"/>
      <c r="E85" s="1049"/>
      <c r="F85" s="1045" t="s">
        <v>1627</v>
      </c>
      <c r="G85" s="1045"/>
      <c r="H85" s="478" t="s">
        <v>1626</v>
      </c>
      <c r="I85" s="487"/>
      <c r="J85" s="485"/>
      <c r="K85" s="475"/>
      <c r="L85" s="473"/>
      <c r="M85" s="475"/>
      <c r="N85" s="483"/>
    </row>
    <row r="86" spans="1:14" s="478" customFormat="1" ht="15.75" customHeight="1" x14ac:dyDescent="0.25">
      <c r="D86" s="1046"/>
      <c r="E86" s="1046"/>
      <c r="F86" s="474"/>
      <c r="G86" s="474"/>
      <c r="H86" s="474"/>
      <c r="I86" s="486"/>
      <c r="J86" s="485"/>
      <c r="K86" s="484"/>
      <c r="L86" s="473"/>
      <c r="M86" s="475"/>
      <c r="N86" s="483"/>
    </row>
    <row r="87" spans="1:14" s="474" customFormat="1" ht="12.75" hidden="1" customHeight="1" x14ac:dyDescent="0.25">
      <c r="J87" s="475"/>
      <c r="K87" s="475"/>
      <c r="L87" s="473"/>
      <c r="M87" s="475"/>
      <c r="N87" s="483"/>
    </row>
    <row r="88" spans="1:14" s="474" customFormat="1" ht="12.75" hidden="1" customHeight="1" x14ac:dyDescent="0.25">
      <c r="J88" s="475"/>
      <c r="K88" s="475"/>
      <c r="L88" s="473"/>
      <c r="M88" s="475"/>
      <c r="N88" s="483"/>
    </row>
    <row r="89" spans="1:14" s="474" customFormat="1" x14ac:dyDescent="0.25">
      <c r="B89" s="476" t="s">
        <v>41</v>
      </c>
      <c r="J89" s="475"/>
      <c r="K89" s="475"/>
      <c r="L89" s="473"/>
      <c r="M89" s="475"/>
      <c r="N89" s="483"/>
    </row>
    <row r="90" spans="1:14" s="474" customFormat="1" x14ac:dyDescent="0.25">
      <c r="J90" s="475"/>
      <c r="K90" s="475"/>
      <c r="L90" s="473"/>
      <c r="M90" s="475"/>
    </row>
    <row r="91" spans="1:14" s="474" customFormat="1" x14ac:dyDescent="0.25">
      <c r="J91" s="475"/>
      <c r="K91" s="475"/>
      <c r="L91" s="473"/>
      <c r="M91" s="475"/>
    </row>
    <row r="92" spans="1:14" s="474" customFormat="1" x14ac:dyDescent="0.25">
      <c r="J92" s="475"/>
      <c r="K92" s="475"/>
      <c r="L92" s="473"/>
      <c r="M92" s="475"/>
    </row>
    <row r="93" spans="1:14" s="474" customFormat="1" x14ac:dyDescent="0.25">
      <c r="C93" s="1042"/>
      <c r="D93" s="1043"/>
      <c r="E93" s="1043"/>
      <c r="F93" s="1043"/>
      <c r="G93" s="1043"/>
      <c r="H93" s="480"/>
      <c r="J93" s="475"/>
      <c r="K93" s="475"/>
      <c r="L93" s="475"/>
      <c r="M93" s="475"/>
    </row>
    <row r="94" spans="1:14" s="474" customFormat="1" ht="30.6" customHeight="1" x14ac:dyDescent="0.25">
      <c r="A94" s="482" t="s">
        <v>1629</v>
      </c>
      <c r="B94" s="481"/>
      <c r="C94" s="1042" t="s">
        <v>824</v>
      </c>
      <c r="D94" s="1043"/>
      <c r="E94" s="1043"/>
      <c r="F94" s="1044"/>
      <c r="G94" s="1044"/>
      <c r="H94" s="480" t="s">
        <v>823</v>
      </c>
      <c r="J94" s="475"/>
      <c r="K94" s="475"/>
      <c r="L94" s="475"/>
      <c r="M94" s="475"/>
    </row>
    <row r="95" spans="1:14" s="474" customFormat="1" x14ac:dyDescent="0.25">
      <c r="D95" s="479" t="s">
        <v>1628</v>
      </c>
      <c r="E95" s="478"/>
      <c r="F95" s="1045" t="s">
        <v>1627</v>
      </c>
      <c r="G95" s="1045"/>
      <c r="H95" s="477" t="s">
        <v>1626</v>
      </c>
      <c r="J95" s="475"/>
      <c r="K95" s="475"/>
      <c r="L95" s="475"/>
      <c r="M95" s="475"/>
    </row>
    <row r="96" spans="1:14" s="474" customFormat="1" x14ac:dyDescent="0.25">
      <c r="D96" s="1046" t="s">
        <v>1625</v>
      </c>
      <c r="E96" s="1046"/>
      <c r="J96" s="475"/>
      <c r="K96" s="475"/>
      <c r="L96" s="475"/>
      <c r="M96" s="475"/>
    </row>
    <row r="97" spans="2:13" s="474" customFormat="1" x14ac:dyDescent="0.25">
      <c r="B97" s="476" t="s">
        <v>41</v>
      </c>
      <c r="J97" s="475"/>
      <c r="K97" s="475"/>
      <c r="L97" s="475"/>
      <c r="M97" s="475"/>
    </row>
  </sheetData>
  <mergeCells count="35">
    <mergeCell ref="C94:E94"/>
    <mergeCell ref="F94:G94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F77:G77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E42:G42"/>
    <mergeCell ref="C7:F7"/>
    <mergeCell ref="C9:F9"/>
    <mergeCell ref="C11:F11"/>
    <mergeCell ref="C13:F13"/>
    <mergeCell ref="C14:F14"/>
    <mergeCell ref="J17:L17"/>
    <mergeCell ref="B31:D31"/>
    <mergeCell ref="J18:L18"/>
    <mergeCell ref="G22:H22"/>
    <mergeCell ref="B28:D28"/>
    <mergeCell ref="B29:D29"/>
    <mergeCell ref="B30:D30"/>
  </mergeCells>
  <pageMargins left="0.59055118110236227" right="0.51181102362204722" top="0.35433070866141736" bottom="0.74803149606299213" header="0.31496062992125984" footer="0.31496062992125984"/>
  <pageSetup paperSize="9" scale="7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S50"/>
  <sheetViews>
    <sheetView view="pageBreakPreview" topLeftCell="A4" zoomScale="70" zoomScaleNormal="80" zoomScaleSheetLayoutView="70" workbookViewId="0">
      <selection activeCell="J19" sqref="J19"/>
    </sheetView>
  </sheetViews>
  <sheetFormatPr defaultColWidth="9.109375" defaultRowHeight="13.8" x14ac:dyDescent="0.25"/>
  <cols>
    <col min="1" max="1" width="17" style="325" customWidth="1"/>
    <col min="2" max="2" width="20.88671875" style="325" customWidth="1"/>
    <col min="3" max="3" width="52.44140625" style="325" customWidth="1"/>
    <col min="4" max="4" width="20.5546875" style="325" customWidth="1"/>
    <col min="5" max="6" width="15.6640625" style="325" bestFit="1" customWidth="1"/>
    <col min="7" max="8" width="20.5546875" style="325" customWidth="1"/>
    <col min="9" max="9" width="17.5546875" style="325" customWidth="1"/>
    <col min="10" max="10" width="27.88671875" style="325" customWidth="1"/>
    <col min="11" max="11" width="21.6640625" style="326" customWidth="1"/>
    <col min="12" max="12" width="20.5546875" style="325" customWidth="1"/>
    <col min="13" max="14" width="10.88671875" style="325" customWidth="1"/>
    <col min="15" max="15" width="20.5546875" style="325" customWidth="1"/>
    <col min="16" max="16" width="17.5546875" style="325" customWidth="1"/>
    <col min="17" max="17" width="27.88671875" style="325" customWidth="1"/>
    <col min="18" max="18" width="20.44140625" style="327" customWidth="1"/>
    <col min="19" max="16384" width="9.109375" style="327"/>
  </cols>
  <sheetData>
    <row r="1" spans="1:19" ht="9.75" customHeight="1" x14ac:dyDescent="0.25"/>
    <row r="2" spans="1:19" x14ac:dyDescent="0.25">
      <c r="A2" s="328" t="s">
        <v>29</v>
      </c>
      <c r="B2" s="1051" t="s">
        <v>780</v>
      </c>
      <c r="C2" s="1051"/>
      <c r="D2" s="1051"/>
      <c r="E2" s="1051"/>
      <c r="F2" s="1051"/>
      <c r="G2" s="1051"/>
      <c r="H2" s="1051"/>
      <c r="I2" s="1051"/>
      <c r="J2" s="1051"/>
      <c r="K2" s="329"/>
      <c r="L2" s="329"/>
      <c r="M2" s="329"/>
      <c r="N2" s="329"/>
      <c r="O2" s="329"/>
      <c r="P2" s="329"/>
      <c r="Q2" s="329"/>
    </row>
    <row r="3" spans="1:19" x14ac:dyDescent="0.25">
      <c r="A3" s="330"/>
      <c r="B3" s="1052" t="s">
        <v>226</v>
      </c>
      <c r="C3" s="1052"/>
      <c r="D3" s="1052"/>
      <c r="E3" s="1052"/>
      <c r="F3" s="1052"/>
      <c r="G3" s="1052"/>
      <c r="H3" s="1052"/>
      <c r="I3" s="1052"/>
      <c r="J3" s="1052"/>
      <c r="L3" s="326"/>
      <c r="M3" s="326"/>
      <c r="N3" s="326"/>
      <c r="O3" s="326"/>
      <c r="P3" s="326"/>
      <c r="Q3" s="326"/>
    </row>
    <row r="4" spans="1:19" x14ac:dyDescent="0.25">
      <c r="A4" s="331" t="s">
        <v>31</v>
      </c>
      <c r="B4" s="1053" t="s">
        <v>781</v>
      </c>
      <c r="C4" s="1053"/>
      <c r="D4" s="1053"/>
      <c r="E4" s="1053"/>
      <c r="F4" s="1053"/>
      <c r="G4" s="1053"/>
      <c r="H4" s="1053"/>
      <c r="I4" s="1053"/>
      <c r="J4" s="1053"/>
      <c r="K4" s="329"/>
      <c r="L4" s="329"/>
      <c r="M4" s="329"/>
      <c r="N4" s="329"/>
      <c r="O4" s="329"/>
      <c r="P4" s="329"/>
      <c r="Q4" s="329"/>
    </row>
    <row r="5" spans="1:19" x14ac:dyDescent="0.25">
      <c r="A5" s="332"/>
      <c r="B5" s="1052" t="s">
        <v>226</v>
      </c>
      <c r="C5" s="1052"/>
      <c r="D5" s="1052"/>
      <c r="E5" s="1052"/>
      <c r="F5" s="1052"/>
      <c r="G5" s="1052"/>
      <c r="H5" s="1052"/>
      <c r="I5" s="1052"/>
      <c r="J5" s="1052"/>
      <c r="L5" s="326"/>
      <c r="M5" s="326"/>
      <c r="N5" s="326"/>
      <c r="O5" s="326"/>
      <c r="P5" s="326"/>
      <c r="Q5" s="326"/>
    </row>
    <row r="6" spans="1:19" x14ac:dyDescent="0.25">
      <c r="A6" s="331" t="s">
        <v>46</v>
      </c>
      <c r="B6" s="1053">
        <v>1</v>
      </c>
      <c r="C6" s="1053"/>
      <c r="D6" s="1053"/>
      <c r="E6" s="1053"/>
      <c r="F6" s="1053"/>
      <c r="G6" s="1053"/>
      <c r="H6" s="1053"/>
      <c r="I6" s="1053"/>
      <c r="J6" s="1053"/>
      <c r="K6" s="333"/>
      <c r="L6" s="333"/>
      <c r="M6" s="333"/>
      <c r="N6" s="333"/>
      <c r="O6" s="333"/>
      <c r="P6" s="333"/>
      <c r="Q6" s="333"/>
      <c r="R6" s="334"/>
      <c r="S6" s="334"/>
    </row>
    <row r="7" spans="1:19" ht="18" customHeight="1" x14ac:dyDescent="0.25">
      <c r="A7" s="332"/>
      <c r="B7" s="1052" t="s">
        <v>229</v>
      </c>
      <c r="C7" s="1052"/>
      <c r="D7" s="1052"/>
      <c r="E7" s="1052"/>
      <c r="F7" s="1052"/>
      <c r="G7" s="1052"/>
      <c r="H7" s="1052"/>
      <c r="I7" s="1052"/>
      <c r="J7" s="1052"/>
      <c r="L7" s="326"/>
      <c r="M7" s="326"/>
      <c r="N7" s="326"/>
      <c r="O7" s="326"/>
      <c r="P7" s="326"/>
      <c r="Q7" s="326"/>
    </row>
    <row r="8" spans="1:19" ht="26.25" customHeight="1" x14ac:dyDescent="0.25">
      <c r="A8" s="1050" t="s">
        <v>782</v>
      </c>
      <c r="B8" s="1050"/>
      <c r="C8" s="1050"/>
      <c r="D8" s="1050"/>
      <c r="E8" s="1050"/>
      <c r="F8" s="1050"/>
      <c r="G8" s="1050"/>
      <c r="H8" s="1050"/>
      <c r="I8" s="1050"/>
      <c r="J8" s="1050"/>
      <c r="K8" s="335"/>
      <c r="L8" s="335"/>
      <c r="M8" s="335"/>
      <c r="N8" s="335"/>
      <c r="O8" s="335"/>
      <c r="P8" s="335"/>
      <c r="Q8" s="335"/>
      <c r="R8" s="336"/>
      <c r="S8" s="336"/>
    </row>
    <row r="9" spans="1:19" ht="5.25" customHeight="1" x14ac:dyDescent="0.25">
      <c r="A9" s="337"/>
      <c r="B9" s="337"/>
      <c r="C9" s="337"/>
      <c r="D9" s="337"/>
      <c r="E9" s="337"/>
      <c r="F9" s="337"/>
      <c r="G9" s="337"/>
      <c r="H9" s="337"/>
      <c r="I9" s="332"/>
      <c r="J9" s="337"/>
      <c r="L9" s="337"/>
      <c r="M9" s="337"/>
      <c r="N9" s="337"/>
      <c r="O9" s="337"/>
      <c r="P9" s="332"/>
      <c r="Q9" s="337"/>
    </row>
    <row r="10" spans="1:19" ht="54.9" customHeight="1" x14ac:dyDescent="0.25">
      <c r="A10" s="338" t="s">
        <v>230</v>
      </c>
      <c r="B10" s="338" t="s">
        <v>231</v>
      </c>
      <c r="C10" s="338" t="s">
        <v>232</v>
      </c>
      <c r="D10" s="338" t="s">
        <v>234</v>
      </c>
      <c r="E10" s="338" t="s">
        <v>663</v>
      </c>
      <c r="F10" s="338" t="s">
        <v>662</v>
      </c>
      <c r="G10" s="338" t="s">
        <v>664</v>
      </c>
      <c r="H10" s="339" t="s">
        <v>1687</v>
      </c>
      <c r="I10" s="338" t="s">
        <v>235</v>
      </c>
      <c r="J10" s="339" t="s">
        <v>669</v>
      </c>
      <c r="K10" s="340" t="s">
        <v>676</v>
      </c>
      <c r="L10" s="341" t="s">
        <v>678</v>
      </c>
      <c r="M10" s="338" t="s">
        <v>662</v>
      </c>
      <c r="N10" s="338" t="s">
        <v>663</v>
      </c>
      <c r="O10" s="338" t="s">
        <v>664</v>
      </c>
      <c r="P10" s="338" t="s">
        <v>235</v>
      </c>
      <c r="Q10" s="339" t="s">
        <v>679</v>
      </c>
    </row>
    <row r="11" spans="1:19" s="854" customFormat="1" ht="35.1" customHeight="1" x14ac:dyDescent="0.25">
      <c r="A11" s="845">
        <v>1</v>
      </c>
      <c r="B11" s="1229" t="s">
        <v>666</v>
      </c>
      <c r="C11" s="847" t="s">
        <v>665</v>
      </c>
      <c r="D11" s="848">
        <f>'1'!H339</f>
        <v>48144716.009999998</v>
      </c>
      <c r="E11" s="848">
        <f>'1'!H340</f>
        <v>3947866.71</v>
      </c>
      <c r="F11" s="848">
        <f>'1'!H342</f>
        <v>1250221.99</v>
      </c>
      <c r="G11" s="848">
        <f>D11+E11+F11</f>
        <v>53342804.710000001</v>
      </c>
      <c r="H11" s="848">
        <f>'1'!H344</f>
        <v>56084624.869999997</v>
      </c>
      <c r="I11" s="849">
        <v>1.2</v>
      </c>
      <c r="J11" s="850">
        <f>ROUND(H11*I11,2)</f>
        <v>67301549.840000004</v>
      </c>
      <c r="K11" s="1230"/>
      <c r="L11" s="852">
        <v>48144717</v>
      </c>
      <c r="M11" s="852">
        <f>L11*2.4%</f>
        <v>1155473</v>
      </c>
      <c r="N11" s="852">
        <f>L11*8.2%</f>
        <v>3947867</v>
      </c>
      <c r="O11" s="852">
        <f>L11+M11+N11</f>
        <v>53248057</v>
      </c>
      <c r="P11" s="849">
        <v>1.2</v>
      </c>
      <c r="Q11" s="850">
        <f>O11*P11</f>
        <v>63897668.399999999</v>
      </c>
      <c r="R11" s="853"/>
    </row>
    <row r="12" spans="1:19" s="854" customFormat="1" ht="35.1" customHeight="1" x14ac:dyDescent="0.25">
      <c r="A12" s="845">
        <v>2</v>
      </c>
      <c r="B12" s="1229" t="s">
        <v>670</v>
      </c>
      <c r="C12" s="847" t="s">
        <v>826</v>
      </c>
      <c r="D12" s="848">
        <f>'2'!H516</f>
        <v>40126287.100000001</v>
      </c>
      <c r="E12" s="848">
        <f>'2'!H517</f>
        <v>3290355.54</v>
      </c>
      <c r="F12" s="848">
        <f>'2'!H519</f>
        <v>1041999.42</v>
      </c>
      <c r="G12" s="848">
        <f>D12+E12+F12</f>
        <v>44458642.060000002</v>
      </c>
      <c r="H12" s="848">
        <f>'2'!H521</f>
        <v>46743816.259999998</v>
      </c>
      <c r="I12" s="849">
        <v>1.2</v>
      </c>
      <c r="J12" s="850">
        <f t="shared" ref="J12:J26" si="0">ROUND(H12*I12,2)</f>
        <v>56092579.509999998</v>
      </c>
      <c r="K12" s="851"/>
      <c r="L12" s="852">
        <v>1325193</v>
      </c>
      <c r="M12" s="852">
        <f>L12*2.4%</f>
        <v>31805</v>
      </c>
      <c r="N12" s="852">
        <f>L12*8.2%</f>
        <v>108666</v>
      </c>
      <c r="O12" s="852">
        <f>L12+M12+N12</f>
        <v>1465664</v>
      </c>
      <c r="P12" s="849">
        <v>1.2</v>
      </c>
      <c r="Q12" s="850">
        <f t="shared" ref="Q12:Q26" si="1">O12*P12</f>
        <v>1758796.8</v>
      </c>
      <c r="R12" s="853"/>
    </row>
    <row r="13" spans="1:19" s="864" customFormat="1" ht="35.1" customHeight="1" x14ac:dyDescent="0.25">
      <c r="A13" s="855">
        <v>3</v>
      </c>
      <c r="B13" s="892" t="s">
        <v>671</v>
      </c>
      <c r="C13" s="857" t="s">
        <v>962</v>
      </c>
      <c r="D13" s="858">
        <f>'3'!H152</f>
        <v>1177978.8500000001</v>
      </c>
      <c r="E13" s="858">
        <f>'3'!H153</f>
        <v>96594.27</v>
      </c>
      <c r="F13" s="858">
        <f>'3'!H155</f>
        <v>30589.75</v>
      </c>
      <c r="G13" s="858">
        <f>D13+E13+F13</f>
        <v>1305162.8700000001</v>
      </c>
      <c r="H13" s="858">
        <f>'3'!H157</f>
        <v>1372248.24</v>
      </c>
      <c r="I13" s="859">
        <f>I11</f>
        <v>1.2</v>
      </c>
      <c r="J13" s="860">
        <f t="shared" si="0"/>
        <v>1646697.89</v>
      </c>
      <c r="K13" s="861">
        <f>'[12]05-03-01 (в.5) ПЖ - ЛСР по Мето'!$U$892*1.2+'[12]05-03-01 (в.5) ПЖ - ЛСР по Мето'!$U$892*2.4%+'[12]05-03-01 (в.5) ПЖ - ЛСР по Мето'!$U$892*8.2%</f>
        <v>100300032.63</v>
      </c>
      <c r="L13" s="862">
        <v>32170863</v>
      </c>
      <c r="M13" s="862">
        <f>L13*2.4%</f>
        <v>772101</v>
      </c>
      <c r="N13" s="862">
        <f>L13*8.2%</f>
        <v>2638011</v>
      </c>
      <c r="O13" s="862">
        <f>L13+M13+N13</f>
        <v>35580975</v>
      </c>
      <c r="P13" s="859">
        <f>P11</f>
        <v>1.2</v>
      </c>
      <c r="Q13" s="860">
        <f t="shared" si="1"/>
        <v>42697170</v>
      </c>
      <c r="R13" s="863"/>
    </row>
    <row r="14" spans="1:19" ht="35.1" customHeight="1" x14ac:dyDescent="0.25">
      <c r="A14" s="342">
        <v>4</v>
      </c>
      <c r="B14" s="349" t="s">
        <v>984</v>
      </c>
      <c r="C14" s="343" t="s">
        <v>983</v>
      </c>
      <c r="D14" s="390">
        <f>'4'!H86</f>
        <v>25370.35</v>
      </c>
      <c r="E14" s="390">
        <f>'4'!H87</f>
        <v>2080.37</v>
      </c>
      <c r="F14" s="390">
        <f>'4'!H89</f>
        <v>658.82</v>
      </c>
      <c r="G14" s="390">
        <f t="shared" ref="G14" si="2">D14+E14+F14</f>
        <v>28109.54</v>
      </c>
      <c r="H14" s="390">
        <f>'4'!H91</f>
        <v>29554.37</v>
      </c>
      <c r="I14" s="345">
        <f>I11</f>
        <v>1.2</v>
      </c>
      <c r="J14" s="346">
        <f t="shared" si="0"/>
        <v>35465.24</v>
      </c>
      <c r="K14" s="348"/>
      <c r="L14" s="344">
        <v>541721</v>
      </c>
      <c r="M14" s="344">
        <f t="shared" ref="M14:M26" si="3">L14*2.4%</f>
        <v>13001</v>
      </c>
      <c r="N14" s="344">
        <f t="shared" ref="N14:N26" si="4">L14*8.2%</f>
        <v>44421</v>
      </c>
      <c r="O14" s="344">
        <f t="shared" ref="O14:O26" si="5">L14+M14+N14</f>
        <v>599143</v>
      </c>
      <c r="P14" s="345">
        <f>P11</f>
        <v>1.2</v>
      </c>
      <c r="Q14" s="346">
        <f t="shared" si="1"/>
        <v>718971.6</v>
      </c>
      <c r="R14" s="347"/>
    </row>
    <row r="15" spans="1:19" s="854" customFormat="1" ht="35.1" customHeight="1" x14ac:dyDescent="0.25">
      <c r="A15" s="845">
        <v>5</v>
      </c>
      <c r="B15" s="846" t="s">
        <v>992</v>
      </c>
      <c r="C15" s="847" t="s">
        <v>991</v>
      </c>
      <c r="D15" s="848">
        <f>'5'!H125</f>
        <v>474689.09</v>
      </c>
      <c r="E15" s="848">
        <f>'5'!H126</f>
        <v>38924.51</v>
      </c>
      <c r="F15" s="848">
        <f>'5'!H128</f>
        <v>12326.73</v>
      </c>
      <c r="G15" s="848">
        <f t="shared" ref="G15:G16" si="6">D15+E15+F15</f>
        <v>525940.32999999996</v>
      </c>
      <c r="H15" s="848">
        <f>'5'!H130</f>
        <v>552973.66</v>
      </c>
      <c r="I15" s="849">
        <f>I12</f>
        <v>1.2</v>
      </c>
      <c r="J15" s="850">
        <f t="shared" si="0"/>
        <v>663568.39</v>
      </c>
      <c r="K15" s="851"/>
      <c r="L15" s="852">
        <v>39430628</v>
      </c>
      <c r="M15" s="852">
        <f t="shared" si="3"/>
        <v>946335</v>
      </c>
      <c r="N15" s="852">
        <f t="shared" si="4"/>
        <v>3233311</v>
      </c>
      <c r="O15" s="852">
        <f t="shared" si="5"/>
        <v>43610274</v>
      </c>
      <c r="P15" s="849">
        <f>P12</f>
        <v>1.2</v>
      </c>
      <c r="Q15" s="850">
        <f t="shared" si="1"/>
        <v>52332328.799999997</v>
      </c>
      <c r="R15" s="853"/>
    </row>
    <row r="16" spans="1:19" s="864" customFormat="1" ht="35.1" customHeight="1" x14ac:dyDescent="0.25">
      <c r="A16" s="855">
        <v>6</v>
      </c>
      <c r="B16" s="856" t="s">
        <v>672</v>
      </c>
      <c r="C16" s="857" t="s">
        <v>1031</v>
      </c>
      <c r="D16" s="858">
        <f>'6'!H107</f>
        <v>286755.46000000002</v>
      </c>
      <c r="E16" s="858">
        <f>'6'!H108</f>
        <v>23513.95</v>
      </c>
      <c r="F16" s="858">
        <f>'6'!H110</f>
        <v>7446.47</v>
      </c>
      <c r="G16" s="858">
        <f t="shared" si="6"/>
        <v>317715.88</v>
      </c>
      <c r="H16" s="858">
        <f>'6'!H112</f>
        <v>334046.48</v>
      </c>
      <c r="I16" s="859">
        <f>I13</f>
        <v>1.2</v>
      </c>
      <c r="J16" s="860">
        <f t="shared" si="0"/>
        <v>400855.78</v>
      </c>
      <c r="K16" s="861"/>
      <c r="L16" s="862">
        <v>1177992</v>
      </c>
      <c r="M16" s="862">
        <f t="shared" si="3"/>
        <v>28272</v>
      </c>
      <c r="N16" s="862">
        <f t="shared" si="4"/>
        <v>96595</v>
      </c>
      <c r="O16" s="862">
        <f t="shared" si="5"/>
        <v>1302859</v>
      </c>
      <c r="P16" s="859">
        <f>P13</f>
        <v>1.2</v>
      </c>
      <c r="Q16" s="860">
        <f t="shared" si="1"/>
        <v>1563430.8</v>
      </c>
      <c r="R16" s="863"/>
    </row>
    <row r="17" spans="1:18" s="864" customFormat="1" ht="35.1" customHeight="1" x14ac:dyDescent="0.25">
      <c r="A17" s="855">
        <v>7</v>
      </c>
      <c r="B17" s="856" t="s">
        <v>673</v>
      </c>
      <c r="C17" s="857" t="s">
        <v>1099</v>
      </c>
      <c r="D17" s="858">
        <f>'7'!H259</f>
        <v>3439448.44</v>
      </c>
      <c r="E17" s="858">
        <f>'7'!H260</f>
        <v>282034.77</v>
      </c>
      <c r="F17" s="858">
        <f>'7'!H262</f>
        <v>89315.6</v>
      </c>
      <c r="G17" s="858">
        <f t="shared" ref="G17" si="7">D17+E17+F17</f>
        <v>3810798.81</v>
      </c>
      <c r="H17" s="858">
        <f>'7'!H264</f>
        <v>4006673.87</v>
      </c>
      <c r="I17" s="859">
        <f>I14</f>
        <v>1.2</v>
      </c>
      <c r="J17" s="860">
        <f t="shared" si="0"/>
        <v>4808008.6399999997</v>
      </c>
      <c r="K17" s="861"/>
      <c r="L17" s="862">
        <v>25371</v>
      </c>
      <c r="M17" s="862">
        <f t="shared" si="3"/>
        <v>609</v>
      </c>
      <c r="N17" s="862">
        <f t="shared" si="4"/>
        <v>2080</v>
      </c>
      <c r="O17" s="862">
        <f t="shared" si="5"/>
        <v>28060</v>
      </c>
      <c r="P17" s="859">
        <f>P14</f>
        <v>1.2</v>
      </c>
      <c r="Q17" s="860">
        <f t="shared" si="1"/>
        <v>33672</v>
      </c>
      <c r="R17" s="863"/>
    </row>
    <row r="18" spans="1:18" ht="35.1" customHeight="1" x14ac:dyDescent="0.25">
      <c r="A18" s="342">
        <v>8</v>
      </c>
      <c r="B18" s="349" t="s">
        <v>1153</v>
      </c>
      <c r="C18" s="343" t="s">
        <v>1152</v>
      </c>
      <c r="D18" s="390">
        <f>'8'!H351</f>
        <v>1576293.75</v>
      </c>
      <c r="E18" s="390">
        <f>'8'!H352</f>
        <v>129256.09</v>
      </c>
      <c r="F18" s="390">
        <f>'8'!H354</f>
        <v>40933.199999999997</v>
      </c>
      <c r="G18" s="390">
        <f t="shared" ref="G18" si="8">D18+E18+F18</f>
        <v>1746483.04</v>
      </c>
      <c r="H18" s="390">
        <f>'8'!H356</f>
        <v>1836252.27</v>
      </c>
      <c r="I18" s="345">
        <f>I15</f>
        <v>1.2</v>
      </c>
      <c r="J18" s="346">
        <f t="shared" si="0"/>
        <v>2203502.7200000002</v>
      </c>
      <c r="K18" s="348"/>
      <c r="L18" s="344">
        <v>474228</v>
      </c>
      <c r="M18" s="344">
        <f t="shared" si="3"/>
        <v>11381</v>
      </c>
      <c r="N18" s="344">
        <f t="shared" si="4"/>
        <v>38887</v>
      </c>
      <c r="O18" s="344">
        <f t="shared" si="5"/>
        <v>524496</v>
      </c>
      <c r="P18" s="345">
        <f>P15</f>
        <v>1.2</v>
      </c>
      <c r="Q18" s="346">
        <f t="shared" si="1"/>
        <v>629395.19999999995</v>
      </c>
      <c r="R18" s="347"/>
    </row>
    <row r="19" spans="1:18" s="854" customFormat="1" ht="35.1" customHeight="1" x14ac:dyDescent="0.25">
      <c r="A19" s="845">
        <v>9</v>
      </c>
      <c r="B19" s="846" t="s">
        <v>1221</v>
      </c>
      <c r="C19" s="847" t="s">
        <v>1220</v>
      </c>
      <c r="D19" s="848">
        <f>'9'!H308</f>
        <v>37360449.630000003</v>
      </c>
      <c r="E19" s="848">
        <f>'9'!H309</f>
        <v>3063556.87</v>
      </c>
      <c r="F19" s="848">
        <f>'9'!H311</f>
        <v>970176.16</v>
      </c>
      <c r="G19" s="848">
        <f t="shared" ref="G19" si="9">D19+E19+F19</f>
        <v>41394182.659999996</v>
      </c>
      <c r="H19" s="848">
        <f>'9'!H313</f>
        <v>43521843.649999999</v>
      </c>
      <c r="I19" s="849">
        <f t="shared" ref="I19:I26" si="10">I15</f>
        <v>1.2</v>
      </c>
      <c r="J19" s="850">
        <f t="shared" si="0"/>
        <v>52226212.380000003</v>
      </c>
      <c r="K19" s="851"/>
      <c r="L19" s="852">
        <v>211726</v>
      </c>
      <c r="M19" s="852">
        <f t="shared" si="3"/>
        <v>5081</v>
      </c>
      <c r="N19" s="852">
        <f t="shared" si="4"/>
        <v>17362</v>
      </c>
      <c r="O19" s="852">
        <f t="shared" si="5"/>
        <v>234169</v>
      </c>
      <c r="P19" s="849">
        <f t="shared" ref="P19:P26" si="11">P15</f>
        <v>1.2</v>
      </c>
      <c r="Q19" s="850">
        <f t="shared" si="1"/>
        <v>281002.8</v>
      </c>
      <c r="R19" s="853"/>
    </row>
    <row r="20" spans="1:18" s="864" customFormat="1" ht="35.1" customHeight="1" x14ac:dyDescent="0.25">
      <c r="A20" s="855">
        <v>10</v>
      </c>
      <c r="B20" s="856" t="s">
        <v>1264</v>
      </c>
      <c r="C20" s="857" t="s">
        <v>1263</v>
      </c>
      <c r="D20" s="858">
        <f>'10'!H193</f>
        <v>604559.89</v>
      </c>
      <c r="E20" s="858">
        <f>'10'!H194</f>
        <v>49573.91</v>
      </c>
      <c r="F20" s="858">
        <f>'10'!H196</f>
        <v>15699.21</v>
      </c>
      <c r="G20" s="858">
        <f t="shared" ref="G20" si="12">D20+E20+F20</f>
        <v>669833.01</v>
      </c>
      <c r="H20" s="858">
        <f>'10'!H198</f>
        <v>704262.43</v>
      </c>
      <c r="I20" s="859">
        <f t="shared" si="10"/>
        <v>1.2</v>
      </c>
      <c r="J20" s="860">
        <f t="shared" si="0"/>
        <v>845114.92</v>
      </c>
      <c r="K20" s="861"/>
      <c r="L20" s="862">
        <v>4241452</v>
      </c>
      <c r="M20" s="862">
        <f t="shared" si="3"/>
        <v>101795</v>
      </c>
      <c r="N20" s="862">
        <f t="shared" si="4"/>
        <v>347799</v>
      </c>
      <c r="O20" s="862">
        <f t="shared" si="5"/>
        <v>4691046</v>
      </c>
      <c r="P20" s="859">
        <f t="shared" si="11"/>
        <v>1.2</v>
      </c>
      <c r="Q20" s="860">
        <f t="shared" si="1"/>
        <v>5629255.2000000002</v>
      </c>
      <c r="R20" s="863"/>
    </row>
    <row r="21" spans="1:18" ht="35.1" customHeight="1" x14ac:dyDescent="0.25">
      <c r="A21" s="342">
        <v>11</v>
      </c>
      <c r="B21" s="349" t="s">
        <v>1311</v>
      </c>
      <c r="C21" s="343" t="s">
        <v>1310</v>
      </c>
      <c r="D21" s="390">
        <f>'11'!H424</f>
        <v>3095735.94</v>
      </c>
      <c r="E21" s="390">
        <f>'11'!H425</f>
        <v>253850.35</v>
      </c>
      <c r="F21" s="390">
        <f>'11'!H427</f>
        <v>80390.070000000007</v>
      </c>
      <c r="G21" s="390">
        <f t="shared" ref="G21" si="13">D21+E21+F21</f>
        <v>3429976.36</v>
      </c>
      <c r="H21" s="390">
        <f>'11'!H429</f>
        <v>3606277.14</v>
      </c>
      <c r="I21" s="345">
        <f t="shared" si="10"/>
        <v>1.2</v>
      </c>
      <c r="J21" s="346">
        <f t="shared" si="0"/>
        <v>4327532.57</v>
      </c>
      <c r="K21" s="348"/>
      <c r="L21" s="344">
        <v>225018</v>
      </c>
      <c r="M21" s="344">
        <f t="shared" si="3"/>
        <v>5400</v>
      </c>
      <c r="N21" s="344">
        <f t="shared" si="4"/>
        <v>18451</v>
      </c>
      <c r="O21" s="344">
        <f t="shared" si="5"/>
        <v>248869</v>
      </c>
      <c r="P21" s="345">
        <f t="shared" si="11"/>
        <v>1.2</v>
      </c>
      <c r="Q21" s="346">
        <f t="shared" si="1"/>
        <v>298642.8</v>
      </c>
      <c r="R21" s="347"/>
    </row>
    <row r="22" spans="1:18" s="854" customFormat="1" ht="35.1" customHeight="1" x14ac:dyDescent="0.25">
      <c r="A22" s="845">
        <v>12</v>
      </c>
      <c r="B22" s="846" t="s">
        <v>674</v>
      </c>
      <c r="C22" s="847" t="s">
        <v>1345</v>
      </c>
      <c r="D22" s="848">
        <f>'12'!H221</f>
        <v>535269.42000000004</v>
      </c>
      <c r="E22" s="848">
        <f>'12'!H222</f>
        <v>43892.09</v>
      </c>
      <c r="F22" s="848">
        <f>'12'!H224</f>
        <v>13899.88</v>
      </c>
      <c r="G22" s="848">
        <f t="shared" ref="G22" si="14">D22+E22+F22</f>
        <v>593061.39</v>
      </c>
      <c r="H22" s="848">
        <f>'12'!H226</f>
        <v>623544.75</v>
      </c>
      <c r="I22" s="849">
        <f t="shared" si="10"/>
        <v>1.2</v>
      </c>
      <c r="J22" s="850">
        <f t="shared" si="0"/>
        <v>748253.7</v>
      </c>
      <c r="K22" s="851"/>
      <c r="L22" s="852">
        <v>3192184</v>
      </c>
      <c r="M22" s="852">
        <f t="shared" si="3"/>
        <v>76612</v>
      </c>
      <c r="N22" s="852">
        <f t="shared" si="4"/>
        <v>261759</v>
      </c>
      <c r="O22" s="852">
        <f t="shared" si="5"/>
        <v>3530555</v>
      </c>
      <c r="P22" s="849">
        <f t="shared" si="11"/>
        <v>1.2</v>
      </c>
      <c r="Q22" s="850">
        <f t="shared" si="1"/>
        <v>4236666</v>
      </c>
      <c r="R22" s="853"/>
    </row>
    <row r="23" spans="1:18" s="854" customFormat="1" ht="35.1" customHeight="1" x14ac:dyDescent="0.25">
      <c r="A23" s="845">
        <v>13</v>
      </c>
      <c r="B23" s="846" t="s">
        <v>675</v>
      </c>
      <c r="C23" s="847" t="s">
        <v>1385</v>
      </c>
      <c r="D23" s="848">
        <f>'13'!H231</f>
        <v>1249483.06</v>
      </c>
      <c r="E23" s="848">
        <f>'13'!H232</f>
        <v>102457.61</v>
      </c>
      <c r="F23" s="848">
        <f>'13'!H234</f>
        <v>32446.58</v>
      </c>
      <c r="G23" s="848">
        <f t="shared" ref="G23" si="15">D23+E23+F23</f>
        <v>1384387.25</v>
      </c>
      <c r="H23" s="848">
        <f>'13'!H236</f>
        <v>1455544.75</v>
      </c>
      <c r="I23" s="849">
        <f t="shared" si="10"/>
        <v>1.2</v>
      </c>
      <c r="J23" s="850">
        <f t="shared" si="0"/>
        <v>1746653.7</v>
      </c>
      <c r="K23" s="851"/>
      <c r="L23" s="852">
        <v>542019</v>
      </c>
      <c r="M23" s="852">
        <f t="shared" si="3"/>
        <v>13008</v>
      </c>
      <c r="N23" s="852">
        <f t="shared" si="4"/>
        <v>44446</v>
      </c>
      <c r="O23" s="852">
        <f t="shared" si="5"/>
        <v>599473</v>
      </c>
      <c r="P23" s="849">
        <f t="shared" si="11"/>
        <v>1.2</v>
      </c>
      <c r="Q23" s="850">
        <f t="shared" si="1"/>
        <v>719367.6</v>
      </c>
      <c r="R23" s="853"/>
    </row>
    <row r="24" spans="1:18" s="854" customFormat="1" ht="35.1" customHeight="1" x14ac:dyDescent="0.25">
      <c r="A24" s="845">
        <v>14</v>
      </c>
      <c r="B24" s="846" t="s">
        <v>677</v>
      </c>
      <c r="C24" s="847" t="s">
        <v>1472</v>
      </c>
      <c r="D24" s="848">
        <f>'14'!H403</f>
        <v>5770874.5899999999</v>
      </c>
      <c r="E24" s="848">
        <f>'14'!H404</f>
        <v>473211.72</v>
      </c>
      <c r="F24" s="848">
        <f>'14'!H406</f>
        <v>149858.07</v>
      </c>
      <c r="G24" s="848">
        <f t="shared" ref="G24" si="16">D24+E24+F24</f>
        <v>6393944.3799999999</v>
      </c>
      <c r="H24" s="848">
        <f>'14'!H408</f>
        <v>6722593.1200000001</v>
      </c>
      <c r="I24" s="849">
        <f t="shared" si="10"/>
        <v>1.2</v>
      </c>
      <c r="J24" s="850">
        <f t="shared" si="0"/>
        <v>8067111.7400000002</v>
      </c>
      <c r="K24" s="851"/>
      <c r="L24" s="852">
        <v>1308936</v>
      </c>
      <c r="M24" s="852">
        <f t="shared" si="3"/>
        <v>31414</v>
      </c>
      <c r="N24" s="852">
        <f t="shared" si="4"/>
        <v>107333</v>
      </c>
      <c r="O24" s="852">
        <f t="shared" si="5"/>
        <v>1447683</v>
      </c>
      <c r="P24" s="849">
        <f t="shared" si="11"/>
        <v>1.2</v>
      </c>
      <c r="Q24" s="850">
        <f t="shared" si="1"/>
        <v>1737219.6</v>
      </c>
      <c r="R24" s="853"/>
    </row>
    <row r="25" spans="1:18" s="864" customFormat="1" ht="35.1" customHeight="1" x14ac:dyDescent="0.25">
      <c r="A25" s="855">
        <v>15</v>
      </c>
      <c r="B25" s="856" t="s">
        <v>667</v>
      </c>
      <c r="C25" s="857" t="s">
        <v>1501</v>
      </c>
      <c r="D25" s="858">
        <f>'15'!H164</f>
        <v>219092.5</v>
      </c>
      <c r="E25" s="858">
        <f>'15'!H165</f>
        <v>17965.59</v>
      </c>
      <c r="F25" s="858">
        <f>'15'!H167</f>
        <v>5689.39</v>
      </c>
      <c r="G25" s="858">
        <f t="shared" ref="G25" si="17">D25+E25+F25</f>
        <v>242747.48</v>
      </c>
      <c r="H25" s="858">
        <f>'15'!H169</f>
        <v>255224.7</v>
      </c>
      <c r="I25" s="859">
        <f t="shared" si="10"/>
        <v>1.2</v>
      </c>
      <c r="J25" s="860">
        <f t="shared" si="0"/>
        <v>306269.64</v>
      </c>
      <c r="K25" s="861"/>
      <c r="L25" s="862">
        <v>6209761</v>
      </c>
      <c r="M25" s="862">
        <f t="shared" si="3"/>
        <v>149034</v>
      </c>
      <c r="N25" s="862">
        <f t="shared" si="4"/>
        <v>509200</v>
      </c>
      <c r="O25" s="862">
        <f t="shared" si="5"/>
        <v>6867995</v>
      </c>
      <c r="P25" s="859">
        <f t="shared" si="11"/>
        <v>1.2</v>
      </c>
      <c r="Q25" s="860">
        <f t="shared" si="1"/>
        <v>8241594</v>
      </c>
      <c r="R25" s="863"/>
    </row>
    <row r="26" spans="1:18" s="864" customFormat="1" ht="35.1" customHeight="1" x14ac:dyDescent="0.25">
      <c r="A26" s="855">
        <v>16</v>
      </c>
      <c r="B26" s="856" t="s">
        <v>1510</v>
      </c>
      <c r="C26" s="857" t="s">
        <v>668</v>
      </c>
      <c r="D26" s="858">
        <f>'16'!H82</f>
        <v>1646107.48</v>
      </c>
      <c r="E26" s="858">
        <f>'16'!H83</f>
        <v>134980.81</v>
      </c>
      <c r="F26" s="858">
        <f>'16'!H85</f>
        <v>42746.12</v>
      </c>
      <c r="G26" s="858">
        <f t="shared" ref="G26" si="18">D26+E26+F26</f>
        <v>1823834.41</v>
      </c>
      <c r="H26" s="858">
        <f>'16'!H87</f>
        <v>1917579.5</v>
      </c>
      <c r="I26" s="859">
        <f t="shared" si="10"/>
        <v>1.2</v>
      </c>
      <c r="J26" s="860">
        <f t="shared" si="0"/>
        <v>2301095.4</v>
      </c>
      <c r="K26" s="861"/>
      <c r="L26" s="862">
        <v>217103</v>
      </c>
      <c r="M26" s="862">
        <f t="shared" si="3"/>
        <v>5210</v>
      </c>
      <c r="N26" s="862">
        <f t="shared" si="4"/>
        <v>17802</v>
      </c>
      <c r="O26" s="862">
        <f t="shared" si="5"/>
        <v>240115</v>
      </c>
      <c r="P26" s="859">
        <f t="shared" si="11"/>
        <v>1.2</v>
      </c>
      <c r="Q26" s="860">
        <f t="shared" si="1"/>
        <v>288138</v>
      </c>
      <c r="R26" s="863"/>
    </row>
    <row r="27" spans="1:18" ht="54.9" customHeight="1" x14ac:dyDescent="0.25">
      <c r="A27" s="350"/>
      <c r="B27" s="351" t="s">
        <v>37</v>
      </c>
      <c r="C27" s="350"/>
      <c r="D27" s="352">
        <f>SUM(D11:D26)</f>
        <v>145733111.56</v>
      </c>
      <c r="E27" s="350"/>
      <c r="F27" s="350"/>
      <c r="G27" s="352">
        <f>SUM(G11:G26)</f>
        <v>161467624.18000001</v>
      </c>
      <c r="H27" s="352">
        <f>SUM(H11:H26)</f>
        <v>169767060.06</v>
      </c>
      <c r="I27" s="352"/>
      <c r="J27" s="352">
        <f>SUM(J11:J26)</f>
        <v>203720472.06</v>
      </c>
      <c r="K27" s="352">
        <f>SUM(K11:K18)</f>
        <v>100300032.63</v>
      </c>
      <c r="L27" s="352">
        <f>SUM(L11:L26)</f>
        <v>139438912</v>
      </c>
      <c r="M27" s="350"/>
      <c r="N27" s="350"/>
      <c r="O27" s="352">
        <f>SUM(O11:O26)</f>
        <v>154219433</v>
      </c>
      <c r="P27" s="352"/>
      <c r="Q27" s="352">
        <f>SUM(Q11:Q26)</f>
        <v>185063319.59999999</v>
      </c>
      <c r="R27" s="353"/>
    </row>
    <row r="29" spans="1:18" x14ac:dyDescent="0.25">
      <c r="J29" s="354"/>
      <c r="K29" s="355"/>
      <c r="Q29" s="354"/>
      <c r="R29" s="353"/>
    </row>
    <row r="50" spans="1:1" x14ac:dyDescent="0.25">
      <c r="A50" s="325">
        <v>7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57" fitToHeight="10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Z351"/>
  <sheetViews>
    <sheetView view="pageBreakPreview" topLeftCell="A4" zoomScale="85" zoomScaleNormal="100" zoomScaleSheetLayoutView="85" workbookViewId="0">
      <pane ySplit="35" topLeftCell="A39" activePane="bottomLeft" state="frozen"/>
      <selection activeCell="E50" sqref="E50"/>
      <selection pane="bottomLeft" activeCell="G54" sqref="G54"/>
    </sheetView>
  </sheetViews>
  <sheetFormatPr defaultColWidth="9.109375" defaultRowHeight="10.199999999999999" outlineLevelRow="1" x14ac:dyDescent="0.2"/>
  <cols>
    <col min="1" max="1" width="6.33203125" style="358" customWidth="1"/>
    <col min="2" max="2" width="6.6640625" style="358" customWidth="1"/>
    <col min="3" max="3" width="15.6640625" style="358" customWidth="1"/>
    <col min="4" max="4" width="40.6640625" style="358" customWidth="1"/>
    <col min="5" max="12" width="12.6640625" style="358" customWidth="1"/>
    <col min="13" max="13" width="17.88671875" style="631" customWidth="1"/>
    <col min="14" max="15" width="27.21875" style="631" customWidth="1"/>
    <col min="16" max="19" width="9.109375" style="358"/>
    <col min="20" max="36" width="0" style="358" hidden="1" customWidth="1"/>
    <col min="37" max="16384" width="9.109375" style="358"/>
  </cols>
  <sheetData>
    <row r="1" spans="1:12" x14ac:dyDescent="0.2">
      <c r="A1" s="1059"/>
      <c r="B1" s="1059"/>
      <c r="C1" s="1059"/>
      <c r="D1" s="1060"/>
      <c r="E1" s="357"/>
      <c r="F1" s="357"/>
      <c r="I1" s="1061" t="s">
        <v>680</v>
      </c>
      <c r="J1" s="1061"/>
      <c r="K1" s="1061"/>
      <c r="L1" s="1061"/>
    </row>
    <row r="2" spans="1:12" x14ac:dyDescent="0.2">
      <c r="A2" s="359"/>
      <c r="B2" s="359"/>
      <c r="C2" s="359"/>
      <c r="D2" s="359"/>
      <c r="E2" s="359"/>
      <c r="F2" s="359"/>
      <c r="G2" s="359"/>
      <c r="I2" s="1061" t="s">
        <v>241</v>
      </c>
      <c r="J2" s="1061"/>
      <c r="K2" s="1061"/>
      <c r="L2" s="1061"/>
    </row>
    <row r="3" spans="1:12" x14ac:dyDescent="0.2">
      <c r="A3" s="359"/>
      <c r="B3" s="359"/>
      <c r="C3" s="359"/>
      <c r="D3" s="359"/>
      <c r="E3" s="359"/>
      <c r="F3" s="359"/>
      <c r="G3" s="359"/>
      <c r="I3" s="1061" t="s">
        <v>681</v>
      </c>
      <c r="J3" s="1061"/>
      <c r="K3" s="1061"/>
      <c r="L3" s="1061"/>
    </row>
    <row r="4" spans="1:12" hidden="1" outlineLevel="1" x14ac:dyDescent="0.2">
      <c r="A4" s="359"/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</row>
    <row r="5" spans="1:12" hidden="1" outlineLevel="1" x14ac:dyDescent="0.2">
      <c r="A5" s="359"/>
      <c r="B5" s="359"/>
      <c r="C5" s="359"/>
      <c r="D5" s="359"/>
      <c r="E5" s="359"/>
      <c r="F5" s="359"/>
      <c r="G5" s="359"/>
      <c r="H5" s="359"/>
      <c r="I5" s="359"/>
      <c r="J5" s="359"/>
      <c r="K5" s="1057" t="s">
        <v>0</v>
      </c>
      <c r="L5" s="1058"/>
    </row>
    <row r="6" spans="1:12" hidden="1" outlineLevel="1" x14ac:dyDescent="0.2">
      <c r="A6" s="359"/>
      <c r="B6" s="359"/>
      <c r="C6" s="359"/>
      <c r="D6" s="359"/>
      <c r="E6" s="359"/>
      <c r="F6" s="359"/>
      <c r="G6" s="359"/>
      <c r="H6" s="359"/>
      <c r="I6" s="1055" t="s">
        <v>1</v>
      </c>
      <c r="J6" s="1056"/>
      <c r="K6" s="1057" t="s">
        <v>2</v>
      </c>
      <c r="L6" s="1058"/>
    </row>
    <row r="7" spans="1:12" hidden="1" outlineLevel="1" x14ac:dyDescent="0.2">
      <c r="A7" s="359"/>
      <c r="B7" s="359"/>
      <c r="C7" s="359"/>
      <c r="D7" s="359"/>
      <c r="E7" s="359"/>
      <c r="F7" s="359"/>
      <c r="G7" s="359"/>
      <c r="H7" s="359"/>
      <c r="I7" s="359"/>
      <c r="J7" s="359"/>
      <c r="K7" s="1062" t="s">
        <v>731</v>
      </c>
      <c r="L7" s="1063"/>
    </row>
    <row r="8" spans="1:12" hidden="1" outlineLevel="1" x14ac:dyDescent="0.2">
      <c r="A8" s="1060" t="s">
        <v>3</v>
      </c>
      <c r="B8" s="1060"/>
      <c r="C8" s="1066" t="s">
        <v>731</v>
      </c>
      <c r="D8" s="1066"/>
      <c r="E8" s="1066"/>
      <c r="F8" s="1066"/>
      <c r="G8" s="1066"/>
      <c r="H8" s="1066"/>
      <c r="I8" s="1066"/>
      <c r="J8" s="360" t="s">
        <v>4</v>
      </c>
      <c r="K8" s="1064"/>
      <c r="L8" s="1065"/>
    </row>
    <row r="9" spans="1:12" hidden="1" outlineLevel="1" x14ac:dyDescent="0.2">
      <c r="A9" s="359"/>
      <c r="B9" s="359"/>
      <c r="C9" s="1067" t="s">
        <v>226</v>
      </c>
      <c r="D9" s="1067"/>
      <c r="E9" s="1067"/>
      <c r="F9" s="1067"/>
      <c r="G9" s="1067"/>
      <c r="H9" s="1067"/>
      <c r="I9" s="1067"/>
      <c r="J9" s="359"/>
      <c r="K9" s="1062" t="s">
        <v>731</v>
      </c>
      <c r="L9" s="1063"/>
    </row>
    <row r="10" spans="1:12" hidden="1" outlineLevel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60" t="s">
        <v>4</v>
      </c>
      <c r="K10" s="1064"/>
      <c r="L10" s="1065"/>
    </row>
    <row r="11" spans="1:12" hidden="1" outlineLevel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hidden="1" outlineLevel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60" t="s">
        <v>4</v>
      </c>
      <c r="K12" s="1064"/>
      <c r="L12" s="1065"/>
    </row>
    <row r="13" spans="1:12" hidden="1" outlineLevel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hidden="1" outlineLevel="1" x14ac:dyDescent="0.2">
      <c r="A14" s="1060" t="s">
        <v>684</v>
      </c>
      <c r="B14" s="1060"/>
      <c r="C14" s="1070">
        <f>'реестр октябрь'!$B$6</f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hidden="1" outlineLevel="1" x14ac:dyDescent="0.2">
      <c r="A15" s="359"/>
      <c r="B15" s="359"/>
      <c r="C15" s="1067" t="s">
        <v>229</v>
      </c>
      <c r="D15" s="1067"/>
      <c r="E15" s="1067"/>
      <c r="F15" s="1067"/>
      <c r="G15" s="1067"/>
      <c r="H15" s="1067"/>
      <c r="I15" s="1067"/>
      <c r="J15" s="359"/>
      <c r="K15" s="1062" t="s">
        <v>731</v>
      </c>
      <c r="L15" s="1063"/>
    </row>
    <row r="16" spans="1:12" hidden="1" outlineLevel="1" x14ac:dyDescent="0.2">
      <c r="A16" s="1060" t="s">
        <v>686</v>
      </c>
      <c r="B16" s="1060"/>
      <c r="C16" s="1066" t="s">
        <v>825</v>
      </c>
      <c r="D16" s="1066"/>
      <c r="E16" s="1066"/>
      <c r="F16" s="1066"/>
      <c r="G16" s="1066"/>
      <c r="H16" s="1066"/>
      <c r="I16" s="1066"/>
      <c r="J16" s="359"/>
      <c r="K16" s="1064"/>
      <c r="L16" s="1065"/>
    </row>
    <row r="17" spans="1:12" hidden="1" outlineLevel="1" x14ac:dyDescent="0.2">
      <c r="A17" s="359"/>
      <c r="B17" s="359"/>
      <c r="C17" s="1067" t="s">
        <v>687</v>
      </c>
      <c r="D17" s="1067"/>
      <c r="E17" s="1067"/>
      <c r="F17" s="1067"/>
      <c r="G17" s="1067"/>
      <c r="H17" s="1067"/>
      <c r="I17" s="1067"/>
      <c r="J17" s="359"/>
      <c r="K17" s="359"/>
      <c r="L17" s="359"/>
    </row>
    <row r="18" spans="1:12" hidden="1" outlineLevel="1" x14ac:dyDescent="0.2">
      <c r="A18" s="359"/>
      <c r="B18" s="359"/>
      <c r="C18" s="359"/>
      <c r="D18" s="359"/>
      <c r="E18" s="359"/>
      <c r="F18" s="359"/>
      <c r="G18" s="359"/>
      <c r="H18" s="1055" t="s">
        <v>688</v>
      </c>
      <c r="I18" s="1055"/>
      <c r="J18" s="1056"/>
      <c r="K18" s="1068" t="s">
        <v>731</v>
      </c>
      <c r="L18" s="1069"/>
    </row>
    <row r="19" spans="1:12" hidden="1" outlineLevel="1" x14ac:dyDescent="0.2">
      <c r="A19" s="359"/>
      <c r="B19" s="359"/>
      <c r="C19" s="359"/>
      <c r="D19" s="359"/>
      <c r="E19" s="359"/>
      <c r="F19" s="359"/>
      <c r="G19" s="359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hidden="1" outlineLevel="1" x14ac:dyDescent="0.2">
      <c r="A20" s="359"/>
      <c r="B20" s="359"/>
      <c r="C20" s="359"/>
      <c r="D20" s="359"/>
      <c r="E20" s="359"/>
      <c r="F20" s="359"/>
      <c r="G20" s="359"/>
      <c r="H20" s="359"/>
      <c r="I20" s="359"/>
      <c r="J20" s="362" t="s">
        <v>10</v>
      </c>
      <c r="K20" s="1073">
        <v>45110</v>
      </c>
      <c r="L20" s="1074"/>
    </row>
    <row r="21" spans="1:12" hidden="1" outlineLevel="1" x14ac:dyDescent="0.2">
      <c r="A21" s="359"/>
      <c r="B21" s="359"/>
      <c r="C21" s="359"/>
      <c r="D21" s="359"/>
      <c r="E21" s="359"/>
      <c r="F21" s="359"/>
      <c r="G21" s="359"/>
      <c r="H21" s="359"/>
      <c r="I21" s="1055" t="s">
        <v>690</v>
      </c>
      <c r="J21" s="1056"/>
      <c r="K21" s="1068" t="s">
        <v>731</v>
      </c>
      <c r="L21" s="1069"/>
    </row>
    <row r="22" spans="1:12" hidden="1" outlineLevel="1" x14ac:dyDescent="0.2">
      <c r="A22" s="359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</row>
    <row r="23" spans="1:12" hidden="1" outlineLevel="1" x14ac:dyDescent="0.2">
      <c r="A23" s="359"/>
      <c r="B23" s="359"/>
      <c r="C23" s="359"/>
      <c r="D23" s="359"/>
      <c r="E23" s="359"/>
      <c r="F23" s="359"/>
      <c r="G23" s="359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hidden="1" outlineLevel="1" x14ac:dyDescent="0.2">
      <c r="A24" s="359"/>
      <c r="B24" s="359"/>
      <c r="C24" s="359"/>
      <c r="D24" s="359"/>
      <c r="E24" s="359"/>
      <c r="F24" s="359"/>
      <c r="G24" s="359"/>
      <c r="H24" s="1076"/>
      <c r="I24" s="1076"/>
      <c r="J24" s="363" t="s">
        <v>15</v>
      </c>
      <c r="K24" s="364" t="s">
        <v>16</v>
      </c>
      <c r="L24" s="359"/>
    </row>
    <row r="25" spans="1:12" hidden="1" outlineLevel="1" x14ac:dyDescent="0.2">
      <c r="A25" s="359"/>
      <c r="B25" s="359"/>
      <c r="C25" s="359"/>
      <c r="D25" s="359"/>
      <c r="E25" s="359"/>
      <c r="F25" s="359"/>
      <c r="G25" s="359"/>
      <c r="H25" s="362">
        <v>1</v>
      </c>
      <c r="I25" s="365">
        <v>45230</v>
      </c>
      <c r="J25" s="365">
        <v>45200</v>
      </c>
      <c r="K25" s="366">
        <v>45230</v>
      </c>
      <c r="L25" s="359"/>
    </row>
    <row r="26" spans="1:12" hidden="1" outlineLevel="1" x14ac:dyDescent="0.2">
      <c r="A26" s="359"/>
      <c r="B26" s="359"/>
      <c r="C26" s="359"/>
      <c r="D26" s="359"/>
      <c r="E26" s="359"/>
      <c r="F26" s="359"/>
      <c r="G26" s="359"/>
      <c r="H26" s="359"/>
      <c r="I26" s="359"/>
      <c r="J26" s="359"/>
      <c r="K26" s="359"/>
      <c r="L26" s="359"/>
    </row>
    <row r="27" spans="1:12" hidden="1" outlineLevel="1" x14ac:dyDescent="0.2">
      <c r="A27" s="359"/>
      <c r="B27" s="359"/>
      <c r="C27" s="1079" t="s">
        <v>691</v>
      </c>
      <c r="D27" s="1079"/>
      <c r="E27" s="1079"/>
      <c r="F27" s="1079"/>
      <c r="G27" s="1079"/>
      <c r="H27" s="1079"/>
      <c r="I27" s="1079"/>
      <c r="J27" s="1079"/>
      <c r="K27" s="1079"/>
      <c r="L27" s="1079"/>
    </row>
    <row r="28" spans="1:12" hidden="1" outlineLevel="1" x14ac:dyDescent="0.2">
      <c r="A28" s="359"/>
      <c r="B28" s="359"/>
      <c r="C28" s="1079" t="s">
        <v>732</v>
      </c>
      <c r="D28" s="1079"/>
      <c r="E28" s="1079"/>
      <c r="F28" s="1079"/>
      <c r="G28" s="1079"/>
      <c r="H28" s="1079"/>
      <c r="I28" s="1079"/>
      <c r="J28" s="1079"/>
      <c r="K28" s="1079"/>
      <c r="L28" s="1079"/>
    </row>
    <row r="29" spans="1:12" hidden="1" outlineLevel="1" x14ac:dyDescent="0.2">
      <c r="A29" s="359"/>
      <c r="B29" s="359"/>
      <c r="C29" s="1079" t="s">
        <v>685</v>
      </c>
      <c r="D29" s="1079"/>
      <c r="E29" s="1079"/>
      <c r="F29" s="1079"/>
      <c r="G29" s="1079"/>
      <c r="H29" s="1079"/>
      <c r="I29" s="1079"/>
      <c r="J29" s="1079"/>
      <c r="K29" s="1079"/>
      <c r="L29" s="1079"/>
    </row>
    <row r="30" spans="1:12" hidden="1" outlineLevel="1" x14ac:dyDescent="0.2">
      <c r="A30" s="359"/>
      <c r="B30" s="359"/>
      <c r="C30" s="367"/>
      <c r="D30" s="367"/>
      <c r="E30" s="367"/>
      <c r="F30" s="367"/>
      <c r="G30" s="367"/>
      <c r="H30" s="367"/>
      <c r="I30" s="367"/>
      <c r="J30" s="367"/>
      <c r="K30" s="367"/>
      <c r="L30" s="367"/>
    </row>
    <row r="31" spans="1:12" hidden="1" outlineLevel="1" x14ac:dyDescent="0.2">
      <c r="A31" s="359"/>
      <c r="B31" s="359"/>
      <c r="C31" s="367"/>
      <c r="D31" s="367"/>
      <c r="E31" s="367"/>
      <c r="F31" s="1055" t="s">
        <v>692</v>
      </c>
      <c r="G31" s="1055"/>
      <c r="H31" s="1055"/>
      <c r="I31" s="1055"/>
      <c r="J31" s="1071">
        <v>48144.72</v>
      </c>
      <c r="K31" s="1072"/>
      <c r="L31" s="359" t="s">
        <v>693</v>
      </c>
    </row>
    <row r="32" spans="1:12" hidden="1" outlineLevel="1" x14ac:dyDescent="0.2">
      <c r="A32" s="359"/>
      <c r="B32" s="359"/>
      <c r="C32" s="367"/>
      <c r="D32" s="367"/>
      <c r="E32" s="367"/>
      <c r="F32" s="1055" t="s">
        <v>694</v>
      </c>
      <c r="G32" s="1055"/>
      <c r="H32" s="1055"/>
      <c r="I32" s="1055"/>
      <c r="J32" s="1071">
        <v>29718.720000000001</v>
      </c>
      <c r="K32" s="1072"/>
      <c r="L32" s="359" t="s">
        <v>695</v>
      </c>
    </row>
    <row r="33" spans="1:26" hidden="1" outlineLevel="1" x14ac:dyDescent="0.2">
      <c r="A33" s="359"/>
      <c r="B33" s="359"/>
      <c r="C33" s="359"/>
      <c r="D33" s="359"/>
      <c r="E33" s="359"/>
      <c r="F33" s="1055" t="s">
        <v>696</v>
      </c>
      <c r="G33" s="1055"/>
      <c r="H33" s="1055"/>
      <c r="I33" s="1055"/>
      <c r="J33" s="1071">
        <v>12460.71</v>
      </c>
      <c r="K33" s="1072"/>
      <c r="L33" s="359" t="s">
        <v>693</v>
      </c>
    </row>
    <row r="34" spans="1:26" hidden="1" outlineLevel="1" x14ac:dyDescent="0.2"/>
    <row r="35" spans="1:26" collapsed="1" x14ac:dyDescent="0.2">
      <c r="A35" s="1075" t="s">
        <v>697</v>
      </c>
      <c r="B35" s="1075" t="s">
        <v>698</v>
      </c>
      <c r="C35" s="1075" t="s">
        <v>699</v>
      </c>
      <c r="D35" s="1075" t="s">
        <v>700</v>
      </c>
      <c r="E35" s="1075" t="s">
        <v>701</v>
      </c>
      <c r="F35" s="1077" t="s">
        <v>702</v>
      </c>
      <c r="G35" s="1078"/>
      <c r="H35" s="1077" t="s">
        <v>703</v>
      </c>
      <c r="I35" s="1081"/>
      <c r="J35" s="1078"/>
      <c r="K35" s="1077" t="s">
        <v>704</v>
      </c>
      <c r="L35" s="1078"/>
    </row>
    <row r="36" spans="1:26" x14ac:dyDescent="0.2">
      <c r="A36" s="1080"/>
      <c r="B36" s="1080"/>
      <c r="C36" s="1080"/>
      <c r="D36" s="1080"/>
      <c r="E36" s="1080"/>
      <c r="F36" s="1075" t="s">
        <v>705</v>
      </c>
      <c r="G36" s="1075" t="s">
        <v>706</v>
      </c>
      <c r="H36" s="1075" t="s">
        <v>705</v>
      </c>
      <c r="I36" s="1075" t="s">
        <v>707</v>
      </c>
      <c r="J36" s="1075" t="s">
        <v>706</v>
      </c>
      <c r="K36" s="1077" t="s">
        <v>708</v>
      </c>
      <c r="L36" s="1078"/>
    </row>
    <row r="37" spans="1:26" x14ac:dyDescent="0.2">
      <c r="A37" s="1080"/>
      <c r="B37" s="1080"/>
      <c r="C37" s="1080"/>
      <c r="D37" s="1080"/>
      <c r="E37" s="1080"/>
      <c r="F37" s="1076"/>
      <c r="G37" s="1076"/>
      <c r="H37" s="1080"/>
      <c r="I37" s="1080"/>
      <c r="J37" s="1076"/>
      <c r="K37" s="1077" t="s">
        <v>709</v>
      </c>
      <c r="L37" s="1078"/>
    </row>
    <row r="38" spans="1:26" ht="20.399999999999999" x14ac:dyDescent="0.2">
      <c r="A38" s="1076"/>
      <c r="B38" s="1076"/>
      <c r="C38" s="1076"/>
      <c r="D38" s="1076"/>
      <c r="E38" s="1076"/>
      <c r="F38" s="369" t="s">
        <v>707</v>
      </c>
      <c r="G38" s="369" t="s">
        <v>710</v>
      </c>
      <c r="H38" s="1076"/>
      <c r="I38" s="1076"/>
      <c r="J38" s="369" t="s">
        <v>710</v>
      </c>
      <c r="K38" s="369" t="s">
        <v>711</v>
      </c>
      <c r="L38" s="369" t="s">
        <v>712</v>
      </c>
      <c r="M38" s="632" t="s">
        <v>1688</v>
      </c>
      <c r="N38" s="632" t="s">
        <v>1689</v>
      </c>
      <c r="O38" s="632" t="s">
        <v>1690</v>
      </c>
    </row>
    <row r="39" spans="1:26" x14ac:dyDescent="0.2">
      <c r="A39" s="369">
        <v>1</v>
      </c>
      <c r="B39" s="369" t="s">
        <v>713</v>
      </c>
      <c r="C39" s="369">
        <v>2</v>
      </c>
      <c r="D39" s="369">
        <v>3</v>
      </c>
      <c r="E39" s="369">
        <v>4</v>
      </c>
      <c r="F39" s="369">
        <v>5</v>
      </c>
      <c r="G39" s="369">
        <v>6</v>
      </c>
      <c r="H39" s="369">
        <v>7</v>
      </c>
      <c r="I39" s="369">
        <v>8</v>
      </c>
      <c r="J39" s="369">
        <v>9</v>
      </c>
      <c r="K39" s="369">
        <v>10</v>
      </c>
      <c r="L39" s="369">
        <v>11</v>
      </c>
    </row>
    <row r="41" spans="1:26" x14ac:dyDescent="0.2">
      <c r="A41" s="1082" t="s">
        <v>733</v>
      </c>
      <c r="B41" s="1082"/>
      <c r="C41" s="1082"/>
      <c r="D41" s="1082"/>
      <c r="E41" s="1082"/>
      <c r="F41" s="1082"/>
      <c r="G41" s="1082"/>
      <c r="H41" s="1082"/>
      <c r="I41" s="1082"/>
      <c r="J41" s="1082"/>
      <c r="K41" s="1082"/>
      <c r="L41" s="1082"/>
    </row>
    <row r="42" spans="1:26" s="630" customFormat="1" ht="51" x14ac:dyDescent="0.2">
      <c r="A42" s="898">
        <v>1</v>
      </c>
      <c r="B42" s="898">
        <v>1</v>
      </c>
      <c r="C42" s="898" t="s">
        <v>734</v>
      </c>
      <c r="D42" s="898" t="s">
        <v>2388</v>
      </c>
      <c r="E42" s="899">
        <v>44</v>
      </c>
      <c r="F42" s="900">
        <v>139.13849999999999</v>
      </c>
      <c r="G42" s="900" t="s">
        <v>281</v>
      </c>
      <c r="H42" s="901">
        <v>274086.12</v>
      </c>
      <c r="I42" s="901">
        <v>274086.12</v>
      </c>
      <c r="J42" s="901" t="s">
        <v>281</v>
      </c>
      <c r="K42" s="900">
        <v>15.340999999999999</v>
      </c>
      <c r="L42" s="900">
        <v>675.00400000000002</v>
      </c>
      <c r="M42" s="634">
        <v>44</v>
      </c>
      <c r="N42" s="634" t="s">
        <v>2387</v>
      </c>
      <c r="O42" s="634"/>
      <c r="T42" s="630">
        <v>701660.46</v>
      </c>
      <c r="V42" s="630">
        <v>274086.12</v>
      </c>
      <c r="W42" s="630" t="s">
        <v>281</v>
      </c>
      <c r="X42" s="630" t="s">
        <v>281</v>
      </c>
      <c r="Y42" s="630">
        <v>675.00400000000002</v>
      </c>
      <c r="Z42" s="630" t="s">
        <v>281</v>
      </c>
    </row>
    <row r="43" spans="1:26" x14ac:dyDescent="0.2">
      <c r="A43" s="370"/>
      <c r="B43" s="370"/>
      <c r="C43" s="370"/>
      <c r="D43" s="371" t="s">
        <v>735</v>
      </c>
      <c r="E43" s="372"/>
      <c r="F43" s="373">
        <v>139.13849999999999</v>
      </c>
      <c r="G43" s="373" t="s">
        <v>281</v>
      </c>
      <c r="H43" s="372"/>
      <c r="I43" s="372"/>
      <c r="J43" s="374" t="s">
        <v>281</v>
      </c>
      <c r="K43" s="373" t="s">
        <v>281</v>
      </c>
      <c r="L43" s="373" t="s">
        <v>281</v>
      </c>
    </row>
    <row r="44" spans="1:26" ht="20.399999999999999" x14ac:dyDescent="0.2">
      <c r="A44" s="375"/>
      <c r="B44" s="375"/>
      <c r="C44" s="375"/>
      <c r="D44" s="356" t="s">
        <v>714</v>
      </c>
      <c r="E44" s="375"/>
      <c r="F44" s="375"/>
      <c r="G44" s="375"/>
      <c r="H44" s="375"/>
      <c r="I44" s="375"/>
      <c r="J44" s="375"/>
      <c r="K44" s="375"/>
      <c r="L44" s="375"/>
    </row>
    <row r="45" spans="1:26" ht="20.399999999999999" x14ac:dyDescent="0.2">
      <c r="A45" s="375"/>
      <c r="B45" s="375"/>
      <c r="C45" s="375"/>
      <c r="D45" s="356" t="s">
        <v>736</v>
      </c>
      <c r="E45" s="375"/>
      <c r="F45" s="375"/>
      <c r="G45" s="375"/>
      <c r="H45" s="375"/>
      <c r="I45" s="375"/>
      <c r="J45" s="375"/>
      <c r="K45" s="375"/>
      <c r="L45" s="375"/>
    </row>
    <row r="46" spans="1:26" ht="81.599999999999994" x14ac:dyDescent="0.2">
      <c r="A46" s="375"/>
      <c r="B46" s="375"/>
      <c r="C46" s="375"/>
      <c r="D46" s="356" t="s">
        <v>737</v>
      </c>
      <c r="E46" s="375"/>
      <c r="F46" s="375"/>
      <c r="G46" s="375"/>
      <c r="H46" s="375"/>
      <c r="I46" s="375"/>
      <c r="J46" s="375"/>
      <c r="K46" s="375"/>
      <c r="L46" s="375"/>
    </row>
    <row r="47" spans="1:26" x14ac:dyDescent="0.2">
      <c r="A47" s="375"/>
      <c r="B47" s="375"/>
      <c r="C47" s="375"/>
      <c r="D47" s="376" t="s">
        <v>206</v>
      </c>
      <c r="E47" s="377" t="s">
        <v>738</v>
      </c>
      <c r="F47" s="377"/>
      <c r="G47" s="377"/>
      <c r="H47" s="378">
        <v>279567.84000000003</v>
      </c>
      <c r="I47" s="375"/>
      <c r="J47" s="375"/>
      <c r="K47" s="375"/>
      <c r="L47" s="375"/>
    </row>
    <row r="48" spans="1:26" x14ac:dyDescent="0.2">
      <c r="A48" s="375"/>
      <c r="B48" s="375"/>
      <c r="C48" s="375"/>
      <c r="D48" s="376" t="s">
        <v>207</v>
      </c>
      <c r="E48" s="377" t="s">
        <v>739</v>
      </c>
      <c r="F48" s="377"/>
      <c r="G48" s="377"/>
      <c r="H48" s="378">
        <v>148006.5</v>
      </c>
      <c r="I48" s="375"/>
      <c r="J48" s="375"/>
      <c r="K48" s="375"/>
      <c r="L48" s="375"/>
    </row>
    <row r="49" spans="1:26" x14ac:dyDescent="0.2">
      <c r="A49" s="375"/>
      <c r="B49" s="375"/>
      <c r="C49" s="375"/>
      <c r="D49" s="379" t="s">
        <v>715</v>
      </c>
      <c r="E49" s="380"/>
      <c r="F49" s="380"/>
      <c r="G49" s="380"/>
      <c r="H49" s="381">
        <v>701660.46</v>
      </c>
      <c r="I49" s="375"/>
      <c r="J49" s="375"/>
      <c r="K49" s="375"/>
      <c r="L49" s="375"/>
    </row>
    <row r="50" spans="1:26" s="630" customFormat="1" ht="40.799999999999997" x14ac:dyDescent="0.2">
      <c r="A50" s="898">
        <v>2</v>
      </c>
      <c r="B50" s="898">
        <v>2</v>
      </c>
      <c r="C50" s="898" t="s">
        <v>740</v>
      </c>
      <c r="D50" s="898" t="s">
        <v>2389</v>
      </c>
      <c r="E50" s="899">
        <v>44</v>
      </c>
      <c r="F50" s="900">
        <v>84.548000000000002</v>
      </c>
      <c r="G50" s="900">
        <v>27.209</v>
      </c>
      <c r="H50" s="901">
        <v>128802.08</v>
      </c>
      <c r="I50" s="901">
        <v>112951.08</v>
      </c>
      <c r="J50" s="901">
        <v>15851</v>
      </c>
      <c r="K50" s="900">
        <v>6.8425000000000002</v>
      </c>
      <c r="L50" s="900">
        <v>301.07</v>
      </c>
      <c r="M50" s="634">
        <v>44</v>
      </c>
      <c r="N50" s="634" t="s">
        <v>2387</v>
      </c>
      <c r="O50" s="634"/>
      <c r="T50" s="630">
        <v>319777.78000000003</v>
      </c>
      <c r="V50" s="630">
        <v>112951.08</v>
      </c>
      <c r="W50" s="630">
        <v>15851</v>
      </c>
      <c r="X50" s="630">
        <v>9469.24</v>
      </c>
      <c r="Y50" s="630">
        <v>301.07</v>
      </c>
      <c r="Z50" s="630">
        <v>18.216000000000001</v>
      </c>
    </row>
    <row r="51" spans="1:26" x14ac:dyDescent="0.2">
      <c r="A51" s="370"/>
      <c r="B51" s="370"/>
      <c r="C51" s="370"/>
      <c r="D51" s="371" t="s">
        <v>735</v>
      </c>
      <c r="E51" s="372"/>
      <c r="F51" s="373">
        <v>57.338999999999999</v>
      </c>
      <c r="G51" s="373">
        <v>4.8070000000000004</v>
      </c>
      <c r="H51" s="372"/>
      <c r="I51" s="372"/>
      <c r="J51" s="374">
        <v>9469.24</v>
      </c>
      <c r="K51" s="373">
        <v>0.41399999999999998</v>
      </c>
      <c r="L51" s="373">
        <v>18.216000000000001</v>
      </c>
    </row>
    <row r="52" spans="1:26" ht="20.399999999999999" x14ac:dyDescent="0.2">
      <c r="A52" s="375"/>
      <c r="B52" s="375"/>
      <c r="C52" s="375"/>
      <c r="D52" s="356" t="s">
        <v>714</v>
      </c>
      <c r="E52" s="375"/>
      <c r="F52" s="375"/>
      <c r="G52" s="375"/>
      <c r="H52" s="375"/>
      <c r="I52" s="375"/>
      <c r="J52" s="375"/>
      <c r="K52" s="375"/>
      <c r="L52" s="375"/>
    </row>
    <row r="53" spans="1:26" ht="20.399999999999999" x14ac:dyDescent="0.2">
      <c r="A53" s="375"/>
      <c r="B53" s="375"/>
      <c r="C53" s="375"/>
      <c r="D53" s="356" t="s">
        <v>736</v>
      </c>
      <c r="E53" s="375"/>
      <c r="F53" s="375"/>
      <c r="G53" s="375"/>
      <c r="H53" s="375"/>
      <c r="I53" s="375"/>
      <c r="J53" s="375"/>
      <c r="K53" s="375"/>
      <c r="L53" s="375"/>
    </row>
    <row r="54" spans="1:26" ht="81.599999999999994" x14ac:dyDescent="0.2">
      <c r="A54" s="375"/>
      <c r="B54" s="375"/>
      <c r="C54" s="375"/>
      <c r="D54" s="356" t="s">
        <v>737</v>
      </c>
      <c r="E54" s="375"/>
      <c r="F54" s="375"/>
      <c r="G54" s="375"/>
      <c r="H54" s="375"/>
      <c r="I54" s="375"/>
      <c r="J54" s="375"/>
      <c r="K54" s="375"/>
      <c r="L54" s="375"/>
    </row>
    <row r="55" spans="1:26" x14ac:dyDescent="0.2">
      <c r="A55" s="375"/>
      <c r="B55" s="375"/>
      <c r="C55" s="375"/>
      <c r="D55" s="376" t="s">
        <v>206</v>
      </c>
      <c r="E55" s="377" t="s">
        <v>738</v>
      </c>
      <c r="F55" s="377"/>
      <c r="G55" s="377"/>
      <c r="H55" s="378">
        <v>124868.73</v>
      </c>
      <c r="I55" s="375"/>
      <c r="J55" s="375"/>
      <c r="K55" s="375"/>
      <c r="L55" s="375"/>
    </row>
    <row r="56" spans="1:26" x14ac:dyDescent="0.2">
      <c r="A56" s="375"/>
      <c r="B56" s="375"/>
      <c r="C56" s="375"/>
      <c r="D56" s="376" t="s">
        <v>207</v>
      </c>
      <c r="E56" s="377" t="s">
        <v>739</v>
      </c>
      <c r="F56" s="377"/>
      <c r="G56" s="377"/>
      <c r="H56" s="378">
        <v>66106.97</v>
      </c>
      <c r="I56" s="375"/>
      <c r="J56" s="375"/>
      <c r="K56" s="375"/>
      <c r="L56" s="375"/>
    </row>
    <row r="57" spans="1:26" x14ac:dyDescent="0.2">
      <c r="A57" s="375"/>
      <c r="B57" s="375"/>
      <c r="C57" s="375"/>
      <c r="D57" s="379" t="s">
        <v>715</v>
      </c>
      <c r="E57" s="380"/>
      <c r="F57" s="380"/>
      <c r="G57" s="380"/>
      <c r="H57" s="381">
        <v>319777.78000000003</v>
      </c>
      <c r="I57" s="375"/>
      <c r="J57" s="375"/>
      <c r="K57" s="375"/>
      <c r="L57" s="375"/>
    </row>
    <row r="58" spans="1:26" s="625" customFormat="1" ht="20.399999999999999" x14ac:dyDescent="0.2">
      <c r="A58" s="621">
        <v>3</v>
      </c>
      <c r="B58" s="621">
        <v>3</v>
      </c>
      <c r="C58" s="621" t="s">
        <v>741</v>
      </c>
      <c r="D58" s="621" t="s">
        <v>742</v>
      </c>
      <c r="E58" s="622">
        <v>191.91</v>
      </c>
      <c r="F58" s="623">
        <v>12.12</v>
      </c>
      <c r="G58" s="623" t="s">
        <v>281</v>
      </c>
      <c r="H58" s="624">
        <v>30795.8</v>
      </c>
      <c r="I58" s="624" t="s">
        <v>281</v>
      </c>
      <c r="J58" s="624" t="s">
        <v>281</v>
      </c>
      <c r="K58" s="623" t="s">
        <v>281</v>
      </c>
      <c r="L58" s="623" t="s">
        <v>281</v>
      </c>
      <c r="M58" s="633">
        <v>0</v>
      </c>
      <c r="N58" s="633" t="s">
        <v>2375</v>
      </c>
      <c r="O58" s="633"/>
      <c r="T58" s="625">
        <v>30795.8</v>
      </c>
      <c r="V58" s="625" t="s">
        <v>281</v>
      </c>
      <c r="W58" s="625" t="s">
        <v>281</v>
      </c>
      <c r="X58" s="625" t="s">
        <v>281</v>
      </c>
      <c r="Y58" s="625" t="s">
        <v>281</v>
      </c>
      <c r="Z58" s="625" t="s">
        <v>281</v>
      </c>
    </row>
    <row r="59" spans="1:26" x14ac:dyDescent="0.2">
      <c r="A59" s="370"/>
      <c r="B59" s="370"/>
      <c r="C59" s="370"/>
      <c r="D59" s="371" t="s">
        <v>743</v>
      </c>
      <c r="E59" s="372"/>
      <c r="F59" s="373" t="s">
        <v>281</v>
      </c>
      <c r="G59" s="373" t="s">
        <v>281</v>
      </c>
      <c r="H59" s="372"/>
      <c r="I59" s="372"/>
      <c r="J59" s="374" t="s">
        <v>281</v>
      </c>
      <c r="K59" s="373" t="s">
        <v>281</v>
      </c>
      <c r="L59" s="373" t="s">
        <v>281</v>
      </c>
    </row>
    <row r="60" spans="1:26" x14ac:dyDescent="0.2">
      <c r="A60" s="375"/>
      <c r="B60" s="375"/>
      <c r="C60" s="375"/>
      <c r="D60" s="356" t="s">
        <v>716</v>
      </c>
      <c r="E60" s="375"/>
      <c r="F60" s="375"/>
      <c r="G60" s="375"/>
      <c r="H60" s="375"/>
      <c r="I60" s="375"/>
      <c r="J60" s="375"/>
      <c r="K60" s="375"/>
      <c r="L60" s="375"/>
    </row>
    <row r="61" spans="1:26" x14ac:dyDescent="0.2">
      <c r="A61" s="375"/>
      <c r="B61" s="375"/>
      <c r="C61" s="375"/>
      <c r="D61" s="379" t="s">
        <v>715</v>
      </c>
      <c r="E61" s="380"/>
      <c r="F61" s="380"/>
      <c r="G61" s="380"/>
      <c r="H61" s="381">
        <v>30795.8</v>
      </c>
      <c r="I61" s="375"/>
      <c r="J61" s="375"/>
      <c r="K61" s="375"/>
      <c r="L61" s="375"/>
    </row>
    <row r="62" spans="1:26" s="625" customFormat="1" ht="40.799999999999997" x14ac:dyDescent="0.2">
      <c r="A62" s="621">
        <v>4</v>
      </c>
      <c r="B62" s="621">
        <v>4</v>
      </c>
      <c r="C62" s="621" t="s">
        <v>744</v>
      </c>
      <c r="D62" s="621" t="s">
        <v>717</v>
      </c>
      <c r="E62" s="622">
        <v>239.36</v>
      </c>
      <c r="F62" s="623">
        <v>162.38</v>
      </c>
      <c r="G62" s="623" t="s">
        <v>281</v>
      </c>
      <c r="H62" s="624">
        <v>317156.78999999998</v>
      </c>
      <c r="I62" s="624" t="s">
        <v>281</v>
      </c>
      <c r="J62" s="624" t="s">
        <v>281</v>
      </c>
      <c r="K62" s="623" t="s">
        <v>281</v>
      </c>
      <c r="L62" s="623" t="s">
        <v>281</v>
      </c>
      <c r="M62" s="633">
        <v>0</v>
      </c>
      <c r="N62" s="633" t="s">
        <v>2375</v>
      </c>
      <c r="O62" s="633"/>
      <c r="T62" s="625">
        <v>317156.78999999998</v>
      </c>
      <c r="V62" s="625" t="s">
        <v>281</v>
      </c>
      <c r="W62" s="625" t="s">
        <v>281</v>
      </c>
      <c r="X62" s="625" t="s">
        <v>281</v>
      </c>
      <c r="Y62" s="625" t="s">
        <v>281</v>
      </c>
      <c r="Z62" s="625" t="s">
        <v>281</v>
      </c>
    </row>
    <row r="63" spans="1:26" x14ac:dyDescent="0.2">
      <c r="A63" s="370"/>
      <c r="B63" s="370"/>
      <c r="C63" s="370"/>
      <c r="D63" s="371" t="s">
        <v>745</v>
      </c>
      <c r="E63" s="372"/>
      <c r="F63" s="373" t="s">
        <v>281</v>
      </c>
      <c r="G63" s="373" t="s">
        <v>281</v>
      </c>
      <c r="H63" s="372"/>
      <c r="I63" s="372"/>
      <c r="J63" s="374" t="s">
        <v>281</v>
      </c>
      <c r="K63" s="373" t="s">
        <v>281</v>
      </c>
      <c r="L63" s="373" t="s">
        <v>281</v>
      </c>
    </row>
    <row r="64" spans="1:26" x14ac:dyDescent="0.2">
      <c r="A64" s="375"/>
      <c r="B64" s="375"/>
      <c r="C64" s="375"/>
      <c r="D64" s="356" t="s">
        <v>718</v>
      </c>
      <c r="E64" s="375"/>
      <c r="F64" s="375"/>
      <c r="G64" s="375"/>
      <c r="H64" s="375"/>
      <c r="I64" s="375"/>
      <c r="J64" s="375"/>
      <c r="K64" s="375"/>
      <c r="L64" s="375"/>
    </row>
    <row r="65" spans="1:26" ht="20.399999999999999" x14ac:dyDescent="0.2">
      <c r="A65" s="375"/>
      <c r="B65" s="375"/>
      <c r="C65" s="375"/>
      <c r="D65" s="356" t="s">
        <v>736</v>
      </c>
      <c r="E65" s="375"/>
      <c r="F65" s="375"/>
      <c r="G65" s="375"/>
      <c r="H65" s="375"/>
      <c r="I65" s="375"/>
      <c r="J65" s="375"/>
      <c r="K65" s="375"/>
      <c r="L65" s="375"/>
    </row>
    <row r="66" spans="1:26" ht="81.599999999999994" x14ac:dyDescent="0.2">
      <c r="A66" s="375"/>
      <c r="B66" s="375"/>
      <c r="C66" s="375"/>
      <c r="D66" s="356" t="s">
        <v>737</v>
      </c>
      <c r="E66" s="375"/>
      <c r="F66" s="375"/>
      <c r="G66" s="375"/>
      <c r="H66" s="375"/>
      <c r="I66" s="375"/>
      <c r="J66" s="375"/>
      <c r="K66" s="375"/>
      <c r="L66" s="375"/>
    </row>
    <row r="67" spans="1:26" s="625" customFormat="1" ht="40.799999999999997" x14ac:dyDescent="0.2">
      <c r="A67" s="1225">
        <v>5</v>
      </c>
      <c r="B67" s="1225">
        <v>5</v>
      </c>
      <c r="C67" s="1225" t="s">
        <v>746</v>
      </c>
      <c r="D67" s="1225" t="s">
        <v>2390</v>
      </c>
      <c r="E67" s="1226">
        <v>1.5920000000000001</v>
      </c>
      <c r="F67" s="1227">
        <v>4857.4895999999999</v>
      </c>
      <c r="G67" s="1227">
        <v>3920.1016</v>
      </c>
      <c r="H67" s="1228">
        <v>149439.46</v>
      </c>
      <c r="I67" s="1228">
        <v>66811.240000000005</v>
      </c>
      <c r="J67" s="1228">
        <v>82628.22</v>
      </c>
      <c r="K67" s="1227">
        <v>105.8</v>
      </c>
      <c r="L67" s="1227">
        <v>168.43360000000001</v>
      </c>
      <c r="M67" s="633">
        <v>0</v>
      </c>
      <c r="N67" s="633" t="s">
        <v>2375</v>
      </c>
      <c r="O67" s="633"/>
      <c r="T67" s="625">
        <v>332752.32</v>
      </c>
      <c r="V67" s="625">
        <v>66811.240000000005</v>
      </c>
      <c r="W67" s="625">
        <v>82628.22</v>
      </c>
      <c r="X67" s="625">
        <v>33359.72</v>
      </c>
      <c r="Y67" s="625">
        <v>168.43360000000001</v>
      </c>
      <c r="Z67" s="625">
        <v>55.993186999999999</v>
      </c>
    </row>
    <row r="68" spans="1:26" x14ac:dyDescent="0.2">
      <c r="A68" s="370"/>
      <c r="B68" s="370"/>
      <c r="C68" s="370"/>
      <c r="D68" s="371" t="s">
        <v>747</v>
      </c>
      <c r="E68" s="372"/>
      <c r="F68" s="373">
        <v>937.38800000000003</v>
      </c>
      <c r="G68" s="373">
        <v>468.05</v>
      </c>
      <c r="H68" s="372"/>
      <c r="I68" s="372"/>
      <c r="J68" s="374">
        <v>33359.72</v>
      </c>
      <c r="K68" s="373">
        <v>35.171599999999998</v>
      </c>
      <c r="L68" s="373">
        <v>55.993186999999999</v>
      </c>
    </row>
    <row r="69" spans="1:26" ht="20.399999999999999" x14ac:dyDescent="0.2">
      <c r="A69" s="375"/>
      <c r="B69" s="375"/>
      <c r="C69" s="375"/>
      <c r="D69" s="356" t="s">
        <v>714</v>
      </c>
      <c r="E69" s="375"/>
      <c r="F69" s="375"/>
      <c r="G69" s="375"/>
      <c r="H69" s="375"/>
      <c r="I69" s="375"/>
      <c r="J69" s="375"/>
      <c r="K69" s="375"/>
      <c r="L69" s="375"/>
    </row>
    <row r="70" spans="1:26" ht="30.6" x14ac:dyDescent="0.2">
      <c r="A70" s="375"/>
      <c r="B70" s="375"/>
      <c r="C70" s="375"/>
      <c r="D70" s="356" t="s">
        <v>748</v>
      </c>
      <c r="E70" s="375"/>
      <c r="F70" s="375"/>
      <c r="G70" s="375"/>
      <c r="H70" s="375"/>
      <c r="I70" s="375"/>
      <c r="J70" s="375"/>
      <c r="K70" s="375"/>
      <c r="L70" s="375"/>
    </row>
    <row r="71" spans="1:26" ht="102" x14ac:dyDescent="0.2">
      <c r="A71" s="375"/>
      <c r="B71" s="375"/>
      <c r="C71" s="375"/>
      <c r="D71" s="356" t="s">
        <v>749</v>
      </c>
      <c r="E71" s="375"/>
      <c r="F71" s="375"/>
      <c r="G71" s="375"/>
      <c r="H71" s="375"/>
      <c r="I71" s="375"/>
      <c r="J71" s="375"/>
      <c r="K71" s="375"/>
      <c r="L71" s="375"/>
    </row>
    <row r="72" spans="1:26" x14ac:dyDescent="0.2">
      <c r="A72" s="375"/>
      <c r="B72" s="375"/>
      <c r="C72" s="375"/>
      <c r="D72" s="376" t="s">
        <v>206</v>
      </c>
      <c r="E72" s="377" t="s">
        <v>750</v>
      </c>
      <c r="F72" s="377"/>
      <c r="G72" s="377"/>
      <c r="H72" s="378">
        <v>110188.06</v>
      </c>
      <c r="I72" s="375"/>
      <c r="J72" s="375"/>
      <c r="K72" s="375"/>
      <c r="L72" s="375"/>
    </row>
    <row r="73" spans="1:26" x14ac:dyDescent="0.2">
      <c r="A73" s="375"/>
      <c r="B73" s="375"/>
      <c r="C73" s="375"/>
      <c r="D73" s="376" t="s">
        <v>207</v>
      </c>
      <c r="E73" s="377" t="s">
        <v>751</v>
      </c>
      <c r="F73" s="377"/>
      <c r="G73" s="377"/>
      <c r="H73" s="378">
        <v>73124.800000000003</v>
      </c>
      <c r="I73" s="375"/>
      <c r="J73" s="375"/>
      <c r="K73" s="375"/>
      <c r="L73" s="375"/>
    </row>
    <row r="74" spans="1:26" x14ac:dyDescent="0.2">
      <c r="A74" s="375"/>
      <c r="B74" s="375"/>
      <c r="C74" s="375"/>
      <c r="D74" s="379" t="s">
        <v>715</v>
      </c>
      <c r="E74" s="380"/>
      <c r="F74" s="380"/>
      <c r="G74" s="380"/>
      <c r="H74" s="381">
        <v>332752.32</v>
      </c>
      <c r="I74" s="375"/>
      <c r="J74" s="375"/>
      <c r="K74" s="375"/>
      <c r="L74" s="375"/>
    </row>
    <row r="75" spans="1:26" s="625" customFormat="1" ht="40.799999999999997" x14ac:dyDescent="0.2">
      <c r="A75" s="621">
        <v>6</v>
      </c>
      <c r="B75" s="621">
        <v>6</v>
      </c>
      <c r="C75" s="621" t="s">
        <v>752</v>
      </c>
      <c r="D75" s="621" t="s">
        <v>719</v>
      </c>
      <c r="E75" s="622">
        <v>64</v>
      </c>
      <c r="F75" s="623">
        <v>10.71</v>
      </c>
      <c r="G75" s="623" t="s">
        <v>281</v>
      </c>
      <c r="H75" s="624">
        <v>9075.2000000000007</v>
      </c>
      <c r="I75" s="624" t="s">
        <v>281</v>
      </c>
      <c r="J75" s="624" t="s">
        <v>281</v>
      </c>
      <c r="K75" s="623" t="s">
        <v>281</v>
      </c>
      <c r="L75" s="623" t="s">
        <v>281</v>
      </c>
      <c r="M75" s="633">
        <v>0</v>
      </c>
      <c r="N75" s="633" t="s">
        <v>2375</v>
      </c>
      <c r="O75" s="633"/>
      <c r="T75" s="625">
        <v>9075.2000000000007</v>
      </c>
      <c r="V75" s="625" t="s">
        <v>281</v>
      </c>
      <c r="W75" s="625" t="s">
        <v>281</v>
      </c>
      <c r="X75" s="625" t="s">
        <v>281</v>
      </c>
      <c r="Y75" s="625" t="s">
        <v>281</v>
      </c>
      <c r="Z75" s="625" t="s">
        <v>281</v>
      </c>
    </row>
    <row r="76" spans="1:26" x14ac:dyDescent="0.2">
      <c r="A76" s="370"/>
      <c r="B76" s="370"/>
      <c r="C76" s="370"/>
      <c r="D76" s="371" t="s">
        <v>743</v>
      </c>
      <c r="E76" s="372"/>
      <c r="F76" s="373" t="s">
        <v>281</v>
      </c>
      <c r="G76" s="373" t="s">
        <v>281</v>
      </c>
      <c r="H76" s="372"/>
      <c r="I76" s="372"/>
      <c r="J76" s="374" t="s">
        <v>281</v>
      </c>
      <c r="K76" s="373" t="s">
        <v>281</v>
      </c>
      <c r="L76" s="373" t="s">
        <v>281</v>
      </c>
    </row>
    <row r="77" spans="1:26" x14ac:dyDescent="0.2">
      <c r="A77" s="375"/>
      <c r="B77" s="375"/>
      <c r="C77" s="375"/>
      <c r="D77" s="356" t="s">
        <v>716</v>
      </c>
      <c r="E77" s="375"/>
      <c r="F77" s="375"/>
      <c r="G77" s="375"/>
      <c r="H77" s="375"/>
      <c r="I77" s="375"/>
      <c r="J77" s="375"/>
      <c r="K77" s="375"/>
      <c r="L77" s="375"/>
    </row>
    <row r="78" spans="1:26" ht="20.399999999999999" x14ac:dyDescent="0.2">
      <c r="A78" s="375"/>
      <c r="B78" s="375"/>
      <c r="C78" s="375"/>
      <c r="D78" s="356" t="s">
        <v>736</v>
      </c>
      <c r="E78" s="375"/>
      <c r="F78" s="375"/>
      <c r="G78" s="375"/>
      <c r="H78" s="375"/>
      <c r="I78" s="375"/>
      <c r="J78" s="375"/>
      <c r="K78" s="375"/>
      <c r="L78" s="375"/>
    </row>
    <row r="79" spans="1:26" ht="81.599999999999994" x14ac:dyDescent="0.2">
      <c r="A79" s="375"/>
      <c r="B79" s="375"/>
      <c r="C79" s="375"/>
      <c r="D79" s="356" t="s">
        <v>737</v>
      </c>
      <c r="E79" s="375"/>
      <c r="F79" s="375"/>
      <c r="G79" s="375"/>
      <c r="H79" s="375"/>
      <c r="I79" s="375"/>
      <c r="J79" s="375"/>
      <c r="K79" s="375"/>
      <c r="L79" s="375"/>
    </row>
    <row r="80" spans="1:26" x14ac:dyDescent="0.2">
      <c r="A80" s="375"/>
      <c r="B80" s="375"/>
      <c r="C80" s="375"/>
      <c r="D80" s="379" t="s">
        <v>715</v>
      </c>
      <c r="E80" s="380"/>
      <c r="F80" s="380"/>
      <c r="G80" s="380"/>
      <c r="H80" s="381">
        <v>9075.2000000000007</v>
      </c>
      <c r="I80" s="375"/>
      <c r="J80" s="375"/>
      <c r="K80" s="375"/>
      <c r="L80" s="375"/>
    </row>
    <row r="81" spans="1:26" s="625" customFormat="1" ht="30.6" x14ac:dyDescent="0.2">
      <c r="A81" s="621">
        <v>7</v>
      </c>
      <c r="B81" s="621">
        <v>7</v>
      </c>
      <c r="C81" s="621" t="s">
        <v>753</v>
      </c>
      <c r="D81" s="621" t="s">
        <v>754</v>
      </c>
      <c r="E81" s="622">
        <v>21.76</v>
      </c>
      <c r="F81" s="623">
        <v>3.28</v>
      </c>
      <c r="G81" s="623">
        <v>3.28</v>
      </c>
      <c r="H81" s="624">
        <v>945.04</v>
      </c>
      <c r="I81" s="624" t="s">
        <v>281</v>
      </c>
      <c r="J81" s="624">
        <v>945.04</v>
      </c>
      <c r="K81" s="623" t="s">
        <v>281</v>
      </c>
      <c r="L81" s="623" t="s">
        <v>281</v>
      </c>
      <c r="M81" s="633">
        <v>0</v>
      </c>
      <c r="N81" s="633" t="s">
        <v>2375</v>
      </c>
      <c r="O81" s="633"/>
      <c r="T81" s="625">
        <v>945.04</v>
      </c>
      <c r="V81" s="625" t="s">
        <v>281</v>
      </c>
      <c r="W81" s="625">
        <v>945.04</v>
      </c>
      <c r="X81" s="625" t="s">
        <v>281</v>
      </c>
      <c r="Y81" s="625" t="s">
        <v>281</v>
      </c>
      <c r="Z81" s="625" t="s">
        <v>281</v>
      </c>
    </row>
    <row r="82" spans="1:26" x14ac:dyDescent="0.2">
      <c r="A82" s="370"/>
      <c r="B82" s="370"/>
      <c r="C82" s="370"/>
      <c r="D82" s="371" t="s">
        <v>743</v>
      </c>
      <c r="E82" s="372"/>
      <c r="F82" s="373" t="s">
        <v>281</v>
      </c>
      <c r="G82" s="373" t="s">
        <v>281</v>
      </c>
      <c r="H82" s="372"/>
      <c r="I82" s="372"/>
      <c r="J82" s="374" t="s">
        <v>281</v>
      </c>
      <c r="K82" s="373" t="s">
        <v>281</v>
      </c>
      <c r="L82" s="373" t="s">
        <v>281</v>
      </c>
    </row>
    <row r="83" spans="1:26" x14ac:dyDescent="0.2">
      <c r="A83" s="375"/>
      <c r="B83" s="375"/>
      <c r="C83" s="375"/>
      <c r="D83" s="356" t="s">
        <v>716</v>
      </c>
      <c r="E83" s="375"/>
      <c r="F83" s="375"/>
      <c r="G83" s="375"/>
      <c r="H83" s="375"/>
      <c r="I83" s="375"/>
      <c r="J83" s="375"/>
      <c r="K83" s="375"/>
      <c r="L83" s="375"/>
    </row>
    <row r="84" spans="1:26" x14ac:dyDescent="0.2">
      <c r="A84" s="375"/>
      <c r="B84" s="375"/>
      <c r="C84" s="375"/>
      <c r="D84" s="379" t="s">
        <v>715</v>
      </c>
      <c r="E84" s="380"/>
      <c r="F84" s="380"/>
      <c r="G84" s="380"/>
      <c r="H84" s="381">
        <v>945.04</v>
      </c>
      <c r="I84" s="375"/>
      <c r="J84" s="375"/>
      <c r="K84" s="375"/>
      <c r="L84" s="375"/>
    </row>
    <row r="85" spans="1:26" s="625" customFormat="1" ht="30.6" x14ac:dyDescent="0.2">
      <c r="A85" s="621">
        <v>8</v>
      </c>
      <c r="B85" s="621">
        <v>8</v>
      </c>
      <c r="C85" s="621" t="s">
        <v>755</v>
      </c>
      <c r="D85" s="621" t="s">
        <v>720</v>
      </c>
      <c r="E85" s="622">
        <v>5.44</v>
      </c>
      <c r="F85" s="623">
        <v>49.427</v>
      </c>
      <c r="G85" s="623">
        <v>49.427</v>
      </c>
      <c r="H85" s="624">
        <v>3559.99</v>
      </c>
      <c r="I85" s="624" t="s">
        <v>281</v>
      </c>
      <c r="J85" s="624">
        <v>3559.99</v>
      </c>
      <c r="K85" s="623" t="s">
        <v>281</v>
      </c>
      <c r="L85" s="623" t="s">
        <v>281</v>
      </c>
      <c r="M85" s="633">
        <v>0</v>
      </c>
      <c r="N85" s="633" t="s">
        <v>2375</v>
      </c>
      <c r="O85" s="633"/>
      <c r="T85" s="625">
        <v>3559.99</v>
      </c>
      <c r="V85" s="625" t="s">
        <v>281</v>
      </c>
      <c r="W85" s="625">
        <v>3559.99</v>
      </c>
      <c r="X85" s="625" t="s">
        <v>281</v>
      </c>
      <c r="Y85" s="625" t="s">
        <v>281</v>
      </c>
      <c r="Z85" s="625" t="s">
        <v>281</v>
      </c>
    </row>
    <row r="86" spans="1:26" x14ac:dyDescent="0.2">
      <c r="A86" s="370"/>
      <c r="B86" s="370"/>
      <c r="C86" s="370"/>
      <c r="D86" s="371" t="s">
        <v>743</v>
      </c>
      <c r="E86" s="372"/>
      <c r="F86" s="373" t="s">
        <v>281</v>
      </c>
      <c r="G86" s="373" t="s">
        <v>281</v>
      </c>
      <c r="H86" s="372"/>
      <c r="I86" s="372"/>
      <c r="J86" s="374" t="s">
        <v>281</v>
      </c>
      <c r="K86" s="373" t="s">
        <v>281</v>
      </c>
      <c r="L86" s="373" t="s">
        <v>281</v>
      </c>
    </row>
    <row r="87" spans="1:26" x14ac:dyDescent="0.2">
      <c r="A87" s="375"/>
      <c r="B87" s="375"/>
      <c r="C87" s="375"/>
      <c r="D87" s="356" t="s">
        <v>716</v>
      </c>
      <c r="E87" s="375"/>
      <c r="F87" s="375"/>
      <c r="G87" s="375"/>
      <c r="H87" s="375"/>
      <c r="I87" s="375"/>
      <c r="J87" s="375"/>
      <c r="K87" s="375"/>
      <c r="L87" s="375"/>
    </row>
    <row r="88" spans="1:26" ht="20.399999999999999" x14ac:dyDescent="0.2">
      <c r="A88" s="375"/>
      <c r="B88" s="375"/>
      <c r="C88" s="375"/>
      <c r="D88" s="356" t="s">
        <v>736</v>
      </c>
      <c r="E88" s="375"/>
      <c r="F88" s="375"/>
      <c r="G88" s="375"/>
      <c r="H88" s="375"/>
      <c r="I88" s="375"/>
      <c r="J88" s="375"/>
      <c r="K88" s="375"/>
      <c r="L88" s="375"/>
    </row>
    <row r="89" spans="1:26" ht="81.599999999999994" x14ac:dyDescent="0.2">
      <c r="A89" s="375"/>
      <c r="B89" s="375"/>
      <c r="C89" s="375"/>
      <c r="D89" s="356" t="s">
        <v>737</v>
      </c>
      <c r="E89" s="375"/>
      <c r="F89" s="375"/>
      <c r="G89" s="375"/>
      <c r="H89" s="375"/>
      <c r="I89" s="375"/>
      <c r="J89" s="375"/>
      <c r="K89" s="375"/>
      <c r="L89" s="375"/>
    </row>
    <row r="90" spans="1:26" x14ac:dyDescent="0.2">
      <c r="A90" s="375"/>
      <c r="B90" s="375"/>
      <c r="C90" s="375"/>
      <c r="D90" s="379" t="s">
        <v>715</v>
      </c>
      <c r="E90" s="380"/>
      <c r="F90" s="380"/>
      <c r="G90" s="380"/>
      <c r="H90" s="381">
        <v>3559.99</v>
      </c>
      <c r="I90" s="375"/>
      <c r="J90" s="375"/>
      <c r="K90" s="375"/>
      <c r="L90" s="375"/>
    </row>
    <row r="91" spans="1:26" s="625" customFormat="1" ht="30.6" x14ac:dyDescent="0.2">
      <c r="A91" s="621">
        <v>9</v>
      </c>
      <c r="B91" s="621">
        <v>9</v>
      </c>
      <c r="C91" s="621" t="s">
        <v>744</v>
      </c>
      <c r="D91" s="621" t="s">
        <v>1035</v>
      </c>
      <c r="E91" s="622">
        <v>79.2</v>
      </c>
      <c r="F91" s="623">
        <v>162.38</v>
      </c>
      <c r="G91" s="623" t="s">
        <v>281</v>
      </c>
      <c r="H91" s="624">
        <v>104941.58</v>
      </c>
      <c r="I91" s="624" t="s">
        <v>281</v>
      </c>
      <c r="J91" s="624" t="s">
        <v>281</v>
      </c>
      <c r="K91" s="623" t="s">
        <v>281</v>
      </c>
      <c r="L91" s="623" t="s">
        <v>281</v>
      </c>
      <c r="M91" s="633">
        <v>0</v>
      </c>
      <c r="N91" s="633" t="s">
        <v>2375</v>
      </c>
      <c r="O91" s="633"/>
      <c r="T91" s="625">
        <v>104941.58</v>
      </c>
      <c r="V91" s="625" t="s">
        <v>281</v>
      </c>
      <c r="W91" s="625" t="s">
        <v>281</v>
      </c>
      <c r="X91" s="625" t="s">
        <v>281</v>
      </c>
      <c r="Y91" s="625" t="s">
        <v>281</v>
      </c>
      <c r="Z91" s="625" t="s">
        <v>281</v>
      </c>
    </row>
    <row r="92" spans="1:26" x14ac:dyDescent="0.2">
      <c r="A92" s="370"/>
      <c r="B92" s="370"/>
      <c r="C92" s="370"/>
      <c r="D92" s="371" t="s">
        <v>745</v>
      </c>
      <c r="E92" s="372"/>
      <c r="F92" s="373" t="s">
        <v>281</v>
      </c>
      <c r="G92" s="373" t="s">
        <v>281</v>
      </c>
      <c r="H92" s="372"/>
      <c r="I92" s="372"/>
      <c r="J92" s="374" t="s">
        <v>281</v>
      </c>
      <c r="K92" s="373" t="s">
        <v>281</v>
      </c>
      <c r="L92" s="373" t="s">
        <v>281</v>
      </c>
    </row>
    <row r="93" spans="1:26" x14ac:dyDescent="0.2">
      <c r="A93" s="375"/>
      <c r="B93" s="375"/>
      <c r="C93" s="375"/>
      <c r="D93" s="356" t="s">
        <v>718</v>
      </c>
      <c r="E93" s="375"/>
      <c r="F93" s="375"/>
      <c r="G93" s="375"/>
      <c r="H93" s="375"/>
      <c r="I93" s="375"/>
      <c r="J93" s="375"/>
      <c r="K93" s="375"/>
      <c r="L93" s="375"/>
    </row>
    <row r="94" spans="1:26" s="625" customFormat="1" ht="51" x14ac:dyDescent="0.2">
      <c r="A94" s="621">
        <v>10</v>
      </c>
      <c r="B94" s="621">
        <v>10</v>
      </c>
      <c r="C94" s="621" t="s">
        <v>756</v>
      </c>
      <c r="D94" s="621" t="s">
        <v>721</v>
      </c>
      <c r="E94" s="622">
        <v>3.6480000000000001</v>
      </c>
      <c r="F94" s="623">
        <v>1174.2535</v>
      </c>
      <c r="G94" s="623">
        <v>798.65200000000004</v>
      </c>
      <c r="H94" s="624">
        <v>99918.1</v>
      </c>
      <c r="I94" s="624">
        <v>61343.6</v>
      </c>
      <c r="J94" s="624">
        <v>38574.5</v>
      </c>
      <c r="K94" s="623">
        <v>44.033499999999997</v>
      </c>
      <c r="L94" s="623">
        <v>160.634208</v>
      </c>
      <c r="M94" s="633">
        <v>0</v>
      </c>
      <c r="N94" s="633" t="s">
        <v>2375</v>
      </c>
      <c r="O94" s="633" t="s">
        <v>1691</v>
      </c>
      <c r="T94" s="625">
        <v>217476.12</v>
      </c>
      <c r="V94" s="625">
        <v>61343.6</v>
      </c>
      <c r="W94" s="625">
        <v>38574.5</v>
      </c>
      <c r="X94" s="625">
        <v>20864.810000000001</v>
      </c>
      <c r="Y94" s="625">
        <v>160.634208</v>
      </c>
      <c r="Z94" s="625">
        <v>36.498240000000003</v>
      </c>
    </row>
    <row r="95" spans="1:26" x14ac:dyDescent="0.2">
      <c r="A95" s="370"/>
      <c r="B95" s="370"/>
      <c r="C95" s="370"/>
      <c r="D95" s="371" t="s">
        <v>757</v>
      </c>
      <c r="E95" s="372"/>
      <c r="F95" s="373">
        <v>375.60149999999999</v>
      </c>
      <c r="G95" s="373">
        <v>127.7535</v>
      </c>
      <c r="H95" s="372"/>
      <c r="I95" s="372"/>
      <c r="J95" s="374">
        <v>20864.810000000001</v>
      </c>
      <c r="K95" s="373">
        <v>10.005000000000001</v>
      </c>
      <c r="L95" s="373">
        <v>36.498240000000003</v>
      </c>
    </row>
    <row r="96" spans="1:26" ht="20.399999999999999" x14ac:dyDescent="0.2">
      <c r="A96" s="375"/>
      <c r="B96" s="375"/>
      <c r="C96" s="375"/>
      <c r="D96" s="356" t="s">
        <v>714</v>
      </c>
      <c r="E96" s="375"/>
      <c r="F96" s="375"/>
      <c r="G96" s="375"/>
      <c r="H96" s="375"/>
      <c r="I96" s="375"/>
      <c r="J96" s="375"/>
      <c r="K96" s="375"/>
      <c r="L96" s="375"/>
    </row>
    <row r="97" spans="1:26" ht="20.399999999999999" x14ac:dyDescent="0.2">
      <c r="A97" s="375"/>
      <c r="B97" s="375"/>
      <c r="C97" s="375"/>
      <c r="D97" s="356" t="s">
        <v>736</v>
      </c>
      <c r="E97" s="375"/>
      <c r="F97" s="375"/>
      <c r="G97" s="375"/>
      <c r="H97" s="375"/>
      <c r="I97" s="375"/>
      <c r="J97" s="375"/>
      <c r="K97" s="375"/>
      <c r="L97" s="375"/>
    </row>
    <row r="98" spans="1:26" ht="81.599999999999994" x14ac:dyDescent="0.2">
      <c r="A98" s="375"/>
      <c r="B98" s="375"/>
      <c r="C98" s="375"/>
      <c r="D98" s="356" t="s">
        <v>737</v>
      </c>
      <c r="E98" s="375"/>
      <c r="F98" s="375"/>
      <c r="G98" s="375"/>
      <c r="H98" s="375"/>
      <c r="I98" s="375"/>
      <c r="J98" s="375"/>
      <c r="K98" s="375"/>
      <c r="L98" s="375"/>
    </row>
    <row r="99" spans="1:26" x14ac:dyDescent="0.2">
      <c r="A99" s="375"/>
      <c r="B99" s="375"/>
      <c r="C99" s="375"/>
      <c r="D99" s="376" t="s">
        <v>206</v>
      </c>
      <c r="E99" s="377" t="s">
        <v>758</v>
      </c>
      <c r="F99" s="377"/>
      <c r="G99" s="377"/>
      <c r="H99" s="378">
        <v>74809.649999999994</v>
      </c>
      <c r="I99" s="375"/>
      <c r="J99" s="375"/>
      <c r="K99" s="375"/>
      <c r="L99" s="375"/>
    </row>
    <row r="100" spans="1:26" x14ac:dyDescent="0.2">
      <c r="A100" s="375"/>
      <c r="B100" s="375"/>
      <c r="C100" s="375"/>
      <c r="D100" s="376" t="s">
        <v>207</v>
      </c>
      <c r="E100" s="377" t="s">
        <v>759</v>
      </c>
      <c r="F100" s="377"/>
      <c r="G100" s="377"/>
      <c r="H100" s="378">
        <v>42748.37</v>
      </c>
      <c r="I100" s="375"/>
      <c r="J100" s="375"/>
      <c r="K100" s="375"/>
      <c r="L100" s="375"/>
    </row>
    <row r="101" spans="1:26" x14ac:dyDescent="0.2">
      <c r="A101" s="375"/>
      <c r="B101" s="375"/>
      <c r="C101" s="375"/>
      <c r="D101" s="379" t="s">
        <v>715</v>
      </c>
      <c r="E101" s="380"/>
      <c r="F101" s="380"/>
      <c r="G101" s="380"/>
      <c r="H101" s="381">
        <v>217476.12</v>
      </c>
      <c r="I101" s="375"/>
      <c r="J101" s="375"/>
      <c r="K101" s="375"/>
      <c r="L101" s="375"/>
    </row>
    <row r="102" spans="1:26" s="625" customFormat="1" ht="40.799999999999997" x14ac:dyDescent="0.2">
      <c r="A102" s="621">
        <v>11</v>
      </c>
      <c r="B102" s="621">
        <v>11</v>
      </c>
      <c r="C102" s="621" t="s">
        <v>760</v>
      </c>
      <c r="D102" s="621" t="s">
        <v>722</v>
      </c>
      <c r="E102" s="622">
        <v>67.2</v>
      </c>
      <c r="F102" s="623">
        <v>1912.9349999999999</v>
      </c>
      <c r="G102" s="623">
        <v>1380.0920000000001</v>
      </c>
      <c r="H102" s="624">
        <v>2775756.48</v>
      </c>
      <c r="I102" s="624">
        <v>1535539.49</v>
      </c>
      <c r="J102" s="624">
        <v>1227906.6200000001</v>
      </c>
      <c r="K102" s="623">
        <v>59.834499999999998</v>
      </c>
      <c r="L102" s="623">
        <v>4020.8784000000001</v>
      </c>
      <c r="M102" s="633">
        <v>0</v>
      </c>
      <c r="N102" s="633" t="s">
        <v>2375</v>
      </c>
      <c r="O102" s="633" t="s">
        <v>1691</v>
      </c>
      <c r="T102" s="625">
        <v>4971577.95</v>
      </c>
      <c r="V102" s="625">
        <v>1535539.49</v>
      </c>
      <c r="W102" s="625">
        <v>1227906.6200000001</v>
      </c>
      <c r="X102" s="625" t="s">
        <v>281</v>
      </c>
      <c r="Y102" s="625">
        <v>4020.8784000000001</v>
      </c>
      <c r="Z102" s="625" t="s">
        <v>281</v>
      </c>
    </row>
    <row r="103" spans="1:26" x14ac:dyDescent="0.2">
      <c r="A103" s="370"/>
      <c r="B103" s="370"/>
      <c r="C103" s="370"/>
      <c r="D103" s="371" t="s">
        <v>745</v>
      </c>
      <c r="E103" s="372"/>
      <c r="F103" s="373">
        <v>510.39299999999997</v>
      </c>
      <c r="G103" s="373" t="s">
        <v>281</v>
      </c>
      <c r="H103" s="372"/>
      <c r="I103" s="372"/>
      <c r="J103" s="374" t="s">
        <v>281</v>
      </c>
      <c r="K103" s="373" t="s">
        <v>281</v>
      </c>
      <c r="L103" s="373" t="s">
        <v>281</v>
      </c>
    </row>
    <row r="104" spans="1:26" ht="20.399999999999999" x14ac:dyDescent="0.2">
      <c r="A104" s="375"/>
      <c r="B104" s="375"/>
      <c r="C104" s="375"/>
      <c r="D104" s="356" t="s">
        <v>714</v>
      </c>
      <c r="E104" s="375"/>
      <c r="F104" s="375"/>
      <c r="G104" s="375"/>
      <c r="H104" s="375"/>
      <c r="I104" s="375"/>
      <c r="J104" s="375"/>
      <c r="K104" s="375"/>
      <c r="L104" s="375"/>
    </row>
    <row r="105" spans="1:26" ht="20.399999999999999" x14ac:dyDescent="0.2">
      <c r="A105" s="375"/>
      <c r="B105" s="375"/>
      <c r="C105" s="375"/>
      <c r="D105" s="356" t="s">
        <v>736</v>
      </c>
      <c r="E105" s="375"/>
      <c r="F105" s="375"/>
      <c r="G105" s="375"/>
      <c r="H105" s="375"/>
      <c r="I105" s="375"/>
      <c r="J105" s="375"/>
      <c r="K105" s="375"/>
      <c r="L105" s="375"/>
    </row>
    <row r="106" spans="1:26" ht="81.599999999999994" x14ac:dyDescent="0.2">
      <c r="A106" s="375"/>
      <c r="B106" s="375"/>
      <c r="C106" s="375"/>
      <c r="D106" s="356" t="s">
        <v>737</v>
      </c>
      <c r="E106" s="375"/>
      <c r="F106" s="375"/>
      <c r="G106" s="375"/>
      <c r="H106" s="375"/>
      <c r="I106" s="375"/>
      <c r="J106" s="375"/>
      <c r="K106" s="375"/>
      <c r="L106" s="375"/>
    </row>
    <row r="107" spans="1:26" x14ac:dyDescent="0.2">
      <c r="A107" s="375"/>
      <c r="B107" s="375"/>
      <c r="C107" s="375"/>
      <c r="D107" s="376" t="s">
        <v>206</v>
      </c>
      <c r="E107" s="377" t="s">
        <v>758</v>
      </c>
      <c r="F107" s="377"/>
      <c r="G107" s="377"/>
      <c r="H107" s="378">
        <v>1397340.94</v>
      </c>
      <c r="I107" s="375"/>
      <c r="J107" s="375"/>
      <c r="K107" s="375"/>
      <c r="L107" s="375"/>
    </row>
    <row r="108" spans="1:26" x14ac:dyDescent="0.2">
      <c r="A108" s="375"/>
      <c r="B108" s="375"/>
      <c r="C108" s="375"/>
      <c r="D108" s="376" t="s">
        <v>207</v>
      </c>
      <c r="E108" s="377" t="s">
        <v>759</v>
      </c>
      <c r="F108" s="377"/>
      <c r="G108" s="377"/>
      <c r="H108" s="378">
        <v>798480.53</v>
      </c>
      <c r="I108" s="375"/>
      <c r="J108" s="375"/>
      <c r="K108" s="375"/>
      <c r="L108" s="375"/>
    </row>
    <row r="109" spans="1:26" x14ac:dyDescent="0.2">
      <c r="A109" s="375"/>
      <c r="B109" s="375"/>
      <c r="C109" s="375"/>
      <c r="D109" s="379" t="s">
        <v>715</v>
      </c>
      <c r="E109" s="380"/>
      <c r="F109" s="380"/>
      <c r="G109" s="380"/>
      <c r="H109" s="381">
        <v>4971577.95</v>
      </c>
      <c r="I109" s="375"/>
      <c r="J109" s="375"/>
      <c r="K109" s="375"/>
      <c r="L109" s="375"/>
    </row>
    <row r="110" spans="1:26" s="625" customFormat="1" ht="30.6" x14ac:dyDescent="0.2">
      <c r="A110" s="621">
        <v>12</v>
      </c>
      <c r="B110" s="621">
        <v>12</v>
      </c>
      <c r="C110" s="621" t="s">
        <v>753</v>
      </c>
      <c r="D110" s="621" t="s">
        <v>754</v>
      </c>
      <c r="E110" s="622">
        <v>134.4</v>
      </c>
      <c r="F110" s="623">
        <v>3.28</v>
      </c>
      <c r="G110" s="623">
        <v>3.28</v>
      </c>
      <c r="H110" s="624">
        <v>5836.99</v>
      </c>
      <c r="I110" s="624" t="s">
        <v>281</v>
      </c>
      <c r="J110" s="624">
        <v>5836.99</v>
      </c>
      <c r="K110" s="623" t="s">
        <v>281</v>
      </c>
      <c r="L110" s="623" t="s">
        <v>281</v>
      </c>
      <c r="M110" s="633">
        <v>0</v>
      </c>
      <c r="N110" s="633" t="s">
        <v>2375</v>
      </c>
      <c r="O110" s="633" t="s">
        <v>1691</v>
      </c>
      <c r="T110" s="625">
        <v>5836.99</v>
      </c>
      <c r="V110" s="625" t="s">
        <v>281</v>
      </c>
      <c r="W110" s="625">
        <v>5836.99</v>
      </c>
      <c r="X110" s="625" t="s">
        <v>281</v>
      </c>
      <c r="Y110" s="625" t="s">
        <v>281</v>
      </c>
      <c r="Z110" s="625" t="s">
        <v>281</v>
      </c>
    </row>
    <row r="111" spans="1:26" x14ac:dyDescent="0.2">
      <c r="A111" s="370"/>
      <c r="B111" s="370"/>
      <c r="C111" s="370"/>
      <c r="D111" s="371" t="s">
        <v>743</v>
      </c>
      <c r="E111" s="372"/>
      <c r="F111" s="373" t="s">
        <v>281</v>
      </c>
      <c r="G111" s="373" t="s">
        <v>281</v>
      </c>
      <c r="H111" s="372"/>
      <c r="I111" s="372"/>
      <c r="J111" s="374" t="s">
        <v>281</v>
      </c>
      <c r="K111" s="373" t="s">
        <v>281</v>
      </c>
      <c r="L111" s="373" t="s">
        <v>281</v>
      </c>
    </row>
    <row r="112" spans="1:26" x14ac:dyDescent="0.2">
      <c r="A112" s="375"/>
      <c r="B112" s="375"/>
      <c r="C112" s="375"/>
      <c r="D112" s="356" t="s">
        <v>716</v>
      </c>
      <c r="E112" s="375"/>
      <c r="F112" s="375"/>
      <c r="G112" s="375"/>
      <c r="H112" s="375"/>
      <c r="I112" s="375"/>
      <c r="J112" s="375"/>
      <c r="K112" s="375"/>
      <c r="L112" s="375"/>
    </row>
    <row r="113" spans="1:26" x14ac:dyDescent="0.2">
      <c r="A113" s="375"/>
      <c r="B113" s="375"/>
      <c r="C113" s="375"/>
      <c r="D113" s="379" t="s">
        <v>715</v>
      </c>
      <c r="E113" s="380"/>
      <c r="F113" s="380"/>
      <c r="G113" s="380"/>
      <c r="H113" s="381">
        <v>5836.99</v>
      </c>
      <c r="I113" s="375"/>
      <c r="J113" s="375"/>
      <c r="K113" s="375"/>
      <c r="L113" s="375"/>
    </row>
    <row r="114" spans="1:26" s="625" customFormat="1" ht="30.6" x14ac:dyDescent="0.2">
      <c r="A114" s="621">
        <v>13</v>
      </c>
      <c r="B114" s="621">
        <v>13</v>
      </c>
      <c r="C114" s="621" t="s">
        <v>755</v>
      </c>
      <c r="D114" s="621" t="s">
        <v>720</v>
      </c>
      <c r="E114" s="622">
        <v>33.6</v>
      </c>
      <c r="F114" s="623">
        <v>49.427</v>
      </c>
      <c r="G114" s="623">
        <v>49.427</v>
      </c>
      <c r="H114" s="624">
        <v>21988.18</v>
      </c>
      <c r="I114" s="624" t="s">
        <v>281</v>
      </c>
      <c r="J114" s="624">
        <v>21988.18</v>
      </c>
      <c r="K114" s="623" t="s">
        <v>281</v>
      </c>
      <c r="L114" s="623" t="s">
        <v>281</v>
      </c>
      <c r="M114" s="633">
        <v>0</v>
      </c>
      <c r="N114" s="633" t="s">
        <v>2375</v>
      </c>
      <c r="O114" s="633" t="s">
        <v>1691</v>
      </c>
      <c r="T114" s="625">
        <v>21988.18</v>
      </c>
      <c r="V114" s="625" t="s">
        <v>281</v>
      </c>
      <c r="W114" s="625">
        <v>21988.18</v>
      </c>
      <c r="X114" s="625" t="s">
        <v>281</v>
      </c>
      <c r="Y114" s="625" t="s">
        <v>281</v>
      </c>
      <c r="Z114" s="625" t="s">
        <v>281</v>
      </c>
    </row>
    <row r="115" spans="1:26" x14ac:dyDescent="0.2">
      <c r="A115" s="370"/>
      <c r="B115" s="370"/>
      <c r="C115" s="370"/>
      <c r="D115" s="371" t="s">
        <v>743</v>
      </c>
      <c r="E115" s="372"/>
      <c r="F115" s="373" t="s">
        <v>281</v>
      </c>
      <c r="G115" s="373" t="s">
        <v>281</v>
      </c>
      <c r="H115" s="372"/>
      <c r="I115" s="372"/>
      <c r="J115" s="374" t="s">
        <v>281</v>
      </c>
      <c r="K115" s="373" t="s">
        <v>281</v>
      </c>
      <c r="L115" s="373" t="s">
        <v>281</v>
      </c>
    </row>
    <row r="116" spans="1:26" x14ac:dyDescent="0.2">
      <c r="A116" s="375"/>
      <c r="B116" s="375"/>
      <c r="C116" s="375"/>
      <c r="D116" s="356" t="s">
        <v>716</v>
      </c>
      <c r="E116" s="375"/>
      <c r="F116" s="375"/>
      <c r="G116" s="375"/>
      <c r="H116" s="375"/>
      <c r="I116" s="375"/>
      <c r="J116" s="375"/>
      <c r="K116" s="375"/>
      <c r="L116" s="375"/>
    </row>
    <row r="117" spans="1:26" ht="20.399999999999999" x14ac:dyDescent="0.2">
      <c r="A117" s="375"/>
      <c r="B117" s="375"/>
      <c r="C117" s="375"/>
      <c r="D117" s="356" t="s">
        <v>736</v>
      </c>
      <c r="E117" s="375"/>
      <c r="F117" s="375"/>
      <c r="G117" s="375"/>
      <c r="H117" s="375"/>
      <c r="I117" s="375"/>
      <c r="J117" s="375"/>
      <c r="K117" s="375"/>
      <c r="L117" s="375"/>
    </row>
    <row r="118" spans="1:26" ht="81.599999999999994" x14ac:dyDescent="0.2">
      <c r="A118" s="375"/>
      <c r="B118" s="375"/>
      <c r="C118" s="375"/>
      <c r="D118" s="356" t="s">
        <v>737</v>
      </c>
      <c r="E118" s="375"/>
      <c r="F118" s="375"/>
      <c r="G118" s="375"/>
      <c r="H118" s="375"/>
      <c r="I118" s="375"/>
      <c r="J118" s="375"/>
      <c r="K118" s="375"/>
      <c r="L118" s="375"/>
    </row>
    <row r="119" spans="1:26" x14ac:dyDescent="0.2">
      <c r="A119" s="375"/>
      <c r="B119" s="375"/>
      <c r="C119" s="375"/>
      <c r="D119" s="379" t="s">
        <v>715</v>
      </c>
      <c r="E119" s="380"/>
      <c r="F119" s="380"/>
      <c r="G119" s="380"/>
      <c r="H119" s="381">
        <v>21988.18</v>
      </c>
      <c r="I119" s="375"/>
      <c r="J119" s="375"/>
      <c r="K119" s="375"/>
      <c r="L119" s="375"/>
    </row>
    <row r="120" spans="1:26" s="625" customFormat="1" ht="30.6" x14ac:dyDescent="0.2">
      <c r="A120" s="621">
        <v>14</v>
      </c>
      <c r="B120" s="621">
        <v>14</v>
      </c>
      <c r="C120" s="621" t="s">
        <v>744</v>
      </c>
      <c r="D120" s="621" t="s">
        <v>1035</v>
      </c>
      <c r="E120" s="622">
        <v>67.2</v>
      </c>
      <c r="F120" s="623">
        <v>162.38</v>
      </c>
      <c r="G120" s="623" t="s">
        <v>281</v>
      </c>
      <c r="H120" s="624">
        <v>89041.34</v>
      </c>
      <c r="I120" s="624" t="s">
        <v>281</v>
      </c>
      <c r="J120" s="624" t="s">
        <v>281</v>
      </c>
      <c r="K120" s="623" t="s">
        <v>281</v>
      </c>
      <c r="L120" s="623" t="s">
        <v>281</v>
      </c>
      <c r="M120" s="633">
        <v>0</v>
      </c>
      <c r="N120" s="633" t="s">
        <v>2375</v>
      </c>
      <c r="O120" s="633" t="s">
        <v>1691</v>
      </c>
      <c r="T120" s="625">
        <v>89041.34</v>
      </c>
      <c r="V120" s="625" t="s">
        <v>281</v>
      </c>
      <c r="W120" s="625" t="s">
        <v>281</v>
      </c>
      <c r="X120" s="625" t="s">
        <v>281</v>
      </c>
      <c r="Y120" s="625" t="s">
        <v>281</v>
      </c>
      <c r="Z120" s="625" t="s">
        <v>281</v>
      </c>
    </row>
    <row r="121" spans="1:26" x14ac:dyDescent="0.2">
      <c r="A121" s="370"/>
      <c r="B121" s="370"/>
      <c r="C121" s="370"/>
      <c r="D121" s="371" t="s">
        <v>745</v>
      </c>
      <c r="E121" s="372"/>
      <c r="F121" s="373" t="s">
        <v>281</v>
      </c>
      <c r="G121" s="373" t="s">
        <v>281</v>
      </c>
      <c r="H121" s="372"/>
      <c r="I121" s="372"/>
      <c r="J121" s="374" t="s">
        <v>281</v>
      </c>
      <c r="K121" s="373" t="s">
        <v>281</v>
      </c>
      <c r="L121" s="373" t="s">
        <v>281</v>
      </c>
    </row>
    <row r="122" spans="1:26" x14ac:dyDescent="0.2">
      <c r="A122" s="375"/>
      <c r="B122" s="375"/>
      <c r="C122" s="375"/>
      <c r="D122" s="356" t="s">
        <v>718</v>
      </c>
      <c r="E122" s="375"/>
      <c r="F122" s="375"/>
      <c r="G122" s="375"/>
      <c r="H122" s="375"/>
      <c r="I122" s="375"/>
      <c r="J122" s="375"/>
      <c r="K122" s="375"/>
      <c r="L122" s="375"/>
    </row>
    <row r="123" spans="1:26" s="625" customFormat="1" ht="51" x14ac:dyDescent="0.2">
      <c r="A123" s="621">
        <v>15</v>
      </c>
      <c r="B123" s="621">
        <v>15</v>
      </c>
      <c r="C123" s="621" t="s">
        <v>756</v>
      </c>
      <c r="D123" s="621" t="s">
        <v>721</v>
      </c>
      <c r="E123" s="622">
        <v>3.6480000000000001</v>
      </c>
      <c r="F123" s="623">
        <v>1174.2535</v>
      </c>
      <c r="G123" s="623">
        <v>798.65200000000004</v>
      </c>
      <c r="H123" s="624">
        <v>99918.1</v>
      </c>
      <c r="I123" s="624">
        <v>61343.6</v>
      </c>
      <c r="J123" s="624">
        <v>38574.5</v>
      </c>
      <c r="K123" s="623">
        <v>44.033499999999997</v>
      </c>
      <c r="L123" s="623">
        <v>160.634208</v>
      </c>
      <c r="M123" s="633">
        <v>0</v>
      </c>
      <c r="N123" s="633" t="s">
        <v>2375</v>
      </c>
      <c r="O123" s="633" t="s">
        <v>2391</v>
      </c>
      <c r="T123" s="625">
        <v>217476.12</v>
      </c>
      <c r="V123" s="625">
        <v>61343.6</v>
      </c>
      <c r="W123" s="625">
        <v>38574.5</v>
      </c>
      <c r="X123" s="625">
        <v>20864.810000000001</v>
      </c>
      <c r="Y123" s="625">
        <v>160.634208</v>
      </c>
      <c r="Z123" s="625">
        <v>36.498240000000003</v>
      </c>
    </row>
    <row r="124" spans="1:26" x14ac:dyDescent="0.2">
      <c r="A124" s="370"/>
      <c r="B124" s="370"/>
      <c r="C124" s="370"/>
      <c r="D124" s="371" t="s">
        <v>757</v>
      </c>
      <c r="E124" s="372"/>
      <c r="F124" s="373">
        <v>375.60149999999999</v>
      </c>
      <c r="G124" s="373">
        <v>127.7535</v>
      </c>
      <c r="H124" s="372"/>
      <c r="I124" s="372"/>
      <c r="J124" s="374">
        <v>20864.810000000001</v>
      </c>
      <c r="K124" s="373">
        <v>10.005000000000001</v>
      </c>
      <c r="L124" s="373">
        <v>36.498240000000003</v>
      </c>
    </row>
    <row r="125" spans="1:26" ht="20.399999999999999" x14ac:dyDescent="0.2">
      <c r="A125" s="375"/>
      <c r="B125" s="375"/>
      <c r="C125" s="375"/>
      <c r="D125" s="356" t="s">
        <v>714</v>
      </c>
      <c r="E125" s="375"/>
      <c r="F125" s="375"/>
      <c r="G125" s="375"/>
      <c r="H125" s="375"/>
      <c r="I125" s="375"/>
      <c r="J125" s="375"/>
      <c r="K125" s="375"/>
      <c r="L125" s="375"/>
    </row>
    <row r="126" spans="1:26" ht="20.399999999999999" x14ac:dyDescent="0.2">
      <c r="A126" s="375"/>
      <c r="B126" s="375"/>
      <c r="C126" s="375"/>
      <c r="D126" s="356" t="s">
        <v>736</v>
      </c>
      <c r="E126" s="375"/>
      <c r="F126" s="375"/>
      <c r="G126" s="375"/>
      <c r="H126" s="375"/>
      <c r="I126" s="375"/>
      <c r="J126" s="375"/>
      <c r="K126" s="375"/>
      <c r="L126" s="375"/>
    </row>
    <row r="127" spans="1:26" ht="81.599999999999994" x14ac:dyDescent="0.2">
      <c r="A127" s="375"/>
      <c r="B127" s="375"/>
      <c r="C127" s="375"/>
      <c r="D127" s="356" t="s">
        <v>737</v>
      </c>
      <c r="E127" s="375"/>
      <c r="F127" s="375"/>
      <c r="G127" s="375"/>
      <c r="H127" s="375"/>
      <c r="I127" s="375"/>
      <c r="J127" s="375"/>
      <c r="K127" s="375"/>
      <c r="L127" s="375"/>
    </row>
    <row r="128" spans="1:26" x14ac:dyDescent="0.2">
      <c r="A128" s="375"/>
      <c r="B128" s="375"/>
      <c r="C128" s="375"/>
      <c r="D128" s="376" t="s">
        <v>206</v>
      </c>
      <c r="E128" s="377" t="s">
        <v>758</v>
      </c>
      <c r="F128" s="377"/>
      <c r="G128" s="377"/>
      <c r="H128" s="378">
        <v>74809.649999999994</v>
      </c>
      <c r="I128" s="375"/>
      <c r="J128" s="375"/>
      <c r="K128" s="375"/>
      <c r="L128" s="375"/>
    </row>
    <row r="129" spans="1:26" x14ac:dyDescent="0.2">
      <c r="A129" s="375"/>
      <c r="B129" s="375"/>
      <c r="C129" s="375"/>
      <c r="D129" s="376" t="s">
        <v>207</v>
      </c>
      <c r="E129" s="377" t="s">
        <v>759</v>
      </c>
      <c r="F129" s="377"/>
      <c r="G129" s="377"/>
      <c r="H129" s="378">
        <v>42748.37</v>
      </c>
      <c r="I129" s="375"/>
      <c r="J129" s="375"/>
      <c r="K129" s="375"/>
      <c r="L129" s="375"/>
    </row>
    <row r="130" spans="1:26" x14ac:dyDescent="0.2">
      <c r="A130" s="375"/>
      <c r="B130" s="375"/>
      <c r="C130" s="375"/>
      <c r="D130" s="379" t="s">
        <v>715</v>
      </c>
      <c r="E130" s="380"/>
      <c r="F130" s="380"/>
      <c r="G130" s="380"/>
      <c r="H130" s="381">
        <v>217476.12</v>
      </c>
      <c r="I130" s="375"/>
      <c r="J130" s="375"/>
      <c r="K130" s="375"/>
      <c r="L130" s="375"/>
    </row>
    <row r="131" spans="1:26" s="625" customFormat="1" ht="40.799999999999997" x14ac:dyDescent="0.2">
      <c r="A131" s="621">
        <v>16</v>
      </c>
      <c r="B131" s="621">
        <v>16</v>
      </c>
      <c r="C131" s="621" t="s">
        <v>760</v>
      </c>
      <c r="D131" s="621" t="s">
        <v>722</v>
      </c>
      <c r="E131" s="622">
        <v>41.28</v>
      </c>
      <c r="F131" s="623">
        <v>1912.9349999999999</v>
      </c>
      <c r="G131" s="623">
        <v>1380.0920000000001</v>
      </c>
      <c r="H131" s="624">
        <v>1705107.55</v>
      </c>
      <c r="I131" s="624">
        <v>943259.97</v>
      </c>
      <c r="J131" s="624">
        <v>754285.5</v>
      </c>
      <c r="K131" s="623">
        <v>59.834499999999998</v>
      </c>
      <c r="L131" s="623">
        <v>2469.9681599999999</v>
      </c>
      <c r="M131" s="633">
        <v>0</v>
      </c>
      <c r="N131" s="633" t="s">
        <v>2375</v>
      </c>
      <c r="O131" s="633" t="s">
        <v>2391</v>
      </c>
      <c r="T131" s="625">
        <v>3053969.3</v>
      </c>
      <c r="V131" s="625">
        <v>943259.97</v>
      </c>
      <c r="W131" s="625">
        <v>754285.5</v>
      </c>
      <c r="X131" s="625" t="s">
        <v>281</v>
      </c>
      <c r="Y131" s="625">
        <v>2469.9681599999999</v>
      </c>
      <c r="Z131" s="625" t="s">
        <v>281</v>
      </c>
    </row>
    <row r="132" spans="1:26" x14ac:dyDescent="0.2">
      <c r="A132" s="370"/>
      <c r="B132" s="370"/>
      <c r="C132" s="370"/>
      <c r="D132" s="371" t="s">
        <v>745</v>
      </c>
      <c r="E132" s="372"/>
      <c r="F132" s="373">
        <v>510.39299999999997</v>
      </c>
      <c r="G132" s="373" t="s">
        <v>281</v>
      </c>
      <c r="H132" s="372"/>
      <c r="I132" s="372"/>
      <c r="J132" s="374" t="s">
        <v>281</v>
      </c>
      <c r="K132" s="373" t="s">
        <v>281</v>
      </c>
      <c r="L132" s="373" t="s">
        <v>281</v>
      </c>
    </row>
    <row r="133" spans="1:26" ht="20.399999999999999" x14ac:dyDescent="0.2">
      <c r="A133" s="375"/>
      <c r="B133" s="375"/>
      <c r="C133" s="375"/>
      <c r="D133" s="356" t="s">
        <v>714</v>
      </c>
      <c r="E133" s="375"/>
      <c r="F133" s="375"/>
      <c r="G133" s="375"/>
      <c r="H133" s="375"/>
      <c r="I133" s="375"/>
      <c r="J133" s="375"/>
      <c r="K133" s="375"/>
      <c r="L133" s="375"/>
    </row>
    <row r="134" spans="1:26" ht="20.399999999999999" x14ac:dyDescent="0.2">
      <c r="A134" s="375"/>
      <c r="B134" s="375"/>
      <c r="C134" s="375"/>
      <c r="D134" s="356" t="s">
        <v>736</v>
      </c>
      <c r="E134" s="375"/>
      <c r="F134" s="375"/>
      <c r="G134" s="375"/>
      <c r="H134" s="375"/>
      <c r="I134" s="375"/>
      <c r="J134" s="375"/>
      <c r="K134" s="375"/>
      <c r="L134" s="375"/>
    </row>
    <row r="135" spans="1:26" ht="81.599999999999994" x14ac:dyDescent="0.2">
      <c r="A135" s="375"/>
      <c r="B135" s="375"/>
      <c r="C135" s="375"/>
      <c r="D135" s="356" t="s">
        <v>737</v>
      </c>
      <c r="E135" s="375"/>
      <c r="F135" s="375"/>
      <c r="G135" s="375"/>
      <c r="H135" s="375"/>
      <c r="I135" s="375"/>
      <c r="J135" s="375"/>
      <c r="K135" s="375"/>
      <c r="L135" s="375"/>
    </row>
    <row r="136" spans="1:26" x14ac:dyDescent="0.2">
      <c r="A136" s="375"/>
      <c r="B136" s="375"/>
      <c r="C136" s="375"/>
      <c r="D136" s="376" t="s">
        <v>206</v>
      </c>
      <c r="E136" s="377" t="s">
        <v>758</v>
      </c>
      <c r="F136" s="377"/>
      <c r="G136" s="377"/>
      <c r="H136" s="378">
        <v>858366.57</v>
      </c>
      <c r="I136" s="375"/>
      <c r="J136" s="375"/>
      <c r="K136" s="375"/>
      <c r="L136" s="375"/>
    </row>
    <row r="137" spans="1:26" x14ac:dyDescent="0.2">
      <c r="A137" s="375"/>
      <c r="B137" s="375"/>
      <c r="C137" s="375"/>
      <c r="D137" s="376" t="s">
        <v>207</v>
      </c>
      <c r="E137" s="377" t="s">
        <v>759</v>
      </c>
      <c r="F137" s="377"/>
      <c r="G137" s="377"/>
      <c r="H137" s="378">
        <v>490495.18</v>
      </c>
      <c r="I137" s="375"/>
      <c r="J137" s="375"/>
      <c r="K137" s="375"/>
      <c r="L137" s="375"/>
    </row>
    <row r="138" spans="1:26" x14ac:dyDescent="0.2">
      <c r="A138" s="375"/>
      <c r="B138" s="375"/>
      <c r="C138" s="375"/>
      <c r="D138" s="379" t="s">
        <v>715</v>
      </c>
      <c r="E138" s="380"/>
      <c r="F138" s="380"/>
      <c r="G138" s="380"/>
      <c r="H138" s="381">
        <v>3053969.3</v>
      </c>
      <c r="I138" s="375"/>
      <c r="J138" s="375"/>
      <c r="K138" s="375"/>
      <c r="L138" s="375"/>
    </row>
    <row r="139" spans="1:26" s="625" customFormat="1" ht="30.6" x14ac:dyDescent="0.2">
      <c r="A139" s="621">
        <v>17</v>
      </c>
      <c r="B139" s="621">
        <v>17</v>
      </c>
      <c r="C139" s="621" t="s">
        <v>753</v>
      </c>
      <c r="D139" s="621" t="s">
        <v>754</v>
      </c>
      <c r="E139" s="622">
        <v>82.56</v>
      </c>
      <c r="F139" s="623">
        <v>3.28</v>
      </c>
      <c r="G139" s="623">
        <v>3.28</v>
      </c>
      <c r="H139" s="624">
        <v>3585.58</v>
      </c>
      <c r="I139" s="624" t="s">
        <v>281</v>
      </c>
      <c r="J139" s="624">
        <v>3585.58</v>
      </c>
      <c r="K139" s="623" t="s">
        <v>281</v>
      </c>
      <c r="L139" s="623" t="s">
        <v>281</v>
      </c>
      <c r="M139" s="633">
        <v>0</v>
      </c>
      <c r="N139" s="633" t="s">
        <v>2375</v>
      </c>
      <c r="O139" s="633" t="s">
        <v>2391</v>
      </c>
      <c r="T139" s="625">
        <v>3585.58</v>
      </c>
      <c r="V139" s="625" t="s">
        <v>281</v>
      </c>
      <c r="W139" s="625">
        <v>3585.58</v>
      </c>
      <c r="X139" s="625" t="s">
        <v>281</v>
      </c>
      <c r="Y139" s="625" t="s">
        <v>281</v>
      </c>
      <c r="Z139" s="625" t="s">
        <v>281</v>
      </c>
    </row>
    <row r="140" spans="1:26" x14ac:dyDescent="0.2">
      <c r="A140" s="370"/>
      <c r="B140" s="370"/>
      <c r="C140" s="370"/>
      <c r="D140" s="371" t="s">
        <v>743</v>
      </c>
      <c r="E140" s="372"/>
      <c r="F140" s="373" t="s">
        <v>281</v>
      </c>
      <c r="G140" s="373" t="s">
        <v>281</v>
      </c>
      <c r="H140" s="372"/>
      <c r="I140" s="372"/>
      <c r="J140" s="374" t="s">
        <v>281</v>
      </c>
      <c r="K140" s="373" t="s">
        <v>281</v>
      </c>
      <c r="L140" s="373" t="s">
        <v>281</v>
      </c>
    </row>
    <row r="141" spans="1:26" x14ac:dyDescent="0.2">
      <c r="A141" s="375"/>
      <c r="B141" s="375"/>
      <c r="C141" s="375"/>
      <c r="D141" s="356" t="s">
        <v>716</v>
      </c>
      <c r="E141" s="375"/>
      <c r="F141" s="375"/>
      <c r="G141" s="375"/>
      <c r="H141" s="375"/>
      <c r="I141" s="375"/>
      <c r="J141" s="375"/>
      <c r="K141" s="375"/>
      <c r="L141" s="375"/>
    </row>
    <row r="142" spans="1:26" x14ac:dyDescent="0.2">
      <c r="A142" s="375"/>
      <c r="B142" s="375"/>
      <c r="C142" s="375"/>
      <c r="D142" s="379" t="s">
        <v>715</v>
      </c>
      <c r="E142" s="380"/>
      <c r="F142" s="380"/>
      <c r="G142" s="380"/>
      <c r="H142" s="381">
        <v>3585.58</v>
      </c>
      <c r="I142" s="375"/>
      <c r="J142" s="375"/>
      <c r="K142" s="375"/>
      <c r="L142" s="375"/>
    </row>
    <row r="143" spans="1:26" s="625" customFormat="1" ht="30.6" x14ac:dyDescent="0.2">
      <c r="A143" s="621">
        <v>18</v>
      </c>
      <c r="B143" s="621">
        <v>18</v>
      </c>
      <c r="C143" s="621" t="s">
        <v>755</v>
      </c>
      <c r="D143" s="621" t="s">
        <v>720</v>
      </c>
      <c r="E143" s="622">
        <v>20.64</v>
      </c>
      <c r="F143" s="623">
        <v>49.427</v>
      </c>
      <c r="G143" s="623">
        <v>49.427</v>
      </c>
      <c r="H143" s="624">
        <v>13507.02</v>
      </c>
      <c r="I143" s="624" t="s">
        <v>281</v>
      </c>
      <c r="J143" s="624">
        <v>13507.02</v>
      </c>
      <c r="K143" s="623" t="s">
        <v>281</v>
      </c>
      <c r="L143" s="623" t="s">
        <v>281</v>
      </c>
      <c r="M143" s="633">
        <v>0</v>
      </c>
      <c r="N143" s="633" t="s">
        <v>2375</v>
      </c>
      <c r="O143" s="633" t="s">
        <v>2391</v>
      </c>
      <c r="T143" s="625">
        <v>13507.02</v>
      </c>
      <c r="V143" s="625" t="s">
        <v>281</v>
      </c>
      <c r="W143" s="625">
        <v>13507.02</v>
      </c>
      <c r="X143" s="625" t="s">
        <v>281</v>
      </c>
      <c r="Y143" s="625" t="s">
        <v>281</v>
      </c>
      <c r="Z143" s="625" t="s">
        <v>281</v>
      </c>
    </row>
    <row r="144" spans="1:26" x14ac:dyDescent="0.2">
      <c r="A144" s="370"/>
      <c r="B144" s="370"/>
      <c r="C144" s="370"/>
      <c r="D144" s="371" t="s">
        <v>743</v>
      </c>
      <c r="E144" s="372"/>
      <c r="F144" s="373" t="s">
        <v>281</v>
      </c>
      <c r="G144" s="373" t="s">
        <v>281</v>
      </c>
      <c r="H144" s="372"/>
      <c r="I144" s="372"/>
      <c r="J144" s="374" t="s">
        <v>281</v>
      </c>
      <c r="K144" s="373" t="s">
        <v>281</v>
      </c>
      <c r="L144" s="373" t="s">
        <v>281</v>
      </c>
    </row>
    <row r="145" spans="1:26" x14ac:dyDescent="0.2">
      <c r="A145" s="375"/>
      <c r="B145" s="375"/>
      <c r="C145" s="375"/>
      <c r="D145" s="356" t="s">
        <v>716</v>
      </c>
      <c r="E145" s="375"/>
      <c r="F145" s="375"/>
      <c r="G145" s="375"/>
      <c r="H145" s="375"/>
      <c r="I145" s="375"/>
      <c r="J145" s="375"/>
      <c r="K145" s="375"/>
      <c r="L145" s="375"/>
    </row>
    <row r="146" spans="1:26" ht="20.399999999999999" x14ac:dyDescent="0.2">
      <c r="A146" s="375"/>
      <c r="B146" s="375"/>
      <c r="C146" s="375"/>
      <c r="D146" s="356" t="s">
        <v>736</v>
      </c>
      <c r="E146" s="375"/>
      <c r="F146" s="375"/>
      <c r="G146" s="375"/>
      <c r="H146" s="375"/>
      <c r="I146" s="375"/>
      <c r="J146" s="375"/>
      <c r="K146" s="375"/>
      <c r="L146" s="375"/>
    </row>
    <row r="147" spans="1:26" ht="81.599999999999994" x14ac:dyDescent="0.2">
      <c r="A147" s="375"/>
      <c r="B147" s="375"/>
      <c r="C147" s="375"/>
      <c r="D147" s="356" t="s">
        <v>737</v>
      </c>
      <c r="E147" s="375"/>
      <c r="F147" s="375"/>
      <c r="G147" s="375"/>
      <c r="H147" s="375"/>
      <c r="I147" s="375"/>
      <c r="J147" s="375"/>
      <c r="K147" s="375"/>
      <c r="L147" s="375"/>
    </row>
    <row r="148" spans="1:26" x14ac:dyDescent="0.2">
      <c r="A148" s="375"/>
      <c r="B148" s="375"/>
      <c r="C148" s="375"/>
      <c r="D148" s="379" t="s">
        <v>715</v>
      </c>
      <c r="E148" s="380"/>
      <c r="F148" s="380"/>
      <c r="G148" s="380"/>
      <c r="H148" s="381">
        <v>13507.02</v>
      </c>
      <c r="I148" s="375"/>
      <c r="J148" s="375"/>
      <c r="K148" s="375"/>
      <c r="L148" s="375"/>
    </row>
    <row r="149" spans="1:26" s="625" customFormat="1" ht="30.6" x14ac:dyDescent="0.2">
      <c r="A149" s="621">
        <v>19</v>
      </c>
      <c r="B149" s="621">
        <v>19</v>
      </c>
      <c r="C149" s="621" t="s">
        <v>744</v>
      </c>
      <c r="D149" s="621" t="s">
        <v>1035</v>
      </c>
      <c r="E149" s="622">
        <v>41.28</v>
      </c>
      <c r="F149" s="623">
        <v>162.38</v>
      </c>
      <c r="G149" s="623" t="s">
        <v>281</v>
      </c>
      <c r="H149" s="624">
        <v>54696.83</v>
      </c>
      <c r="I149" s="624" t="s">
        <v>281</v>
      </c>
      <c r="J149" s="624" t="s">
        <v>281</v>
      </c>
      <c r="K149" s="623" t="s">
        <v>281</v>
      </c>
      <c r="L149" s="623" t="s">
        <v>281</v>
      </c>
      <c r="M149" s="633">
        <v>0</v>
      </c>
      <c r="N149" s="633" t="s">
        <v>2375</v>
      </c>
      <c r="O149" s="633" t="s">
        <v>2391</v>
      </c>
      <c r="T149" s="625">
        <v>54696.83</v>
      </c>
      <c r="V149" s="625" t="s">
        <v>281</v>
      </c>
      <c r="W149" s="625" t="s">
        <v>281</v>
      </c>
      <c r="X149" s="625" t="s">
        <v>281</v>
      </c>
      <c r="Y149" s="625" t="s">
        <v>281</v>
      </c>
      <c r="Z149" s="625" t="s">
        <v>281</v>
      </c>
    </row>
    <row r="150" spans="1:26" x14ac:dyDescent="0.2">
      <c r="A150" s="370"/>
      <c r="B150" s="370"/>
      <c r="C150" s="370"/>
      <c r="D150" s="371" t="s">
        <v>745</v>
      </c>
      <c r="E150" s="372"/>
      <c r="F150" s="373" t="s">
        <v>281</v>
      </c>
      <c r="G150" s="373" t="s">
        <v>281</v>
      </c>
      <c r="H150" s="372"/>
      <c r="I150" s="372"/>
      <c r="J150" s="374" t="s">
        <v>281</v>
      </c>
      <c r="K150" s="373" t="s">
        <v>281</v>
      </c>
      <c r="L150" s="373" t="s">
        <v>281</v>
      </c>
    </row>
    <row r="151" spans="1:26" x14ac:dyDescent="0.2">
      <c r="A151" s="375"/>
      <c r="B151" s="375"/>
      <c r="C151" s="375"/>
      <c r="D151" s="356" t="s">
        <v>718</v>
      </c>
      <c r="E151" s="375"/>
      <c r="F151" s="375"/>
      <c r="G151" s="375"/>
      <c r="H151" s="375"/>
      <c r="I151" s="375"/>
      <c r="J151" s="375"/>
      <c r="K151" s="375"/>
      <c r="L151" s="375"/>
    </row>
    <row r="152" spans="1:26" s="630" customFormat="1" ht="30.6" x14ac:dyDescent="0.2">
      <c r="A152" s="626">
        <v>20</v>
      </c>
      <c r="B152" s="626">
        <v>21</v>
      </c>
      <c r="C152" s="626" t="s">
        <v>761</v>
      </c>
      <c r="D152" s="626" t="s">
        <v>723</v>
      </c>
      <c r="E152" s="627">
        <v>82.533000000000001</v>
      </c>
      <c r="F152" s="628">
        <v>3165.8694999999998</v>
      </c>
      <c r="G152" s="628">
        <v>2843.72</v>
      </c>
      <c r="H152" s="629">
        <v>4297780.5199999996</v>
      </c>
      <c r="I152" s="629">
        <v>1190342.92</v>
      </c>
      <c r="J152" s="629">
        <v>3107437.6</v>
      </c>
      <c r="K152" s="628">
        <v>37.765999999999998</v>
      </c>
      <c r="L152" s="628">
        <v>3116.9412779999998</v>
      </c>
      <c r="M152" s="634">
        <v>8253.2999999999993</v>
      </c>
      <c r="N152" s="634" t="s">
        <v>1693</v>
      </c>
      <c r="O152" s="634" t="s">
        <v>1692</v>
      </c>
      <c r="T152" s="630">
        <v>8536941.6600000001</v>
      </c>
      <c r="V152" s="630">
        <v>1190342.92</v>
      </c>
      <c r="W152" s="630">
        <v>3107437.6</v>
      </c>
      <c r="X152" s="630">
        <v>1774105.43</v>
      </c>
      <c r="Y152" s="630">
        <v>3116.9412779999998</v>
      </c>
      <c r="Z152" s="630">
        <v>2993.554443</v>
      </c>
    </row>
    <row r="153" spans="1:26" x14ac:dyDescent="0.2">
      <c r="A153" s="370"/>
      <c r="B153" s="370"/>
      <c r="C153" s="370"/>
      <c r="D153" s="371" t="s">
        <v>757</v>
      </c>
      <c r="E153" s="372"/>
      <c r="F153" s="373">
        <v>322.14949999999999</v>
      </c>
      <c r="G153" s="373">
        <v>480.13650000000001</v>
      </c>
      <c r="H153" s="372"/>
      <c r="I153" s="372"/>
      <c r="J153" s="374">
        <v>1774105.43</v>
      </c>
      <c r="K153" s="373">
        <v>36.271000000000001</v>
      </c>
      <c r="L153" s="373">
        <v>2993.554443</v>
      </c>
    </row>
    <row r="154" spans="1:26" ht="20.399999999999999" x14ac:dyDescent="0.2">
      <c r="A154" s="375"/>
      <c r="B154" s="375"/>
      <c r="C154" s="375"/>
      <c r="D154" s="356" t="s">
        <v>714</v>
      </c>
      <c r="E154" s="375"/>
      <c r="F154" s="375"/>
      <c r="G154" s="375"/>
      <c r="H154" s="375"/>
      <c r="I154" s="375"/>
      <c r="J154" s="375"/>
      <c r="K154" s="375"/>
      <c r="L154" s="375"/>
    </row>
    <row r="155" spans="1:26" ht="20.399999999999999" x14ac:dyDescent="0.2">
      <c r="A155" s="375"/>
      <c r="B155" s="375"/>
      <c r="C155" s="375"/>
      <c r="D155" s="356" t="s">
        <v>736</v>
      </c>
      <c r="E155" s="375"/>
      <c r="F155" s="375"/>
      <c r="G155" s="375"/>
      <c r="H155" s="375"/>
      <c r="I155" s="375"/>
      <c r="J155" s="375"/>
      <c r="K155" s="375"/>
      <c r="L155" s="375"/>
    </row>
    <row r="156" spans="1:26" ht="81.599999999999994" x14ac:dyDescent="0.2">
      <c r="A156" s="375"/>
      <c r="B156" s="375"/>
      <c r="C156" s="375"/>
      <c r="D156" s="356" t="s">
        <v>737</v>
      </c>
      <c r="E156" s="375"/>
      <c r="F156" s="375"/>
      <c r="G156" s="375"/>
      <c r="H156" s="375"/>
      <c r="I156" s="375"/>
      <c r="J156" s="375"/>
      <c r="K156" s="375"/>
      <c r="L156" s="375"/>
    </row>
    <row r="157" spans="1:26" x14ac:dyDescent="0.2">
      <c r="A157" s="375"/>
      <c r="B157" s="375"/>
      <c r="C157" s="375"/>
      <c r="D157" s="376" t="s">
        <v>206</v>
      </c>
      <c r="E157" s="377" t="s">
        <v>758</v>
      </c>
      <c r="F157" s="377"/>
      <c r="G157" s="377"/>
      <c r="H157" s="378">
        <v>2697648</v>
      </c>
      <c r="I157" s="375"/>
      <c r="J157" s="375"/>
      <c r="K157" s="375"/>
      <c r="L157" s="375"/>
    </row>
    <row r="158" spans="1:26" x14ac:dyDescent="0.2">
      <c r="A158" s="375"/>
      <c r="B158" s="375"/>
      <c r="C158" s="375"/>
      <c r="D158" s="376" t="s">
        <v>207</v>
      </c>
      <c r="E158" s="377" t="s">
        <v>759</v>
      </c>
      <c r="F158" s="377"/>
      <c r="G158" s="377"/>
      <c r="H158" s="378">
        <v>1541513.14</v>
      </c>
      <c r="I158" s="375"/>
      <c r="J158" s="375"/>
      <c r="K158" s="375"/>
      <c r="L158" s="375"/>
    </row>
    <row r="159" spans="1:26" x14ac:dyDescent="0.2">
      <c r="A159" s="375"/>
      <c r="B159" s="375"/>
      <c r="C159" s="375"/>
      <c r="D159" s="379" t="s">
        <v>715</v>
      </c>
      <c r="E159" s="380"/>
      <c r="F159" s="380"/>
      <c r="G159" s="380"/>
      <c r="H159" s="381">
        <v>8536941.6600000001</v>
      </c>
      <c r="I159" s="375"/>
      <c r="J159" s="375"/>
      <c r="K159" s="375"/>
      <c r="L159" s="375"/>
    </row>
    <row r="160" spans="1:26" s="630" customFormat="1" ht="40.799999999999997" x14ac:dyDescent="0.2">
      <c r="A160" s="626">
        <v>21</v>
      </c>
      <c r="B160" s="626">
        <v>22</v>
      </c>
      <c r="C160" s="626" t="s">
        <v>760</v>
      </c>
      <c r="D160" s="626" t="s">
        <v>722</v>
      </c>
      <c r="E160" s="627">
        <v>53.72</v>
      </c>
      <c r="F160" s="628">
        <v>1912.9349999999999</v>
      </c>
      <c r="G160" s="628">
        <v>1380.0920000000001</v>
      </c>
      <c r="H160" s="629">
        <v>2218952.9500000002</v>
      </c>
      <c r="I160" s="629">
        <v>1227517.58</v>
      </c>
      <c r="J160" s="629">
        <v>981594.4</v>
      </c>
      <c r="K160" s="628">
        <v>59.834499999999998</v>
      </c>
      <c r="L160" s="628">
        <v>3214.3093399999998</v>
      </c>
      <c r="M160" s="634">
        <v>53.95</v>
      </c>
      <c r="N160" s="634" t="s">
        <v>1694</v>
      </c>
      <c r="O160" s="634" t="s">
        <v>1692</v>
      </c>
      <c r="T160" s="630">
        <v>3974303.09</v>
      </c>
      <c r="V160" s="630">
        <v>1227517.58</v>
      </c>
      <c r="W160" s="630">
        <v>981594.4</v>
      </c>
      <c r="X160" s="630" t="s">
        <v>281</v>
      </c>
      <c r="Y160" s="630">
        <v>3214.3093399999998</v>
      </c>
      <c r="Z160" s="630" t="s">
        <v>281</v>
      </c>
    </row>
    <row r="161" spans="1:26" x14ac:dyDescent="0.2">
      <c r="A161" s="370"/>
      <c r="B161" s="370"/>
      <c r="C161" s="370"/>
      <c r="D161" s="371" t="s">
        <v>745</v>
      </c>
      <c r="E161" s="372"/>
      <c r="F161" s="373">
        <v>510.39299999999997</v>
      </c>
      <c r="G161" s="373" t="s">
        <v>281</v>
      </c>
      <c r="H161" s="372"/>
      <c r="I161" s="372"/>
      <c r="J161" s="374" t="s">
        <v>281</v>
      </c>
      <c r="K161" s="373" t="s">
        <v>281</v>
      </c>
      <c r="L161" s="373" t="s">
        <v>281</v>
      </c>
    </row>
    <row r="162" spans="1:26" ht="20.399999999999999" x14ac:dyDescent="0.2">
      <c r="A162" s="375"/>
      <c r="B162" s="375"/>
      <c r="C162" s="375"/>
      <c r="D162" s="356" t="s">
        <v>714</v>
      </c>
      <c r="E162" s="375"/>
      <c r="F162" s="375"/>
      <c r="G162" s="375"/>
      <c r="H162" s="375"/>
      <c r="I162" s="375"/>
      <c r="J162" s="375"/>
      <c r="K162" s="375"/>
      <c r="L162" s="375"/>
    </row>
    <row r="163" spans="1:26" ht="20.399999999999999" x14ac:dyDescent="0.2">
      <c r="A163" s="375"/>
      <c r="B163" s="375"/>
      <c r="C163" s="375"/>
      <c r="D163" s="356" t="s">
        <v>736</v>
      </c>
      <c r="E163" s="375"/>
      <c r="F163" s="375"/>
      <c r="G163" s="375"/>
      <c r="H163" s="375"/>
      <c r="I163" s="375"/>
      <c r="J163" s="375"/>
      <c r="K163" s="375"/>
      <c r="L163" s="375"/>
    </row>
    <row r="164" spans="1:26" ht="81.599999999999994" x14ac:dyDescent="0.2">
      <c r="A164" s="375"/>
      <c r="B164" s="375"/>
      <c r="C164" s="375"/>
      <c r="D164" s="356" t="s">
        <v>737</v>
      </c>
      <c r="E164" s="375"/>
      <c r="F164" s="375"/>
      <c r="G164" s="375"/>
      <c r="H164" s="375"/>
      <c r="I164" s="375"/>
      <c r="J164" s="375"/>
      <c r="K164" s="375"/>
      <c r="L164" s="375"/>
    </row>
    <row r="165" spans="1:26" x14ac:dyDescent="0.2">
      <c r="A165" s="375"/>
      <c r="B165" s="375"/>
      <c r="C165" s="375"/>
      <c r="D165" s="376" t="s">
        <v>206</v>
      </c>
      <c r="E165" s="377" t="s">
        <v>758</v>
      </c>
      <c r="F165" s="377"/>
      <c r="G165" s="377"/>
      <c r="H165" s="378">
        <v>1117041</v>
      </c>
      <c r="I165" s="375"/>
      <c r="J165" s="375"/>
      <c r="K165" s="375"/>
      <c r="L165" s="375"/>
    </row>
    <row r="166" spans="1:26" x14ac:dyDescent="0.2">
      <c r="A166" s="375"/>
      <c r="B166" s="375"/>
      <c r="C166" s="375"/>
      <c r="D166" s="376" t="s">
        <v>207</v>
      </c>
      <c r="E166" s="377" t="s">
        <v>759</v>
      </c>
      <c r="F166" s="377"/>
      <c r="G166" s="377"/>
      <c r="H166" s="378">
        <v>638309.14</v>
      </c>
      <c r="I166" s="375"/>
      <c r="J166" s="375"/>
      <c r="K166" s="375"/>
      <c r="L166" s="375"/>
    </row>
    <row r="167" spans="1:26" x14ac:dyDescent="0.2">
      <c r="A167" s="375"/>
      <c r="B167" s="375"/>
      <c r="C167" s="375"/>
      <c r="D167" s="379" t="s">
        <v>715</v>
      </c>
      <c r="E167" s="380"/>
      <c r="F167" s="380"/>
      <c r="G167" s="380"/>
      <c r="H167" s="381">
        <v>3974303.09</v>
      </c>
      <c r="I167" s="375"/>
      <c r="J167" s="375"/>
      <c r="K167" s="375"/>
      <c r="L167" s="375"/>
    </row>
    <row r="168" spans="1:26" s="630" customFormat="1" ht="30.6" x14ac:dyDescent="0.2">
      <c r="A168" s="626">
        <v>22</v>
      </c>
      <c r="B168" s="626">
        <v>23</v>
      </c>
      <c r="C168" s="626" t="s">
        <v>753</v>
      </c>
      <c r="D168" s="626" t="s">
        <v>754</v>
      </c>
      <c r="E168" s="627">
        <v>3144.7</v>
      </c>
      <c r="F168" s="628">
        <v>3.28</v>
      </c>
      <c r="G168" s="628">
        <v>3.28</v>
      </c>
      <c r="H168" s="629">
        <v>136574.32</v>
      </c>
      <c r="I168" s="629" t="s">
        <v>281</v>
      </c>
      <c r="J168" s="629">
        <v>136574.32</v>
      </c>
      <c r="K168" s="628" t="s">
        <v>281</v>
      </c>
      <c r="L168" s="628" t="s">
        <v>281</v>
      </c>
      <c r="M168" s="634">
        <f>(M152*0.46+M160*2.5)*0.8</f>
        <v>3145.1143999999999</v>
      </c>
      <c r="N168" s="634" t="s">
        <v>2394</v>
      </c>
      <c r="O168" s="634" t="s">
        <v>1692</v>
      </c>
      <c r="T168" s="630">
        <v>136574.32</v>
      </c>
      <c r="V168" s="630" t="s">
        <v>281</v>
      </c>
      <c r="W168" s="630">
        <v>136574.32</v>
      </c>
      <c r="X168" s="630" t="s">
        <v>281</v>
      </c>
      <c r="Y168" s="630" t="s">
        <v>281</v>
      </c>
      <c r="Z168" s="630" t="s">
        <v>281</v>
      </c>
    </row>
    <row r="169" spans="1:26" x14ac:dyDescent="0.2">
      <c r="A169" s="370"/>
      <c r="B169" s="370"/>
      <c r="C169" s="370"/>
      <c r="D169" s="371" t="s">
        <v>743</v>
      </c>
      <c r="E169" s="372"/>
      <c r="F169" s="373" t="s">
        <v>281</v>
      </c>
      <c r="G169" s="373" t="s">
        <v>281</v>
      </c>
      <c r="H169" s="372"/>
      <c r="I169" s="372"/>
      <c r="J169" s="374" t="s">
        <v>281</v>
      </c>
      <c r="K169" s="373" t="s">
        <v>281</v>
      </c>
      <c r="L169" s="373" t="s">
        <v>281</v>
      </c>
    </row>
    <row r="170" spans="1:26" ht="20.399999999999999" x14ac:dyDescent="0.2">
      <c r="A170" s="375"/>
      <c r="B170" s="375"/>
      <c r="C170" s="375"/>
      <c r="D170" s="356" t="s">
        <v>714</v>
      </c>
      <c r="E170" s="375"/>
      <c r="F170" s="375"/>
      <c r="G170" s="375"/>
      <c r="H170" s="375"/>
      <c r="I170" s="375"/>
      <c r="J170" s="375"/>
      <c r="K170" s="375"/>
      <c r="L170" s="375"/>
    </row>
    <row r="171" spans="1:26" x14ac:dyDescent="0.2">
      <c r="A171" s="375"/>
      <c r="B171" s="375"/>
      <c r="C171" s="375"/>
      <c r="D171" s="379" t="s">
        <v>715</v>
      </c>
      <c r="E171" s="380"/>
      <c r="F171" s="380"/>
      <c r="G171" s="380"/>
      <c r="H171" s="381">
        <v>136574.32</v>
      </c>
      <c r="I171" s="375"/>
      <c r="J171" s="375"/>
      <c r="K171" s="375"/>
      <c r="L171" s="375"/>
    </row>
    <row r="172" spans="1:26" s="630" customFormat="1" ht="30.6" x14ac:dyDescent="0.2">
      <c r="A172" s="626">
        <v>23</v>
      </c>
      <c r="B172" s="626">
        <v>24</v>
      </c>
      <c r="C172" s="626" t="s">
        <v>755</v>
      </c>
      <c r="D172" s="626" t="s">
        <v>720</v>
      </c>
      <c r="E172" s="627">
        <v>786.16</v>
      </c>
      <c r="F172" s="628">
        <v>49.427</v>
      </c>
      <c r="G172" s="628">
        <v>49.427</v>
      </c>
      <c r="H172" s="629">
        <v>514470.97</v>
      </c>
      <c r="I172" s="629" t="s">
        <v>281</v>
      </c>
      <c r="J172" s="629">
        <v>514470.97</v>
      </c>
      <c r="K172" s="628" t="s">
        <v>281</v>
      </c>
      <c r="L172" s="628" t="s">
        <v>281</v>
      </c>
      <c r="M172" s="634">
        <f>(M152*0.46+M160*2.5)*0.2</f>
        <v>786.27859999999998</v>
      </c>
      <c r="N172" s="634" t="s">
        <v>2395</v>
      </c>
      <c r="O172" s="634" t="s">
        <v>1692</v>
      </c>
      <c r="T172" s="630">
        <v>514470.97</v>
      </c>
      <c r="V172" s="630" t="s">
        <v>281</v>
      </c>
      <c r="W172" s="630">
        <v>514470.97</v>
      </c>
      <c r="X172" s="630" t="s">
        <v>281</v>
      </c>
      <c r="Y172" s="630" t="s">
        <v>281</v>
      </c>
      <c r="Z172" s="630" t="s">
        <v>281</v>
      </c>
    </row>
    <row r="173" spans="1:26" x14ac:dyDescent="0.2">
      <c r="A173" s="370"/>
      <c r="B173" s="370"/>
      <c r="C173" s="370"/>
      <c r="D173" s="371" t="s">
        <v>743</v>
      </c>
      <c r="E173" s="372"/>
      <c r="F173" s="373" t="s">
        <v>281</v>
      </c>
      <c r="G173" s="373" t="s">
        <v>281</v>
      </c>
      <c r="H173" s="372"/>
      <c r="I173" s="372"/>
      <c r="J173" s="374" t="s">
        <v>281</v>
      </c>
      <c r="K173" s="373" t="s">
        <v>281</v>
      </c>
      <c r="L173" s="373" t="s">
        <v>281</v>
      </c>
    </row>
    <row r="174" spans="1:26" ht="20.399999999999999" x14ac:dyDescent="0.2">
      <c r="A174" s="375"/>
      <c r="B174" s="375"/>
      <c r="C174" s="375"/>
      <c r="D174" s="356" t="s">
        <v>714</v>
      </c>
      <c r="E174" s="375"/>
      <c r="F174" s="375"/>
      <c r="G174" s="375"/>
      <c r="H174" s="375"/>
      <c r="I174" s="375"/>
      <c r="J174" s="375"/>
      <c r="K174" s="375"/>
      <c r="L174" s="375"/>
    </row>
    <row r="175" spans="1:26" ht="20.399999999999999" x14ac:dyDescent="0.2">
      <c r="A175" s="375"/>
      <c r="B175" s="375"/>
      <c r="C175" s="375"/>
      <c r="D175" s="356" t="s">
        <v>736</v>
      </c>
      <c r="E175" s="375"/>
      <c r="F175" s="375"/>
      <c r="G175" s="375"/>
      <c r="H175" s="375"/>
      <c r="I175" s="375"/>
      <c r="J175" s="375"/>
      <c r="K175" s="375"/>
      <c r="L175" s="375"/>
    </row>
    <row r="176" spans="1:26" ht="81.599999999999994" x14ac:dyDescent="0.2">
      <c r="A176" s="375"/>
      <c r="B176" s="375"/>
      <c r="C176" s="375"/>
      <c r="D176" s="356" t="s">
        <v>737</v>
      </c>
      <c r="E176" s="375"/>
      <c r="F176" s="375"/>
      <c r="G176" s="375"/>
      <c r="H176" s="375"/>
      <c r="I176" s="375"/>
      <c r="J176" s="375"/>
      <c r="K176" s="375"/>
      <c r="L176" s="375"/>
    </row>
    <row r="177" spans="1:26" x14ac:dyDescent="0.2">
      <c r="A177" s="375"/>
      <c r="B177" s="375"/>
      <c r="C177" s="375"/>
      <c r="D177" s="379" t="s">
        <v>715</v>
      </c>
      <c r="E177" s="380"/>
      <c r="F177" s="380"/>
      <c r="G177" s="380"/>
      <c r="H177" s="381">
        <v>514470.97</v>
      </c>
      <c r="I177" s="375"/>
      <c r="J177" s="375"/>
      <c r="K177" s="375"/>
      <c r="L177" s="375"/>
    </row>
    <row r="178" spans="1:26" s="630" customFormat="1" ht="30.6" x14ac:dyDescent="0.2">
      <c r="A178" s="898">
        <v>24</v>
      </c>
      <c r="B178" s="898">
        <v>25</v>
      </c>
      <c r="C178" s="898" t="s">
        <v>744</v>
      </c>
      <c r="D178" s="898" t="s">
        <v>2392</v>
      </c>
      <c r="E178" s="899">
        <v>1876.05</v>
      </c>
      <c r="F178" s="900">
        <v>162.38</v>
      </c>
      <c r="G178" s="900" t="s">
        <v>281</v>
      </c>
      <c r="H178" s="901">
        <v>2485803.77</v>
      </c>
      <c r="I178" s="901" t="s">
        <v>281</v>
      </c>
      <c r="J178" s="901" t="s">
        <v>281</v>
      </c>
      <c r="K178" s="900" t="s">
        <v>281</v>
      </c>
      <c r="L178" s="900" t="s">
        <v>281</v>
      </c>
      <c r="M178" s="634">
        <v>1785</v>
      </c>
      <c r="N178" s="634" t="s">
        <v>2393</v>
      </c>
      <c r="O178" s="634" t="s">
        <v>1692</v>
      </c>
      <c r="T178" s="630">
        <v>2485803.77</v>
      </c>
      <c r="V178" s="630" t="s">
        <v>281</v>
      </c>
      <c r="W178" s="630" t="s">
        <v>281</v>
      </c>
      <c r="X178" s="630" t="s">
        <v>281</v>
      </c>
      <c r="Y178" s="630" t="s">
        <v>281</v>
      </c>
      <c r="Z178" s="630" t="s">
        <v>281</v>
      </c>
    </row>
    <row r="179" spans="1:26" x14ac:dyDescent="0.2">
      <c r="A179" s="370"/>
      <c r="B179" s="370"/>
      <c r="C179" s="370"/>
      <c r="D179" s="371" t="s">
        <v>745</v>
      </c>
      <c r="E179" s="372"/>
      <c r="F179" s="373" t="s">
        <v>281</v>
      </c>
      <c r="G179" s="373" t="s">
        <v>281</v>
      </c>
      <c r="H179" s="372"/>
      <c r="I179" s="372"/>
      <c r="J179" s="374" t="s">
        <v>281</v>
      </c>
      <c r="K179" s="373" t="s">
        <v>281</v>
      </c>
      <c r="L179" s="373" t="s">
        <v>281</v>
      </c>
    </row>
    <row r="180" spans="1:26" x14ac:dyDescent="0.2">
      <c r="A180" s="375"/>
      <c r="B180" s="375"/>
      <c r="C180" s="375"/>
      <c r="D180" s="356" t="s">
        <v>718</v>
      </c>
      <c r="E180" s="375"/>
      <c r="F180" s="375"/>
      <c r="G180" s="375"/>
      <c r="H180" s="375"/>
      <c r="I180" s="375"/>
      <c r="J180" s="375"/>
      <c r="K180" s="375"/>
      <c r="L180" s="375"/>
    </row>
    <row r="181" spans="1:26" s="630" customFormat="1" ht="30.6" x14ac:dyDescent="0.2">
      <c r="A181" s="626">
        <v>25</v>
      </c>
      <c r="B181" s="626">
        <v>26</v>
      </c>
      <c r="C181" s="626" t="s">
        <v>761</v>
      </c>
      <c r="D181" s="626" t="s">
        <v>723</v>
      </c>
      <c r="E181" s="627">
        <v>41.709000000000003</v>
      </c>
      <c r="F181" s="628">
        <v>3165.8694999999998</v>
      </c>
      <c r="G181" s="628">
        <v>2843.72</v>
      </c>
      <c r="H181" s="629">
        <v>2171932.77</v>
      </c>
      <c r="I181" s="629">
        <v>601553.47</v>
      </c>
      <c r="J181" s="629">
        <v>1570379.3</v>
      </c>
      <c r="K181" s="628">
        <v>37.765999999999998</v>
      </c>
      <c r="L181" s="628">
        <v>1575.182094</v>
      </c>
      <c r="M181" s="634">
        <v>41.709000000000003</v>
      </c>
      <c r="N181" s="634" t="s">
        <v>1697</v>
      </c>
      <c r="O181" s="634" t="s">
        <v>1698</v>
      </c>
      <c r="T181" s="630">
        <v>4314241.57</v>
      </c>
      <c r="V181" s="630">
        <v>601553.47</v>
      </c>
      <c r="W181" s="630">
        <v>1570379.3</v>
      </c>
      <c r="X181" s="630">
        <v>896564.57</v>
      </c>
      <c r="Y181" s="630">
        <v>1575.182094</v>
      </c>
      <c r="Z181" s="630">
        <v>1512.827139</v>
      </c>
    </row>
    <row r="182" spans="1:26" x14ac:dyDescent="0.2">
      <c r="A182" s="370"/>
      <c r="B182" s="370"/>
      <c r="C182" s="370"/>
      <c r="D182" s="371" t="s">
        <v>757</v>
      </c>
      <c r="E182" s="372"/>
      <c r="F182" s="373">
        <v>322.14949999999999</v>
      </c>
      <c r="G182" s="373">
        <v>480.13650000000001</v>
      </c>
      <c r="H182" s="372"/>
      <c r="I182" s="372"/>
      <c r="J182" s="374">
        <v>896564.57</v>
      </c>
      <c r="K182" s="373">
        <v>36.271000000000001</v>
      </c>
      <c r="L182" s="373">
        <v>1512.827139</v>
      </c>
    </row>
    <row r="183" spans="1:26" ht="20.399999999999999" x14ac:dyDescent="0.2">
      <c r="A183" s="375"/>
      <c r="B183" s="375"/>
      <c r="C183" s="375"/>
      <c r="D183" s="356" t="s">
        <v>714</v>
      </c>
      <c r="E183" s="375"/>
      <c r="F183" s="375"/>
      <c r="G183" s="375"/>
      <c r="H183" s="375"/>
      <c r="I183" s="375"/>
      <c r="J183" s="375"/>
      <c r="K183" s="375"/>
      <c r="L183" s="375"/>
    </row>
    <row r="184" spans="1:26" ht="20.399999999999999" x14ac:dyDescent="0.2">
      <c r="A184" s="375"/>
      <c r="B184" s="375"/>
      <c r="C184" s="375"/>
      <c r="D184" s="356" t="s">
        <v>736</v>
      </c>
      <c r="E184" s="375"/>
      <c r="F184" s="375"/>
      <c r="G184" s="375"/>
      <c r="H184" s="375"/>
      <c r="I184" s="375"/>
      <c r="J184" s="375"/>
      <c r="K184" s="375"/>
      <c r="L184" s="375"/>
    </row>
    <row r="185" spans="1:26" ht="81.599999999999994" x14ac:dyDescent="0.2">
      <c r="A185" s="375"/>
      <c r="B185" s="375"/>
      <c r="C185" s="375"/>
      <c r="D185" s="356" t="s">
        <v>737</v>
      </c>
      <c r="E185" s="375"/>
      <c r="F185" s="375"/>
      <c r="G185" s="375"/>
      <c r="H185" s="375"/>
      <c r="I185" s="375"/>
      <c r="J185" s="375"/>
      <c r="K185" s="375"/>
      <c r="L185" s="375"/>
    </row>
    <row r="186" spans="1:26" x14ac:dyDescent="0.2">
      <c r="A186" s="375"/>
      <c r="B186" s="375"/>
      <c r="C186" s="375"/>
      <c r="D186" s="376" t="s">
        <v>206</v>
      </c>
      <c r="E186" s="377" t="s">
        <v>758</v>
      </c>
      <c r="F186" s="377"/>
      <c r="G186" s="377"/>
      <c r="H186" s="378">
        <v>1363287.42</v>
      </c>
      <c r="I186" s="375"/>
      <c r="J186" s="375"/>
      <c r="K186" s="375"/>
      <c r="L186" s="375"/>
    </row>
    <row r="187" spans="1:26" x14ac:dyDescent="0.2">
      <c r="A187" s="375"/>
      <c r="B187" s="375"/>
      <c r="C187" s="375"/>
      <c r="D187" s="376" t="s">
        <v>207</v>
      </c>
      <c r="E187" s="377" t="s">
        <v>759</v>
      </c>
      <c r="F187" s="377"/>
      <c r="G187" s="377"/>
      <c r="H187" s="378">
        <v>779021.38</v>
      </c>
      <c r="I187" s="375"/>
      <c r="J187" s="375"/>
      <c r="K187" s="375"/>
      <c r="L187" s="375"/>
    </row>
    <row r="188" spans="1:26" x14ac:dyDescent="0.2">
      <c r="A188" s="375"/>
      <c r="B188" s="375"/>
      <c r="C188" s="375"/>
      <c r="D188" s="379" t="s">
        <v>715</v>
      </c>
      <c r="E188" s="380"/>
      <c r="F188" s="380"/>
      <c r="G188" s="380"/>
      <c r="H188" s="381">
        <v>4314241.57</v>
      </c>
      <c r="I188" s="375"/>
      <c r="J188" s="375"/>
      <c r="K188" s="375"/>
      <c r="L188" s="375"/>
    </row>
    <row r="189" spans="1:26" s="630" customFormat="1" ht="40.799999999999997" x14ac:dyDescent="0.2">
      <c r="A189" s="626">
        <v>26</v>
      </c>
      <c r="B189" s="626">
        <v>27</v>
      </c>
      <c r="C189" s="626" t="s">
        <v>760</v>
      </c>
      <c r="D189" s="626" t="s">
        <v>722</v>
      </c>
      <c r="E189" s="627">
        <v>69.760000000000005</v>
      </c>
      <c r="F189" s="628">
        <v>1912.9349999999999</v>
      </c>
      <c r="G189" s="628">
        <v>1380.0920000000001</v>
      </c>
      <c r="H189" s="629">
        <v>2881499.58</v>
      </c>
      <c r="I189" s="629">
        <v>1594036.23</v>
      </c>
      <c r="J189" s="629">
        <v>1274684.02</v>
      </c>
      <c r="K189" s="628">
        <v>59.834499999999998</v>
      </c>
      <c r="L189" s="628">
        <v>4174.0547200000001</v>
      </c>
      <c r="M189" s="634">
        <v>69.760000000000005</v>
      </c>
      <c r="N189" s="634" t="s">
        <v>1699</v>
      </c>
      <c r="O189" s="634" t="s">
        <v>1698</v>
      </c>
      <c r="T189" s="630">
        <v>5160971.3899999997</v>
      </c>
      <c r="V189" s="630">
        <v>1594036.23</v>
      </c>
      <c r="W189" s="630">
        <v>1274684.02</v>
      </c>
      <c r="X189" s="630" t="s">
        <v>281</v>
      </c>
      <c r="Y189" s="630">
        <v>4174.0547200000001</v>
      </c>
      <c r="Z189" s="630" t="s">
        <v>281</v>
      </c>
    </row>
    <row r="190" spans="1:26" x14ac:dyDescent="0.2">
      <c r="A190" s="370"/>
      <c r="B190" s="370"/>
      <c r="C190" s="370"/>
      <c r="D190" s="371" t="s">
        <v>745</v>
      </c>
      <c r="E190" s="372"/>
      <c r="F190" s="373">
        <v>510.39299999999997</v>
      </c>
      <c r="G190" s="373" t="s">
        <v>281</v>
      </c>
      <c r="H190" s="372"/>
      <c r="I190" s="372"/>
      <c r="J190" s="374" t="s">
        <v>281</v>
      </c>
      <c r="K190" s="373" t="s">
        <v>281</v>
      </c>
      <c r="L190" s="373" t="s">
        <v>281</v>
      </c>
    </row>
    <row r="191" spans="1:26" ht="20.399999999999999" x14ac:dyDescent="0.2">
      <c r="A191" s="375"/>
      <c r="B191" s="375"/>
      <c r="C191" s="375"/>
      <c r="D191" s="356" t="s">
        <v>714</v>
      </c>
      <c r="E191" s="375"/>
      <c r="F191" s="375"/>
      <c r="G191" s="375"/>
      <c r="H191" s="375"/>
      <c r="I191" s="375"/>
      <c r="J191" s="375"/>
      <c r="K191" s="375"/>
      <c r="L191" s="375"/>
    </row>
    <row r="192" spans="1:26" ht="20.399999999999999" x14ac:dyDescent="0.2">
      <c r="A192" s="375"/>
      <c r="B192" s="375"/>
      <c r="C192" s="375"/>
      <c r="D192" s="356" t="s">
        <v>736</v>
      </c>
      <c r="E192" s="375"/>
      <c r="F192" s="375"/>
      <c r="G192" s="375"/>
      <c r="H192" s="375"/>
      <c r="I192" s="375"/>
      <c r="J192" s="375"/>
      <c r="K192" s="375"/>
      <c r="L192" s="375"/>
    </row>
    <row r="193" spans="1:26" ht="81.599999999999994" x14ac:dyDescent="0.2">
      <c r="A193" s="375"/>
      <c r="B193" s="375"/>
      <c r="C193" s="375"/>
      <c r="D193" s="356" t="s">
        <v>737</v>
      </c>
      <c r="E193" s="375"/>
      <c r="F193" s="375"/>
      <c r="G193" s="375"/>
      <c r="H193" s="375"/>
      <c r="I193" s="375"/>
      <c r="J193" s="375"/>
      <c r="K193" s="375"/>
      <c r="L193" s="375"/>
    </row>
    <row r="194" spans="1:26" x14ac:dyDescent="0.2">
      <c r="A194" s="375"/>
      <c r="B194" s="375"/>
      <c r="C194" s="375"/>
      <c r="D194" s="376" t="s">
        <v>206</v>
      </c>
      <c r="E194" s="377" t="s">
        <v>758</v>
      </c>
      <c r="F194" s="377"/>
      <c r="G194" s="377"/>
      <c r="H194" s="378">
        <v>1450572.97</v>
      </c>
      <c r="I194" s="375"/>
      <c r="J194" s="375"/>
      <c r="K194" s="375"/>
      <c r="L194" s="375"/>
    </row>
    <row r="195" spans="1:26" x14ac:dyDescent="0.2">
      <c r="A195" s="375"/>
      <c r="B195" s="375"/>
      <c r="C195" s="375"/>
      <c r="D195" s="376" t="s">
        <v>207</v>
      </c>
      <c r="E195" s="377" t="s">
        <v>759</v>
      </c>
      <c r="F195" s="377"/>
      <c r="G195" s="377"/>
      <c r="H195" s="378">
        <v>828898.84</v>
      </c>
      <c r="I195" s="375"/>
      <c r="J195" s="375"/>
      <c r="K195" s="375"/>
      <c r="L195" s="375"/>
    </row>
    <row r="196" spans="1:26" x14ac:dyDescent="0.2">
      <c r="A196" s="375"/>
      <c r="B196" s="375"/>
      <c r="C196" s="375"/>
      <c r="D196" s="379" t="s">
        <v>715</v>
      </c>
      <c r="E196" s="380"/>
      <c r="F196" s="380"/>
      <c r="G196" s="380"/>
      <c r="H196" s="381">
        <v>5160971.3899999997</v>
      </c>
      <c r="I196" s="375"/>
      <c r="J196" s="375"/>
      <c r="K196" s="375"/>
      <c r="L196" s="375"/>
    </row>
    <row r="197" spans="1:26" s="630" customFormat="1" ht="40.799999999999997" x14ac:dyDescent="0.2">
      <c r="A197" s="626">
        <v>27</v>
      </c>
      <c r="B197" s="626">
        <v>28</v>
      </c>
      <c r="C197" s="626" t="s">
        <v>762</v>
      </c>
      <c r="D197" s="626" t="s">
        <v>724</v>
      </c>
      <c r="E197" s="627">
        <v>0.72799999999999998</v>
      </c>
      <c r="F197" s="628">
        <v>551.22950000000003</v>
      </c>
      <c r="G197" s="628">
        <v>551.22950000000003</v>
      </c>
      <c r="H197" s="629">
        <v>5313.15</v>
      </c>
      <c r="I197" s="629" t="s">
        <v>281</v>
      </c>
      <c r="J197" s="629">
        <v>5313.15</v>
      </c>
      <c r="K197" s="628" t="s">
        <v>281</v>
      </c>
      <c r="L197" s="628" t="s">
        <v>281</v>
      </c>
      <c r="M197" s="634">
        <v>728.12</v>
      </c>
      <c r="N197" s="634" t="s">
        <v>1700</v>
      </c>
      <c r="O197" s="634" t="s">
        <v>1698</v>
      </c>
      <c r="T197" s="630">
        <v>10149.370000000001</v>
      </c>
      <c r="V197" s="630" t="s">
        <v>281</v>
      </c>
      <c r="W197" s="630">
        <v>5313.15</v>
      </c>
      <c r="X197" s="630">
        <v>3504.51</v>
      </c>
      <c r="Y197" s="630" t="s">
        <v>281</v>
      </c>
      <c r="Z197" s="630">
        <v>6.7478319999999998</v>
      </c>
    </row>
    <row r="198" spans="1:26" x14ac:dyDescent="0.2">
      <c r="A198" s="370"/>
      <c r="B198" s="370"/>
      <c r="C198" s="370"/>
      <c r="D198" s="371" t="s">
        <v>763</v>
      </c>
      <c r="E198" s="372"/>
      <c r="F198" s="373" t="s">
        <v>281</v>
      </c>
      <c r="G198" s="373">
        <v>107.52500000000001</v>
      </c>
      <c r="H198" s="372"/>
      <c r="I198" s="372"/>
      <c r="J198" s="374">
        <v>3504.51</v>
      </c>
      <c r="K198" s="373">
        <v>9.2690000000000001</v>
      </c>
      <c r="L198" s="373">
        <v>6.7478319999999998</v>
      </c>
    </row>
    <row r="199" spans="1:26" ht="20.399999999999999" x14ac:dyDescent="0.2">
      <c r="A199" s="375"/>
      <c r="B199" s="375"/>
      <c r="C199" s="375"/>
      <c r="D199" s="356" t="s">
        <v>714</v>
      </c>
      <c r="E199" s="375"/>
      <c r="F199" s="375"/>
      <c r="G199" s="375"/>
      <c r="H199" s="375"/>
      <c r="I199" s="375"/>
      <c r="J199" s="375"/>
      <c r="K199" s="375"/>
      <c r="L199" s="375"/>
    </row>
    <row r="200" spans="1:26" ht="20.399999999999999" x14ac:dyDescent="0.2">
      <c r="A200" s="375"/>
      <c r="B200" s="375"/>
      <c r="C200" s="375"/>
      <c r="D200" s="356" t="s">
        <v>736</v>
      </c>
      <c r="E200" s="375"/>
      <c r="F200" s="375"/>
      <c r="G200" s="375"/>
      <c r="H200" s="375"/>
      <c r="I200" s="375"/>
      <c r="J200" s="375"/>
      <c r="K200" s="375"/>
      <c r="L200" s="375"/>
    </row>
    <row r="201" spans="1:26" ht="81.599999999999994" x14ac:dyDescent="0.2">
      <c r="A201" s="375"/>
      <c r="B201" s="375"/>
      <c r="C201" s="375"/>
      <c r="D201" s="356" t="s">
        <v>737</v>
      </c>
      <c r="E201" s="375"/>
      <c r="F201" s="375"/>
      <c r="G201" s="375"/>
      <c r="H201" s="375"/>
      <c r="I201" s="375"/>
      <c r="J201" s="375"/>
      <c r="K201" s="375"/>
      <c r="L201" s="375"/>
    </row>
    <row r="202" spans="1:26" x14ac:dyDescent="0.2">
      <c r="A202" s="375"/>
      <c r="B202" s="375"/>
      <c r="C202" s="375"/>
      <c r="D202" s="376" t="s">
        <v>206</v>
      </c>
      <c r="E202" s="377" t="s">
        <v>764</v>
      </c>
      <c r="F202" s="377"/>
      <c r="G202" s="377"/>
      <c r="H202" s="378">
        <v>3224.15</v>
      </c>
      <c r="I202" s="375"/>
      <c r="J202" s="375"/>
      <c r="K202" s="375"/>
      <c r="L202" s="375"/>
    </row>
    <row r="203" spans="1:26" x14ac:dyDescent="0.2">
      <c r="A203" s="375"/>
      <c r="B203" s="375"/>
      <c r="C203" s="375"/>
      <c r="D203" s="376" t="s">
        <v>207</v>
      </c>
      <c r="E203" s="377" t="s">
        <v>765</v>
      </c>
      <c r="F203" s="377"/>
      <c r="G203" s="377"/>
      <c r="H203" s="378">
        <v>1612.07</v>
      </c>
      <c r="I203" s="375"/>
      <c r="J203" s="375"/>
      <c r="K203" s="375"/>
      <c r="L203" s="375"/>
    </row>
    <row r="204" spans="1:26" x14ac:dyDescent="0.2">
      <c r="A204" s="375"/>
      <c r="B204" s="375"/>
      <c r="C204" s="375"/>
      <c r="D204" s="379" t="s">
        <v>715</v>
      </c>
      <c r="E204" s="380"/>
      <c r="F204" s="380"/>
      <c r="G204" s="380"/>
      <c r="H204" s="381">
        <v>10149.370000000001</v>
      </c>
      <c r="I204" s="375"/>
      <c r="J204" s="375"/>
      <c r="K204" s="375"/>
      <c r="L204" s="375"/>
    </row>
    <row r="205" spans="1:26" s="625" customFormat="1" ht="30.6" x14ac:dyDescent="0.2">
      <c r="A205" s="621">
        <v>28</v>
      </c>
      <c r="B205" s="621">
        <v>29</v>
      </c>
      <c r="C205" s="621" t="s">
        <v>766</v>
      </c>
      <c r="D205" s="621" t="s">
        <v>1511</v>
      </c>
      <c r="E205" s="622">
        <v>821</v>
      </c>
      <c r="F205" s="623">
        <v>72.762799999999999</v>
      </c>
      <c r="G205" s="623" t="s">
        <v>281</v>
      </c>
      <c r="H205" s="624">
        <v>487460.54</v>
      </c>
      <c r="I205" s="624" t="s">
        <v>281</v>
      </c>
      <c r="J205" s="624" t="s">
        <v>281</v>
      </c>
      <c r="K205" s="623" t="s">
        <v>281</v>
      </c>
      <c r="L205" s="623" t="s">
        <v>281</v>
      </c>
      <c r="M205" s="633">
        <v>0</v>
      </c>
      <c r="N205" s="633" t="s">
        <v>2375</v>
      </c>
      <c r="O205" s="633" t="s">
        <v>1698</v>
      </c>
      <c r="T205" s="625">
        <v>487460.54</v>
      </c>
      <c r="V205" s="625" t="s">
        <v>281</v>
      </c>
      <c r="W205" s="625" t="s">
        <v>281</v>
      </c>
      <c r="X205" s="625" t="s">
        <v>281</v>
      </c>
      <c r="Y205" s="625" t="s">
        <v>281</v>
      </c>
      <c r="Z205" s="625" t="s">
        <v>281</v>
      </c>
    </row>
    <row r="206" spans="1:26" x14ac:dyDescent="0.2">
      <c r="A206" s="370"/>
      <c r="B206" s="370"/>
      <c r="C206" s="370"/>
      <c r="D206" s="371" t="s">
        <v>745</v>
      </c>
      <c r="E206" s="372"/>
      <c r="F206" s="373" t="s">
        <v>281</v>
      </c>
      <c r="G206" s="373" t="s">
        <v>281</v>
      </c>
      <c r="H206" s="372"/>
      <c r="I206" s="372"/>
      <c r="J206" s="374" t="s">
        <v>281</v>
      </c>
      <c r="K206" s="373" t="s">
        <v>281</v>
      </c>
      <c r="L206" s="373" t="s">
        <v>281</v>
      </c>
    </row>
    <row r="207" spans="1:26" x14ac:dyDescent="0.2">
      <c r="A207" s="375"/>
      <c r="B207" s="375"/>
      <c r="C207" s="375"/>
      <c r="D207" s="356" t="s">
        <v>718</v>
      </c>
      <c r="E207" s="375"/>
      <c r="F207" s="375"/>
      <c r="G207" s="375"/>
      <c r="H207" s="375"/>
      <c r="I207" s="375"/>
      <c r="J207" s="375"/>
      <c r="K207" s="375"/>
      <c r="L207" s="375"/>
    </row>
    <row r="208" spans="1:26" s="630" customFormat="1" ht="30.6" x14ac:dyDescent="0.2">
      <c r="A208" s="626">
        <v>29</v>
      </c>
      <c r="B208" s="626">
        <v>30</v>
      </c>
      <c r="C208" s="626" t="s">
        <v>753</v>
      </c>
      <c r="D208" s="626" t="s">
        <v>754</v>
      </c>
      <c r="E208" s="627">
        <v>1674.4</v>
      </c>
      <c r="F208" s="628">
        <v>3.28</v>
      </c>
      <c r="G208" s="628">
        <v>3.28</v>
      </c>
      <c r="H208" s="629">
        <v>72719.19</v>
      </c>
      <c r="I208" s="629" t="s">
        <v>281</v>
      </c>
      <c r="J208" s="629">
        <v>72719.19</v>
      </c>
      <c r="K208" s="628" t="s">
        <v>281</v>
      </c>
      <c r="L208" s="628" t="s">
        <v>281</v>
      </c>
      <c r="M208" s="634">
        <f>(M181*100*0.46+M189*2.5)*0.8</f>
        <v>1674.4112</v>
      </c>
      <c r="N208" s="634" t="s">
        <v>2397</v>
      </c>
      <c r="O208" s="634" t="s">
        <v>1698</v>
      </c>
      <c r="T208" s="630">
        <v>72719.19</v>
      </c>
      <c r="V208" s="630" t="s">
        <v>281</v>
      </c>
      <c r="W208" s="630">
        <v>72719.19</v>
      </c>
      <c r="X208" s="630" t="s">
        <v>281</v>
      </c>
      <c r="Y208" s="630" t="s">
        <v>281</v>
      </c>
      <c r="Z208" s="630" t="s">
        <v>281</v>
      </c>
    </row>
    <row r="209" spans="1:26" x14ac:dyDescent="0.2">
      <c r="A209" s="370"/>
      <c r="B209" s="370"/>
      <c r="C209" s="370"/>
      <c r="D209" s="371" t="s">
        <v>743</v>
      </c>
      <c r="E209" s="372"/>
      <c r="F209" s="373" t="s">
        <v>281</v>
      </c>
      <c r="G209" s="373" t="s">
        <v>281</v>
      </c>
      <c r="H209" s="372"/>
      <c r="I209" s="372"/>
      <c r="J209" s="374" t="s">
        <v>281</v>
      </c>
      <c r="K209" s="373" t="s">
        <v>281</v>
      </c>
      <c r="L209" s="373" t="s">
        <v>281</v>
      </c>
    </row>
    <row r="210" spans="1:26" ht="20.399999999999999" x14ac:dyDescent="0.2">
      <c r="A210" s="375"/>
      <c r="B210" s="375"/>
      <c r="C210" s="375"/>
      <c r="D210" s="356" t="s">
        <v>714</v>
      </c>
      <c r="E210" s="375"/>
      <c r="F210" s="375"/>
      <c r="G210" s="375"/>
      <c r="H210" s="375"/>
      <c r="I210" s="375"/>
      <c r="J210" s="375"/>
      <c r="K210" s="375"/>
      <c r="L210" s="375"/>
    </row>
    <row r="211" spans="1:26" x14ac:dyDescent="0.2">
      <c r="A211" s="375"/>
      <c r="B211" s="375"/>
      <c r="C211" s="375"/>
      <c r="D211" s="379" t="s">
        <v>715</v>
      </c>
      <c r="E211" s="380"/>
      <c r="F211" s="380"/>
      <c r="G211" s="380"/>
      <c r="H211" s="381">
        <v>72719.19</v>
      </c>
      <c r="I211" s="375"/>
      <c r="J211" s="375"/>
      <c r="K211" s="375"/>
      <c r="L211" s="375"/>
    </row>
    <row r="212" spans="1:26" s="630" customFormat="1" ht="30.6" x14ac:dyDescent="0.2">
      <c r="A212" s="626">
        <v>30</v>
      </c>
      <c r="B212" s="626">
        <v>31</v>
      </c>
      <c r="C212" s="626" t="s">
        <v>755</v>
      </c>
      <c r="D212" s="626" t="s">
        <v>720</v>
      </c>
      <c r="E212" s="627">
        <v>418.6</v>
      </c>
      <c r="F212" s="628">
        <v>49.427</v>
      </c>
      <c r="G212" s="628">
        <v>49.427</v>
      </c>
      <c r="H212" s="629">
        <v>273936.03000000003</v>
      </c>
      <c r="I212" s="629" t="s">
        <v>281</v>
      </c>
      <c r="J212" s="629">
        <v>273936.03000000003</v>
      </c>
      <c r="K212" s="628" t="s">
        <v>281</v>
      </c>
      <c r="L212" s="628" t="s">
        <v>281</v>
      </c>
      <c r="M212" s="634">
        <f>(M181*100*0.46+M189*2.5)*0.2</f>
        <v>418.6028</v>
      </c>
      <c r="N212" s="634" t="s">
        <v>2396</v>
      </c>
      <c r="O212" s="634" t="s">
        <v>1698</v>
      </c>
      <c r="T212" s="630">
        <v>273936.03000000003</v>
      </c>
      <c r="V212" s="630" t="s">
        <v>281</v>
      </c>
      <c r="W212" s="630">
        <v>273936.03000000003</v>
      </c>
      <c r="X212" s="630" t="s">
        <v>281</v>
      </c>
      <c r="Y212" s="630" t="s">
        <v>281</v>
      </c>
      <c r="Z212" s="630" t="s">
        <v>281</v>
      </c>
    </row>
    <row r="213" spans="1:26" x14ac:dyDescent="0.2">
      <c r="A213" s="370"/>
      <c r="B213" s="370"/>
      <c r="C213" s="370"/>
      <c r="D213" s="371" t="s">
        <v>743</v>
      </c>
      <c r="E213" s="372"/>
      <c r="F213" s="373" t="s">
        <v>281</v>
      </c>
      <c r="G213" s="373" t="s">
        <v>281</v>
      </c>
      <c r="H213" s="372"/>
      <c r="I213" s="372"/>
      <c r="J213" s="374" t="s">
        <v>281</v>
      </c>
      <c r="K213" s="373" t="s">
        <v>281</v>
      </c>
      <c r="L213" s="373" t="s">
        <v>281</v>
      </c>
    </row>
    <row r="214" spans="1:26" ht="20.399999999999999" x14ac:dyDescent="0.2">
      <c r="A214" s="375"/>
      <c r="B214" s="375"/>
      <c r="C214" s="375"/>
      <c r="D214" s="356" t="s">
        <v>714</v>
      </c>
      <c r="E214" s="375"/>
      <c r="F214" s="375"/>
      <c r="G214" s="375"/>
      <c r="H214" s="375"/>
      <c r="I214" s="375"/>
      <c r="J214" s="375"/>
      <c r="K214" s="375"/>
      <c r="L214" s="375"/>
    </row>
    <row r="215" spans="1:26" ht="20.399999999999999" x14ac:dyDescent="0.2">
      <c r="A215" s="375"/>
      <c r="B215" s="375"/>
      <c r="C215" s="375"/>
      <c r="D215" s="356" t="s">
        <v>736</v>
      </c>
      <c r="E215" s="375"/>
      <c r="F215" s="375"/>
      <c r="G215" s="375"/>
      <c r="H215" s="375"/>
      <c r="I215" s="375"/>
      <c r="J215" s="375"/>
      <c r="K215" s="375"/>
      <c r="L215" s="375"/>
    </row>
    <row r="216" spans="1:26" ht="81.599999999999994" x14ac:dyDescent="0.2">
      <c r="A216" s="375"/>
      <c r="B216" s="375"/>
      <c r="C216" s="375"/>
      <c r="D216" s="356" t="s">
        <v>737</v>
      </c>
      <c r="E216" s="375"/>
      <c r="F216" s="375"/>
      <c r="G216" s="375"/>
      <c r="H216" s="375"/>
      <c r="I216" s="375"/>
      <c r="J216" s="375"/>
      <c r="K216" s="375"/>
      <c r="L216" s="375"/>
    </row>
    <row r="217" spans="1:26" x14ac:dyDescent="0.2">
      <c r="A217" s="375"/>
      <c r="B217" s="375"/>
      <c r="C217" s="375"/>
      <c r="D217" s="379" t="s">
        <v>715</v>
      </c>
      <c r="E217" s="380"/>
      <c r="F217" s="380"/>
      <c r="G217" s="380"/>
      <c r="H217" s="381">
        <v>273936.03000000003</v>
      </c>
      <c r="I217" s="375"/>
      <c r="J217" s="375"/>
      <c r="K217" s="375"/>
      <c r="L217" s="375"/>
    </row>
    <row r="218" spans="1:26" s="630" customFormat="1" ht="30.6" x14ac:dyDescent="0.2">
      <c r="A218" s="626">
        <v>31</v>
      </c>
      <c r="B218" s="626">
        <v>32</v>
      </c>
      <c r="C218" s="626" t="s">
        <v>744</v>
      </c>
      <c r="D218" s="626" t="s">
        <v>1035</v>
      </c>
      <c r="E218" s="627">
        <v>990.69</v>
      </c>
      <c r="F218" s="628">
        <v>162.38</v>
      </c>
      <c r="G218" s="628" t="s">
        <v>281</v>
      </c>
      <c r="H218" s="629">
        <v>1312684.06</v>
      </c>
      <c r="I218" s="629" t="s">
        <v>281</v>
      </c>
      <c r="J218" s="629" t="s">
        <v>281</v>
      </c>
      <c r="K218" s="628" t="s">
        <v>281</v>
      </c>
      <c r="L218" s="628" t="s">
        <v>281</v>
      </c>
      <c r="M218" s="634">
        <f>M181*100/2.5*0.46*1.2+M189</f>
        <v>990.69471999999996</v>
      </c>
      <c r="N218" s="634" t="s">
        <v>2393</v>
      </c>
      <c r="O218" s="634" t="s">
        <v>1698</v>
      </c>
      <c r="T218" s="630">
        <v>1312684.06</v>
      </c>
      <c r="V218" s="630" t="s">
        <v>281</v>
      </c>
      <c r="W218" s="630" t="s">
        <v>281</v>
      </c>
      <c r="X218" s="630" t="s">
        <v>281</v>
      </c>
      <c r="Y218" s="630" t="s">
        <v>281</v>
      </c>
      <c r="Z218" s="630" t="s">
        <v>281</v>
      </c>
    </row>
    <row r="219" spans="1:26" x14ac:dyDescent="0.2">
      <c r="A219" s="370"/>
      <c r="B219" s="370"/>
      <c r="C219" s="370"/>
      <c r="D219" s="371" t="s">
        <v>745</v>
      </c>
      <c r="E219" s="372"/>
      <c r="F219" s="373" t="s">
        <v>281</v>
      </c>
      <c r="G219" s="373" t="s">
        <v>281</v>
      </c>
      <c r="H219" s="372"/>
      <c r="I219" s="372"/>
      <c r="J219" s="374" t="s">
        <v>281</v>
      </c>
      <c r="K219" s="373" t="s">
        <v>281</v>
      </c>
      <c r="L219" s="373" t="s">
        <v>281</v>
      </c>
    </row>
    <row r="220" spans="1:26" x14ac:dyDescent="0.2">
      <c r="A220" s="375"/>
      <c r="B220" s="375"/>
      <c r="C220" s="375"/>
      <c r="D220" s="356" t="s">
        <v>718</v>
      </c>
      <c r="E220" s="375"/>
      <c r="F220" s="375"/>
      <c r="G220" s="375"/>
      <c r="H220" s="375"/>
      <c r="I220" s="375"/>
      <c r="J220" s="375"/>
      <c r="K220" s="375"/>
      <c r="L220" s="375"/>
    </row>
    <row r="221" spans="1:26" s="630" customFormat="1" ht="30.6" x14ac:dyDescent="0.2">
      <c r="A221" s="626">
        <v>32</v>
      </c>
      <c r="B221" s="626">
        <v>33</v>
      </c>
      <c r="C221" s="626" t="s">
        <v>761</v>
      </c>
      <c r="D221" s="626" t="s">
        <v>723</v>
      </c>
      <c r="E221" s="627">
        <v>7.48</v>
      </c>
      <c r="F221" s="628">
        <v>3165.8694999999998</v>
      </c>
      <c r="G221" s="628">
        <v>2843.72</v>
      </c>
      <c r="H221" s="629">
        <v>389509.63</v>
      </c>
      <c r="I221" s="629">
        <v>107881.27</v>
      </c>
      <c r="J221" s="629">
        <v>281628.36</v>
      </c>
      <c r="K221" s="628">
        <v>37.765999999999998</v>
      </c>
      <c r="L221" s="628">
        <v>282.48968000000002</v>
      </c>
      <c r="M221" s="634">
        <v>7.48</v>
      </c>
      <c r="N221" s="634" t="s">
        <v>1697</v>
      </c>
      <c r="O221" s="634" t="s">
        <v>2398</v>
      </c>
      <c r="T221" s="630">
        <v>773706.55</v>
      </c>
      <c r="V221" s="630">
        <v>107881.27</v>
      </c>
      <c r="W221" s="630">
        <v>281628.36</v>
      </c>
      <c r="X221" s="630">
        <v>160787.91</v>
      </c>
      <c r="Y221" s="630">
        <v>282.48968000000002</v>
      </c>
      <c r="Z221" s="630">
        <v>271.30707999999998</v>
      </c>
    </row>
    <row r="222" spans="1:26" x14ac:dyDescent="0.2">
      <c r="A222" s="370"/>
      <c r="B222" s="370"/>
      <c r="C222" s="370"/>
      <c r="D222" s="371" t="s">
        <v>757</v>
      </c>
      <c r="E222" s="372"/>
      <c r="F222" s="373">
        <v>322.14949999999999</v>
      </c>
      <c r="G222" s="373">
        <v>480.13650000000001</v>
      </c>
      <c r="H222" s="372"/>
      <c r="I222" s="372"/>
      <c r="J222" s="374">
        <v>160787.91</v>
      </c>
      <c r="K222" s="373">
        <v>36.271000000000001</v>
      </c>
      <c r="L222" s="373">
        <v>271.30707999999998</v>
      </c>
    </row>
    <row r="223" spans="1:26" ht="20.399999999999999" x14ac:dyDescent="0.2">
      <c r="A223" s="375"/>
      <c r="B223" s="375"/>
      <c r="C223" s="375"/>
      <c r="D223" s="356" t="s">
        <v>714</v>
      </c>
      <c r="E223" s="375"/>
      <c r="F223" s="375"/>
      <c r="G223" s="375"/>
      <c r="H223" s="375"/>
      <c r="I223" s="375"/>
      <c r="J223" s="375"/>
      <c r="K223" s="375"/>
      <c r="L223" s="375"/>
    </row>
    <row r="224" spans="1:26" ht="20.399999999999999" x14ac:dyDescent="0.2">
      <c r="A224" s="375"/>
      <c r="B224" s="375"/>
      <c r="C224" s="375"/>
      <c r="D224" s="356" t="s">
        <v>736</v>
      </c>
      <c r="E224" s="375"/>
      <c r="F224" s="375"/>
      <c r="G224" s="375"/>
      <c r="H224" s="375"/>
      <c r="I224" s="375"/>
      <c r="J224" s="375"/>
      <c r="K224" s="375"/>
      <c r="L224" s="375"/>
    </row>
    <row r="225" spans="1:26" ht="81.599999999999994" x14ac:dyDescent="0.2">
      <c r="A225" s="375"/>
      <c r="B225" s="375"/>
      <c r="C225" s="375"/>
      <c r="D225" s="356" t="s">
        <v>737</v>
      </c>
      <c r="E225" s="375"/>
      <c r="F225" s="375"/>
      <c r="G225" s="375"/>
      <c r="H225" s="375"/>
      <c r="I225" s="375"/>
      <c r="J225" s="375"/>
      <c r="K225" s="375"/>
      <c r="L225" s="375"/>
    </row>
    <row r="226" spans="1:26" x14ac:dyDescent="0.2">
      <c r="A226" s="375"/>
      <c r="B226" s="375"/>
      <c r="C226" s="375"/>
      <c r="D226" s="376" t="s">
        <v>206</v>
      </c>
      <c r="E226" s="377" t="s">
        <v>758</v>
      </c>
      <c r="F226" s="377"/>
      <c r="G226" s="377"/>
      <c r="H226" s="378">
        <v>244488.95</v>
      </c>
      <c r="I226" s="375"/>
      <c r="J226" s="375"/>
      <c r="K226" s="375"/>
      <c r="L226" s="375"/>
    </row>
    <row r="227" spans="1:26" x14ac:dyDescent="0.2">
      <c r="A227" s="375"/>
      <c r="B227" s="375"/>
      <c r="C227" s="375"/>
      <c r="D227" s="376" t="s">
        <v>207</v>
      </c>
      <c r="E227" s="377" t="s">
        <v>759</v>
      </c>
      <c r="F227" s="377"/>
      <c r="G227" s="377"/>
      <c r="H227" s="378">
        <v>139707.97</v>
      </c>
      <c r="I227" s="375"/>
      <c r="J227" s="375"/>
      <c r="K227" s="375"/>
      <c r="L227" s="375"/>
    </row>
    <row r="228" spans="1:26" x14ac:dyDescent="0.2">
      <c r="A228" s="375"/>
      <c r="B228" s="375"/>
      <c r="C228" s="375"/>
      <c r="D228" s="379" t="s">
        <v>715</v>
      </c>
      <c r="E228" s="380"/>
      <c r="F228" s="380"/>
      <c r="G228" s="380"/>
      <c r="H228" s="381">
        <v>773706.55</v>
      </c>
      <c r="I228" s="375"/>
      <c r="J228" s="375"/>
      <c r="K228" s="375"/>
      <c r="L228" s="375"/>
    </row>
    <row r="229" spans="1:26" s="630" customFormat="1" ht="40.799999999999997" x14ac:dyDescent="0.2">
      <c r="A229" s="626">
        <v>33</v>
      </c>
      <c r="B229" s="626">
        <v>34</v>
      </c>
      <c r="C229" s="626" t="s">
        <v>760</v>
      </c>
      <c r="D229" s="626" t="s">
        <v>722</v>
      </c>
      <c r="E229" s="627">
        <v>69.760000000000005</v>
      </c>
      <c r="F229" s="628">
        <v>1912.9349999999999</v>
      </c>
      <c r="G229" s="628">
        <v>1380.0920000000001</v>
      </c>
      <c r="H229" s="629">
        <v>2881499.58</v>
      </c>
      <c r="I229" s="629">
        <v>1594036.23</v>
      </c>
      <c r="J229" s="629">
        <v>1274684.02</v>
      </c>
      <c r="K229" s="628">
        <v>59.834499999999998</v>
      </c>
      <c r="L229" s="628">
        <v>4174.0547200000001</v>
      </c>
      <c r="M229" s="634">
        <v>69</v>
      </c>
      <c r="N229" s="634" t="s">
        <v>1699</v>
      </c>
      <c r="O229" s="634" t="s">
        <v>2398</v>
      </c>
      <c r="T229" s="630">
        <v>5160971.3899999997</v>
      </c>
      <c r="V229" s="630">
        <v>1594036.23</v>
      </c>
      <c r="W229" s="630">
        <v>1274684.02</v>
      </c>
      <c r="X229" s="630" t="s">
        <v>281</v>
      </c>
      <c r="Y229" s="630">
        <v>4174.0547200000001</v>
      </c>
      <c r="Z229" s="630" t="s">
        <v>281</v>
      </c>
    </row>
    <row r="230" spans="1:26" x14ac:dyDescent="0.2">
      <c r="A230" s="370"/>
      <c r="B230" s="370"/>
      <c r="C230" s="370"/>
      <c r="D230" s="371" t="s">
        <v>745</v>
      </c>
      <c r="E230" s="372"/>
      <c r="F230" s="373">
        <v>510.39299999999997</v>
      </c>
      <c r="G230" s="373" t="s">
        <v>281</v>
      </c>
      <c r="H230" s="372"/>
      <c r="I230" s="372"/>
      <c r="J230" s="374" t="s">
        <v>281</v>
      </c>
      <c r="K230" s="373" t="s">
        <v>281</v>
      </c>
      <c r="L230" s="373" t="s">
        <v>281</v>
      </c>
    </row>
    <row r="231" spans="1:26" ht="20.399999999999999" x14ac:dyDescent="0.2">
      <c r="A231" s="375"/>
      <c r="B231" s="375"/>
      <c r="C231" s="375"/>
      <c r="D231" s="356" t="s">
        <v>714</v>
      </c>
      <c r="E231" s="375"/>
      <c r="F231" s="375"/>
      <c r="G231" s="375"/>
      <c r="H231" s="375"/>
      <c r="I231" s="375"/>
      <c r="J231" s="375"/>
      <c r="K231" s="375"/>
      <c r="L231" s="375"/>
    </row>
    <row r="232" spans="1:26" ht="20.399999999999999" x14ac:dyDescent="0.2">
      <c r="A232" s="375"/>
      <c r="B232" s="375"/>
      <c r="C232" s="375"/>
      <c r="D232" s="356" t="s">
        <v>736</v>
      </c>
      <c r="E232" s="375"/>
      <c r="F232" s="375"/>
      <c r="G232" s="375"/>
      <c r="H232" s="375"/>
      <c r="I232" s="375"/>
      <c r="J232" s="375"/>
      <c r="K232" s="375"/>
      <c r="L232" s="375"/>
    </row>
    <row r="233" spans="1:26" ht="81.599999999999994" x14ac:dyDescent="0.2">
      <c r="A233" s="375"/>
      <c r="B233" s="375"/>
      <c r="C233" s="375"/>
      <c r="D233" s="356" t="s">
        <v>737</v>
      </c>
      <c r="E233" s="375"/>
      <c r="F233" s="375"/>
      <c r="G233" s="375"/>
      <c r="H233" s="375"/>
      <c r="I233" s="375"/>
      <c r="J233" s="375"/>
      <c r="K233" s="375"/>
      <c r="L233" s="375"/>
    </row>
    <row r="234" spans="1:26" x14ac:dyDescent="0.2">
      <c r="A234" s="375"/>
      <c r="B234" s="375"/>
      <c r="C234" s="375"/>
      <c r="D234" s="376" t="s">
        <v>206</v>
      </c>
      <c r="E234" s="377" t="s">
        <v>758</v>
      </c>
      <c r="F234" s="377"/>
      <c r="G234" s="377"/>
      <c r="H234" s="378">
        <v>1450572.97</v>
      </c>
      <c r="I234" s="375"/>
      <c r="J234" s="375"/>
      <c r="K234" s="375"/>
      <c r="L234" s="375"/>
    </row>
    <row r="235" spans="1:26" x14ac:dyDescent="0.2">
      <c r="A235" s="375"/>
      <c r="B235" s="375"/>
      <c r="C235" s="375"/>
      <c r="D235" s="376" t="s">
        <v>207</v>
      </c>
      <c r="E235" s="377" t="s">
        <v>759</v>
      </c>
      <c r="F235" s="377"/>
      <c r="G235" s="377"/>
      <c r="H235" s="378">
        <v>828898.84</v>
      </c>
      <c r="I235" s="375"/>
      <c r="J235" s="375"/>
      <c r="K235" s="375"/>
      <c r="L235" s="375"/>
    </row>
    <row r="236" spans="1:26" x14ac:dyDescent="0.2">
      <c r="A236" s="375"/>
      <c r="B236" s="375"/>
      <c r="C236" s="375"/>
      <c r="D236" s="379" t="s">
        <v>715</v>
      </c>
      <c r="E236" s="380"/>
      <c r="F236" s="380"/>
      <c r="G236" s="380"/>
      <c r="H236" s="381">
        <v>5160971.3899999997</v>
      </c>
      <c r="I236" s="375"/>
      <c r="J236" s="375"/>
      <c r="K236" s="375"/>
      <c r="L236" s="375"/>
    </row>
    <row r="237" spans="1:26" s="630" customFormat="1" ht="40.799999999999997" x14ac:dyDescent="0.2">
      <c r="A237" s="626">
        <v>34</v>
      </c>
      <c r="B237" s="626">
        <v>35</v>
      </c>
      <c r="C237" s="626" t="s">
        <v>762</v>
      </c>
      <c r="D237" s="626" t="s">
        <v>724</v>
      </c>
      <c r="E237" s="627">
        <v>6.9000000000000006E-2</v>
      </c>
      <c r="F237" s="628">
        <v>551.22950000000003</v>
      </c>
      <c r="G237" s="628">
        <v>551.22950000000003</v>
      </c>
      <c r="H237" s="629">
        <v>503.58</v>
      </c>
      <c r="I237" s="629" t="s">
        <v>281</v>
      </c>
      <c r="J237" s="629">
        <v>503.58</v>
      </c>
      <c r="K237" s="628" t="s">
        <v>281</v>
      </c>
      <c r="L237" s="628" t="s">
        <v>281</v>
      </c>
      <c r="M237" s="634">
        <v>69</v>
      </c>
      <c r="N237" s="634" t="s">
        <v>1700</v>
      </c>
      <c r="O237" s="634" t="s">
        <v>2398</v>
      </c>
      <c r="T237" s="630">
        <v>961.96</v>
      </c>
      <c r="V237" s="630" t="s">
        <v>281</v>
      </c>
      <c r="W237" s="630">
        <v>503.58</v>
      </c>
      <c r="X237" s="630">
        <v>332.16</v>
      </c>
      <c r="Y237" s="630" t="s">
        <v>281</v>
      </c>
      <c r="Z237" s="630">
        <v>0.63956100000000005</v>
      </c>
    </row>
    <row r="238" spans="1:26" x14ac:dyDescent="0.2">
      <c r="A238" s="370"/>
      <c r="B238" s="370"/>
      <c r="C238" s="370"/>
      <c r="D238" s="371" t="s">
        <v>763</v>
      </c>
      <c r="E238" s="372"/>
      <c r="F238" s="373" t="s">
        <v>281</v>
      </c>
      <c r="G238" s="373">
        <v>107.52500000000001</v>
      </c>
      <c r="H238" s="372"/>
      <c r="I238" s="372"/>
      <c r="J238" s="374">
        <v>332.16</v>
      </c>
      <c r="K238" s="373">
        <v>9.2690000000000001</v>
      </c>
      <c r="L238" s="373">
        <v>0.63956100000000005</v>
      </c>
    </row>
    <row r="239" spans="1:26" ht="20.399999999999999" x14ac:dyDescent="0.2">
      <c r="A239" s="375"/>
      <c r="B239" s="375"/>
      <c r="C239" s="375"/>
      <c r="D239" s="356" t="s">
        <v>714</v>
      </c>
      <c r="E239" s="375"/>
      <c r="F239" s="375"/>
      <c r="G239" s="375"/>
      <c r="H239" s="375"/>
      <c r="I239" s="375"/>
      <c r="J239" s="375"/>
      <c r="K239" s="375"/>
      <c r="L239" s="375"/>
    </row>
    <row r="240" spans="1:26" ht="20.399999999999999" x14ac:dyDescent="0.2">
      <c r="A240" s="375"/>
      <c r="B240" s="375"/>
      <c r="C240" s="375"/>
      <c r="D240" s="356" t="s">
        <v>736</v>
      </c>
      <c r="E240" s="375"/>
      <c r="F240" s="375"/>
      <c r="G240" s="375"/>
      <c r="H240" s="375"/>
      <c r="I240" s="375"/>
      <c r="J240" s="375"/>
      <c r="K240" s="375"/>
      <c r="L240" s="375"/>
    </row>
    <row r="241" spans="1:26" ht="81.599999999999994" x14ac:dyDescent="0.2">
      <c r="A241" s="375"/>
      <c r="B241" s="375"/>
      <c r="C241" s="375"/>
      <c r="D241" s="356" t="s">
        <v>737</v>
      </c>
      <c r="E241" s="375"/>
      <c r="F241" s="375"/>
      <c r="G241" s="375"/>
      <c r="H241" s="375"/>
      <c r="I241" s="375"/>
      <c r="J241" s="375"/>
      <c r="K241" s="375"/>
      <c r="L241" s="375"/>
    </row>
    <row r="242" spans="1:26" x14ac:dyDescent="0.2">
      <c r="A242" s="375"/>
      <c r="B242" s="375"/>
      <c r="C242" s="375"/>
      <c r="D242" s="376" t="s">
        <v>206</v>
      </c>
      <c r="E242" s="377" t="s">
        <v>764</v>
      </c>
      <c r="F242" s="377"/>
      <c r="G242" s="377"/>
      <c r="H242" s="378">
        <v>305.58999999999997</v>
      </c>
      <c r="I242" s="375"/>
      <c r="J242" s="375"/>
      <c r="K242" s="375"/>
      <c r="L242" s="375"/>
    </row>
    <row r="243" spans="1:26" x14ac:dyDescent="0.2">
      <c r="A243" s="375"/>
      <c r="B243" s="375"/>
      <c r="C243" s="375"/>
      <c r="D243" s="376" t="s">
        <v>207</v>
      </c>
      <c r="E243" s="377" t="s">
        <v>765</v>
      </c>
      <c r="F243" s="377"/>
      <c r="G243" s="377"/>
      <c r="H243" s="378">
        <v>152.79</v>
      </c>
      <c r="I243" s="375"/>
      <c r="J243" s="375"/>
      <c r="K243" s="375"/>
      <c r="L243" s="375"/>
    </row>
    <row r="244" spans="1:26" x14ac:dyDescent="0.2">
      <c r="A244" s="375"/>
      <c r="B244" s="375"/>
      <c r="C244" s="375"/>
      <c r="D244" s="379" t="s">
        <v>715</v>
      </c>
      <c r="E244" s="380"/>
      <c r="F244" s="380"/>
      <c r="G244" s="380"/>
      <c r="H244" s="381">
        <v>961.96</v>
      </c>
      <c r="I244" s="375"/>
      <c r="J244" s="375"/>
      <c r="K244" s="375"/>
      <c r="L244" s="375"/>
    </row>
    <row r="245" spans="1:26" s="625" customFormat="1" ht="30.6" x14ac:dyDescent="0.2">
      <c r="A245" s="621">
        <v>35</v>
      </c>
      <c r="B245" s="621">
        <v>36</v>
      </c>
      <c r="C245" s="621" t="s">
        <v>766</v>
      </c>
      <c r="D245" s="621" t="s">
        <v>725</v>
      </c>
      <c r="E245" s="622">
        <v>69</v>
      </c>
      <c r="F245" s="623">
        <v>72.762799999999999</v>
      </c>
      <c r="G245" s="623" t="s">
        <v>281</v>
      </c>
      <c r="H245" s="624">
        <v>40968.06</v>
      </c>
      <c r="I245" s="624" t="s">
        <v>281</v>
      </c>
      <c r="J245" s="624" t="s">
        <v>281</v>
      </c>
      <c r="K245" s="623" t="s">
        <v>281</v>
      </c>
      <c r="L245" s="623" t="s">
        <v>281</v>
      </c>
      <c r="M245" s="633">
        <v>0</v>
      </c>
      <c r="N245" s="633" t="s">
        <v>2375</v>
      </c>
      <c r="O245" s="633" t="s">
        <v>2398</v>
      </c>
      <c r="T245" s="625">
        <v>40968.06</v>
      </c>
      <c r="V245" s="625" t="s">
        <v>281</v>
      </c>
      <c r="W245" s="625" t="s">
        <v>281</v>
      </c>
      <c r="X245" s="625" t="s">
        <v>281</v>
      </c>
      <c r="Y245" s="625" t="s">
        <v>281</v>
      </c>
      <c r="Z245" s="625" t="s">
        <v>281</v>
      </c>
    </row>
    <row r="246" spans="1:26" x14ac:dyDescent="0.2">
      <c r="A246" s="370"/>
      <c r="B246" s="370"/>
      <c r="C246" s="370"/>
      <c r="D246" s="371" t="s">
        <v>745</v>
      </c>
      <c r="E246" s="372"/>
      <c r="F246" s="373" t="s">
        <v>281</v>
      </c>
      <c r="G246" s="373" t="s">
        <v>281</v>
      </c>
      <c r="H246" s="372"/>
      <c r="I246" s="372"/>
      <c r="J246" s="374" t="s">
        <v>281</v>
      </c>
      <c r="K246" s="373" t="s">
        <v>281</v>
      </c>
      <c r="L246" s="373" t="s">
        <v>281</v>
      </c>
    </row>
    <row r="247" spans="1:26" x14ac:dyDescent="0.2">
      <c r="A247" s="375"/>
      <c r="B247" s="375"/>
      <c r="C247" s="375"/>
      <c r="D247" s="356" t="s">
        <v>718</v>
      </c>
      <c r="E247" s="375"/>
      <c r="F247" s="375"/>
      <c r="G247" s="375"/>
      <c r="H247" s="375"/>
      <c r="I247" s="375"/>
      <c r="J247" s="375"/>
      <c r="K247" s="375"/>
      <c r="L247" s="375"/>
    </row>
    <row r="248" spans="1:26" s="630" customFormat="1" ht="30.6" x14ac:dyDescent="0.2">
      <c r="A248" s="626">
        <v>36</v>
      </c>
      <c r="B248" s="626">
        <v>37</v>
      </c>
      <c r="C248" s="626" t="s">
        <v>753</v>
      </c>
      <c r="D248" s="626" t="s">
        <v>754</v>
      </c>
      <c r="E248" s="627">
        <v>413.26</v>
      </c>
      <c r="F248" s="628">
        <v>3.28</v>
      </c>
      <c r="G248" s="628">
        <v>3.28</v>
      </c>
      <c r="H248" s="629">
        <v>17947.88</v>
      </c>
      <c r="I248" s="629" t="s">
        <v>281</v>
      </c>
      <c r="J248" s="629">
        <v>17947.88</v>
      </c>
      <c r="K248" s="628" t="s">
        <v>281</v>
      </c>
      <c r="L248" s="628" t="s">
        <v>281</v>
      </c>
      <c r="M248" s="634">
        <f>(M221*100*0.46+M229*2.5)*0.8</f>
        <v>413.26400000000001</v>
      </c>
      <c r="N248" s="634" t="s">
        <v>2399</v>
      </c>
      <c r="O248" s="634" t="s">
        <v>2398</v>
      </c>
      <c r="T248" s="630">
        <v>17947.88</v>
      </c>
      <c r="V248" s="630" t="s">
        <v>281</v>
      </c>
      <c r="W248" s="630">
        <v>17947.88</v>
      </c>
      <c r="X248" s="630" t="s">
        <v>281</v>
      </c>
      <c r="Y248" s="630" t="s">
        <v>281</v>
      </c>
      <c r="Z248" s="630" t="s">
        <v>281</v>
      </c>
    </row>
    <row r="249" spans="1:26" x14ac:dyDescent="0.2">
      <c r="A249" s="370"/>
      <c r="B249" s="370"/>
      <c r="C249" s="370"/>
      <c r="D249" s="371" t="s">
        <v>743</v>
      </c>
      <c r="E249" s="372"/>
      <c r="F249" s="373" t="s">
        <v>281</v>
      </c>
      <c r="G249" s="373" t="s">
        <v>281</v>
      </c>
      <c r="H249" s="372"/>
      <c r="I249" s="372"/>
      <c r="J249" s="374" t="s">
        <v>281</v>
      </c>
      <c r="K249" s="373" t="s">
        <v>281</v>
      </c>
      <c r="L249" s="373" t="s">
        <v>281</v>
      </c>
    </row>
    <row r="250" spans="1:26" ht="20.399999999999999" x14ac:dyDescent="0.2">
      <c r="A250" s="375"/>
      <c r="B250" s="375"/>
      <c r="C250" s="375"/>
      <c r="D250" s="356" t="s">
        <v>714</v>
      </c>
      <c r="E250" s="375"/>
      <c r="F250" s="375"/>
      <c r="G250" s="375"/>
      <c r="H250" s="375"/>
      <c r="I250" s="375"/>
      <c r="J250" s="375"/>
      <c r="K250" s="375"/>
      <c r="L250" s="375"/>
    </row>
    <row r="251" spans="1:26" x14ac:dyDescent="0.2">
      <c r="A251" s="375"/>
      <c r="B251" s="375"/>
      <c r="C251" s="375"/>
      <c r="D251" s="379" t="s">
        <v>715</v>
      </c>
      <c r="E251" s="380"/>
      <c r="F251" s="380"/>
      <c r="G251" s="380"/>
      <c r="H251" s="381">
        <v>17947.88</v>
      </c>
      <c r="I251" s="375"/>
      <c r="J251" s="375"/>
      <c r="K251" s="375"/>
      <c r="L251" s="375"/>
    </row>
    <row r="252" spans="1:26" s="630" customFormat="1" ht="30.6" x14ac:dyDescent="0.2">
      <c r="A252" s="626">
        <v>37</v>
      </c>
      <c r="B252" s="626">
        <v>38</v>
      </c>
      <c r="C252" s="626" t="s">
        <v>755</v>
      </c>
      <c r="D252" s="626" t="s">
        <v>720</v>
      </c>
      <c r="E252" s="627">
        <v>103.32</v>
      </c>
      <c r="F252" s="628">
        <v>49.427</v>
      </c>
      <c r="G252" s="628">
        <v>49.427</v>
      </c>
      <c r="H252" s="629">
        <v>67613.64</v>
      </c>
      <c r="I252" s="629" t="s">
        <v>281</v>
      </c>
      <c r="J252" s="629">
        <v>67613.64</v>
      </c>
      <c r="K252" s="628" t="s">
        <v>281</v>
      </c>
      <c r="L252" s="628" t="s">
        <v>281</v>
      </c>
      <c r="M252" s="634">
        <f>(M221*100*0.46+M229*2.5)*0.2</f>
        <v>103.316</v>
      </c>
      <c r="N252" s="634" t="s">
        <v>2400</v>
      </c>
      <c r="O252" s="634" t="s">
        <v>2398</v>
      </c>
      <c r="T252" s="630">
        <v>67613.64</v>
      </c>
      <c r="V252" s="630" t="s">
        <v>281</v>
      </c>
      <c r="W252" s="630">
        <v>67613.64</v>
      </c>
      <c r="X252" s="630" t="s">
        <v>281</v>
      </c>
      <c r="Y252" s="630" t="s">
        <v>281</v>
      </c>
      <c r="Z252" s="630" t="s">
        <v>281</v>
      </c>
    </row>
    <row r="253" spans="1:26" x14ac:dyDescent="0.2">
      <c r="A253" s="370"/>
      <c r="B253" s="370"/>
      <c r="C253" s="370"/>
      <c r="D253" s="371" t="s">
        <v>743</v>
      </c>
      <c r="E253" s="372"/>
      <c r="F253" s="373" t="s">
        <v>281</v>
      </c>
      <c r="G253" s="373" t="s">
        <v>281</v>
      </c>
      <c r="H253" s="372"/>
      <c r="I253" s="372"/>
      <c r="J253" s="374" t="s">
        <v>281</v>
      </c>
      <c r="K253" s="373" t="s">
        <v>281</v>
      </c>
      <c r="L253" s="373" t="s">
        <v>281</v>
      </c>
    </row>
    <row r="254" spans="1:26" ht="20.399999999999999" x14ac:dyDescent="0.2">
      <c r="A254" s="375"/>
      <c r="B254" s="375"/>
      <c r="C254" s="375"/>
      <c r="D254" s="356" t="s">
        <v>714</v>
      </c>
      <c r="E254" s="375"/>
      <c r="F254" s="375"/>
      <c r="G254" s="375"/>
      <c r="H254" s="375"/>
      <c r="I254" s="375"/>
      <c r="J254" s="375"/>
      <c r="K254" s="375"/>
      <c r="L254" s="375"/>
    </row>
    <row r="255" spans="1:26" ht="20.399999999999999" x14ac:dyDescent="0.2">
      <c r="A255" s="375"/>
      <c r="B255" s="375"/>
      <c r="C255" s="375"/>
      <c r="D255" s="356" t="s">
        <v>736</v>
      </c>
      <c r="E255" s="375"/>
      <c r="F255" s="375"/>
      <c r="G255" s="375"/>
      <c r="H255" s="375"/>
      <c r="I255" s="375"/>
      <c r="J255" s="375"/>
      <c r="K255" s="375"/>
      <c r="L255" s="375"/>
    </row>
    <row r="256" spans="1:26" ht="81.599999999999994" x14ac:dyDescent="0.2">
      <c r="A256" s="375"/>
      <c r="B256" s="375"/>
      <c r="C256" s="375"/>
      <c r="D256" s="356" t="s">
        <v>737</v>
      </c>
      <c r="E256" s="375"/>
      <c r="F256" s="375"/>
      <c r="G256" s="375"/>
      <c r="H256" s="375"/>
      <c r="I256" s="375"/>
      <c r="J256" s="375"/>
      <c r="K256" s="375"/>
      <c r="L256" s="375"/>
    </row>
    <row r="257" spans="1:26" x14ac:dyDescent="0.2">
      <c r="A257" s="375"/>
      <c r="B257" s="375"/>
      <c r="C257" s="375"/>
      <c r="D257" s="379" t="s">
        <v>715</v>
      </c>
      <c r="E257" s="380"/>
      <c r="F257" s="380"/>
      <c r="G257" s="380"/>
      <c r="H257" s="381">
        <v>67613.64</v>
      </c>
      <c r="I257" s="375"/>
      <c r="J257" s="375"/>
      <c r="K257" s="375"/>
      <c r="L257" s="375"/>
    </row>
    <row r="258" spans="1:26" s="630" customFormat="1" ht="40.799999999999997" x14ac:dyDescent="0.2">
      <c r="A258" s="626">
        <v>38</v>
      </c>
      <c r="B258" s="626">
        <v>39</v>
      </c>
      <c r="C258" s="626" t="s">
        <v>744</v>
      </c>
      <c r="D258" s="626" t="s">
        <v>717</v>
      </c>
      <c r="E258" s="627">
        <v>249.39</v>
      </c>
      <c r="F258" s="628">
        <v>162.38</v>
      </c>
      <c r="G258" s="628" t="s">
        <v>281</v>
      </c>
      <c r="H258" s="629">
        <v>330446.74</v>
      </c>
      <c r="I258" s="629" t="s">
        <v>281</v>
      </c>
      <c r="J258" s="629" t="s">
        <v>281</v>
      </c>
      <c r="K258" s="628" t="s">
        <v>281</v>
      </c>
      <c r="L258" s="628" t="s">
        <v>281</v>
      </c>
      <c r="M258" s="634">
        <f>M221*100/2.5*0.46*1.2+M229</f>
        <v>234.1584</v>
      </c>
      <c r="N258" s="634" t="s">
        <v>2393</v>
      </c>
      <c r="O258" s="634" t="s">
        <v>2398</v>
      </c>
      <c r="T258" s="630">
        <v>330446.74</v>
      </c>
      <c r="V258" s="630" t="s">
        <v>281</v>
      </c>
      <c r="W258" s="630" t="s">
        <v>281</v>
      </c>
      <c r="X258" s="630" t="s">
        <v>281</v>
      </c>
      <c r="Y258" s="630" t="s">
        <v>281</v>
      </c>
      <c r="Z258" s="630" t="s">
        <v>281</v>
      </c>
    </row>
    <row r="259" spans="1:26" x14ac:dyDescent="0.2">
      <c r="A259" s="370"/>
      <c r="B259" s="370"/>
      <c r="C259" s="370"/>
      <c r="D259" s="371" t="s">
        <v>745</v>
      </c>
      <c r="E259" s="372"/>
      <c r="F259" s="373" t="s">
        <v>281</v>
      </c>
      <c r="G259" s="373" t="s">
        <v>281</v>
      </c>
      <c r="H259" s="372"/>
      <c r="I259" s="372"/>
      <c r="J259" s="374" t="s">
        <v>281</v>
      </c>
      <c r="K259" s="373" t="s">
        <v>281</v>
      </c>
      <c r="L259" s="373" t="s">
        <v>281</v>
      </c>
    </row>
    <row r="260" spans="1:26" x14ac:dyDescent="0.2">
      <c r="A260" s="375"/>
      <c r="B260" s="375"/>
      <c r="C260" s="375"/>
      <c r="D260" s="356" t="s">
        <v>718</v>
      </c>
      <c r="E260" s="375"/>
      <c r="F260" s="375"/>
      <c r="G260" s="375"/>
      <c r="H260" s="375"/>
      <c r="I260" s="375"/>
      <c r="J260" s="375"/>
      <c r="K260" s="375"/>
      <c r="L260" s="375"/>
    </row>
    <row r="261" spans="1:26" s="630" customFormat="1" ht="40.799999999999997" x14ac:dyDescent="0.2">
      <c r="A261" s="626">
        <v>39</v>
      </c>
      <c r="B261" s="626">
        <v>40</v>
      </c>
      <c r="C261" s="626" t="s">
        <v>768</v>
      </c>
      <c r="D261" s="626" t="s">
        <v>726</v>
      </c>
      <c r="E261" s="627">
        <v>6.7000000000000004E-2</v>
      </c>
      <c r="F261" s="628">
        <v>4218.6989999999996</v>
      </c>
      <c r="G261" s="628">
        <v>4097.7489999999998</v>
      </c>
      <c r="H261" s="629">
        <v>3987.18</v>
      </c>
      <c r="I261" s="629">
        <v>349.78</v>
      </c>
      <c r="J261" s="629">
        <v>3635.03</v>
      </c>
      <c r="K261" s="628">
        <v>14.95</v>
      </c>
      <c r="L261" s="628">
        <v>1.0016499999999999</v>
      </c>
      <c r="M261" s="634">
        <f>E261</f>
        <v>6.7000000000000004E-2</v>
      </c>
      <c r="N261" s="634" t="s">
        <v>2402</v>
      </c>
      <c r="O261" s="634" t="s">
        <v>2401</v>
      </c>
      <c r="T261" s="630">
        <v>6886.23</v>
      </c>
      <c r="V261" s="630">
        <v>349.78</v>
      </c>
      <c r="W261" s="630">
        <v>3635.03</v>
      </c>
      <c r="X261" s="630">
        <v>1750.98</v>
      </c>
      <c r="Y261" s="630">
        <v>1.0016499999999999</v>
      </c>
      <c r="Z261" s="630">
        <v>2.8970799999999999</v>
      </c>
    </row>
    <row r="262" spans="1:26" x14ac:dyDescent="0.2">
      <c r="A262" s="370"/>
      <c r="B262" s="370"/>
      <c r="C262" s="370"/>
      <c r="D262" s="371" t="s">
        <v>763</v>
      </c>
      <c r="E262" s="372"/>
      <c r="F262" s="373">
        <v>116.61</v>
      </c>
      <c r="G262" s="373">
        <v>583.74</v>
      </c>
      <c r="H262" s="372"/>
      <c r="I262" s="372"/>
      <c r="J262" s="374">
        <v>1750.98</v>
      </c>
      <c r="K262" s="373">
        <v>43.24</v>
      </c>
      <c r="L262" s="373">
        <v>2.8970799999999999</v>
      </c>
    </row>
    <row r="263" spans="1:26" ht="20.399999999999999" x14ac:dyDescent="0.2">
      <c r="A263" s="375"/>
      <c r="B263" s="375"/>
      <c r="C263" s="375"/>
      <c r="D263" s="356" t="s">
        <v>714</v>
      </c>
      <c r="E263" s="375"/>
      <c r="F263" s="375"/>
      <c r="G263" s="375"/>
      <c r="H263" s="375"/>
      <c r="I263" s="375"/>
      <c r="J263" s="375"/>
      <c r="K263" s="375"/>
      <c r="L263" s="375"/>
    </row>
    <row r="264" spans="1:26" ht="20.399999999999999" x14ac:dyDescent="0.2">
      <c r="A264" s="375"/>
      <c r="B264" s="375"/>
      <c r="C264" s="375"/>
      <c r="D264" s="356" t="s">
        <v>736</v>
      </c>
      <c r="E264" s="375"/>
      <c r="F264" s="375"/>
      <c r="G264" s="375"/>
      <c r="H264" s="375"/>
      <c r="I264" s="375"/>
      <c r="J264" s="375"/>
      <c r="K264" s="375"/>
      <c r="L264" s="375"/>
    </row>
    <row r="265" spans="1:26" ht="81.599999999999994" x14ac:dyDescent="0.2">
      <c r="A265" s="375"/>
      <c r="B265" s="375"/>
      <c r="C265" s="375"/>
      <c r="D265" s="356" t="s">
        <v>737</v>
      </c>
      <c r="E265" s="375"/>
      <c r="F265" s="375"/>
      <c r="G265" s="375"/>
      <c r="H265" s="375"/>
      <c r="I265" s="375"/>
      <c r="J265" s="375"/>
      <c r="K265" s="375"/>
      <c r="L265" s="375"/>
    </row>
    <row r="266" spans="1:26" x14ac:dyDescent="0.2">
      <c r="A266" s="375"/>
      <c r="B266" s="375"/>
      <c r="C266" s="375"/>
      <c r="D266" s="376" t="s">
        <v>206</v>
      </c>
      <c r="E266" s="377" t="s">
        <v>764</v>
      </c>
      <c r="F266" s="377"/>
      <c r="G266" s="377"/>
      <c r="H266" s="378">
        <v>1932.7</v>
      </c>
      <c r="I266" s="375"/>
      <c r="J266" s="375"/>
      <c r="K266" s="375"/>
      <c r="L266" s="375"/>
    </row>
    <row r="267" spans="1:26" x14ac:dyDescent="0.2">
      <c r="A267" s="375"/>
      <c r="B267" s="375"/>
      <c r="C267" s="375"/>
      <c r="D267" s="376" t="s">
        <v>207</v>
      </c>
      <c r="E267" s="377" t="s">
        <v>765</v>
      </c>
      <c r="F267" s="377"/>
      <c r="G267" s="377"/>
      <c r="H267" s="378">
        <v>966.35</v>
      </c>
      <c r="I267" s="375"/>
      <c r="J267" s="375"/>
      <c r="K267" s="375"/>
      <c r="L267" s="375"/>
    </row>
    <row r="268" spans="1:26" x14ac:dyDescent="0.2">
      <c r="A268" s="375"/>
      <c r="B268" s="375"/>
      <c r="C268" s="375"/>
      <c r="D268" s="379" t="s">
        <v>715</v>
      </c>
      <c r="E268" s="380"/>
      <c r="F268" s="380"/>
      <c r="G268" s="380"/>
      <c r="H268" s="381">
        <v>6886.23</v>
      </c>
      <c r="I268" s="375"/>
      <c r="J268" s="375"/>
      <c r="K268" s="375"/>
      <c r="L268" s="375"/>
    </row>
    <row r="269" spans="1:26" s="630" customFormat="1" ht="20.399999999999999" x14ac:dyDescent="0.2">
      <c r="A269" s="626">
        <v>40</v>
      </c>
      <c r="B269" s="626">
        <v>41</v>
      </c>
      <c r="C269" s="626" t="s">
        <v>769</v>
      </c>
      <c r="D269" s="626" t="s">
        <v>727</v>
      </c>
      <c r="E269" s="627">
        <v>3</v>
      </c>
      <c r="F269" s="628">
        <v>20.539000000000001</v>
      </c>
      <c r="G269" s="628" t="s">
        <v>281</v>
      </c>
      <c r="H269" s="629">
        <v>2758.59</v>
      </c>
      <c r="I269" s="629">
        <v>2758.59</v>
      </c>
      <c r="J269" s="629" t="s">
        <v>281</v>
      </c>
      <c r="K269" s="628">
        <v>2.6105</v>
      </c>
      <c r="L269" s="628">
        <v>7.8315000000000001</v>
      </c>
      <c r="M269" s="634">
        <v>3</v>
      </c>
      <c r="N269" s="634" t="s">
        <v>2403</v>
      </c>
      <c r="O269" s="634" t="s">
        <v>2401</v>
      </c>
      <c r="T269" s="630">
        <v>6427.52</v>
      </c>
      <c r="V269" s="630">
        <v>2758.59</v>
      </c>
      <c r="W269" s="630" t="s">
        <v>281</v>
      </c>
      <c r="X269" s="630" t="s">
        <v>281</v>
      </c>
      <c r="Y269" s="630">
        <v>7.8315000000000001</v>
      </c>
      <c r="Z269" s="630" t="s">
        <v>281</v>
      </c>
    </row>
    <row r="270" spans="1:26" x14ac:dyDescent="0.2">
      <c r="A270" s="370"/>
      <c r="B270" s="370"/>
      <c r="C270" s="370"/>
      <c r="D270" s="371" t="s">
        <v>735</v>
      </c>
      <c r="E270" s="372"/>
      <c r="F270" s="373">
        <v>20.539000000000001</v>
      </c>
      <c r="G270" s="373" t="s">
        <v>281</v>
      </c>
      <c r="H270" s="372"/>
      <c r="I270" s="372"/>
      <c r="J270" s="374" t="s">
        <v>281</v>
      </c>
      <c r="K270" s="373" t="s">
        <v>281</v>
      </c>
      <c r="L270" s="373" t="s">
        <v>281</v>
      </c>
    </row>
    <row r="271" spans="1:26" ht="20.399999999999999" x14ac:dyDescent="0.2">
      <c r="A271" s="375"/>
      <c r="B271" s="375"/>
      <c r="C271" s="375"/>
      <c r="D271" s="356" t="s">
        <v>714</v>
      </c>
      <c r="E271" s="375"/>
      <c r="F271" s="375"/>
      <c r="G271" s="375"/>
      <c r="H271" s="375"/>
      <c r="I271" s="375"/>
      <c r="J271" s="375"/>
      <c r="K271" s="375"/>
      <c r="L271" s="375"/>
    </row>
    <row r="272" spans="1:26" ht="20.399999999999999" x14ac:dyDescent="0.2">
      <c r="A272" s="375"/>
      <c r="B272" s="375"/>
      <c r="C272" s="375"/>
      <c r="D272" s="356" t="s">
        <v>736</v>
      </c>
      <c r="E272" s="375"/>
      <c r="F272" s="375"/>
      <c r="G272" s="375"/>
      <c r="H272" s="375"/>
      <c r="I272" s="375"/>
      <c r="J272" s="375"/>
      <c r="K272" s="375"/>
      <c r="L272" s="375"/>
    </row>
    <row r="273" spans="1:26" ht="81.599999999999994" x14ac:dyDescent="0.2">
      <c r="A273" s="375"/>
      <c r="B273" s="375"/>
      <c r="C273" s="375"/>
      <c r="D273" s="356" t="s">
        <v>737</v>
      </c>
      <c r="E273" s="375"/>
      <c r="F273" s="375"/>
      <c r="G273" s="375"/>
      <c r="H273" s="375"/>
      <c r="I273" s="375"/>
      <c r="J273" s="375"/>
      <c r="K273" s="375"/>
      <c r="L273" s="375"/>
    </row>
    <row r="274" spans="1:26" x14ac:dyDescent="0.2">
      <c r="A274" s="375"/>
      <c r="B274" s="375"/>
      <c r="C274" s="375"/>
      <c r="D274" s="376" t="s">
        <v>206</v>
      </c>
      <c r="E274" s="377" t="s">
        <v>770</v>
      </c>
      <c r="F274" s="377"/>
      <c r="G274" s="377"/>
      <c r="H274" s="378">
        <v>2455.15</v>
      </c>
      <c r="I274" s="375"/>
      <c r="J274" s="375"/>
      <c r="K274" s="375"/>
      <c r="L274" s="375"/>
    </row>
    <row r="275" spans="1:26" x14ac:dyDescent="0.2">
      <c r="A275" s="375"/>
      <c r="B275" s="375"/>
      <c r="C275" s="375"/>
      <c r="D275" s="376" t="s">
        <v>207</v>
      </c>
      <c r="E275" s="377" t="s">
        <v>771</v>
      </c>
      <c r="F275" s="377"/>
      <c r="G275" s="377"/>
      <c r="H275" s="378">
        <v>1213.78</v>
      </c>
      <c r="I275" s="375"/>
      <c r="J275" s="375"/>
      <c r="K275" s="375"/>
      <c r="L275" s="375"/>
    </row>
    <row r="276" spans="1:26" x14ac:dyDescent="0.2">
      <c r="A276" s="375"/>
      <c r="B276" s="375"/>
      <c r="C276" s="375"/>
      <c r="D276" s="379" t="s">
        <v>715</v>
      </c>
      <c r="E276" s="380"/>
      <c r="F276" s="380"/>
      <c r="G276" s="380"/>
      <c r="H276" s="381">
        <v>6427.52</v>
      </c>
      <c r="I276" s="375"/>
      <c r="J276" s="375"/>
      <c r="K276" s="375"/>
      <c r="L276" s="375"/>
    </row>
    <row r="277" spans="1:26" s="630" customFormat="1" ht="40.799999999999997" x14ac:dyDescent="0.2">
      <c r="A277" s="626">
        <v>41</v>
      </c>
      <c r="B277" s="626">
        <v>42</v>
      </c>
      <c r="C277" s="626" t="s">
        <v>772</v>
      </c>
      <c r="D277" s="626" t="s">
        <v>728</v>
      </c>
      <c r="E277" s="627">
        <v>76.8</v>
      </c>
      <c r="F277" s="628">
        <v>1197.5455999999999</v>
      </c>
      <c r="G277" s="628">
        <v>1190.4064000000001</v>
      </c>
      <c r="H277" s="629">
        <v>1234990.0800000001</v>
      </c>
      <c r="I277" s="629">
        <v>24546.82</v>
      </c>
      <c r="J277" s="629">
        <v>1210443.26</v>
      </c>
      <c r="K277" s="628">
        <v>0.83720000000000006</v>
      </c>
      <c r="L277" s="628">
        <v>64.296959999999999</v>
      </c>
      <c r="M277" s="634">
        <v>76.8</v>
      </c>
      <c r="N277" s="634" t="s">
        <v>1699</v>
      </c>
      <c r="O277" s="634" t="s">
        <v>2401</v>
      </c>
      <c r="T277" s="630">
        <v>1418959.56</v>
      </c>
      <c r="V277" s="630">
        <v>24546.82</v>
      </c>
      <c r="W277" s="630">
        <v>1210443.26</v>
      </c>
      <c r="X277" s="630">
        <v>104103.17</v>
      </c>
      <c r="Y277" s="630">
        <v>64.296959999999999</v>
      </c>
      <c r="Z277" s="630">
        <v>148.3776</v>
      </c>
    </row>
    <row r="278" spans="1:26" x14ac:dyDescent="0.2">
      <c r="A278" s="370"/>
      <c r="B278" s="370"/>
      <c r="C278" s="370"/>
      <c r="D278" s="371" t="s">
        <v>745</v>
      </c>
      <c r="E278" s="372"/>
      <c r="F278" s="373">
        <v>7.1391999999999998</v>
      </c>
      <c r="G278" s="373">
        <v>30.277200000000001</v>
      </c>
      <c r="H278" s="372"/>
      <c r="I278" s="372"/>
      <c r="J278" s="374">
        <v>104103.17</v>
      </c>
      <c r="K278" s="373">
        <v>1.9319999999999999</v>
      </c>
      <c r="L278" s="373">
        <v>148.3776</v>
      </c>
    </row>
    <row r="279" spans="1:26" ht="20.399999999999999" x14ac:dyDescent="0.2">
      <c r="A279" s="375"/>
      <c r="B279" s="375"/>
      <c r="C279" s="375"/>
      <c r="D279" s="356" t="s">
        <v>714</v>
      </c>
      <c r="E279" s="375"/>
      <c r="F279" s="375"/>
      <c r="G279" s="375"/>
      <c r="H279" s="375"/>
      <c r="I279" s="375"/>
      <c r="J279" s="375"/>
      <c r="K279" s="375"/>
      <c r="L279" s="375"/>
    </row>
    <row r="280" spans="1:26" ht="30.6" x14ac:dyDescent="0.2">
      <c r="A280" s="375"/>
      <c r="B280" s="375"/>
      <c r="C280" s="375"/>
      <c r="D280" s="356" t="s">
        <v>748</v>
      </c>
      <c r="E280" s="375"/>
      <c r="F280" s="375"/>
      <c r="G280" s="375"/>
      <c r="H280" s="375"/>
      <c r="I280" s="375"/>
      <c r="J280" s="375"/>
      <c r="K280" s="375"/>
      <c r="L280" s="375"/>
    </row>
    <row r="281" spans="1:26" ht="102" x14ac:dyDescent="0.2">
      <c r="A281" s="375"/>
      <c r="B281" s="375"/>
      <c r="C281" s="375"/>
      <c r="D281" s="356" t="s">
        <v>749</v>
      </c>
      <c r="E281" s="375"/>
      <c r="F281" s="375"/>
      <c r="G281" s="375"/>
      <c r="H281" s="375"/>
      <c r="I281" s="375"/>
      <c r="J281" s="375"/>
      <c r="K281" s="375"/>
      <c r="L281" s="375"/>
    </row>
    <row r="282" spans="1:26" x14ac:dyDescent="0.2">
      <c r="A282" s="375"/>
      <c r="B282" s="375"/>
      <c r="C282" s="375"/>
      <c r="D282" s="376" t="s">
        <v>206</v>
      </c>
      <c r="E282" s="377" t="s">
        <v>758</v>
      </c>
      <c r="F282" s="377"/>
      <c r="G282" s="377"/>
      <c r="H282" s="378">
        <v>117071.49</v>
      </c>
      <c r="I282" s="375"/>
      <c r="J282" s="375"/>
      <c r="K282" s="375"/>
      <c r="L282" s="375"/>
    </row>
    <row r="283" spans="1:26" x14ac:dyDescent="0.2">
      <c r="A283" s="375"/>
      <c r="B283" s="375"/>
      <c r="C283" s="375"/>
      <c r="D283" s="376" t="s">
        <v>207</v>
      </c>
      <c r="E283" s="377" t="s">
        <v>759</v>
      </c>
      <c r="F283" s="377"/>
      <c r="G283" s="377"/>
      <c r="H283" s="378">
        <v>66897.990000000005</v>
      </c>
      <c r="I283" s="375"/>
      <c r="J283" s="375"/>
      <c r="K283" s="375"/>
      <c r="L283" s="375"/>
    </row>
    <row r="284" spans="1:26" x14ac:dyDescent="0.2">
      <c r="A284" s="375"/>
      <c r="B284" s="375"/>
      <c r="C284" s="375"/>
      <c r="D284" s="379" t="s">
        <v>715</v>
      </c>
      <c r="E284" s="380"/>
      <c r="F284" s="380"/>
      <c r="G284" s="380"/>
      <c r="H284" s="381">
        <v>1418959.56</v>
      </c>
      <c r="I284" s="375"/>
      <c r="J284" s="375"/>
      <c r="K284" s="375"/>
      <c r="L284" s="375"/>
    </row>
    <row r="285" spans="1:26" s="630" customFormat="1" ht="40.799999999999997" x14ac:dyDescent="0.2">
      <c r="A285" s="626">
        <v>42</v>
      </c>
      <c r="B285" s="626">
        <v>43</v>
      </c>
      <c r="C285" s="626" t="s">
        <v>762</v>
      </c>
      <c r="D285" s="626" t="s">
        <v>724</v>
      </c>
      <c r="E285" s="627">
        <v>1.08</v>
      </c>
      <c r="F285" s="628">
        <v>551.22950000000003</v>
      </c>
      <c r="G285" s="628">
        <v>551.22950000000003</v>
      </c>
      <c r="H285" s="629">
        <v>7882.14</v>
      </c>
      <c r="I285" s="629" t="s">
        <v>281</v>
      </c>
      <c r="J285" s="629">
        <v>7882.14</v>
      </c>
      <c r="K285" s="628" t="s">
        <v>281</v>
      </c>
      <c r="L285" s="628" t="s">
        <v>281</v>
      </c>
      <c r="M285" s="634">
        <v>1.08</v>
      </c>
      <c r="N285" s="634" t="s">
        <v>1700</v>
      </c>
      <c r="O285" s="634" t="s">
        <v>2401</v>
      </c>
      <c r="T285" s="630">
        <v>15056.76</v>
      </c>
      <c r="V285" s="630" t="s">
        <v>281</v>
      </c>
      <c r="W285" s="630">
        <v>7882.14</v>
      </c>
      <c r="X285" s="630">
        <v>5199</v>
      </c>
      <c r="Y285" s="630" t="s">
        <v>281</v>
      </c>
      <c r="Z285" s="630">
        <v>10.01052</v>
      </c>
    </row>
    <row r="286" spans="1:26" x14ac:dyDescent="0.2">
      <c r="A286" s="370"/>
      <c r="B286" s="370"/>
      <c r="C286" s="370"/>
      <c r="D286" s="371" t="s">
        <v>763</v>
      </c>
      <c r="E286" s="372"/>
      <c r="F286" s="373" t="s">
        <v>281</v>
      </c>
      <c r="G286" s="373">
        <v>107.52500000000001</v>
      </c>
      <c r="H286" s="372"/>
      <c r="I286" s="372"/>
      <c r="J286" s="374">
        <v>5199</v>
      </c>
      <c r="K286" s="373">
        <v>9.2690000000000001</v>
      </c>
      <c r="L286" s="373">
        <v>10.01052</v>
      </c>
    </row>
    <row r="287" spans="1:26" ht="20.399999999999999" x14ac:dyDescent="0.2">
      <c r="A287" s="375"/>
      <c r="B287" s="375"/>
      <c r="C287" s="375"/>
      <c r="D287" s="356" t="s">
        <v>714</v>
      </c>
      <c r="E287" s="375"/>
      <c r="F287" s="375"/>
      <c r="G287" s="375"/>
      <c r="H287" s="375"/>
      <c r="I287" s="375"/>
      <c r="J287" s="375"/>
      <c r="K287" s="375"/>
      <c r="L287" s="375"/>
    </row>
    <row r="288" spans="1:26" ht="20.399999999999999" x14ac:dyDescent="0.2">
      <c r="A288" s="375"/>
      <c r="B288" s="375"/>
      <c r="C288" s="375"/>
      <c r="D288" s="356" t="s">
        <v>736</v>
      </c>
      <c r="E288" s="375"/>
      <c r="F288" s="375"/>
      <c r="G288" s="375"/>
      <c r="H288" s="375"/>
      <c r="I288" s="375"/>
      <c r="J288" s="375"/>
      <c r="K288" s="375"/>
      <c r="L288" s="375"/>
    </row>
    <row r="289" spans="1:26" ht="81.599999999999994" x14ac:dyDescent="0.2">
      <c r="A289" s="375"/>
      <c r="B289" s="375"/>
      <c r="C289" s="375"/>
      <c r="D289" s="356" t="s">
        <v>737</v>
      </c>
      <c r="E289" s="375"/>
      <c r="F289" s="375"/>
      <c r="G289" s="375"/>
      <c r="H289" s="375"/>
      <c r="I289" s="375"/>
      <c r="J289" s="375"/>
      <c r="K289" s="375"/>
      <c r="L289" s="375"/>
    </row>
    <row r="290" spans="1:26" x14ac:dyDescent="0.2">
      <c r="A290" s="375"/>
      <c r="B290" s="375"/>
      <c r="C290" s="375"/>
      <c r="D290" s="376" t="s">
        <v>206</v>
      </c>
      <c r="E290" s="377" t="s">
        <v>764</v>
      </c>
      <c r="F290" s="377"/>
      <c r="G290" s="377"/>
      <c r="H290" s="378">
        <v>4783.08</v>
      </c>
      <c r="I290" s="375"/>
      <c r="J290" s="375"/>
      <c r="K290" s="375"/>
      <c r="L290" s="375"/>
    </row>
    <row r="291" spans="1:26" x14ac:dyDescent="0.2">
      <c r="A291" s="375"/>
      <c r="B291" s="375"/>
      <c r="C291" s="375"/>
      <c r="D291" s="376" t="s">
        <v>207</v>
      </c>
      <c r="E291" s="377" t="s">
        <v>765</v>
      </c>
      <c r="F291" s="377"/>
      <c r="G291" s="377"/>
      <c r="H291" s="378">
        <v>2391.54</v>
      </c>
      <c r="I291" s="375"/>
      <c r="J291" s="375"/>
      <c r="K291" s="375"/>
      <c r="L291" s="375"/>
    </row>
    <row r="292" spans="1:26" x14ac:dyDescent="0.2">
      <c r="A292" s="375"/>
      <c r="B292" s="375"/>
      <c r="C292" s="375"/>
      <c r="D292" s="379" t="s">
        <v>715</v>
      </c>
      <c r="E292" s="380"/>
      <c r="F292" s="380"/>
      <c r="G292" s="380"/>
      <c r="H292" s="381">
        <v>15056.76</v>
      </c>
      <c r="I292" s="375"/>
      <c r="J292" s="375"/>
      <c r="K292" s="375"/>
      <c r="L292" s="375"/>
    </row>
    <row r="293" spans="1:26" s="625" customFormat="1" ht="30.6" x14ac:dyDescent="0.2">
      <c r="A293" s="621">
        <v>43</v>
      </c>
      <c r="B293" s="621">
        <v>44</v>
      </c>
      <c r="C293" s="621" t="s">
        <v>766</v>
      </c>
      <c r="D293" s="621" t="s">
        <v>725</v>
      </c>
      <c r="E293" s="622">
        <v>1003</v>
      </c>
      <c r="F293" s="623">
        <v>72.762799999999999</v>
      </c>
      <c r="G293" s="623" t="s">
        <v>281</v>
      </c>
      <c r="H293" s="624">
        <v>595521.22</v>
      </c>
      <c r="I293" s="624" t="s">
        <v>281</v>
      </c>
      <c r="J293" s="624" t="s">
        <v>281</v>
      </c>
      <c r="K293" s="623" t="s">
        <v>281</v>
      </c>
      <c r="L293" s="623" t="s">
        <v>281</v>
      </c>
      <c r="M293" s="633">
        <v>0</v>
      </c>
      <c r="N293" s="633" t="s">
        <v>2375</v>
      </c>
      <c r="O293" s="633" t="s">
        <v>2401</v>
      </c>
      <c r="T293" s="625">
        <v>595521.22</v>
      </c>
      <c r="V293" s="625" t="s">
        <v>281</v>
      </c>
      <c r="W293" s="625" t="s">
        <v>281</v>
      </c>
      <c r="X293" s="625" t="s">
        <v>281</v>
      </c>
      <c r="Y293" s="625" t="s">
        <v>281</v>
      </c>
      <c r="Z293" s="625" t="s">
        <v>281</v>
      </c>
    </row>
    <row r="294" spans="1:26" x14ac:dyDescent="0.2">
      <c r="A294" s="370"/>
      <c r="B294" s="370"/>
      <c r="C294" s="370"/>
      <c r="D294" s="371" t="s">
        <v>745</v>
      </c>
      <c r="E294" s="372"/>
      <c r="F294" s="373" t="s">
        <v>281</v>
      </c>
      <c r="G294" s="373" t="s">
        <v>281</v>
      </c>
      <c r="H294" s="372"/>
      <c r="I294" s="372"/>
      <c r="J294" s="374" t="s">
        <v>281</v>
      </c>
      <c r="K294" s="373" t="s">
        <v>281</v>
      </c>
      <c r="L294" s="373" t="s">
        <v>281</v>
      </c>
    </row>
    <row r="295" spans="1:26" x14ac:dyDescent="0.2">
      <c r="A295" s="375"/>
      <c r="B295" s="375"/>
      <c r="C295" s="375"/>
      <c r="D295" s="356" t="s">
        <v>718</v>
      </c>
      <c r="E295" s="375"/>
      <c r="F295" s="375"/>
      <c r="G295" s="375"/>
      <c r="H295" s="375"/>
      <c r="I295" s="375"/>
      <c r="J295" s="375"/>
      <c r="K295" s="375"/>
      <c r="L295" s="375"/>
    </row>
    <row r="296" spans="1:26" s="630" customFormat="1" ht="40.799999999999997" x14ac:dyDescent="0.2">
      <c r="A296" s="626">
        <v>44</v>
      </c>
      <c r="B296" s="626">
        <v>45</v>
      </c>
      <c r="C296" s="626" t="s">
        <v>768</v>
      </c>
      <c r="D296" s="626" t="s">
        <v>726</v>
      </c>
      <c r="E296" s="627">
        <v>1.0029999999999999</v>
      </c>
      <c r="F296" s="628">
        <v>4218.6989999999996</v>
      </c>
      <c r="G296" s="628">
        <v>4097.7489999999998</v>
      </c>
      <c r="H296" s="629">
        <v>59688.77</v>
      </c>
      <c r="I296" s="629">
        <v>5236.29</v>
      </c>
      <c r="J296" s="629">
        <v>54416.959999999999</v>
      </c>
      <c r="K296" s="628">
        <v>14.95</v>
      </c>
      <c r="L296" s="628">
        <v>14.99485</v>
      </c>
      <c r="M296" s="634">
        <v>1.0029999999999999</v>
      </c>
      <c r="N296" s="634" t="s">
        <v>2404</v>
      </c>
      <c r="O296" s="634" t="s">
        <v>2401</v>
      </c>
      <c r="T296" s="630">
        <v>103088.02</v>
      </c>
      <c r="V296" s="630">
        <v>5236.29</v>
      </c>
      <c r="W296" s="630">
        <v>54416.959999999999</v>
      </c>
      <c r="X296" s="630">
        <v>26212.44</v>
      </c>
      <c r="Y296" s="630">
        <v>14.99485</v>
      </c>
      <c r="Z296" s="630">
        <v>43.369720000000001</v>
      </c>
    </row>
    <row r="297" spans="1:26" x14ac:dyDescent="0.2">
      <c r="A297" s="370"/>
      <c r="B297" s="370"/>
      <c r="C297" s="370"/>
      <c r="D297" s="371" t="s">
        <v>763</v>
      </c>
      <c r="E297" s="372"/>
      <c r="F297" s="373">
        <v>116.61</v>
      </c>
      <c r="G297" s="373">
        <v>583.74</v>
      </c>
      <c r="H297" s="372"/>
      <c r="I297" s="372"/>
      <c r="J297" s="374">
        <v>26212.44</v>
      </c>
      <c r="K297" s="373">
        <v>43.24</v>
      </c>
      <c r="L297" s="373">
        <v>43.369720000000001</v>
      </c>
    </row>
    <row r="298" spans="1:26" ht="20.399999999999999" x14ac:dyDescent="0.2">
      <c r="A298" s="375"/>
      <c r="B298" s="375"/>
      <c r="C298" s="375"/>
      <c r="D298" s="356" t="s">
        <v>714</v>
      </c>
      <c r="E298" s="375"/>
      <c r="F298" s="375"/>
      <c r="G298" s="375"/>
      <c r="H298" s="375"/>
      <c r="I298" s="375"/>
      <c r="J298" s="375"/>
      <c r="K298" s="375"/>
      <c r="L298" s="375"/>
    </row>
    <row r="299" spans="1:26" ht="20.399999999999999" x14ac:dyDescent="0.2">
      <c r="A299" s="375"/>
      <c r="B299" s="375"/>
      <c r="C299" s="375"/>
      <c r="D299" s="356" t="s">
        <v>736</v>
      </c>
      <c r="E299" s="375"/>
      <c r="F299" s="375"/>
      <c r="G299" s="375"/>
      <c r="H299" s="375"/>
      <c r="I299" s="375"/>
      <c r="J299" s="375"/>
      <c r="K299" s="375"/>
      <c r="L299" s="375"/>
    </row>
    <row r="300" spans="1:26" ht="81.599999999999994" x14ac:dyDescent="0.2">
      <c r="A300" s="375"/>
      <c r="B300" s="375"/>
      <c r="C300" s="375"/>
      <c r="D300" s="356" t="s">
        <v>737</v>
      </c>
      <c r="E300" s="375"/>
      <c r="F300" s="375"/>
      <c r="G300" s="375"/>
      <c r="H300" s="375"/>
      <c r="I300" s="375"/>
      <c r="J300" s="375"/>
      <c r="K300" s="375"/>
      <c r="L300" s="375"/>
    </row>
    <row r="301" spans="1:26" x14ac:dyDescent="0.2">
      <c r="A301" s="375"/>
      <c r="B301" s="375"/>
      <c r="C301" s="375"/>
      <c r="D301" s="376" t="s">
        <v>206</v>
      </c>
      <c r="E301" s="377" t="s">
        <v>764</v>
      </c>
      <c r="F301" s="377"/>
      <c r="G301" s="377"/>
      <c r="H301" s="378">
        <v>28932.83</v>
      </c>
      <c r="I301" s="375"/>
      <c r="J301" s="375"/>
      <c r="K301" s="375"/>
      <c r="L301" s="375"/>
    </row>
    <row r="302" spans="1:26" x14ac:dyDescent="0.2">
      <c r="A302" s="375"/>
      <c r="B302" s="375"/>
      <c r="C302" s="375"/>
      <c r="D302" s="376" t="s">
        <v>207</v>
      </c>
      <c r="E302" s="377" t="s">
        <v>765</v>
      </c>
      <c r="F302" s="377"/>
      <c r="G302" s="377"/>
      <c r="H302" s="378">
        <v>14466.42</v>
      </c>
      <c r="I302" s="375"/>
      <c r="J302" s="375"/>
      <c r="K302" s="375"/>
      <c r="L302" s="375"/>
    </row>
    <row r="303" spans="1:26" x14ac:dyDescent="0.2">
      <c r="A303" s="375"/>
      <c r="B303" s="375"/>
      <c r="C303" s="375"/>
      <c r="D303" s="379" t="s">
        <v>715</v>
      </c>
      <c r="E303" s="380"/>
      <c r="F303" s="380"/>
      <c r="G303" s="380"/>
      <c r="H303" s="381">
        <v>103088.02</v>
      </c>
      <c r="I303" s="375"/>
      <c r="J303" s="375"/>
      <c r="K303" s="375"/>
      <c r="L303" s="375"/>
    </row>
    <row r="304" spans="1:26" s="630" customFormat="1" ht="30.6" x14ac:dyDescent="0.2">
      <c r="A304" s="626">
        <v>45</v>
      </c>
      <c r="B304" s="626">
        <v>46</v>
      </c>
      <c r="C304" s="626" t="s">
        <v>753</v>
      </c>
      <c r="D304" s="626" t="s">
        <v>754</v>
      </c>
      <c r="E304" s="627">
        <v>153.6</v>
      </c>
      <c r="F304" s="628">
        <v>3.28</v>
      </c>
      <c r="G304" s="628">
        <v>3.28</v>
      </c>
      <c r="H304" s="629">
        <v>6670.85</v>
      </c>
      <c r="I304" s="629" t="s">
        <v>281</v>
      </c>
      <c r="J304" s="629">
        <v>6670.85</v>
      </c>
      <c r="K304" s="628" t="s">
        <v>281</v>
      </c>
      <c r="L304" s="628" t="s">
        <v>281</v>
      </c>
      <c r="M304" s="634">
        <f>M277*2.5*0.8</f>
        <v>153.6</v>
      </c>
      <c r="N304" s="634" t="s">
        <v>2405</v>
      </c>
      <c r="O304" s="634" t="s">
        <v>2401</v>
      </c>
      <c r="T304" s="630">
        <v>6670.85</v>
      </c>
      <c r="V304" s="630" t="s">
        <v>281</v>
      </c>
      <c r="W304" s="630">
        <v>6670.85</v>
      </c>
      <c r="X304" s="630" t="s">
        <v>281</v>
      </c>
      <c r="Y304" s="630" t="s">
        <v>281</v>
      </c>
      <c r="Z304" s="630" t="s">
        <v>281</v>
      </c>
    </row>
    <row r="305" spans="1:26" x14ac:dyDescent="0.2">
      <c r="A305" s="370"/>
      <c r="B305" s="370"/>
      <c r="C305" s="370"/>
      <c r="D305" s="371" t="s">
        <v>743</v>
      </c>
      <c r="E305" s="372"/>
      <c r="F305" s="373" t="s">
        <v>281</v>
      </c>
      <c r="G305" s="373" t="s">
        <v>281</v>
      </c>
      <c r="H305" s="372"/>
      <c r="I305" s="372"/>
      <c r="J305" s="374" t="s">
        <v>281</v>
      </c>
      <c r="K305" s="373" t="s">
        <v>281</v>
      </c>
      <c r="L305" s="373" t="s">
        <v>281</v>
      </c>
    </row>
    <row r="306" spans="1:26" ht="20.399999999999999" x14ac:dyDescent="0.2">
      <c r="A306" s="375"/>
      <c r="B306" s="375"/>
      <c r="C306" s="375"/>
      <c r="D306" s="356" t="s">
        <v>714</v>
      </c>
      <c r="E306" s="375"/>
      <c r="F306" s="375"/>
      <c r="G306" s="375"/>
      <c r="H306" s="375"/>
      <c r="I306" s="375"/>
      <c r="J306" s="375"/>
      <c r="K306" s="375"/>
      <c r="L306" s="375"/>
    </row>
    <row r="307" spans="1:26" x14ac:dyDescent="0.2">
      <c r="A307" s="375"/>
      <c r="B307" s="375"/>
      <c r="C307" s="375"/>
      <c r="D307" s="379" t="s">
        <v>715</v>
      </c>
      <c r="E307" s="380"/>
      <c r="F307" s="380"/>
      <c r="G307" s="380"/>
      <c r="H307" s="381">
        <v>6670.85</v>
      </c>
      <c r="I307" s="375"/>
      <c r="J307" s="375"/>
      <c r="K307" s="375"/>
      <c r="L307" s="375"/>
    </row>
    <row r="308" spans="1:26" s="630" customFormat="1" ht="30.6" x14ac:dyDescent="0.2">
      <c r="A308" s="626">
        <v>46</v>
      </c>
      <c r="B308" s="626">
        <v>47</v>
      </c>
      <c r="C308" s="626" t="s">
        <v>755</v>
      </c>
      <c r="D308" s="626" t="s">
        <v>720</v>
      </c>
      <c r="E308" s="627">
        <v>38.4</v>
      </c>
      <c r="F308" s="628">
        <v>49.427</v>
      </c>
      <c r="G308" s="628">
        <v>49.427</v>
      </c>
      <c r="H308" s="629">
        <v>25129.34</v>
      </c>
      <c r="I308" s="629" t="s">
        <v>281</v>
      </c>
      <c r="J308" s="629">
        <v>25129.34</v>
      </c>
      <c r="K308" s="628" t="s">
        <v>281</v>
      </c>
      <c r="L308" s="628" t="s">
        <v>281</v>
      </c>
      <c r="M308" s="634">
        <f>M277*2.5*0.2</f>
        <v>38.4</v>
      </c>
      <c r="N308" s="634" t="s">
        <v>2406</v>
      </c>
      <c r="O308" s="634" t="s">
        <v>2401</v>
      </c>
      <c r="T308" s="630">
        <v>25129.34</v>
      </c>
      <c r="V308" s="630" t="s">
        <v>281</v>
      </c>
      <c r="W308" s="630">
        <v>25129.34</v>
      </c>
      <c r="X308" s="630" t="s">
        <v>281</v>
      </c>
      <c r="Y308" s="630" t="s">
        <v>281</v>
      </c>
      <c r="Z308" s="630" t="s">
        <v>281</v>
      </c>
    </row>
    <row r="309" spans="1:26" x14ac:dyDescent="0.2">
      <c r="A309" s="370"/>
      <c r="B309" s="370"/>
      <c r="C309" s="370"/>
      <c r="D309" s="371" t="s">
        <v>743</v>
      </c>
      <c r="E309" s="372"/>
      <c r="F309" s="373" t="s">
        <v>281</v>
      </c>
      <c r="G309" s="373" t="s">
        <v>281</v>
      </c>
      <c r="H309" s="372"/>
      <c r="I309" s="372"/>
      <c r="J309" s="374" t="s">
        <v>281</v>
      </c>
      <c r="K309" s="373" t="s">
        <v>281</v>
      </c>
      <c r="L309" s="373" t="s">
        <v>281</v>
      </c>
    </row>
    <row r="310" spans="1:26" ht="20.399999999999999" x14ac:dyDescent="0.2">
      <c r="A310" s="375"/>
      <c r="B310" s="375"/>
      <c r="C310" s="375"/>
      <c r="D310" s="356" t="s">
        <v>714</v>
      </c>
      <c r="E310" s="375"/>
      <c r="F310" s="375"/>
      <c r="G310" s="375"/>
      <c r="H310" s="375"/>
      <c r="I310" s="375"/>
      <c r="J310" s="375"/>
      <c r="K310" s="375"/>
      <c r="L310" s="375"/>
    </row>
    <row r="311" spans="1:26" ht="20.399999999999999" x14ac:dyDescent="0.2">
      <c r="A311" s="375"/>
      <c r="B311" s="375"/>
      <c r="C311" s="375"/>
      <c r="D311" s="356" t="s">
        <v>736</v>
      </c>
      <c r="E311" s="375"/>
      <c r="F311" s="375"/>
      <c r="G311" s="375"/>
      <c r="H311" s="375"/>
      <c r="I311" s="375"/>
      <c r="J311" s="375"/>
      <c r="K311" s="375"/>
      <c r="L311" s="375"/>
    </row>
    <row r="312" spans="1:26" ht="81.599999999999994" x14ac:dyDescent="0.2">
      <c r="A312" s="375"/>
      <c r="B312" s="375"/>
      <c r="C312" s="375"/>
      <c r="D312" s="356" t="s">
        <v>737</v>
      </c>
      <c r="E312" s="375"/>
      <c r="F312" s="375"/>
      <c r="G312" s="375"/>
      <c r="H312" s="375"/>
      <c r="I312" s="375"/>
      <c r="J312" s="375"/>
      <c r="K312" s="375"/>
      <c r="L312" s="375"/>
    </row>
    <row r="313" spans="1:26" x14ac:dyDescent="0.2">
      <c r="A313" s="375"/>
      <c r="B313" s="375"/>
      <c r="C313" s="375"/>
      <c r="D313" s="379" t="s">
        <v>715</v>
      </c>
      <c r="E313" s="380"/>
      <c r="F313" s="380"/>
      <c r="G313" s="380"/>
      <c r="H313" s="381">
        <v>25129.34</v>
      </c>
      <c r="I313" s="375"/>
      <c r="J313" s="375"/>
      <c r="K313" s="375"/>
      <c r="L313" s="375"/>
    </row>
    <row r="314" spans="1:26" s="630" customFormat="1" ht="40.799999999999997" x14ac:dyDescent="0.2">
      <c r="A314" s="626">
        <v>47</v>
      </c>
      <c r="B314" s="626">
        <v>48</v>
      </c>
      <c r="C314" s="626" t="s">
        <v>744</v>
      </c>
      <c r="D314" s="626" t="s">
        <v>717</v>
      </c>
      <c r="E314" s="627">
        <v>76.8</v>
      </c>
      <c r="F314" s="628">
        <v>162.38</v>
      </c>
      <c r="G314" s="628" t="s">
        <v>281</v>
      </c>
      <c r="H314" s="629">
        <v>101761.54</v>
      </c>
      <c r="I314" s="629" t="s">
        <v>281</v>
      </c>
      <c r="J314" s="629" t="s">
        <v>281</v>
      </c>
      <c r="K314" s="628" t="s">
        <v>281</v>
      </c>
      <c r="L314" s="628" t="s">
        <v>281</v>
      </c>
      <c r="M314" s="634">
        <f>M277</f>
        <v>76.8</v>
      </c>
      <c r="N314" s="634" t="s">
        <v>2393</v>
      </c>
      <c r="O314" s="634" t="s">
        <v>2401</v>
      </c>
      <c r="T314" s="630">
        <v>101761.54</v>
      </c>
      <c r="V314" s="630" t="s">
        <v>281</v>
      </c>
      <c r="W314" s="630" t="s">
        <v>281</v>
      </c>
      <c r="X314" s="630" t="s">
        <v>281</v>
      </c>
      <c r="Y314" s="630" t="s">
        <v>281</v>
      </c>
      <c r="Z314" s="630" t="s">
        <v>281</v>
      </c>
    </row>
    <row r="315" spans="1:26" x14ac:dyDescent="0.2">
      <c r="A315" s="370"/>
      <c r="B315" s="370"/>
      <c r="C315" s="370"/>
      <c r="D315" s="371" t="s">
        <v>745</v>
      </c>
      <c r="E315" s="372"/>
      <c r="F315" s="373" t="s">
        <v>281</v>
      </c>
      <c r="G315" s="373" t="s">
        <v>281</v>
      </c>
      <c r="H315" s="372"/>
      <c r="I315" s="372"/>
      <c r="J315" s="374" t="s">
        <v>281</v>
      </c>
      <c r="K315" s="373" t="s">
        <v>281</v>
      </c>
      <c r="L315" s="373" t="s">
        <v>281</v>
      </c>
    </row>
    <row r="316" spans="1:26" x14ac:dyDescent="0.2">
      <c r="A316" s="375"/>
      <c r="B316" s="375"/>
      <c r="C316" s="375"/>
      <c r="D316" s="356" t="s">
        <v>718</v>
      </c>
      <c r="E316" s="375"/>
      <c r="F316" s="375"/>
      <c r="G316" s="375"/>
      <c r="H316" s="375"/>
      <c r="I316" s="375"/>
      <c r="J316" s="375"/>
      <c r="K316" s="375"/>
      <c r="L316" s="375"/>
    </row>
    <row r="317" spans="1:26" s="625" customFormat="1" ht="30.6" x14ac:dyDescent="0.2">
      <c r="A317" s="621">
        <v>48</v>
      </c>
      <c r="B317" s="621">
        <v>49</v>
      </c>
      <c r="C317" s="621" t="s">
        <v>753</v>
      </c>
      <c r="D317" s="621" t="s">
        <v>754</v>
      </c>
      <c r="E317" s="622">
        <v>1920</v>
      </c>
      <c r="F317" s="623">
        <v>3.28</v>
      </c>
      <c r="G317" s="623">
        <v>3.28</v>
      </c>
      <c r="H317" s="624">
        <v>83385.600000000006</v>
      </c>
      <c r="I317" s="624" t="s">
        <v>281</v>
      </c>
      <c r="J317" s="624">
        <v>83385.600000000006</v>
      </c>
      <c r="K317" s="623" t="s">
        <v>281</v>
      </c>
      <c r="L317" s="623" t="s">
        <v>281</v>
      </c>
      <c r="M317" s="633">
        <v>0</v>
      </c>
      <c r="N317" s="633" t="s">
        <v>2375</v>
      </c>
      <c r="O317" s="633" t="s">
        <v>2407</v>
      </c>
      <c r="T317" s="625">
        <v>83385.600000000006</v>
      </c>
      <c r="V317" s="625" t="s">
        <v>281</v>
      </c>
      <c r="W317" s="625">
        <v>83385.600000000006</v>
      </c>
      <c r="X317" s="625" t="s">
        <v>281</v>
      </c>
      <c r="Y317" s="625" t="s">
        <v>281</v>
      </c>
      <c r="Z317" s="625" t="s">
        <v>281</v>
      </c>
    </row>
    <row r="318" spans="1:26" x14ac:dyDescent="0.2">
      <c r="A318" s="370"/>
      <c r="B318" s="370"/>
      <c r="C318" s="370"/>
      <c r="D318" s="371" t="s">
        <v>743</v>
      </c>
      <c r="E318" s="372"/>
      <c r="F318" s="373" t="s">
        <v>281</v>
      </c>
      <c r="G318" s="373" t="s">
        <v>281</v>
      </c>
      <c r="H318" s="372"/>
      <c r="I318" s="372"/>
      <c r="J318" s="374" t="s">
        <v>281</v>
      </c>
      <c r="K318" s="373" t="s">
        <v>281</v>
      </c>
      <c r="L318" s="373" t="s">
        <v>281</v>
      </c>
    </row>
    <row r="319" spans="1:26" ht="20.399999999999999" x14ac:dyDescent="0.2">
      <c r="A319" s="375"/>
      <c r="B319" s="375"/>
      <c r="C319" s="375"/>
      <c r="D319" s="356" t="s">
        <v>714</v>
      </c>
      <c r="E319" s="375"/>
      <c r="F319" s="375"/>
      <c r="G319" s="375"/>
      <c r="H319" s="375"/>
      <c r="I319" s="375"/>
      <c r="J319" s="375"/>
      <c r="K319" s="375"/>
      <c r="L319" s="375"/>
    </row>
    <row r="320" spans="1:26" x14ac:dyDescent="0.2">
      <c r="A320" s="375"/>
      <c r="B320" s="375"/>
      <c r="C320" s="375"/>
      <c r="D320" s="379" t="s">
        <v>715</v>
      </c>
      <c r="E320" s="380"/>
      <c r="F320" s="380"/>
      <c r="G320" s="380"/>
      <c r="H320" s="381">
        <v>83385.600000000006</v>
      </c>
      <c r="I320" s="375"/>
      <c r="J320" s="375"/>
      <c r="K320" s="375"/>
      <c r="L320" s="375"/>
    </row>
    <row r="321" spans="1:26" s="625" customFormat="1" ht="30.6" x14ac:dyDescent="0.2">
      <c r="A321" s="621">
        <v>49</v>
      </c>
      <c r="B321" s="621">
        <v>50</v>
      </c>
      <c r="C321" s="621" t="s">
        <v>755</v>
      </c>
      <c r="D321" s="621" t="s">
        <v>720</v>
      </c>
      <c r="E321" s="622">
        <v>480</v>
      </c>
      <c r="F321" s="623">
        <v>49.427</v>
      </c>
      <c r="G321" s="623">
        <v>49.427</v>
      </c>
      <c r="H321" s="624">
        <v>314116.8</v>
      </c>
      <c r="I321" s="624" t="s">
        <v>281</v>
      </c>
      <c r="J321" s="624">
        <v>314116.8</v>
      </c>
      <c r="K321" s="623" t="s">
        <v>281</v>
      </c>
      <c r="L321" s="623" t="s">
        <v>281</v>
      </c>
      <c r="M321" s="633">
        <v>0</v>
      </c>
      <c r="N321" s="633" t="s">
        <v>2375</v>
      </c>
      <c r="O321" s="633" t="s">
        <v>2407</v>
      </c>
      <c r="T321" s="625">
        <v>314116.8</v>
      </c>
      <c r="V321" s="625" t="s">
        <v>281</v>
      </c>
      <c r="W321" s="625">
        <v>314116.8</v>
      </c>
      <c r="X321" s="625" t="s">
        <v>281</v>
      </c>
      <c r="Y321" s="625" t="s">
        <v>281</v>
      </c>
      <c r="Z321" s="625" t="s">
        <v>281</v>
      </c>
    </row>
    <row r="322" spans="1:26" x14ac:dyDescent="0.2">
      <c r="A322" s="370"/>
      <c r="B322" s="370"/>
      <c r="C322" s="370"/>
      <c r="D322" s="371" t="s">
        <v>743</v>
      </c>
      <c r="E322" s="372"/>
      <c r="F322" s="373" t="s">
        <v>281</v>
      </c>
      <c r="G322" s="373" t="s">
        <v>281</v>
      </c>
      <c r="H322" s="372"/>
      <c r="I322" s="372"/>
      <c r="J322" s="374" t="s">
        <v>281</v>
      </c>
      <c r="K322" s="373" t="s">
        <v>281</v>
      </c>
      <c r="L322" s="373" t="s">
        <v>281</v>
      </c>
    </row>
    <row r="323" spans="1:26" ht="20.399999999999999" x14ac:dyDescent="0.2">
      <c r="A323" s="375"/>
      <c r="B323" s="375"/>
      <c r="C323" s="375"/>
      <c r="D323" s="356" t="s">
        <v>714</v>
      </c>
      <c r="E323" s="375"/>
      <c r="F323" s="375"/>
      <c r="G323" s="375"/>
      <c r="H323" s="375"/>
      <c r="I323" s="375"/>
      <c r="J323" s="375"/>
      <c r="K323" s="375"/>
      <c r="L323" s="375"/>
    </row>
    <row r="324" spans="1:26" ht="20.399999999999999" x14ac:dyDescent="0.2">
      <c r="A324" s="375"/>
      <c r="B324" s="375"/>
      <c r="C324" s="375"/>
      <c r="D324" s="356" t="s">
        <v>736</v>
      </c>
      <c r="E324" s="375"/>
      <c r="F324" s="375"/>
      <c r="G324" s="375"/>
      <c r="H324" s="375"/>
      <c r="I324" s="375"/>
      <c r="J324" s="375"/>
      <c r="K324" s="375"/>
      <c r="L324" s="375"/>
    </row>
    <row r="325" spans="1:26" ht="81.599999999999994" x14ac:dyDescent="0.2">
      <c r="A325" s="375"/>
      <c r="B325" s="375"/>
      <c r="C325" s="375"/>
      <c r="D325" s="356" t="s">
        <v>737</v>
      </c>
      <c r="E325" s="375"/>
      <c r="F325" s="375"/>
      <c r="G325" s="375"/>
      <c r="H325" s="375"/>
      <c r="I325" s="375"/>
      <c r="J325" s="375"/>
      <c r="K325" s="375"/>
      <c r="L325" s="375"/>
    </row>
    <row r="326" spans="1:26" x14ac:dyDescent="0.2">
      <c r="A326" s="375"/>
      <c r="B326" s="375"/>
      <c r="C326" s="375"/>
      <c r="D326" s="379" t="s">
        <v>715</v>
      </c>
      <c r="E326" s="380"/>
      <c r="F326" s="380"/>
      <c r="G326" s="380"/>
      <c r="H326" s="381">
        <v>314116.8</v>
      </c>
      <c r="I326" s="375"/>
      <c r="J326" s="375"/>
      <c r="K326" s="375"/>
      <c r="L326" s="375"/>
    </row>
    <row r="327" spans="1:26" s="625" customFormat="1" ht="40.799999999999997" x14ac:dyDescent="0.2">
      <c r="A327" s="621">
        <v>50</v>
      </c>
      <c r="B327" s="621">
        <v>51</v>
      </c>
      <c r="C327" s="621" t="s">
        <v>744</v>
      </c>
      <c r="D327" s="621" t="s">
        <v>717</v>
      </c>
      <c r="E327" s="622">
        <v>1000</v>
      </c>
      <c r="F327" s="623">
        <v>162.38</v>
      </c>
      <c r="G327" s="623" t="s">
        <v>281</v>
      </c>
      <c r="H327" s="624">
        <v>1325020</v>
      </c>
      <c r="I327" s="624" t="s">
        <v>281</v>
      </c>
      <c r="J327" s="624" t="s">
        <v>281</v>
      </c>
      <c r="K327" s="623" t="s">
        <v>281</v>
      </c>
      <c r="L327" s="623" t="s">
        <v>281</v>
      </c>
      <c r="M327" s="633">
        <v>0</v>
      </c>
      <c r="N327" s="633" t="s">
        <v>2375</v>
      </c>
      <c r="O327" s="633" t="s">
        <v>2407</v>
      </c>
      <c r="T327" s="625">
        <v>1325020</v>
      </c>
      <c r="V327" s="625" t="s">
        <v>281</v>
      </c>
      <c r="W327" s="625" t="s">
        <v>281</v>
      </c>
      <c r="X327" s="625" t="s">
        <v>281</v>
      </c>
      <c r="Y327" s="625" t="s">
        <v>281</v>
      </c>
      <c r="Z327" s="625" t="s">
        <v>281</v>
      </c>
    </row>
    <row r="328" spans="1:26" x14ac:dyDescent="0.2">
      <c r="A328" s="370"/>
      <c r="B328" s="370"/>
      <c r="C328" s="370"/>
      <c r="D328" s="371" t="s">
        <v>745</v>
      </c>
      <c r="E328" s="372"/>
      <c r="F328" s="373" t="s">
        <v>281</v>
      </c>
      <c r="G328" s="373" t="s">
        <v>281</v>
      </c>
      <c r="H328" s="372"/>
      <c r="I328" s="372"/>
      <c r="J328" s="374" t="s">
        <v>281</v>
      </c>
      <c r="K328" s="373" t="s">
        <v>281</v>
      </c>
      <c r="L328" s="373" t="s">
        <v>281</v>
      </c>
    </row>
    <row r="329" spans="1:26" x14ac:dyDescent="0.2">
      <c r="A329" s="375"/>
      <c r="B329" s="375"/>
      <c r="C329" s="375"/>
      <c r="D329" s="356" t="s">
        <v>718</v>
      </c>
      <c r="E329" s="375"/>
      <c r="F329" s="375"/>
      <c r="G329" s="375"/>
      <c r="H329" s="375"/>
      <c r="I329" s="375"/>
      <c r="J329" s="375"/>
      <c r="K329" s="375"/>
      <c r="L329" s="375"/>
    </row>
    <row r="330" spans="1:26" x14ac:dyDescent="0.2">
      <c r="A330" s="1083" t="s">
        <v>773</v>
      </c>
      <c r="B330" s="1083"/>
      <c r="C330" s="1083"/>
      <c r="D330" s="1083"/>
      <c r="E330" s="1083"/>
      <c r="F330" s="1083"/>
      <c r="G330" s="1083"/>
      <c r="H330" s="1083"/>
      <c r="I330" s="1083"/>
      <c r="J330" s="1083"/>
      <c r="K330" s="1083"/>
      <c r="L330" s="1083"/>
    </row>
    <row r="331" spans="1:26" x14ac:dyDescent="0.2">
      <c r="A331" s="1084" t="s">
        <v>774</v>
      </c>
      <c r="B331" s="1084"/>
      <c r="C331" s="1084"/>
      <c r="D331" s="1084"/>
      <c r="E331" s="1084"/>
      <c r="F331" s="1084"/>
      <c r="G331" s="1084"/>
      <c r="H331" s="382">
        <v>30236687.300000001</v>
      </c>
      <c r="I331" s="383"/>
      <c r="J331" s="383"/>
      <c r="K331" s="383"/>
      <c r="L331" s="383"/>
    </row>
    <row r="332" spans="1:26" x14ac:dyDescent="0.2">
      <c r="A332" s="1084" t="s">
        <v>775</v>
      </c>
      <c r="B332" s="1084"/>
      <c r="C332" s="1084"/>
      <c r="D332" s="1084"/>
      <c r="E332" s="1084"/>
      <c r="F332" s="1084"/>
      <c r="G332" s="1084"/>
      <c r="H332" s="382">
        <v>7340683.4400000004</v>
      </c>
      <c r="I332" s="383"/>
      <c r="J332" s="383"/>
      <c r="K332" s="383"/>
      <c r="L332" s="383"/>
    </row>
    <row r="333" spans="1:26" x14ac:dyDescent="0.2">
      <c r="A333" s="1084" t="s">
        <v>776</v>
      </c>
      <c r="B333" s="1084"/>
      <c r="C333" s="1084"/>
      <c r="D333" s="1084"/>
      <c r="E333" s="1084"/>
      <c r="F333" s="1084"/>
      <c r="G333" s="1084"/>
      <c r="H333" s="382">
        <v>13492409.58</v>
      </c>
      <c r="I333" s="383"/>
      <c r="J333" s="383"/>
      <c r="K333" s="383"/>
      <c r="L333" s="383"/>
    </row>
    <row r="334" spans="1:26" x14ac:dyDescent="0.2">
      <c r="A334" s="1084" t="s">
        <v>777</v>
      </c>
      <c r="B334" s="1084"/>
      <c r="C334" s="1084"/>
      <c r="D334" s="1084"/>
      <c r="E334" s="1084"/>
      <c r="F334" s="1084"/>
      <c r="G334" s="1084"/>
      <c r="H334" s="382">
        <v>3057118.75</v>
      </c>
      <c r="I334" s="383"/>
      <c r="J334" s="383"/>
      <c r="K334" s="383"/>
      <c r="L334" s="383"/>
    </row>
    <row r="335" spans="1:26" x14ac:dyDescent="0.2">
      <c r="A335" s="1084" t="s">
        <v>778</v>
      </c>
      <c r="B335" s="1084"/>
      <c r="C335" s="1084"/>
      <c r="D335" s="1084"/>
      <c r="E335" s="1084"/>
      <c r="F335" s="1084"/>
      <c r="G335" s="1084"/>
      <c r="H335" s="382">
        <v>9403594.2799999993</v>
      </c>
      <c r="I335" s="383"/>
      <c r="J335" s="383"/>
      <c r="K335" s="383"/>
      <c r="L335" s="383"/>
    </row>
    <row r="336" spans="1:26" x14ac:dyDescent="0.2">
      <c r="A336" s="1084" t="s">
        <v>779</v>
      </c>
      <c r="B336" s="1084"/>
      <c r="C336" s="1084"/>
      <c r="D336" s="1084"/>
      <c r="E336" s="1084"/>
      <c r="F336" s="1084"/>
      <c r="G336" s="1084"/>
      <c r="H336" s="382">
        <v>48144716.009999998</v>
      </c>
      <c r="I336" s="383"/>
      <c r="J336" s="383"/>
      <c r="K336" s="383"/>
      <c r="L336" s="383"/>
    </row>
    <row r="337" spans="1:15" x14ac:dyDescent="0.2">
      <c r="A337" s="1084" t="s">
        <v>206</v>
      </c>
      <c r="B337" s="1084"/>
      <c r="C337" s="1084"/>
      <c r="D337" s="1084"/>
      <c r="E337" s="1084"/>
      <c r="F337" s="1084"/>
      <c r="G337" s="1084"/>
      <c r="H337" s="382">
        <v>11402267.74</v>
      </c>
      <c r="I337" s="383"/>
      <c r="J337" s="383"/>
      <c r="K337" s="383"/>
      <c r="L337" s="383"/>
    </row>
    <row r="338" spans="1:15" x14ac:dyDescent="0.2">
      <c r="A338" s="1084" t="s">
        <v>207</v>
      </c>
      <c r="B338" s="1084"/>
      <c r="C338" s="1084"/>
      <c r="D338" s="1084"/>
      <c r="E338" s="1084"/>
      <c r="F338" s="1084"/>
      <c r="G338" s="1084"/>
      <c r="H338" s="382">
        <v>6505760.9699999997</v>
      </c>
      <c r="I338" s="383"/>
      <c r="J338" s="383"/>
      <c r="K338" s="383"/>
      <c r="L338" s="383"/>
    </row>
    <row r="339" spans="1:15" s="386" customFormat="1" x14ac:dyDescent="0.2">
      <c r="A339" s="1083" t="s">
        <v>73</v>
      </c>
      <c r="B339" s="1083"/>
      <c r="C339" s="1083"/>
      <c r="D339" s="1083"/>
      <c r="E339" s="1083"/>
      <c r="F339" s="1083"/>
      <c r="G339" s="1083"/>
      <c r="H339" s="384">
        <v>48144716.009999998</v>
      </c>
      <c r="I339" s="385"/>
      <c r="J339" s="385"/>
      <c r="K339" s="385"/>
      <c r="L339" s="385"/>
      <c r="M339" s="635"/>
      <c r="N339" s="635"/>
      <c r="O339" s="635"/>
    </row>
    <row r="340" spans="1:15" x14ac:dyDescent="0.2">
      <c r="A340" s="1084" t="s">
        <v>784</v>
      </c>
      <c r="B340" s="1084"/>
      <c r="C340" s="1084"/>
      <c r="D340" s="1084"/>
      <c r="E340" s="1084"/>
      <c r="F340" s="1084"/>
      <c r="G340" s="1084"/>
      <c r="H340" s="382">
        <f>ROUND(H339*0.082,2)</f>
        <v>3947866.71</v>
      </c>
      <c r="I340" s="383"/>
      <c r="J340" s="383"/>
      <c r="K340" s="383"/>
      <c r="L340" s="383"/>
    </row>
    <row r="341" spans="1:15" s="386" customFormat="1" x14ac:dyDescent="0.2">
      <c r="A341" s="1083" t="s">
        <v>785</v>
      </c>
      <c r="B341" s="1083"/>
      <c r="C341" s="1083"/>
      <c r="D341" s="1083"/>
      <c r="E341" s="1083"/>
      <c r="F341" s="1083"/>
      <c r="G341" s="1083"/>
      <c r="H341" s="384">
        <f>H339+H340</f>
        <v>52092582.719999999</v>
      </c>
      <c r="I341" s="385"/>
      <c r="J341" s="385"/>
      <c r="K341" s="385"/>
      <c r="L341" s="385"/>
      <c r="M341" s="635"/>
      <c r="N341" s="635"/>
      <c r="O341" s="635"/>
    </row>
    <row r="342" spans="1:15" x14ac:dyDescent="0.2">
      <c r="A342" s="1084" t="s">
        <v>786</v>
      </c>
      <c r="B342" s="1084"/>
      <c r="C342" s="1084"/>
      <c r="D342" s="1084"/>
      <c r="E342" s="1084"/>
      <c r="F342" s="1084"/>
      <c r="G342" s="1084"/>
      <c r="H342" s="382">
        <f>ROUND(H341*0.024,2)</f>
        <v>1250221.99</v>
      </c>
      <c r="I342" s="383"/>
      <c r="J342" s="383"/>
      <c r="K342" s="383"/>
      <c r="L342" s="383"/>
    </row>
    <row r="343" spans="1:15" s="389" customFormat="1" ht="12" x14ac:dyDescent="0.25">
      <c r="A343" s="1054" t="s">
        <v>787</v>
      </c>
      <c r="B343" s="1054"/>
      <c r="C343" s="1054"/>
      <c r="D343" s="1054"/>
      <c r="E343" s="1054"/>
      <c r="F343" s="1054"/>
      <c r="G343" s="1054"/>
      <c r="H343" s="387">
        <f>H341+H342</f>
        <v>53342804.710000001</v>
      </c>
      <c r="I343" s="388"/>
      <c r="J343" s="388"/>
      <c r="K343" s="388"/>
      <c r="L343" s="388"/>
      <c r="M343" s="636"/>
      <c r="N343" s="636"/>
      <c r="O343" s="636"/>
    </row>
    <row r="344" spans="1:15" s="389" customFormat="1" ht="12" x14ac:dyDescent="0.25">
      <c r="A344" s="1054" t="s">
        <v>1686</v>
      </c>
      <c r="B344" s="1054"/>
      <c r="C344" s="1054"/>
      <c r="D344" s="1054"/>
      <c r="E344" s="1054"/>
      <c r="F344" s="1054"/>
      <c r="G344" s="1054"/>
      <c r="H344" s="387">
        <f>ROUND(H343*1.0514,2)</f>
        <v>56084624.869999997</v>
      </c>
      <c r="I344" s="388"/>
      <c r="J344" s="388"/>
      <c r="K344" s="388"/>
      <c r="L344" s="388"/>
      <c r="M344" s="636"/>
      <c r="N344" s="636"/>
      <c r="O344" s="636"/>
    </row>
    <row r="345" spans="1:15" s="389" customFormat="1" ht="12" x14ac:dyDescent="0.25">
      <c r="A345" s="611"/>
      <c r="B345" s="611"/>
      <c r="C345" s="611"/>
      <c r="D345" s="611"/>
      <c r="E345" s="611"/>
      <c r="F345" s="611"/>
      <c r="G345" s="611"/>
      <c r="H345" s="612"/>
      <c r="I345" s="613"/>
      <c r="J345" s="613"/>
      <c r="K345" s="613"/>
      <c r="L345" s="613"/>
      <c r="M345" s="636"/>
      <c r="N345" s="636"/>
      <c r="O345" s="636"/>
    </row>
    <row r="346" spans="1:15" s="389" customFormat="1" ht="12" x14ac:dyDescent="0.25">
      <c r="A346" s="611"/>
      <c r="B346" s="611"/>
      <c r="C346" s="611"/>
      <c r="D346" s="611"/>
      <c r="E346" s="611"/>
      <c r="F346" s="611"/>
      <c r="G346" s="611"/>
      <c r="H346" s="612"/>
      <c r="I346" s="613"/>
      <c r="J346" s="613"/>
      <c r="K346" s="613"/>
      <c r="L346" s="613"/>
      <c r="M346" s="636"/>
      <c r="N346" s="636"/>
      <c r="O346" s="636"/>
    </row>
    <row r="347" spans="1:15" s="389" customFormat="1" ht="12" x14ac:dyDescent="0.25">
      <c r="A347" s="611"/>
      <c r="B347" s="611"/>
      <c r="C347" s="611"/>
      <c r="D347" s="611"/>
      <c r="E347" s="611"/>
      <c r="F347" s="611"/>
      <c r="G347" s="611"/>
      <c r="H347" s="612"/>
      <c r="I347" s="613"/>
      <c r="J347" s="613"/>
      <c r="K347" s="613"/>
      <c r="L347" s="613"/>
      <c r="M347" s="636"/>
      <c r="N347" s="636"/>
      <c r="O347" s="636"/>
    </row>
    <row r="349" spans="1:15" ht="24" x14ac:dyDescent="0.25">
      <c r="C349" s="428" t="s">
        <v>729</v>
      </c>
      <c r="D349" s="429" t="s">
        <v>824</v>
      </c>
      <c r="E349" s="427" t="s">
        <v>281</v>
      </c>
      <c r="F349" s="427"/>
      <c r="G349" s="389" t="s">
        <v>823</v>
      </c>
    </row>
    <row r="350" spans="1:15" ht="12" x14ac:dyDescent="0.25">
      <c r="C350" s="428"/>
      <c r="G350" s="389"/>
    </row>
    <row r="351" spans="1:15" ht="24" x14ac:dyDescent="0.25">
      <c r="C351" s="428" t="s">
        <v>730</v>
      </c>
      <c r="D351" s="429" t="s">
        <v>821</v>
      </c>
      <c r="E351" s="427" t="s">
        <v>281</v>
      </c>
      <c r="F351" s="427"/>
      <c r="G351" s="389" t="s">
        <v>822</v>
      </c>
    </row>
  </sheetData>
  <mergeCells count="77">
    <mergeCell ref="A333:G333"/>
    <mergeCell ref="A343:G343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41:L41"/>
    <mergeCell ref="A330:L330"/>
    <mergeCell ref="A331:G331"/>
    <mergeCell ref="A332:G332"/>
    <mergeCell ref="K36:L36"/>
    <mergeCell ref="K37:L37"/>
    <mergeCell ref="F33:I33"/>
    <mergeCell ref="J33:K33"/>
    <mergeCell ref="A35:A38"/>
    <mergeCell ref="B35:B38"/>
    <mergeCell ref="C35:C38"/>
    <mergeCell ref="D35:D38"/>
    <mergeCell ref="E35:E38"/>
    <mergeCell ref="F35:G35"/>
    <mergeCell ref="H35:J35"/>
    <mergeCell ref="K35:L35"/>
    <mergeCell ref="F36:F37"/>
    <mergeCell ref="G36:G37"/>
    <mergeCell ref="H36:H38"/>
    <mergeCell ref="I36:I38"/>
    <mergeCell ref="J36:J37"/>
    <mergeCell ref="F32:I32"/>
    <mergeCell ref="J32:K32"/>
    <mergeCell ref="H19:I19"/>
    <mergeCell ref="K19:L19"/>
    <mergeCell ref="K20:L20"/>
    <mergeCell ref="I21:J21"/>
    <mergeCell ref="K21:L21"/>
    <mergeCell ref="H23:H24"/>
    <mergeCell ref="I23:I24"/>
    <mergeCell ref="J23:K23"/>
    <mergeCell ref="C27:L27"/>
    <mergeCell ref="C28:L28"/>
    <mergeCell ref="C29:L29"/>
    <mergeCell ref="F31:I31"/>
    <mergeCell ref="J31:K31"/>
    <mergeCell ref="K18:L18"/>
    <mergeCell ref="C11:I11"/>
    <mergeCell ref="K11:L12"/>
    <mergeCell ref="A12:B12"/>
    <mergeCell ref="C12:I12"/>
    <mergeCell ref="C13:I13"/>
    <mergeCell ref="K13:L14"/>
    <mergeCell ref="A14:B14"/>
    <mergeCell ref="C14:I14"/>
    <mergeCell ref="C15:I15"/>
    <mergeCell ref="K15:L16"/>
    <mergeCell ref="A16:B16"/>
    <mergeCell ref="C16:I16"/>
    <mergeCell ref="C17:I17"/>
    <mergeCell ref="A344:G344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H18:J18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Z530"/>
  <sheetViews>
    <sheetView tabSelected="1" view="pageBreakPreview" topLeftCell="A35" zoomScaleNormal="100" zoomScaleSheetLayoutView="100" workbookViewId="0">
      <pane ySplit="5" topLeftCell="A434" activePane="bottomLeft" state="frozen"/>
      <selection activeCell="A35" sqref="A35"/>
      <selection pane="bottomLeft" activeCell="P333" sqref="P333"/>
    </sheetView>
  </sheetViews>
  <sheetFormatPr defaultColWidth="9.109375" defaultRowHeight="10.199999999999999" outlineLevelRow="1" x14ac:dyDescent="0.2"/>
  <cols>
    <col min="1" max="1" width="6.33203125" style="397" customWidth="1"/>
    <col min="2" max="2" width="6.6640625" style="397" customWidth="1"/>
    <col min="3" max="3" width="15.6640625" style="397" customWidth="1"/>
    <col min="4" max="4" width="41.44140625" style="397" customWidth="1"/>
    <col min="5" max="12" width="12.6640625" style="397" customWidth="1"/>
    <col min="13" max="15" width="21.6640625" style="822" customWidth="1"/>
    <col min="16" max="19" width="9.109375" style="397"/>
    <col min="20" max="36" width="0" style="397" hidden="1" customWidth="1"/>
    <col min="37" max="16384" width="9.109375" style="397"/>
  </cols>
  <sheetData>
    <row r="1" spans="1:15" hidden="1" outlineLevel="1" x14ac:dyDescent="0.2">
      <c r="A1" s="1108" t="s">
        <v>827</v>
      </c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5" hidden="1" outlineLevel="1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5" hidden="1" outlineLevel="1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5" hidden="1" outlineLevel="1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5" hidden="1" outlineLevel="1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5" hidden="1" outlineLevel="1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5" hidden="1" outlineLevel="1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5" hidden="1" outlineLevel="1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399" t="s">
        <v>4</v>
      </c>
      <c r="K8" s="1101"/>
      <c r="L8" s="1102"/>
    </row>
    <row r="9" spans="1:15" hidden="1" outlineLevel="1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5" s="368" customFormat="1" hidden="1" outlineLevel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60" t="s">
        <v>4</v>
      </c>
      <c r="K10" s="1101"/>
      <c r="L10" s="1102"/>
      <c r="M10" s="631"/>
      <c r="N10" s="631"/>
      <c r="O10" s="631"/>
    </row>
    <row r="11" spans="1:15" s="368" customFormat="1" hidden="1" outlineLevel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  <c r="M11" s="631"/>
      <c r="N11" s="631"/>
      <c r="O11" s="631"/>
    </row>
    <row r="12" spans="1:15" s="368" customFormat="1" hidden="1" outlineLevel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60" t="s">
        <v>4</v>
      </c>
      <c r="K12" s="1064"/>
      <c r="L12" s="1065"/>
      <c r="M12" s="631"/>
      <c r="N12" s="631"/>
      <c r="O12" s="631"/>
    </row>
    <row r="13" spans="1:15" s="368" customFormat="1" hidden="1" outlineLevel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  <c r="M13" s="631"/>
      <c r="N13" s="631"/>
      <c r="O13" s="631"/>
    </row>
    <row r="14" spans="1:15" s="368" customFormat="1" hidden="1" outlineLevel="1" x14ac:dyDescent="0.2">
      <c r="A14" s="1060" t="s">
        <v>684</v>
      </c>
      <c r="B14" s="1060"/>
      <c r="C14" s="1070"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  <c r="M14" s="631"/>
      <c r="N14" s="631"/>
      <c r="O14" s="631"/>
    </row>
    <row r="15" spans="1:15" hidden="1" outlineLevel="1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5" hidden="1" outlineLevel="1" x14ac:dyDescent="0.2">
      <c r="A16" s="1103" t="s">
        <v>686</v>
      </c>
      <c r="B16" s="1103"/>
      <c r="C16" s="1104" t="s">
        <v>920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hidden="1" outlineLevel="1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hidden="1" customHeight="1" outlineLevel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hidden="1" customHeight="1" outlineLevel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hidden="1" outlineLevel="1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362" t="s">
        <v>10</v>
      </c>
      <c r="K20" s="1073">
        <v>45110</v>
      </c>
      <c r="L20" s="1074"/>
    </row>
    <row r="21" spans="1:12" hidden="1" outlineLevel="1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hidden="1" outlineLevel="1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hidden="1" customHeight="1" outlineLevel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hidden="1" outlineLevel="1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364" t="s">
        <v>16</v>
      </c>
      <c r="L24" s="359"/>
    </row>
    <row r="25" spans="1:12" hidden="1" outlineLevel="1" x14ac:dyDescent="0.2">
      <c r="A25" s="398"/>
      <c r="B25" s="398"/>
      <c r="C25" s="398"/>
      <c r="D25" s="398"/>
      <c r="E25" s="398"/>
      <c r="F25" s="398"/>
      <c r="G25" s="398"/>
      <c r="H25" s="362">
        <v>2</v>
      </c>
      <c r="I25" s="365">
        <v>45230</v>
      </c>
      <c r="J25" s="365">
        <v>45200</v>
      </c>
      <c r="K25" s="366">
        <v>45230</v>
      </c>
      <c r="L25" s="359"/>
    </row>
    <row r="26" spans="1:12" hidden="1" outlineLevel="1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hidden="1" outlineLevel="1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hidden="1" outlineLevel="1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hidden="1" outlineLevel="1" x14ac:dyDescent="0.2">
      <c r="A29" s="398"/>
      <c r="B29" s="398"/>
      <c r="C29" s="1097"/>
      <c r="D29" s="1097"/>
      <c r="E29" s="1097"/>
      <c r="F29" s="1097"/>
      <c r="G29" s="1097"/>
      <c r="H29" s="1097"/>
      <c r="I29" s="1097"/>
      <c r="J29" s="1097"/>
      <c r="K29" s="1097"/>
      <c r="L29" s="1097"/>
    </row>
    <row r="30" spans="1:12" hidden="1" outlineLevel="1" x14ac:dyDescent="0.2">
      <c r="A30" s="398"/>
      <c r="B30" s="398"/>
      <c r="C30" s="400"/>
      <c r="D30" s="400"/>
      <c r="E30" s="400"/>
      <c r="F30" s="400"/>
      <c r="G30" s="400"/>
      <c r="H30" s="400"/>
      <c r="I30" s="400"/>
      <c r="J30" s="400"/>
      <c r="K30" s="400"/>
      <c r="L30" s="400"/>
    </row>
    <row r="31" spans="1:12" hidden="1" outlineLevel="1" x14ac:dyDescent="0.2">
      <c r="A31" s="398"/>
      <c r="B31" s="398"/>
      <c r="C31" s="400"/>
      <c r="D31" s="400"/>
      <c r="E31" s="400"/>
      <c r="F31" s="1090" t="s">
        <v>692</v>
      </c>
      <c r="G31" s="1090"/>
      <c r="H31" s="1090"/>
      <c r="I31" s="1090"/>
      <c r="J31" s="1091">
        <v>40126.29</v>
      </c>
      <c r="K31" s="1092"/>
      <c r="L31" s="398" t="s">
        <v>693</v>
      </c>
    </row>
    <row r="32" spans="1:12" hidden="1" outlineLevel="1" x14ac:dyDescent="0.2">
      <c r="A32" s="398"/>
      <c r="B32" s="398"/>
      <c r="C32" s="400"/>
      <c r="D32" s="400"/>
      <c r="E32" s="400"/>
      <c r="F32" s="1090" t="s">
        <v>694</v>
      </c>
      <c r="G32" s="1090"/>
      <c r="H32" s="1090"/>
      <c r="I32" s="1090"/>
      <c r="J32" s="1091">
        <v>26533.360000000001</v>
      </c>
      <c r="K32" s="1092"/>
      <c r="L32" s="398" t="s">
        <v>695</v>
      </c>
    </row>
    <row r="33" spans="1:26" hidden="1" outlineLevel="1" x14ac:dyDescent="0.2">
      <c r="A33" s="398"/>
      <c r="B33" s="398"/>
      <c r="C33" s="398"/>
      <c r="D33" s="398"/>
      <c r="E33" s="398"/>
      <c r="F33" s="1090" t="s">
        <v>696</v>
      </c>
      <c r="G33" s="1090"/>
      <c r="H33" s="1090"/>
      <c r="I33" s="1090"/>
      <c r="J33" s="1091">
        <v>10448.06</v>
      </c>
      <c r="K33" s="1092"/>
      <c r="L33" s="398" t="s">
        <v>693</v>
      </c>
    </row>
    <row r="34" spans="1:26" hidden="1" outlineLevel="1" x14ac:dyDescent="0.2"/>
    <row r="35" spans="1:26" collapsed="1" x14ac:dyDescent="0.2">
      <c r="A35" s="1093" t="s">
        <v>697</v>
      </c>
      <c r="B35" s="1093" t="s">
        <v>698</v>
      </c>
      <c r="C35" s="1093" t="s">
        <v>699</v>
      </c>
      <c r="D35" s="1093" t="s">
        <v>700</v>
      </c>
      <c r="E35" s="1093" t="s">
        <v>701</v>
      </c>
      <c r="F35" s="1088" t="s">
        <v>702</v>
      </c>
      <c r="G35" s="1089"/>
      <c r="H35" s="1088" t="s">
        <v>703</v>
      </c>
      <c r="I35" s="1096"/>
      <c r="J35" s="1089"/>
      <c r="K35" s="1088" t="s">
        <v>704</v>
      </c>
      <c r="L35" s="1089"/>
    </row>
    <row r="36" spans="1:26" x14ac:dyDescent="0.2">
      <c r="A36" s="1094"/>
      <c r="B36" s="1094"/>
      <c r="C36" s="1094"/>
      <c r="D36" s="1094"/>
      <c r="E36" s="1094"/>
      <c r="F36" s="1093" t="s">
        <v>705</v>
      </c>
      <c r="G36" s="1093" t="s">
        <v>706</v>
      </c>
      <c r="H36" s="1093" t="s">
        <v>705</v>
      </c>
      <c r="I36" s="1093" t="s">
        <v>707</v>
      </c>
      <c r="J36" s="1093" t="s">
        <v>706</v>
      </c>
      <c r="K36" s="1088" t="s">
        <v>708</v>
      </c>
      <c r="L36" s="1089"/>
    </row>
    <row r="37" spans="1:26" x14ac:dyDescent="0.2">
      <c r="A37" s="1094"/>
      <c r="B37" s="1094"/>
      <c r="C37" s="1094"/>
      <c r="D37" s="1094"/>
      <c r="E37" s="1094"/>
      <c r="F37" s="1095"/>
      <c r="G37" s="1095"/>
      <c r="H37" s="1094"/>
      <c r="I37" s="1094"/>
      <c r="J37" s="1095"/>
      <c r="K37" s="1088" t="s">
        <v>709</v>
      </c>
      <c r="L37" s="1089"/>
    </row>
    <row r="38" spans="1:26" ht="20.399999999999999" x14ac:dyDescent="0.2">
      <c r="A38" s="1095"/>
      <c r="B38" s="1095"/>
      <c r="C38" s="1095"/>
      <c r="D38" s="1095"/>
      <c r="E38" s="1095"/>
      <c r="F38" s="402" t="s">
        <v>707</v>
      </c>
      <c r="G38" s="402" t="s">
        <v>710</v>
      </c>
      <c r="H38" s="1095"/>
      <c r="I38" s="1095"/>
      <c r="J38" s="402" t="s">
        <v>710</v>
      </c>
      <c r="K38" s="402" t="s">
        <v>711</v>
      </c>
      <c r="L38" s="402" t="s">
        <v>712</v>
      </c>
      <c r="M38" s="632" t="s">
        <v>1688</v>
      </c>
      <c r="N38" s="632" t="s">
        <v>1689</v>
      </c>
      <c r="O38" s="632" t="s">
        <v>1690</v>
      </c>
    </row>
    <row r="39" spans="1:26" x14ac:dyDescent="0.2">
      <c r="A39" s="402">
        <v>1</v>
      </c>
      <c r="B39" s="402" t="s">
        <v>713</v>
      </c>
      <c r="C39" s="402">
        <v>2</v>
      </c>
      <c r="D39" s="402">
        <v>3</v>
      </c>
      <c r="E39" s="402">
        <v>4</v>
      </c>
      <c r="F39" s="402">
        <v>5</v>
      </c>
      <c r="G39" s="402">
        <v>6</v>
      </c>
      <c r="H39" s="402">
        <v>7</v>
      </c>
      <c r="I39" s="402">
        <v>8</v>
      </c>
      <c r="J39" s="402">
        <v>9</v>
      </c>
      <c r="K39" s="402">
        <v>10</v>
      </c>
      <c r="L39" s="402">
        <v>11</v>
      </c>
    </row>
    <row r="41" spans="1:26" x14ac:dyDescent="0.2">
      <c r="A41" s="1087" t="s">
        <v>828</v>
      </c>
      <c r="B41" s="1087"/>
      <c r="C41" s="1087"/>
      <c r="D41" s="1087"/>
      <c r="E41" s="1087"/>
      <c r="F41" s="1087"/>
      <c r="G41" s="1087"/>
      <c r="H41" s="1087"/>
      <c r="I41" s="1087"/>
      <c r="J41" s="1087"/>
      <c r="K41" s="1087"/>
      <c r="L41" s="1087"/>
    </row>
    <row r="42" spans="1:26" s="790" customFormat="1" ht="20.399999999999999" x14ac:dyDescent="0.2">
      <c r="A42" s="784">
        <v>1</v>
      </c>
      <c r="B42" s="784">
        <v>1</v>
      </c>
      <c r="C42" s="784" t="s">
        <v>829</v>
      </c>
      <c r="D42" s="784" t="s">
        <v>830</v>
      </c>
      <c r="E42" s="785">
        <v>15.4872</v>
      </c>
      <c r="F42" s="786">
        <v>153.59</v>
      </c>
      <c r="G42" s="786">
        <v>41.43</v>
      </c>
      <c r="H42" s="787">
        <v>86262.62</v>
      </c>
      <c r="I42" s="787">
        <v>77767.429999999993</v>
      </c>
      <c r="J42" s="787">
        <v>8495.19</v>
      </c>
      <c r="K42" s="786">
        <v>14.38</v>
      </c>
      <c r="L42" s="786">
        <v>222.70593600000001</v>
      </c>
      <c r="M42" s="789">
        <v>15.4872</v>
      </c>
      <c r="N42" s="789" t="s">
        <v>2408</v>
      </c>
      <c r="O42" s="789"/>
      <c r="T42" s="790">
        <v>197470.04</v>
      </c>
      <c r="V42" s="790">
        <v>77767.429999999993</v>
      </c>
      <c r="W42" s="790">
        <v>8495.19</v>
      </c>
      <c r="X42" s="790" t="s">
        <v>281</v>
      </c>
      <c r="Y42" s="790">
        <v>222.70593600000001</v>
      </c>
      <c r="Z42" s="790" t="s">
        <v>281</v>
      </c>
    </row>
    <row r="43" spans="1:26" x14ac:dyDescent="0.2">
      <c r="A43" s="407"/>
      <c r="B43" s="407"/>
      <c r="C43" s="407"/>
      <c r="D43" s="408" t="s">
        <v>831</v>
      </c>
      <c r="E43" s="409"/>
      <c r="F43" s="410">
        <v>112.16</v>
      </c>
      <c r="G43" s="410" t="s">
        <v>281</v>
      </c>
      <c r="H43" s="409"/>
      <c r="I43" s="409"/>
      <c r="J43" s="411" t="s">
        <v>281</v>
      </c>
      <c r="K43" s="410" t="s">
        <v>281</v>
      </c>
      <c r="L43" s="410" t="s">
        <v>281</v>
      </c>
    </row>
    <row r="44" spans="1:26" ht="20.399999999999999" x14ac:dyDescent="0.2">
      <c r="A44" s="412"/>
      <c r="B44" s="412"/>
      <c r="C44" s="412"/>
      <c r="D44" s="395" t="s">
        <v>714</v>
      </c>
      <c r="E44" s="412"/>
      <c r="F44" s="412"/>
      <c r="G44" s="412"/>
      <c r="H44" s="412"/>
      <c r="I44" s="412"/>
      <c r="J44" s="412"/>
      <c r="K44" s="412"/>
      <c r="L44" s="412"/>
    </row>
    <row r="45" spans="1:26" x14ac:dyDescent="0.2">
      <c r="A45" s="412"/>
      <c r="B45" s="412"/>
      <c r="C45" s="412"/>
      <c r="D45" s="413" t="s">
        <v>206</v>
      </c>
      <c r="E45" s="414" t="s">
        <v>758</v>
      </c>
      <c r="F45" s="414"/>
      <c r="G45" s="414"/>
      <c r="H45" s="415">
        <v>70768.36</v>
      </c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207</v>
      </c>
      <c r="E46" s="414" t="s">
        <v>759</v>
      </c>
      <c r="F46" s="414"/>
      <c r="G46" s="414"/>
      <c r="H46" s="415">
        <v>40439.06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6" t="s">
        <v>715</v>
      </c>
      <c r="E47" s="417"/>
      <c r="F47" s="417"/>
      <c r="G47" s="417"/>
      <c r="H47" s="418">
        <v>197470.04</v>
      </c>
      <c r="I47" s="412"/>
      <c r="J47" s="412"/>
      <c r="K47" s="412"/>
      <c r="L47" s="412"/>
    </row>
    <row r="48" spans="1:26" s="790" customFormat="1" ht="40.799999999999997" x14ac:dyDescent="0.2">
      <c r="A48" s="784">
        <v>2</v>
      </c>
      <c r="B48" s="784">
        <v>2</v>
      </c>
      <c r="C48" s="784" t="s">
        <v>832</v>
      </c>
      <c r="D48" s="784" t="s">
        <v>833</v>
      </c>
      <c r="E48" s="785">
        <v>16.850000000000001</v>
      </c>
      <c r="F48" s="786">
        <v>21.74</v>
      </c>
      <c r="G48" s="786" t="s">
        <v>281</v>
      </c>
      <c r="H48" s="787">
        <v>4850.1000000000004</v>
      </c>
      <c r="I48" s="787" t="s">
        <v>281</v>
      </c>
      <c r="J48" s="787" t="s">
        <v>281</v>
      </c>
      <c r="K48" s="786" t="s">
        <v>281</v>
      </c>
      <c r="L48" s="786" t="s">
        <v>281</v>
      </c>
      <c r="M48" s="789">
        <v>16.850000000000001</v>
      </c>
      <c r="N48" s="789" t="s">
        <v>2408</v>
      </c>
      <c r="O48" s="789"/>
      <c r="T48" s="790">
        <v>4850.1000000000004</v>
      </c>
      <c r="V48" s="790" t="s">
        <v>281</v>
      </c>
      <c r="W48" s="790" t="s">
        <v>281</v>
      </c>
      <c r="X48" s="790" t="s">
        <v>281</v>
      </c>
      <c r="Y48" s="790" t="s">
        <v>281</v>
      </c>
      <c r="Z48" s="790" t="s">
        <v>281</v>
      </c>
    </row>
    <row r="49" spans="1:26" x14ac:dyDescent="0.2">
      <c r="A49" s="407"/>
      <c r="B49" s="407"/>
      <c r="C49" s="407"/>
      <c r="D49" s="408" t="s">
        <v>743</v>
      </c>
      <c r="E49" s="409"/>
      <c r="F49" s="410" t="s">
        <v>281</v>
      </c>
      <c r="G49" s="410" t="s">
        <v>281</v>
      </c>
      <c r="H49" s="409"/>
      <c r="I49" s="409"/>
      <c r="J49" s="411" t="s">
        <v>281</v>
      </c>
      <c r="K49" s="410" t="s">
        <v>281</v>
      </c>
      <c r="L49" s="410" t="s">
        <v>281</v>
      </c>
    </row>
    <row r="50" spans="1:26" x14ac:dyDescent="0.2">
      <c r="A50" s="412"/>
      <c r="B50" s="412"/>
      <c r="C50" s="412"/>
      <c r="D50" s="395" t="s">
        <v>716</v>
      </c>
      <c r="E50" s="412"/>
      <c r="F50" s="412"/>
      <c r="G50" s="412"/>
      <c r="H50" s="412"/>
      <c r="I50" s="412"/>
      <c r="J50" s="412"/>
      <c r="K50" s="412"/>
      <c r="L50" s="412"/>
    </row>
    <row r="51" spans="1:26" x14ac:dyDescent="0.2">
      <c r="A51" s="412"/>
      <c r="B51" s="412"/>
      <c r="C51" s="412"/>
      <c r="D51" s="416" t="s">
        <v>715</v>
      </c>
      <c r="E51" s="417"/>
      <c r="F51" s="417"/>
      <c r="G51" s="417"/>
      <c r="H51" s="418">
        <v>4850.1000000000004</v>
      </c>
      <c r="I51" s="412"/>
      <c r="J51" s="412"/>
      <c r="K51" s="412"/>
      <c r="L51" s="412"/>
    </row>
    <row r="52" spans="1:26" s="790" customFormat="1" ht="20.399999999999999" x14ac:dyDescent="0.2">
      <c r="A52" s="784">
        <v>3</v>
      </c>
      <c r="B52" s="784">
        <v>3</v>
      </c>
      <c r="C52" s="784" t="s">
        <v>755</v>
      </c>
      <c r="D52" s="784" t="s">
        <v>834</v>
      </c>
      <c r="E52" s="785">
        <v>4.21</v>
      </c>
      <c r="F52" s="786">
        <v>42.98</v>
      </c>
      <c r="G52" s="786">
        <v>42.98</v>
      </c>
      <c r="H52" s="787">
        <v>2395.7399999999998</v>
      </c>
      <c r="I52" s="787" t="s">
        <v>281</v>
      </c>
      <c r="J52" s="787">
        <v>2395.7399999999998</v>
      </c>
      <c r="K52" s="786" t="s">
        <v>281</v>
      </c>
      <c r="L52" s="786" t="s">
        <v>281</v>
      </c>
      <c r="M52" s="789">
        <v>4.21</v>
      </c>
      <c r="N52" s="789" t="s">
        <v>2408</v>
      </c>
      <c r="O52" s="789"/>
      <c r="T52" s="790">
        <v>2395.7399999999998</v>
      </c>
      <c r="V52" s="790" t="s">
        <v>281</v>
      </c>
      <c r="W52" s="790">
        <v>2395.7399999999998</v>
      </c>
      <c r="X52" s="790" t="s">
        <v>281</v>
      </c>
      <c r="Y52" s="790" t="s">
        <v>281</v>
      </c>
      <c r="Z52" s="790" t="s">
        <v>281</v>
      </c>
    </row>
    <row r="53" spans="1:26" x14ac:dyDescent="0.2">
      <c r="A53" s="407"/>
      <c r="B53" s="407"/>
      <c r="C53" s="407"/>
      <c r="D53" s="408" t="s">
        <v>743</v>
      </c>
      <c r="E53" s="409"/>
      <c r="F53" s="410" t="s">
        <v>281</v>
      </c>
      <c r="G53" s="410" t="s">
        <v>281</v>
      </c>
      <c r="H53" s="409"/>
      <c r="I53" s="409"/>
      <c r="J53" s="411" t="s">
        <v>281</v>
      </c>
      <c r="K53" s="410" t="s">
        <v>281</v>
      </c>
      <c r="L53" s="410" t="s">
        <v>281</v>
      </c>
    </row>
    <row r="54" spans="1:26" x14ac:dyDescent="0.2">
      <c r="A54" s="412"/>
      <c r="B54" s="412"/>
      <c r="C54" s="412"/>
      <c r="D54" s="395" t="s">
        <v>716</v>
      </c>
      <c r="E54" s="412"/>
      <c r="F54" s="412"/>
      <c r="G54" s="412"/>
      <c r="H54" s="412"/>
      <c r="I54" s="412"/>
      <c r="J54" s="412"/>
      <c r="K54" s="412"/>
      <c r="L54" s="412"/>
    </row>
    <row r="55" spans="1:26" x14ac:dyDescent="0.2">
      <c r="A55" s="412"/>
      <c r="B55" s="412"/>
      <c r="C55" s="412"/>
      <c r="D55" s="416" t="s">
        <v>715</v>
      </c>
      <c r="E55" s="417"/>
      <c r="F55" s="417"/>
      <c r="G55" s="417"/>
      <c r="H55" s="418">
        <v>2395.7399999999998</v>
      </c>
      <c r="I55" s="412"/>
      <c r="J55" s="412"/>
      <c r="K55" s="412"/>
      <c r="L55" s="412"/>
    </row>
    <row r="56" spans="1:26" s="790" customFormat="1" ht="30.6" x14ac:dyDescent="0.2">
      <c r="A56" s="784">
        <v>4</v>
      </c>
      <c r="B56" s="784">
        <v>4</v>
      </c>
      <c r="C56" s="784" t="s">
        <v>835</v>
      </c>
      <c r="D56" s="784" t="s">
        <v>788</v>
      </c>
      <c r="E56" s="785">
        <v>15.4872</v>
      </c>
      <c r="F56" s="786">
        <v>319.904</v>
      </c>
      <c r="G56" s="786">
        <v>151.94399999999999</v>
      </c>
      <c r="H56" s="787">
        <v>147613.29999999999</v>
      </c>
      <c r="I56" s="787">
        <v>116457.08</v>
      </c>
      <c r="J56" s="787">
        <v>31156.22</v>
      </c>
      <c r="K56" s="786">
        <v>19.440000000000001</v>
      </c>
      <c r="L56" s="786">
        <v>301.071168</v>
      </c>
      <c r="M56" s="789">
        <v>15.4872</v>
      </c>
      <c r="N56" s="789" t="s">
        <v>2408</v>
      </c>
      <c r="O56" s="789" t="s">
        <v>2409</v>
      </c>
      <c r="T56" s="790">
        <v>361060.47</v>
      </c>
      <c r="V56" s="790">
        <v>116457.08</v>
      </c>
      <c r="W56" s="790">
        <v>31156.22</v>
      </c>
      <c r="X56" s="790">
        <v>12125.55</v>
      </c>
      <c r="Y56" s="790">
        <v>301.071168</v>
      </c>
      <c r="Z56" s="790">
        <v>24.036134000000001</v>
      </c>
    </row>
    <row r="57" spans="1:26" x14ac:dyDescent="0.2">
      <c r="A57" s="407"/>
      <c r="B57" s="407"/>
      <c r="C57" s="407"/>
      <c r="D57" s="408" t="s">
        <v>831</v>
      </c>
      <c r="E57" s="409"/>
      <c r="F57" s="410">
        <v>167.96</v>
      </c>
      <c r="G57" s="410">
        <v>17.488</v>
      </c>
      <c r="H57" s="409"/>
      <c r="I57" s="409"/>
      <c r="J57" s="411">
        <v>12125.55</v>
      </c>
      <c r="K57" s="410">
        <v>1.552</v>
      </c>
      <c r="L57" s="410">
        <v>24.036134000000001</v>
      </c>
    </row>
    <row r="58" spans="1:26" ht="20.399999999999999" x14ac:dyDescent="0.2">
      <c r="A58" s="412"/>
      <c r="B58" s="412"/>
      <c r="C58" s="412"/>
      <c r="D58" s="395" t="s">
        <v>714</v>
      </c>
      <c r="E58" s="412"/>
      <c r="F58" s="412"/>
      <c r="G58" s="412"/>
      <c r="H58" s="412"/>
      <c r="I58" s="412"/>
      <c r="J58" s="412"/>
      <c r="K58" s="412"/>
      <c r="L58" s="412"/>
    </row>
    <row r="59" spans="1:26" ht="20.399999999999999" x14ac:dyDescent="0.2">
      <c r="A59" s="412"/>
      <c r="B59" s="412"/>
      <c r="C59" s="412"/>
      <c r="D59" s="395" t="s">
        <v>836</v>
      </c>
      <c r="E59" s="412"/>
      <c r="F59" s="412"/>
      <c r="G59" s="412"/>
      <c r="H59" s="412"/>
      <c r="I59" s="412"/>
      <c r="J59" s="412"/>
      <c r="K59" s="412"/>
      <c r="L59" s="412"/>
    </row>
    <row r="60" spans="1:26" ht="20.399999999999999" x14ac:dyDescent="0.2">
      <c r="A60" s="412"/>
      <c r="B60" s="412"/>
      <c r="C60" s="412"/>
      <c r="D60" s="395" t="s">
        <v>837</v>
      </c>
      <c r="E60" s="412"/>
      <c r="F60" s="412"/>
      <c r="G60" s="412"/>
      <c r="H60" s="412"/>
      <c r="I60" s="412"/>
      <c r="J60" s="412"/>
      <c r="K60" s="412"/>
      <c r="L60" s="412"/>
    </row>
    <row r="61" spans="1:26" x14ac:dyDescent="0.2">
      <c r="A61" s="412"/>
      <c r="B61" s="412"/>
      <c r="C61" s="412"/>
      <c r="D61" s="413" t="s">
        <v>206</v>
      </c>
      <c r="E61" s="414" t="s">
        <v>838</v>
      </c>
      <c r="F61" s="414"/>
      <c r="G61" s="414"/>
      <c r="H61" s="415">
        <v>140155.07</v>
      </c>
      <c r="I61" s="412"/>
      <c r="J61" s="412"/>
      <c r="K61" s="412"/>
      <c r="L61" s="412"/>
    </row>
    <row r="62" spans="1:26" x14ac:dyDescent="0.2">
      <c r="A62" s="412"/>
      <c r="B62" s="412"/>
      <c r="C62" s="412"/>
      <c r="D62" s="413" t="s">
        <v>207</v>
      </c>
      <c r="E62" s="414" t="s">
        <v>839</v>
      </c>
      <c r="F62" s="414"/>
      <c r="G62" s="414"/>
      <c r="H62" s="415">
        <v>73292.100000000006</v>
      </c>
      <c r="I62" s="412"/>
      <c r="J62" s="412"/>
      <c r="K62" s="412"/>
      <c r="L62" s="412"/>
    </row>
    <row r="63" spans="1:26" x14ac:dyDescent="0.2">
      <c r="A63" s="412"/>
      <c r="B63" s="412"/>
      <c r="C63" s="412"/>
      <c r="D63" s="416" t="s">
        <v>715</v>
      </c>
      <c r="E63" s="417"/>
      <c r="F63" s="417"/>
      <c r="G63" s="417"/>
      <c r="H63" s="418">
        <v>361060.47</v>
      </c>
      <c r="I63" s="412"/>
      <c r="J63" s="412"/>
      <c r="K63" s="412"/>
      <c r="L63" s="412"/>
    </row>
    <row r="64" spans="1:26" s="790" customFormat="1" ht="40.799999999999997" x14ac:dyDescent="0.2">
      <c r="A64" s="784">
        <v>5</v>
      </c>
      <c r="B64" s="784">
        <v>5</v>
      </c>
      <c r="C64" s="784" t="s">
        <v>840</v>
      </c>
      <c r="D64" s="784" t="s">
        <v>789</v>
      </c>
      <c r="E64" s="785">
        <v>15.4872</v>
      </c>
      <c r="F64" s="786">
        <v>316.39999999999998</v>
      </c>
      <c r="G64" s="786">
        <v>74.48</v>
      </c>
      <c r="H64" s="787">
        <v>183010.39</v>
      </c>
      <c r="I64" s="787">
        <v>167738.15</v>
      </c>
      <c r="J64" s="787">
        <v>15272.24</v>
      </c>
      <c r="K64" s="786">
        <v>28</v>
      </c>
      <c r="L64" s="786">
        <v>433.64159999999998</v>
      </c>
      <c r="M64" s="789">
        <v>15.4872</v>
      </c>
      <c r="N64" s="789" t="s">
        <v>2408</v>
      </c>
      <c r="O64" s="789" t="s">
        <v>2409</v>
      </c>
      <c r="T64" s="790">
        <v>472413.05</v>
      </c>
      <c r="V64" s="790">
        <v>167738.15</v>
      </c>
      <c r="W64" s="790">
        <v>15272.24</v>
      </c>
      <c r="X64" s="790">
        <v>6600.8</v>
      </c>
      <c r="Y64" s="790">
        <v>433.64159999999998</v>
      </c>
      <c r="Z64" s="790">
        <v>13.009247999999999</v>
      </c>
    </row>
    <row r="65" spans="1:26" x14ac:dyDescent="0.2">
      <c r="A65" s="407"/>
      <c r="B65" s="407"/>
      <c r="C65" s="407"/>
      <c r="D65" s="408" t="s">
        <v>831</v>
      </c>
      <c r="E65" s="409"/>
      <c r="F65" s="410">
        <v>241.92</v>
      </c>
      <c r="G65" s="410">
        <v>9.52</v>
      </c>
      <c r="H65" s="409"/>
      <c r="I65" s="409"/>
      <c r="J65" s="411">
        <v>6600.8</v>
      </c>
      <c r="K65" s="410">
        <v>0.84</v>
      </c>
      <c r="L65" s="410">
        <v>13.009247999999999</v>
      </c>
    </row>
    <row r="66" spans="1:26" ht="20.399999999999999" x14ac:dyDescent="0.2">
      <c r="A66" s="412"/>
      <c r="B66" s="412"/>
      <c r="C66" s="412"/>
      <c r="D66" s="395" t="s">
        <v>714</v>
      </c>
      <c r="E66" s="412"/>
      <c r="F66" s="412"/>
      <c r="G66" s="412"/>
      <c r="H66" s="412"/>
      <c r="I66" s="412"/>
      <c r="J66" s="412"/>
      <c r="K66" s="412"/>
      <c r="L66" s="412"/>
    </row>
    <row r="67" spans="1:26" ht="20.399999999999999" x14ac:dyDescent="0.2">
      <c r="A67" s="412"/>
      <c r="B67" s="412"/>
      <c r="C67" s="412"/>
      <c r="D67" s="395" t="s">
        <v>841</v>
      </c>
      <c r="E67" s="412"/>
      <c r="F67" s="412"/>
      <c r="G67" s="412"/>
      <c r="H67" s="412"/>
      <c r="I67" s="412"/>
      <c r="J67" s="412"/>
      <c r="K67" s="412"/>
      <c r="L67" s="412"/>
    </row>
    <row r="68" spans="1:26" ht="30.6" x14ac:dyDescent="0.2">
      <c r="A68" s="412"/>
      <c r="B68" s="412"/>
      <c r="C68" s="412"/>
      <c r="D68" s="395" t="s">
        <v>842</v>
      </c>
      <c r="E68" s="412"/>
      <c r="F68" s="412"/>
      <c r="G68" s="412"/>
      <c r="H68" s="412"/>
      <c r="I68" s="412"/>
      <c r="J68" s="412"/>
      <c r="K68" s="412"/>
      <c r="L68" s="412"/>
    </row>
    <row r="69" spans="1:26" x14ac:dyDescent="0.2">
      <c r="A69" s="412"/>
      <c r="B69" s="412"/>
      <c r="C69" s="412"/>
      <c r="D69" s="413" t="s">
        <v>206</v>
      </c>
      <c r="E69" s="414" t="s">
        <v>838</v>
      </c>
      <c r="F69" s="414"/>
      <c r="G69" s="414"/>
      <c r="H69" s="415">
        <v>190029.46</v>
      </c>
      <c r="I69" s="412"/>
      <c r="J69" s="412"/>
      <c r="K69" s="412"/>
      <c r="L69" s="412"/>
    </row>
    <row r="70" spans="1:26" x14ac:dyDescent="0.2">
      <c r="A70" s="412"/>
      <c r="B70" s="412"/>
      <c r="C70" s="412"/>
      <c r="D70" s="413" t="s">
        <v>207</v>
      </c>
      <c r="E70" s="414" t="s">
        <v>839</v>
      </c>
      <c r="F70" s="414"/>
      <c r="G70" s="414"/>
      <c r="H70" s="415">
        <v>99373.2</v>
      </c>
      <c r="I70" s="412"/>
      <c r="J70" s="412"/>
      <c r="K70" s="412"/>
      <c r="L70" s="412"/>
    </row>
    <row r="71" spans="1:26" x14ac:dyDescent="0.2">
      <c r="A71" s="412"/>
      <c r="B71" s="412"/>
      <c r="C71" s="412"/>
      <c r="D71" s="416" t="s">
        <v>715</v>
      </c>
      <c r="E71" s="417"/>
      <c r="F71" s="417"/>
      <c r="G71" s="417"/>
      <c r="H71" s="418">
        <v>472413.05</v>
      </c>
      <c r="I71" s="412"/>
      <c r="J71" s="412"/>
      <c r="K71" s="412"/>
      <c r="L71" s="412"/>
    </row>
    <row r="72" spans="1:26" s="790" customFormat="1" ht="30.6" x14ac:dyDescent="0.2">
      <c r="A72" s="784">
        <v>6</v>
      </c>
      <c r="B72" s="784">
        <v>6</v>
      </c>
      <c r="C72" s="784" t="s">
        <v>753</v>
      </c>
      <c r="D72" s="784" t="s">
        <v>754</v>
      </c>
      <c r="E72" s="785">
        <v>111.5</v>
      </c>
      <c r="F72" s="786">
        <v>3.28</v>
      </c>
      <c r="G72" s="786">
        <v>3.28</v>
      </c>
      <c r="H72" s="787">
        <v>4842.45</v>
      </c>
      <c r="I72" s="787" t="s">
        <v>281</v>
      </c>
      <c r="J72" s="787">
        <v>4842.45</v>
      </c>
      <c r="K72" s="786" t="s">
        <v>281</v>
      </c>
      <c r="L72" s="786" t="s">
        <v>281</v>
      </c>
      <c r="M72" s="789">
        <v>111.5</v>
      </c>
      <c r="N72" s="789" t="s">
        <v>2408</v>
      </c>
      <c r="O72" s="789" t="s">
        <v>2410</v>
      </c>
      <c r="T72" s="790">
        <v>4842.45</v>
      </c>
      <c r="V72" s="790" t="s">
        <v>281</v>
      </c>
      <c r="W72" s="790">
        <v>4842.45</v>
      </c>
      <c r="X72" s="790" t="s">
        <v>281</v>
      </c>
      <c r="Y72" s="790" t="s">
        <v>281</v>
      </c>
      <c r="Z72" s="790" t="s">
        <v>281</v>
      </c>
    </row>
    <row r="73" spans="1:26" x14ac:dyDescent="0.2">
      <c r="A73" s="407"/>
      <c r="B73" s="407"/>
      <c r="C73" s="407"/>
      <c r="D73" s="408" t="s">
        <v>743</v>
      </c>
      <c r="E73" s="409"/>
      <c r="F73" s="410" t="s">
        <v>281</v>
      </c>
      <c r="G73" s="410" t="s">
        <v>281</v>
      </c>
      <c r="H73" s="409"/>
      <c r="I73" s="409"/>
      <c r="J73" s="411" t="s">
        <v>281</v>
      </c>
      <c r="K73" s="410" t="s">
        <v>281</v>
      </c>
      <c r="L73" s="410" t="s">
        <v>281</v>
      </c>
    </row>
    <row r="74" spans="1:26" x14ac:dyDescent="0.2">
      <c r="A74" s="412"/>
      <c r="B74" s="412"/>
      <c r="C74" s="412"/>
      <c r="D74" s="395" t="s">
        <v>716</v>
      </c>
      <c r="E74" s="412"/>
      <c r="F74" s="412"/>
      <c r="G74" s="412"/>
      <c r="H74" s="412"/>
      <c r="I74" s="412"/>
      <c r="J74" s="412"/>
      <c r="K74" s="412"/>
      <c r="L74" s="412"/>
    </row>
    <row r="75" spans="1:26" x14ac:dyDescent="0.2">
      <c r="A75" s="412"/>
      <c r="B75" s="412"/>
      <c r="C75" s="412"/>
      <c r="D75" s="416" t="s">
        <v>715</v>
      </c>
      <c r="E75" s="417"/>
      <c r="F75" s="417"/>
      <c r="G75" s="417"/>
      <c r="H75" s="418">
        <v>4842.45</v>
      </c>
      <c r="I75" s="412"/>
      <c r="J75" s="412"/>
      <c r="K75" s="412"/>
      <c r="L75" s="412"/>
    </row>
    <row r="76" spans="1:26" s="790" customFormat="1" ht="20.399999999999999" x14ac:dyDescent="0.2">
      <c r="A76" s="784">
        <v>7</v>
      </c>
      <c r="B76" s="784">
        <v>7</v>
      </c>
      <c r="C76" s="784" t="s">
        <v>755</v>
      </c>
      <c r="D76" s="784" t="s">
        <v>834</v>
      </c>
      <c r="E76" s="785">
        <v>27.88</v>
      </c>
      <c r="F76" s="786">
        <v>42.98</v>
      </c>
      <c r="G76" s="786">
        <v>42.98</v>
      </c>
      <c r="H76" s="787">
        <v>15865.39</v>
      </c>
      <c r="I76" s="787" t="s">
        <v>281</v>
      </c>
      <c r="J76" s="787">
        <v>15865.39</v>
      </c>
      <c r="K76" s="786" t="s">
        <v>281</v>
      </c>
      <c r="L76" s="786" t="s">
        <v>281</v>
      </c>
      <c r="M76" s="789">
        <v>27.88</v>
      </c>
      <c r="N76" s="789" t="s">
        <v>2408</v>
      </c>
      <c r="O76" s="789" t="s">
        <v>2410</v>
      </c>
      <c r="T76" s="790">
        <v>15865.39</v>
      </c>
      <c r="V76" s="790" t="s">
        <v>281</v>
      </c>
      <c r="W76" s="790">
        <v>15865.39</v>
      </c>
      <c r="X76" s="790" t="s">
        <v>281</v>
      </c>
      <c r="Y76" s="790" t="s">
        <v>281</v>
      </c>
      <c r="Z76" s="790" t="s">
        <v>281</v>
      </c>
    </row>
    <row r="77" spans="1:26" x14ac:dyDescent="0.2">
      <c r="A77" s="407"/>
      <c r="B77" s="407"/>
      <c r="C77" s="407"/>
      <c r="D77" s="408" t="s">
        <v>743</v>
      </c>
      <c r="E77" s="409"/>
      <c r="F77" s="410" t="s">
        <v>281</v>
      </c>
      <c r="G77" s="410" t="s">
        <v>281</v>
      </c>
      <c r="H77" s="409"/>
      <c r="I77" s="409"/>
      <c r="J77" s="411" t="s">
        <v>281</v>
      </c>
      <c r="K77" s="410" t="s">
        <v>281</v>
      </c>
      <c r="L77" s="410" t="s">
        <v>281</v>
      </c>
    </row>
    <row r="78" spans="1:26" x14ac:dyDescent="0.2">
      <c r="A78" s="412"/>
      <c r="B78" s="412"/>
      <c r="C78" s="412"/>
      <c r="D78" s="395" t="s">
        <v>716</v>
      </c>
      <c r="E78" s="412"/>
      <c r="F78" s="412"/>
      <c r="G78" s="412"/>
      <c r="H78" s="412"/>
      <c r="I78" s="412"/>
      <c r="J78" s="412"/>
      <c r="K78" s="412"/>
      <c r="L78" s="412"/>
    </row>
    <row r="79" spans="1:26" x14ac:dyDescent="0.2">
      <c r="A79" s="412"/>
      <c r="B79" s="412"/>
      <c r="C79" s="412"/>
      <c r="D79" s="416" t="s">
        <v>715</v>
      </c>
      <c r="E79" s="417"/>
      <c r="F79" s="417"/>
      <c r="G79" s="417"/>
      <c r="H79" s="418">
        <v>15865.39</v>
      </c>
      <c r="I79" s="412"/>
      <c r="J79" s="412"/>
      <c r="K79" s="412"/>
      <c r="L79" s="412"/>
    </row>
    <row r="80" spans="1:26" s="790" customFormat="1" ht="20.399999999999999" x14ac:dyDescent="0.2">
      <c r="A80" s="784">
        <v>8</v>
      </c>
      <c r="B80" s="784">
        <v>8</v>
      </c>
      <c r="C80" s="784" t="s">
        <v>843</v>
      </c>
      <c r="D80" s="784" t="s">
        <v>790</v>
      </c>
      <c r="E80" s="785">
        <v>154.87</v>
      </c>
      <c r="F80" s="786">
        <v>41.048000000000002</v>
      </c>
      <c r="G80" s="786">
        <v>24.135999999999999</v>
      </c>
      <c r="H80" s="787">
        <v>166750.07999999999</v>
      </c>
      <c r="I80" s="787">
        <v>117259.82</v>
      </c>
      <c r="J80" s="787">
        <v>49490.26</v>
      </c>
      <c r="K80" s="786">
        <v>2.1680000000000001</v>
      </c>
      <c r="L80" s="786">
        <v>335.75815999999998</v>
      </c>
      <c r="M80" s="789">
        <v>154.87</v>
      </c>
      <c r="N80" s="789" t="s">
        <v>2408</v>
      </c>
      <c r="O80" s="789"/>
      <c r="T80" s="790">
        <v>396668.2</v>
      </c>
      <c r="V80" s="790">
        <v>117259.82</v>
      </c>
      <c r="W80" s="790">
        <v>49490.26</v>
      </c>
      <c r="X80" s="790">
        <v>21245.07</v>
      </c>
      <c r="Y80" s="790">
        <v>335.75815999999998</v>
      </c>
      <c r="Z80" s="790">
        <v>42.124639999999999</v>
      </c>
    </row>
    <row r="81" spans="1:26" x14ac:dyDescent="0.2">
      <c r="A81" s="407"/>
      <c r="B81" s="407"/>
      <c r="C81" s="407"/>
      <c r="D81" s="408" t="s">
        <v>745</v>
      </c>
      <c r="E81" s="409"/>
      <c r="F81" s="410">
        <v>16.911999999999999</v>
      </c>
      <c r="G81" s="410">
        <v>3.0640000000000001</v>
      </c>
      <c r="H81" s="409"/>
      <c r="I81" s="409"/>
      <c r="J81" s="411">
        <v>21245.07</v>
      </c>
      <c r="K81" s="410">
        <v>0.27200000000000002</v>
      </c>
      <c r="L81" s="410">
        <v>42.124639999999999</v>
      </c>
    </row>
    <row r="82" spans="1:26" ht="20.399999999999999" x14ac:dyDescent="0.2">
      <c r="A82" s="412"/>
      <c r="B82" s="412"/>
      <c r="C82" s="412"/>
      <c r="D82" s="395" t="s">
        <v>714</v>
      </c>
      <c r="E82" s="412"/>
      <c r="F82" s="412"/>
      <c r="G82" s="412"/>
      <c r="H82" s="412"/>
      <c r="I82" s="412"/>
      <c r="J82" s="412"/>
      <c r="K82" s="412"/>
      <c r="L82" s="412"/>
    </row>
    <row r="83" spans="1:26" ht="20.399999999999999" x14ac:dyDescent="0.2">
      <c r="A83" s="412"/>
      <c r="B83" s="412"/>
      <c r="C83" s="412"/>
      <c r="D83" s="395" t="s">
        <v>836</v>
      </c>
      <c r="E83" s="412"/>
      <c r="F83" s="412"/>
      <c r="G83" s="412"/>
      <c r="H83" s="412"/>
      <c r="I83" s="412"/>
      <c r="J83" s="412"/>
      <c r="K83" s="412"/>
      <c r="L83" s="412"/>
    </row>
    <row r="84" spans="1:26" ht="20.399999999999999" x14ac:dyDescent="0.2">
      <c r="A84" s="412"/>
      <c r="B84" s="412"/>
      <c r="C84" s="412"/>
      <c r="D84" s="395" t="s">
        <v>837</v>
      </c>
      <c r="E84" s="412"/>
      <c r="F84" s="412"/>
      <c r="G84" s="412"/>
      <c r="H84" s="412"/>
      <c r="I84" s="412"/>
      <c r="J84" s="412"/>
      <c r="K84" s="412"/>
      <c r="L84" s="412"/>
    </row>
    <row r="85" spans="1:26" x14ac:dyDescent="0.2">
      <c r="A85" s="412"/>
      <c r="B85" s="412"/>
      <c r="C85" s="412"/>
      <c r="D85" s="413" t="s">
        <v>206</v>
      </c>
      <c r="E85" s="414" t="s">
        <v>838</v>
      </c>
      <c r="F85" s="414"/>
      <c r="G85" s="414"/>
      <c r="H85" s="415">
        <v>150970.32999999999</v>
      </c>
      <c r="I85" s="412"/>
      <c r="J85" s="412"/>
      <c r="K85" s="412"/>
      <c r="L85" s="412"/>
    </row>
    <row r="86" spans="1:26" x14ac:dyDescent="0.2">
      <c r="A86" s="412"/>
      <c r="B86" s="412"/>
      <c r="C86" s="412"/>
      <c r="D86" s="413" t="s">
        <v>207</v>
      </c>
      <c r="E86" s="414" t="s">
        <v>839</v>
      </c>
      <c r="F86" s="414"/>
      <c r="G86" s="414"/>
      <c r="H86" s="415">
        <v>78947.789999999994</v>
      </c>
      <c r="I86" s="412"/>
      <c r="J86" s="412"/>
      <c r="K86" s="412"/>
      <c r="L86" s="412"/>
    </row>
    <row r="87" spans="1:26" x14ac:dyDescent="0.2">
      <c r="A87" s="412"/>
      <c r="B87" s="412"/>
      <c r="C87" s="412"/>
      <c r="D87" s="416" t="s">
        <v>715</v>
      </c>
      <c r="E87" s="417"/>
      <c r="F87" s="417"/>
      <c r="G87" s="417"/>
      <c r="H87" s="418">
        <v>396668.2</v>
      </c>
      <c r="I87" s="412"/>
      <c r="J87" s="412"/>
      <c r="K87" s="412"/>
      <c r="L87" s="412"/>
    </row>
    <row r="88" spans="1:26" s="790" customFormat="1" ht="40.799999999999997" x14ac:dyDescent="0.2">
      <c r="A88" s="784">
        <v>9</v>
      </c>
      <c r="B88" s="784">
        <v>9</v>
      </c>
      <c r="C88" s="784" t="s">
        <v>844</v>
      </c>
      <c r="D88" s="784" t="s">
        <v>845</v>
      </c>
      <c r="E88" s="785">
        <v>61.95</v>
      </c>
      <c r="F88" s="786">
        <v>6.43</v>
      </c>
      <c r="G88" s="786" t="s">
        <v>281</v>
      </c>
      <c r="H88" s="787">
        <v>5273.8</v>
      </c>
      <c r="I88" s="787" t="s">
        <v>281</v>
      </c>
      <c r="J88" s="787" t="s">
        <v>281</v>
      </c>
      <c r="K88" s="786" t="s">
        <v>281</v>
      </c>
      <c r="L88" s="786" t="s">
        <v>281</v>
      </c>
      <c r="M88" s="789">
        <v>61.95</v>
      </c>
      <c r="N88" s="789" t="s">
        <v>2408</v>
      </c>
      <c r="O88" s="789" t="s">
        <v>2411</v>
      </c>
      <c r="T88" s="790">
        <v>5273.8</v>
      </c>
      <c r="V88" s="790" t="s">
        <v>281</v>
      </c>
      <c r="W88" s="790" t="s">
        <v>281</v>
      </c>
      <c r="X88" s="790" t="s">
        <v>281</v>
      </c>
      <c r="Y88" s="790" t="s">
        <v>281</v>
      </c>
      <c r="Z88" s="790" t="s">
        <v>281</v>
      </c>
    </row>
    <row r="89" spans="1:26" x14ac:dyDescent="0.2">
      <c r="A89" s="407"/>
      <c r="B89" s="407"/>
      <c r="C89" s="407"/>
      <c r="D89" s="408" t="s">
        <v>743</v>
      </c>
      <c r="E89" s="409"/>
      <c r="F89" s="410" t="s">
        <v>281</v>
      </c>
      <c r="G89" s="410" t="s">
        <v>281</v>
      </c>
      <c r="H89" s="409"/>
      <c r="I89" s="409"/>
      <c r="J89" s="411" t="s">
        <v>281</v>
      </c>
      <c r="K89" s="410" t="s">
        <v>281</v>
      </c>
      <c r="L89" s="410" t="s">
        <v>281</v>
      </c>
    </row>
    <row r="90" spans="1:26" x14ac:dyDescent="0.2">
      <c r="A90" s="412"/>
      <c r="B90" s="412"/>
      <c r="C90" s="412"/>
      <c r="D90" s="395" t="s">
        <v>716</v>
      </c>
      <c r="E90" s="412"/>
      <c r="F90" s="412"/>
      <c r="G90" s="412"/>
      <c r="H90" s="412"/>
      <c r="I90" s="412"/>
      <c r="J90" s="412"/>
      <c r="K90" s="412"/>
      <c r="L90" s="412"/>
    </row>
    <row r="91" spans="1:26" x14ac:dyDescent="0.2">
      <c r="A91" s="412"/>
      <c r="B91" s="412"/>
      <c r="C91" s="412"/>
      <c r="D91" s="416" t="s">
        <v>715</v>
      </c>
      <c r="E91" s="417"/>
      <c r="F91" s="417"/>
      <c r="G91" s="417"/>
      <c r="H91" s="418">
        <v>5273.8</v>
      </c>
      <c r="I91" s="412"/>
      <c r="J91" s="412"/>
      <c r="K91" s="412"/>
      <c r="L91" s="412"/>
    </row>
    <row r="92" spans="1:26" s="790" customFormat="1" ht="30.6" x14ac:dyDescent="0.2">
      <c r="A92" s="784">
        <v>10</v>
      </c>
      <c r="B92" s="784">
        <v>10</v>
      </c>
      <c r="C92" s="784" t="s">
        <v>744</v>
      </c>
      <c r="D92" s="784" t="s">
        <v>1035</v>
      </c>
      <c r="E92" s="785">
        <v>294.26</v>
      </c>
      <c r="F92" s="786">
        <v>162.38</v>
      </c>
      <c r="G92" s="786" t="s">
        <v>281</v>
      </c>
      <c r="H92" s="787">
        <v>389900.39</v>
      </c>
      <c r="I92" s="787" t="s">
        <v>281</v>
      </c>
      <c r="J92" s="787" t="s">
        <v>281</v>
      </c>
      <c r="K92" s="786" t="s">
        <v>281</v>
      </c>
      <c r="L92" s="786" t="s">
        <v>281</v>
      </c>
      <c r="M92" s="789">
        <v>294.26</v>
      </c>
      <c r="N92" s="789" t="s">
        <v>2408</v>
      </c>
      <c r="O92" s="789" t="s">
        <v>2412</v>
      </c>
      <c r="T92" s="790">
        <v>389900.39</v>
      </c>
      <c r="V92" s="790" t="s">
        <v>281</v>
      </c>
      <c r="W92" s="790" t="s">
        <v>281</v>
      </c>
      <c r="X92" s="790" t="s">
        <v>281</v>
      </c>
      <c r="Y92" s="790" t="s">
        <v>281</v>
      </c>
      <c r="Z92" s="790" t="s">
        <v>281</v>
      </c>
    </row>
    <row r="93" spans="1:26" x14ac:dyDescent="0.2">
      <c r="A93" s="407"/>
      <c r="B93" s="407"/>
      <c r="C93" s="407"/>
      <c r="D93" s="408" t="s">
        <v>745</v>
      </c>
      <c r="E93" s="409"/>
      <c r="F93" s="410" t="s">
        <v>281</v>
      </c>
      <c r="G93" s="410" t="s">
        <v>281</v>
      </c>
      <c r="H93" s="409"/>
      <c r="I93" s="409"/>
      <c r="J93" s="411" t="s">
        <v>281</v>
      </c>
      <c r="K93" s="410" t="s">
        <v>281</v>
      </c>
      <c r="L93" s="410" t="s">
        <v>281</v>
      </c>
    </row>
    <row r="94" spans="1:26" x14ac:dyDescent="0.2">
      <c r="A94" s="412"/>
      <c r="B94" s="412"/>
      <c r="C94" s="412"/>
      <c r="D94" s="395" t="s">
        <v>718</v>
      </c>
      <c r="E94" s="412"/>
      <c r="F94" s="412"/>
      <c r="G94" s="412"/>
      <c r="H94" s="412"/>
      <c r="I94" s="412"/>
      <c r="J94" s="412"/>
      <c r="K94" s="412"/>
      <c r="L94" s="412"/>
    </row>
    <row r="95" spans="1:26" s="790" customFormat="1" ht="30.6" x14ac:dyDescent="0.2">
      <c r="A95" s="784">
        <v>11</v>
      </c>
      <c r="B95" s="784">
        <v>11</v>
      </c>
      <c r="C95" s="784" t="s">
        <v>846</v>
      </c>
      <c r="D95" s="784" t="s">
        <v>791</v>
      </c>
      <c r="E95" s="785">
        <v>1.68</v>
      </c>
      <c r="F95" s="786">
        <v>2962.8416000000002</v>
      </c>
      <c r="G95" s="786">
        <v>1928.136</v>
      </c>
      <c r="H95" s="787">
        <v>120711.84</v>
      </c>
      <c r="I95" s="787">
        <v>77823.929999999993</v>
      </c>
      <c r="J95" s="787">
        <v>42887.91</v>
      </c>
      <c r="K95" s="786">
        <v>114.08</v>
      </c>
      <c r="L95" s="786">
        <v>191.65440000000001</v>
      </c>
      <c r="M95" s="789">
        <v>1.68</v>
      </c>
      <c r="N95" s="789" t="s">
        <v>2413</v>
      </c>
      <c r="O95" s="789"/>
      <c r="T95" s="790">
        <v>316800.03999999998</v>
      </c>
      <c r="V95" s="790">
        <v>77823.929999999993</v>
      </c>
      <c r="W95" s="790">
        <v>42887.91</v>
      </c>
      <c r="X95" s="790">
        <v>22221.07</v>
      </c>
      <c r="Y95" s="790">
        <v>191.65440000000001</v>
      </c>
      <c r="Z95" s="790">
        <v>36.939839999999997</v>
      </c>
    </row>
    <row r="96" spans="1:26" x14ac:dyDescent="0.2">
      <c r="A96" s="407"/>
      <c r="B96" s="407"/>
      <c r="C96" s="407"/>
      <c r="D96" s="408" t="s">
        <v>847</v>
      </c>
      <c r="E96" s="409"/>
      <c r="F96" s="410">
        <v>1034.7056</v>
      </c>
      <c r="G96" s="410">
        <v>295.43959999999998</v>
      </c>
      <c r="H96" s="409"/>
      <c r="I96" s="409"/>
      <c r="J96" s="411">
        <v>22221.07</v>
      </c>
      <c r="K96" s="410">
        <v>21.988</v>
      </c>
      <c r="L96" s="410">
        <v>36.939839999999997</v>
      </c>
    </row>
    <row r="97" spans="1:26" ht="20.399999999999999" x14ac:dyDescent="0.2">
      <c r="A97" s="412"/>
      <c r="B97" s="412"/>
      <c r="C97" s="412"/>
      <c r="D97" s="395" t="s">
        <v>714</v>
      </c>
      <c r="E97" s="412"/>
      <c r="F97" s="412"/>
      <c r="G97" s="412"/>
      <c r="H97" s="412"/>
      <c r="I97" s="412"/>
      <c r="J97" s="412"/>
      <c r="K97" s="412"/>
      <c r="L97" s="412"/>
    </row>
    <row r="98" spans="1:26" ht="30.6" x14ac:dyDescent="0.2">
      <c r="A98" s="412"/>
      <c r="B98" s="412"/>
      <c r="C98" s="412"/>
      <c r="D98" s="395" t="s">
        <v>748</v>
      </c>
      <c r="E98" s="412"/>
      <c r="F98" s="412"/>
      <c r="G98" s="412"/>
      <c r="H98" s="412"/>
      <c r="I98" s="412"/>
      <c r="J98" s="412"/>
      <c r="K98" s="412"/>
      <c r="L98" s="412"/>
    </row>
    <row r="99" spans="1:26" ht="102" x14ac:dyDescent="0.2">
      <c r="A99" s="412"/>
      <c r="B99" s="412"/>
      <c r="C99" s="412"/>
      <c r="D99" s="395" t="s">
        <v>749</v>
      </c>
      <c r="E99" s="412"/>
      <c r="F99" s="412"/>
      <c r="G99" s="412"/>
      <c r="H99" s="412"/>
      <c r="I99" s="412"/>
      <c r="J99" s="412"/>
      <c r="K99" s="412"/>
      <c r="L99" s="412"/>
    </row>
    <row r="100" spans="1:26" x14ac:dyDescent="0.2">
      <c r="A100" s="412"/>
      <c r="B100" s="412"/>
      <c r="C100" s="412"/>
      <c r="D100" s="413" t="s">
        <v>206</v>
      </c>
      <c r="E100" s="414" t="s">
        <v>848</v>
      </c>
      <c r="F100" s="414"/>
      <c r="G100" s="414"/>
      <c r="H100" s="415">
        <v>116052.2</v>
      </c>
      <c r="I100" s="412"/>
      <c r="J100" s="412"/>
      <c r="K100" s="412"/>
      <c r="L100" s="412"/>
    </row>
    <row r="101" spans="1:26" x14ac:dyDescent="0.2">
      <c r="A101" s="412"/>
      <c r="B101" s="412"/>
      <c r="C101" s="412"/>
      <c r="D101" s="413" t="s">
        <v>207</v>
      </c>
      <c r="E101" s="414" t="s">
        <v>849</v>
      </c>
      <c r="F101" s="414"/>
      <c r="G101" s="414"/>
      <c r="H101" s="415">
        <v>80036</v>
      </c>
      <c r="I101" s="412"/>
      <c r="J101" s="412"/>
      <c r="K101" s="412"/>
      <c r="L101" s="412"/>
    </row>
    <row r="102" spans="1:26" x14ac:dyDescent="0.2">
      <c r="A102" s="412"/>
      <c r="B102" s="412"/>
      <c r="C102" s="412"/>
      <c r="D102" s="416" t="s">
        <v>715</v>
      </c>
      <c r="E102" s="417"/>
      <c r="F102" s="417"/>
      <c r="G102" s="417"/>
      <c r="H102" s="418">
        <v>316800.03999999998</v>
      </c>
      <c r="I102" s="412"/>
      <c r="J102" s="412"/>
      <c r="K102" s="412"/>
      <c r="L102" s="412"/>
    </row>
    <row r="103" spans="1:26" s="790" customFormat="1" ht="30.6" x14ac:dyDescent="0.2">
      <c r="A103" s="784">
        <v>12</v>
      </c>
      <c r="B103" s="784">
        <v>12</v>
      </c>
      <c r="C103" s="784" t="s">
        <v>752</v>
      </c>
      <c r="D103" s="784" t="s">
        <v>850</v>
      </c>
      <c r="E103" s="785">
        <v>252</v>
      </c>
      <c r="F103" s="786">
        <v>10.71</v>
      </c>
      <c r="G103" s="786" t="s">
        <v>281</v>
      </c>
      <c r="H103" s="787">
        <v>35733.599999999999</v>
      </c>
      <c r="I103" s="787" t="s">
        <v>281</v>
      </c>
      <c r="J103" s="787" t="s">
        <v>281</v>
      </c>
      <c r="K103" s="786" t="s">
        <v>281</v>
      </c>
      <c r="L103" s="786" t="s">
        <v>281</v>
      </c>
      <c r="M103" s="789">
        <v>252</v>
      </c>
      <c r="N103" s="789" t="s">
        <v>2413</v>
      </c>
      <c r="O103" s="789"/>
      <c r="T103" s="790">
        <v>35733.599999999999</v>
      </c>
      <c r="V103" s="790" t="s">
        <v>281</v>
      </c>
      <c r="W103" s="790" t="s">
        <v>281</v>
      </c>
      <c r="X103" s="790" t="s">
        <v>281</v>
      </c>
      <c r="Y103" s="790" t="s">
        <v>281</v>
      </c>
      <c r="Z103" s="790" t="s">
        <v>281</v>
      </c>
    </row>
    <row r="104" spans="1:26" x14ac:dyDescent="0.2">
      <c r="A104" s="407"/>
      <c r="B104" s="407"/>
      <c r="C104" s="407"/>
      <c r="D104" s="408" t="s">
        <v>743</v>
      </c>
      <c r="E104" s="409"/>
      <c r="F104" s="410" t="s">
        <v>281</v>
      </c>
      <c r="G104" s="410" t="s">
        <v>281</v>
      </c>
      <c r="H104" s="409"/>
      <c r="I104" s="409"/>
      <c r="J104" s="411" t="s">
        <v>281</v>
      </c>
      <c r="K104" s="410" t="s">
        <v>281</v>
      </c>
      <c r="L104" s="410" t="s">
        <v>281</v>
      </c>
    </row>
    <row r="105" spans="1:26" x14ac:dyDescent="0.2">
      <c r="A105" s="412"/>
      <c r="B105" s="412"/>
      <c r="C105" s="412"/>
      <c r="D105" s="395" t="s">
        <v>716</v>
      </c>
      <c r="E105" s="412"/>
      <c r="F105" s="412"/>
      <c r="G105" s="412"/>
      <c r="H105" s="412"/>
      <c r="I105" s="412"/>
      <c r="J105" s="412"/>
      <c r="K105" s="412"/>
      <c r="L105" s="412"/>
    </row>
    <row r="106" spans="1:26" x14ac:dyDescent="0.2">
      <c r="A106" s="412"/>
      <c r="B106" s="412"/>
      <c r="C106" s="412"/>
      <c r="D106" s="416" t="s">
        <v>715</v>
      </c>
      <c r="E106" s="417"/>
      <c r="F106" s="417"/>
      <c r="G106" s="417"/>
      <c r="H106" s="418">
        <v>35733.599999999999</v>
      </c>
      <c r="I106" s="412"/>
      <c r="J106" s="412"/>
      <c r="K106" s="412"/>
      <c r="L106" s="412"/>
    </row>
    <row r="107" spans="1:26" s="790" customFormat="1" ht="20.399999999999999" x14ac:dyDescent="0.2">
      <c r="A107" s="784">
        <v>13</v>
      </c>
      <c r="B107" s="784">
        <v>13</v>
      </c>
      <c r="C107" s="784" t="s">
        <v>851</v>
      </c>
      <c r="D107" s="784" t="s">
        <v>852</v>
      </c>
      <c r="E107" s="785">
        <v>252</v>
      </c>
      <c r="F107" s="786">
        <v>8.7899999999999991</v>
      </c>
      <c r="G107" s="786" t="s">
        <v>281</v>
      </c>
      <c r="H107" s="787">
        <v>30169.439999999999</v>
      </c>
      <c r="I107" s="787" t="s">
        <v>281</v>
      </c>
      <c r="J107" s="787" t="s">
        <v>281</v>
      </c>
      <c r="K107" s="786" t="s">
        <v>281</v>
      </c>
      <c r="L107" s="786" t="s">
        <v>281</v>
      </c>
      <c r="M107" s="789">
        <v>252</v>
      </c>
      <c r="N107" s="789" t="s">
        <v>2413</v>
      </c>
      <c r="O107" s="789" t="s">
        <v>2414</v>
      </c>
      <c r="T107" s="790">
        <v>30169.439999999999</v>
      </c>
      <c r="V107" s="790" t="s">
        <v>281</v>
      </c>
      <c r="W107" s="790" t="s">
        <v>281</v>
      </c>
      <c r="X107" s="790" t="s">
        <v>281</v>
      </c>
      <c r="Y107" s="790" t="s">
        <v>281</v>
      </c>
      <c r="Z107" s="790" t="s">
        <v>281</v>
      </c>
    </row>
    <row r="108" spans="1:26" x14ac:dyDescent="0.2">
      <c r="A108" s="407"/>
      <c r="B108" s="407"/>
      <c r="C108" s="407"/>
      <c r="D108" s="408" t="s">
        <v>743</v>
      </c>
      <c r="E108" s="409"/>
      <c r="F108" s="410" t="s">
        <v>281</v>
      </c>
      <c r="G108" s="410" t="s">
        <v>281</v>
      </c>
      <c r="H108" s="409"/>
      <c r="I108" s="409"/>
      <c r="J108" s="411" t="s">
        <v>281</v>
      </c>
      <c r="K108" s="410" t="s">
        <v>281</v>
      </c>
      <c r="L108" s="410" t="s">
        <v>281</v>
      </c>
    </row>
    <row r="109" spans="1:26" x14ac:dyDescent="0.2">
      <c r="A109" s="412"/>
      <c r="B109" s="412"/>
      <c r="C109" s="412"/>
      <c r="D109" s="395" t="s">
        <v>792</v>
      </c>
      <c r="E109" s="412"/>
      <c r="F109" s="412"/>
      <c r="G109" s="412"/>
      <c r="H109" s="412"/>
      <c r="I109" s="412"/>
      <c r="J109" s="412"/>
      <c r="K109" s="412"/>
      <c r="L109" s="412"/>
    </row>
    <row r="110" spans="1:26" x14ac:dyDescent="0.2">
      <c r="A110" s="412"/>
      <c r="B110" s="412"/>
      <c r="C110" s="412"/>
      <c r="D110" s="416" t="s">
        <v>715</v>
      </c>
      <c r="E110" s="417"/>
      <c r="F110" s="417"/>
      <c r="G110" s="417"/>
      <c r="H110" s="418">
        <v>30169.439999999999</v>
      </c>
      <c r="I110" s="412"/>
      <c r="J110" s="412"/>
      <c r="K110" s="412"/>
      <c r="L110" s="412"/>
    </row>
    <row r="111" spans="1:26" s="790" customFormat="1" ht="30.6" x14ac:dyDescent="0.2">
      <c r="A111" s="784">
        <v>14</v>
      </c>
      <c r="B111" s="784">
        <v>14</v>
      </c>
      <c r="C111" s="784" t="s">
        <v>853</v>
      </c>
      <c r="D111" s="784" t="s">
        <v>854</v>
      </c>
      <c r="E111" s="785">
        <v>252</v>
      </c>
      <c r="F111" s="786">
        <v>10.71</v>
      </c>
      <c r="G111" s="786" t="s">
        <v>281</v>
      </c>
      <c r="H111" s="787">
        <v>35733.599999999999</v>
      </c>
      <c r="I111" s="787" t="s">
        <v>281</v>
      </c>
      <c r="J111" s="787" t="s">
        <v>281</v>
      </c>
      <c r="K111" s="786" t="s">
        <v>281</v>
      </c>
      <c r="L111" s="786" t="s">
        <v>281</v>
      </c>
      <c r="M111" s="789">
        <v>252</v>
      </c>
      <c r="N111" s="789" t="s">
        <v>2413</v>
      </c>
      <c r="O111" s="789"/>
      <c r="T111" s="790">
        <v>35733.599999999999</v>
      </c>
      <c r="V111" s="790" t="s">
        <v>281</v>
      </c>
      <c r="W111" s="790" t="s">
        <v>281</v>
      </c>
      <c r="X111" s="790" t="s">
        <v>281</v>
      </c>
      <c r="Y111" s="790" t="s">
        <v>281</v>
      </c>
      <c r="Z111" s="790" t="s">
        <v>281</v>
      </c>
    </row>
    <row r="112" spans="1:26" x14ac:dyDescent="0.2">
      <c r="A112" s="407"/>
      <c r="B112" s="407"/>
      <c r="C112" s="407"/>
      <c r="D112" s="408" t="s">
        <v>743</v>
      </c>
      <c r="E112" s="409"/>
      <c r="F112" s="410" t="s">
        <v>281</v>
      </c>
      <c r="G112" s="410" t="s">
        <v>281</v>
      </c>
      <c r="H112" s="409"/>
      <c r="I112" s="409"/>
      <c r="J112" s="411" t="s">
        <v>281</v>
      </c>
      <c r="K112" s="410" t="s">
        <v>281</v>
      </c>
      <c r="L112" s="410" t="s">
        <v>281</v>
      </c>
    </row>
    <row r="113" spans="1:26" x14ac:dyDescent="0.2">
      <c r="A113" s="412"/>
      <c r="B113" s="412"/>
      <c r="C113" s="412"/>
      <c r="D113" s="395" t="s">
        <v>716</v>
      </c>
      <c r="E113" s="412"/>
      <c r="F113" s="412"/>
      <c r="G113" s="412"/>
      <c r="H113" s="412"/>
      <c r="I113" s="412"/>
      <c r="J113" s="412"/>
      <c r="K113" s="412"/>
      <c r="L113" s="412"/>
    </row>
    <row r="114" spans="1:26" x14ac:dyDescent="0.2">
      <c r="A114" s="412"/>
      <c r="B114" s="412"/>
      <c r="C114" s="412"/>
      <c r="D114" s="416" t="s">
        <v>715</v>
      </c>
      <c r="E114" s="417"/>
      <c r="F114" s="417"/>
      <c r="G114" s="417"/>
      <c r="H114" s="418">
        <v>35733.599999999999</v>
      </c>
      <c r="I114" s="412"/>
      <c r="J114" s="412"/>
      <c r="K114" s="412"/>
      <c r="L114" s="412"/>
    </row>
    <row r="115" spans="1:26" s="790" customFormat="1" ht="30.6" x14ac:dyDescent="0.2">
      <c r="A115" s="784">
        <v>15</v>
      </c>
      <c r="B115" s="784">
        <v>15</v>
      </c>
      <c r="C115" s="784" t="s">
        <v>855</v>
      </c>
      <c r="D115" s="784" t="s">
        <v>793</v>
      </c>
      <c r="E115" s="785">
        <v>0.16</v>
      </c>
      <c r="F115" s="786">
        <v>2850.4083999999998</v>
      </c>
      <c r="G115" s="786">
        <v>1363.2652</v>
      </c>
      <c r="H115" s="787">
        <v>13540.64</v>
      </c>
      <c r="I115" s="787">
        <v>10652.7</v>
      </c>
      <c r="J115" s="787">
        <v>2887.94</v>
      </c>
      <c r="K115" s="786">
        <v>160.08000000000001</v>
      </c>
      <c r="L115" s="786">
        <v>25.6128</v>
      </c>
      <c r="M115" s="789">
        <v>0.16</v>
      </c>
      <c r="N115" s="789" t="s">
        <v>2413</v>
      </c>
      <c r="O115" s="789"/>
      <c r="T115" s="790">
        <v>37214.720000000001</v>
      </c>
      <c r="V115" s="790">
        <v>10652.7</v>
      </c>
      <c r="W115" s="790">
        <v>2887.94</v>
      </c>
      <c r="X115" s="790">
        <v>1425.91</v>
      </c>
      <c r="Y115" s="790">
        <v>25.6128</v>
      </c>
      <c r="Z115" s="790">
        <v>2.374336</v>
      </c>
    </row>
    <row r="116" spans="1:26" x14ac:dyDescent="0.2">
      <c r="A116" s="407"/>
      <c r="B116" s="407"/>
      <c r="C116" s="407"/>
      <c r="D116" s="408" t="s">
        <v>847</v>
      </c>
      <c r="E116" s="409"/>
      <c r="F116" s="410">
        <v>1487.1432</v>
      </c>
      <c r="G116" s="410">
        <v>199.06039999999999</v>
      </c>
      <c r="H116" s="409"/>
      <c r="I116" s="409"/>
      <c r="J116" s="411">
        <v>1425.91</v>
      </c>
      <c r="K116" s="410">
        <v>14.839600000000001</v>
      </c>
      <c r="L116" s="410">
        <v>2.374336</v>
      </c>
    </row>
    <row r="117" spans="1:26" ht="20.399999999999999" x14ac:dyDescent="0.2">
      <c r="A117" s="412"/>
      <c r="B117" s="412"/>
      <c r="C117" s="412"/>
      <c r="D117" s="395" t="s">
        <v>714</v>
      </c>
      <c r="E117" s="412"/>
      <c r="F117" s="412"/>
      <c r="G117" s="412"/>
      <c r="H117" s="412"/>
      <c r="I117" s="412"/>
      <c r="J117" s="412"/>
      <c r="K117" s="412"/>
      <c r="L117" s="412"/>
    </row>
    <row r="118" spans="1:26" ht="30.6" x14ac:dyDescent="0.2">
      <c r="A118" s="412"/>
      <c r="B118" s="412"/>
      <c r="C118" s="412"/>
      <c r="D118" s="395" t="s">
        <v>748</v>
      </c>
      <c r="E118" s="412"/>
      <c r="F118" s="412"/>
      <c r="G118" s="412"/>
      <c r="H118" s="412"/>
      <c r="I118" s="412"/>
      <c r="J118" s="412"/>
      <c r="K118" s="412"/>
      <c r="L118" s="412"/>
    </row>
    <row r="119" spans="1:26" ht="102" x14ac:dyDescent="0.2">
      <c r="A119" s="412"/>
      <c r="B119" s="412"/>
      <c r="C119" s="412"/>
      <c r="D119" s="395" t="s">
        <v>749</v>
      </c>
      <c r="E119" s="412"/>
      <c r="F119" s="412"/>
      <c r="G119" s="412"/>
      <c r="H119" s="412"/>
      <c r="I119" s="412"/>
      <c r="J119" s="412"/>
      <c r="K119" s="412"/>
      <c r="L119" s="412"/>
    </row>
    <row r="120" spans="1:26" x14ac:dyDescent="0.2">
      <c r="A120" s="412"/>
      <c r="B120" s="412"/>
      <c r="C120" s="412"/>
      <c r="D120" s="413" t="s">
        <v>206</v>
      </c>
      <c r="E120" s="414" t="s">
        <v>848</v>
      </c>
      <c r="F120" s="414"/>
      <c r="G120" s="414"/>
      <c r="H120" s="415">
        <v>14011.19</v>
      </c>
      <c r="I120" s="412"/>
      <c r="J120" s="412"/>
      <c r="K120" s="412"/>
      <c r="L120" s="412"/>
    </row>
    <row r="121" spans="1:26" x14ac:dyDescent="0.2">
      <c r="A121" s="412"/>
      <c r="B121" s="412"/>
      <c r="C121" s="412"/>
      <c r="D121" s="413" t="s">
        <v>207</v>
      </c>
      <c r="E121" s="414" t="s">
        <v>849</v>
      </c>
      <c r="F121" s="414"/>
      <c r="G121" s="414"/>
      <c r="H121" s="415">
        <v>9662.89</v>
      </c>
      <c r="I121" s="412"/>
      <c r="J121" s="412"/>
      <c r="K121" s="412"/>
      <c r="L121" s="412"/>
    </row>
    <row r="122" spans="1:26" x14ac:dyDescent="0.2">
      <c r="A122" s="412"/>
      <c r="B122" s="412"/>
      <c r="C122" s="412"/>
      <c r="D122" s="416" t="s">
        <v>715</v>
      </c>
      <c r="E122" s="417"/>
      <c r="F122" s="417"/>
      <c r="G122" s="417"/>
      <c r="H122" s="418">
        <v>37214.720000000001</v>
      </c>
      <c r="I122" s="412"/>
      <c r="J122" s="412"/>
      <c r="K122" s="412"/>
      <c r="L122" s="412"/>
    </row>
    <row r="123" spans="1:26" s="790" customFormat="1" ht="30.6" x14ac:dyDescent="0.2">
      <c r="A123" s="784">
        <v>16</v>
      </c>
      <c r="B123" s="784">
        <v>16</v>
      </c>
      <c r="C123" s="784" t="s">
        <v>752</v>
      </c>
      <c r="D123" s="784" t="s">
        <v>850</v>
      </c>
      <c r="E123" s="785">
        <v>20.6</v>
      </c>
      <c r="F123" s="786">
        <v>10.71</v>
      </c>
      <c r="G123" s="786" t="s">
        <v>281</v>
      </c>
      <c r="H123" s="787">
        <v>2921.08</v>
      </c>
      <c r="I123" s="787" t="s">
        <v>281</v>
      </c>
      <c r="J123" s="787" t="s">
        <v>281</v>
      </c>
      <c r="K123" s="786" t="s">
        <v>281</v>
      </c>
      <c r="L123" s="786" t="s">
        <v>281</v>
      </c>
      <c r="M123" s="789">
        <v>20.6</v>
      </c>
      <c r="N123" s="789" t="s">
        <v>2413</v>
      </c>
      <c r="O123" s="789" t="s">
        <v>2415</v>
      </c>
      <c r="T123" s="790">
        <v>2921.08</v>
      </c>
      <c r="V123" s="790" t="s">
        <v>281</v>
      </c>
      <c r="W123" s="790" t="s">
        <v>281</v>
      </c>
      <c r="X123" s="790" t="s">
        <v>281</v>
      </c>
      <c r="Y123" s="790" t="s">
        <v>281</v>
      </c>
      <c r="Z123" s="790" t="s">
        <v>281</v>
      </c>
    </row>
    <row r="124" spans="1:26" x14ac:dyDescent="0.2">
      <c r="A124" s="407"/>
      <c r="B124" s="407"/>
      <c r="C124" s="407"/>
      <c r="D124" s="408" t="s">
        <v>743</v>
      </c>
      <c r="E124" s="409"/>
      <c r="F124" s="410" t="s">
        <v>281</v>
      </c>
      <c r="G124" s="410" t="s">
        <v>281</v>
      </c>
      <c r="H124" s="409"/>
      <c r="I124" s="409"/>
      <c r="J124" s="411" t="s">
        <v>281</v>
      </c>
      <c r="K124" s="410" t="s">
        <v>281</v>
      </c>
      <c r="L124" s="410" t="s">
        <v>281</v>
      </c>
    </row>
    <row r="125" spans="1:26" x14ac:dyDescent="0.2">
      <c r="A125" s="412"/>
      <c r="B125" s="412"/>
      <c r="C125" s="412"/>
      <c r="D125" s="395" t="s">
        <v>716</v>
      </c>
      <c r="E125" s="412"/>
      <c r="F125" s="412"/>
      <c r="G125" s="412"/>
      <c r="H125" s="412"/>
      <c r="I125" s="412"/>
      <c r="J125" s="412"/>
      <c r="K125" s="412"/>
      <c r="L125" s="412"/>
    </row>
    <row r="126" spans="1:26" x14ac:dyDescent="0.2">
      <c r="A126" s="412"/>
      <c r="B126" s="412"/>
      <c r="C126" s="412"/>
      <c r="D126" s="416" t="s">
        <v>715</v>
      </c>
      <c r="E126" s="417"/>
      <c r="F126" s="417"/>
      <c r="G126" s="417"/>
      <c r="H126" s="418">
        <v>2921.08</v>
      </c>
      <c r="I126" s="412"/>
      <c r="J126" s="412"/>
      <c r="K126" s="412"/>
      <c r="L126" s="412"/>
    </row>
    <row r="127" spans="1:26" s="790" customFormat="1" ht="20.399999999999999" x14ac:dyDescent="0.2">
      <c r="A127" s="784">
        <v>17</v>
      </c>
      <c r="B127" s="784">
        <v>17</v>
      </c>
      <c r="C127" s="784" t="s">
        <v>851</v>
      </c>
      <c r="D127" s="784" t="s">
        <v>852</v>
      </c>
      <c r="E127" s="785">
        <v>20.6</v>
      </c>
      <c r="F127" s="786">
        <v>8.7899999999999991</v>
      </c>
      <c r="G127" s="786" t="s">
        <v>281</v>
      </c>
      <c r="H127" s="787">
        <v>2466.23</v>
      </c>
      <c r="I127" s="787" t="s">
        <v>281</v>
      </c>
      <c r="J127" s="787" t="s">
        <v>281</v>
      </c>
      <c r="K127" s="786" t="s">
        <v>281</v>
      </c>
      <c r="L127" s="786" t="s">
        <v>281</v>
      </c>
      <c r="M127" s="789">
        <v>20.6</v>
      </c>
      <c r="N127" s="789" t="s">
        <v>2413</v>
      </c>
      <c r="O127" s="789" t="s">
        <v>2415</v>
      </c>
      <c r="T127" s="790">
        <v>2466.23</v>
      </c>
      <c r="V127" s="790" t="s">
        <v>281</v>
      </c>
      <c r="W127" s="790" t="s">
        <v>281</v>
      </c>
      <c r="X127" s="790" t="s">
        <v>281</v>
      </c>
      <c r="Y127" s="790" t="s">
        <v>281</v>
      </c>
      <c r="Z127" s="790" t="s">
        <v>281</v>
      </c>
    </row>
    <row r="128" spans="1:26" x14ac:dyDescent="0.2">
      <c r="A128" s="407"/>
      <c r="B128" s="407"/>
      <c r="C128" s="407"/>
      <c r="D128" s="408" t="s">
        <v>743</v>
      </c>
      <c r="E128" s="409"/>
      <c r="F128" s="410" t="s">
        <v>281</v>
      </c>
      <c r="G128" s="410" t="s">
        <v>281</v>
      </c>
      <c r="H128" s="409"/>
      <c r="I128" s="409"/>
      <c r="J128" s="411" t="s">
        <v>281</v>
      </c>
      <c r="K128" s="410" t="s">
        <v>281</v>
      </c>
      <c r="L128" s="410" t="s">
        <v>281</v>
      </c>
    </row>
    <row r="129" spans="1:26" x14ac:dyDescent="0.2">
      <c r="A129" s="412"/>
      <c r="B129" s="412"/>
      <c r="C129" s="412"/>
      <c r="D129" s="395" t="s">
        <v>792</v>
      </c>
      <c r="E129" s="412"/>
      <c r="F129" s="412"/>
      <c r="G129" s="412"/>
      <c r="H129" s="412"/>
      <c r="I129" s="412"/>
      <c r="J129" s="412"/>
      <c r="K129" s="412"/>
      <c r="L129" s="412"/>
    </row>
    <row r="130" spans="1:26" x14ac:dyDescent="0.2">
      <c r="A130" s="412"/>
      <c r="B130" s="412"/>
      <c r="C130" s="412"/>
      <c r="D130" s="416" t="s">
        <v>715</v>
      </c>
      <c r="E130" s="417"/>
      <c r="F130" s="417"/>
      <c r="G130" s="417"/>
      <c r="H130" s="418">
        <v>2466.23</v>
      </c>
      <c r="I130" s="412"/>
      <c r="J130" s="412"/>
      <c r="K130" s="412"/>
      <c r="L130" s="412"/>
    </row>
    <row r="131" spans="1:26" s="790" customFormat="1" ht="30.6" x14ac:dyDescent="0.2">
      <c r="A131" s="784">
        <v>18</v>
      </c>
      <c r="B131" s="784">
        <v>18</v>
      </c>
      <c r="C131" s="784" t="s">
        <v>853</v>
      </c>
      <c r="D131" s="784" t="s">
        <v>854</v>
      </c>
      <c r="E131" s="785">
        <v>20.6</v>
      </c>
      <c r="F131" s="786">
        <v>10.71</v>
      </c>
      <c r="G131" s="786" t="s">
        <v>281</v>
      </c>
      <c r="H131" s="787">
        <v>2921.08</v>
      </c>
      <c r="I131" s="787" t="s">
        <v>281</v>
      </c>
      <c r="J131" s="787" t="s">
        <v>281</v>
      </c>
      <c r="K131" s="786" t="s">
        <v>281</v>
      </c>
      <c r="L131" s="786" t="s">
        <v>281</v>
      </c>
      <c r="M131" s="789">
        <v>20.6</v>
      </c>
      <c r="N131" s="789" t="s">
        <v>2413</v>
      </c>
      <c r="O131" s="789" t="s">
        <v>2415</v>
      </c>
      <c r="T131" s="790">
        <v>2921.08</v>
      </c>
      <c r="V131" s="790" t="s">
        <v>281</v>
      </c>
      <c r="W131" s="790" t="s">
        <v>281</v>
      </c>
      <c r="X131" s="790" t="s">
        <v>281</v>
      </c>
      <c r="Y131" s="790" t="s">
        <v>281</v>
      </c>
      <c r="Z131" s="790" t="s">
        <v>281</v>
      </c>
    </row>
    <row r="132" spans="1:26" x14ac:dyDescent="0.2">
      <c r="A132" s="407"/>
      <c r="B132" s="407"/>
      <c r="C132" s="407"/>
      <c r="D132" s="408" t="s">
        <v>743</v>
      </c>
      <c r="E132" s="409"/>
      <c r="F132" s="410" t="s">
        <v>281</v>
      </c>
      <c r="G132" s="410" t="s">
        <v>281</v>
      </c>
      <c r="H132" s="409"/>
      <c r="I132" s="409"/>
      <c r="J132" s="411" t="s">
        <v>281</v>
      </c>
      <c r="K132" s="410" t="s">
        <v>281</v>
      </c>
      <c r="L132" s="410" t="s">
        <v>281</v>
      </c>
    </row>
    <row r="133" spans="1:26" x14ac:dyDescent="0.2">
      <c r="A133" s="412"/>
      <c r="B133" s="412"/>
      <c r="C133" s="412"/>
      <c r="D133" s="395" t="s">
        <v>716</v>
      </c>
      <c r="E133" s="412"/>
      <c r="F133" s="412"/>
      <c r="G133" s="412"/>
      <c r="H133" s="412"/>
      <c r="I133" s="412"/>
      <c r="J133" s="412"/>
      <c r="K133" s="412"/>
      <c r="L133" s="412"/>
    </row>
    <row r="134" spans="1:26" x14ac:dyDescent="0.2">
      <c r="A134" s="412"/>
      <c r="B134" s="412"/>
      <c r="C134" s="412"/>
      <c r="D134" s="416" t="s">
        <v>715</v>
      </c>
      <c r="E134" s="417"/>
      <c r="F134" s="417"/>
      <c r="G134" s="417"/>
      <c r="H134" s="418">
        <v>2921.08</v>
      </c>
      <c r="I134" s="412"/>
      <c r="J134" s="412"/>
      <c r="K134" s="412"/>
      <c r="L134" s="412"/>
    </row>
    <row r="135" spans="1:26" s="790" customFormat="1" ht="30.6" x14ac:dyDescent="0.2">
      <c r="A135" s="784">
        <v>19</v>
      </c>
      <c r="B135" s="784">
        <v>19</v>
      </c>
      <c r="C135" s="784" t="s">
        <v>752</v>
      </c>
      <c r="D135" s="784" t="s">
        <v>850</v>
      </c>
      <c r="E135" s="785">
        <v>272.60000000000002</v>
      </c>
      <c r="F135" s="786">
        <v>10.71</v>
      </c>
      <c r="G135" s="786" t="s">
        <v>281</v>
      </c>
      <c r="H135" s="787">
        <v>38654.68</v>
      </c>
      <c r="I135" s="787" t="s">
        <v>281</v>
      </c>
      <c r="J135" s="787" t="s">
        <v>281</v>
      </c>
      <c r="K135" s="786" t="s">
        <v>281</v>
      </c>
      <c r="L135" s="786" t="s">
        <v>281</v>
      </c>
      <c r="M135" s="789">
        <v>272.60000000000002</v>
      </c>
      <c r="N135" s="789" t="s">
        <v>2413</v>
      </c>
      <c r="O135" s="789" t="s">
        <v>2416</v>
      </c>
      <c r="T135" s="790">
        <v>38654.68</v>
      </c>
      <c r="V135" s="790" t="s">
        <v>281</v>
      </c>
      <c r="W135" s="790" t="s">
        <v>281</v>
      </c>
      <c r="X135" s="790" t="s">
        <v>281</v>
      </c>
      <c r="Y135" s="790" t="s">
        <v>281</v>
      </c>
      <c r="Z135" s="790" t="s">
        <v>281</v>
      </c>
    </row>
    <row r="136" spans="1:26" x14ac:dyDescent="0.2">
      <c r="A136" s="407"/>
      <c r="B136" s="407"/>
      <c r="C136" s="407"/>
      <c r="D136" s="408" t="s">
        <v>743</v>
      </c>
      <c r="E136" s="409"/>
      <c r="F136" s="410" t="s">
        <v>281</v>
      </c>
      <c r="G136" s="410" t="s">
        <v>281</v>
      </c>
      <c r="H136" s="409"/>
      <c r="I136" s="409"/>
      <c r="J136" s="411" t="s">
        <v>281</v>
      </c>
      <c r="K136" s="410" t="s">
        <v>281</v>
      </c>
      <c r="L136" s="410" t="s">
        <v>281</v>
      </c>
    </row>
    <row r="137" spans="1:26" x14ac:dyDescent="0.2">
      <c r="A137" s="412"/>
      <c r="B137" s="412"/>
      <c r="C137" s="412"/>
      <c r="D137" s="395" t="s">
        <v>716</v>
      </c>
      <c r="E137" s="412"/>
      <c r="F137" s="412"/>
      <c r="G137" s="412"/>
      <c r="H137" s="412"/>
      <c r="I137" s="412"/>
      <c r="J137" s="412"/>
      <c r="K137" s="412"/>
      <c r="L137" s="412"/>
    </row>
    <row r="138" spans="1:26" x14ac:dyDescent="0.2">
      <c r="A138" s="412"/>
      <c r="B138" s="412"/>
      <c r="C138" s="412"/>
      <c r="D138" s="416" t="s">
        <v>715</v>
      </c>
      <c r="E138" s="417"/>
      <c r="F138" s="417"/>
      <c r="G138" s="417"/>
      <c r="H138" s="418">
        <v>38654.68</v>
      </c>
      <c r="I138" s="412"/>
      <c r="J138" s="412"/>
      <c r="K138" s="412"/>
      <c r="L138" s="412"/>
    </row>
    <row r="139" spans="1:26" s="790" customFormat="1" ht="30.6" x14ac:dyDescent="0.2">
      <c r="A139" s="784">
        <v>20</v>
      </c>
      <c r="B139" s="784">
        <v>20</v>
      </c>
      <c r="C139" s="784" t="s">
        <v>744</v>
      </c>
      <c r="D139" s="784" t="s">
        <v>1035</v>
      </c>
      <c r="E139" s="785">
        <v>112.49</v>
      </c>
      <c r="F139" s="786">
        <v>162.38</v>
      </c>
      <c r="G139" s="786" t="s">
        <v>281</v>
      </c>
      <c r="H139" s="787">
        <v>149051.5</v>
      </c>
      <c r="I139" s="787" t="s">
        <v>281</v>
      </c>
      <c r="J139" s="787" t="s">
        <v>281</v>
      </c>
      <c r="K139" s="786" t="s">
        <v>281</v>
      </c>
      <c r="L139" s="786" t="s">
        <v>281</v>
      </c>
      <c r="M139" s="789">
        <v>112.49</v>
      </c>
      <c r="N139" s="789" t="s">
        <v>2413</v>
      </c>
      <c r="O139" s="789" t="s">
        <v>2417</v>
      </c>
      <c r="T139" s="790">
        <v>149051.5</v>
      </c>
      <c r="V139" s="790" t="s">
        <v>281</v>
      </c>
      <c r="W139" s="790" t="s">
        <v>281</v>
      </c>
      <c r="X139" s="790" t="s">
        <v>281</v>
      </c>
      <c r="Y139" s="790" t="s">
        <v>281</v>
      </c>
      <c r="Z139" s="790" t="s">
        <v>281</v>
      </c>
    </row>
    <row r="140" spans="1:26" x14ac:dyDescent="0.2">
      <c r="A140" s="407"/>
      <c r="B140" s="407"/>
      <c r="C140" s="407"/>
      <c r="D140" s="408" t="s">
        <v>745</v>
      </c>
      <c r="E140" s="409"/>
      <c r="F140" s="410" t="s">
        <v>281</v>
      </c>
      <c r="G140" s="410" t="s">
        <v>281</v>
      </c>
      <c r="H140" s="409"/>
      <c r="I140" s="409"/>
      <c r="J140" s="411" t="s">
        <v>281</v>
      </c>
      <c r="K140" s="410" t="s">
        <v>281</v>
      </c>
      <c r="L140" s="410" t="s">
        <v>281</v>
      </c>
    </row>
    <row r="141" spans="1:26" x14ac:dyDescent="0.2">
      <c r="A141" s="412"/>
      <c r="B141" s="412"/>
      <c r="C141" s="412"/>
      <c r="D141" s="395" t="s">
        <v>718</v>
      </c>
      <c r="E141" s="412"/>
      <c r="F141" s="412"/>
      <c r="G141" s="412"/>
      <c r="H141" s="412"/>
      <c r="I141" s="412"/>
      <c r="J141" s="412"/>
      <c r="K141" s="412"/>
      <c r="L141" s="412"/>
    </row>
    <row r="142" spans="1:26" s="790" customFormat="1" ht="51" x14ac:dyDescent="0.2">
      <c r="A142" s="784">
        <v>21</v>
      </c>
      <c r="B142" s="784">
        <v>21</v>
      </c>
      <c r="C142" s="784" t="s">
        <v>856</v>
      </c>
      <c r="D142" s="784" t="s">
        <v>794</v>
      </c>
      <c r="E142" s="785">
        <v>0.13</v>
      </c>
      <c r="F142" s="786">
        <v>44960.381600000001</v>
      </c>
      <c r="G142" s="786">
        <v>31809.901600000001</v>
      </c>
      <c r="H142" s="787">
        <v>131288.31</v>
      </c>
      <c r="I142" s="787">
        <v>76537.11</v>
      </c>
      <c r="J142" s="787">
        <v>54751.199999999997</v>
      </c>
      <c r="K142" s="786">
        <v>1288</v>
      </c>
      <c r="L142" s="786">
        <v>167.44</v>
      </c>
      <c r="M142" s="789">
        <v>0.13</v>
      </c>
      <c r="N142" s="789" t="s">
        <v>2418</v>
      </c>
      <c r="O142" s="789" t="s">
        <v>2419</v>
      </c>
      <c r="T142" s="790">
        <v>308693.84999999998</v>
      </c>
      <c r="V142" s="790">
        <v>76537.11</v>
      </c>
      <c r="W142" s="790">
        <v>54751.199999999997</v>
      </c>
      <c r="X142" s="790">
        <v>20405.810000000001</v>
      </c>
      <c r="Y142" s="790">
        <v>167.44</v>
      </c>
      <c r="Z142" s="790">
        <v>33.813312000000003</v>
      </c>
    </row>
    <row r="143" spans="1:26" x14ac:dyDescent="0.2">
      <c r="A143" s="407"/>
      <c r="B143" s="407"/>
      <c r="C143" s="407"/>
      <c r="D143" s="408" t="s">
        <v>847</v>
      </c>
      <c r="E143" s="409"/>
      <c r="F143" s="410">
        <v>13150.48</v>
      </c>
      <c r="G143" s="410">
        <v>3506.0924</v>
      </c>
      <c r="H143" s="409"/>
      <c r="I143" s="409"/>
      <c r="J143" s="411">
        <v>20405.810000000001</v>
      </c>
      <c r="K143" s="410">
        <v>260.10239999999999</v>
      </c>
      <c r="L143" s="410">
        <v>33.813312000000003</v>
      </c>
    </row>
    <row r="144" spans="1:26" ht="20.399999999999999" x14ac:dyDescent="0.2">
      <c r="A144" s="412"/>
      <c r="B144" s="412"/>
      <c r="C144" s="412"/>
      <c r="D144" s="395" t="s">
        <v>714</v>
      </c>
      <c r="E144" s="412"/>
      <c r="F144" s="412"/>
      <c r="G144" s="412"/>
      <c r="H144" s="412"/>
      <c r="I144" s="412"/>
      <c r="J144" s="412"/>
      <c r="K144" s="412"/>
      <c r="L144" s="412"/>
    </row>
    <row r="145" spans="1:26" ht="30.6" x14ac:dyDescent="0.2">
      <c r="A145" s="412"/>
      <c r="B145" s="412"/>
      <c r="C145" s="412"/>
      <c r="D145" s="395" t="s">
        <v>748</v>
      </c>
      <c r="E145" s="412"/>
      <c r="F145" s="412"/>
      <c r="G145" s="412"/>
      <c r="H145" s="412"/>
      <c r="I145" s="412"/>
      <c r="J145" s="412"/>
      <c r="K145" s="412"/>
      <c r="L145" s="412"/>
    </row>
    <row r="146" spans="1:26" ht="102" x14ac:dyDescent="0.2">
      <c r="A146" s="412"/>
      <c r="B146" s="412"/>
      <c r="C146" s="412"/>
      <c r="D146" s="395" t="s">
        <v>749</v>
      </c>
      <c r="E146" s="412"/>
      <c r="F146" s="412"/>
      <c r="G146" s="412"/>
      <c r="H146" s="412"/>
      <c r="I146" s="412"/>
      <c r="J146" s="412"/>
      <c r="K146" s="412"/>
      <c r="L146" s="412"/>
    </row>
    <row r="147" spans="1:26" x14ac:dyDescent="0.2">
      <c r="A147" s="412"/>
      <c r="B147" s="412"/>
      <c r="C147" s="412"/>
      <c r="D147" s="413" t="s">
        <v>206</v>
      </c>
      <c r="E147" s="414" t="s">
        <v>750</v>
      </c>
      <c r="F147" s="414"/>
      <c r="G147" s="414"/>
      <c r="H147" s="415">
        <v>106637.21</v>
      </c>
      <c r="I147" s="412"/>
      <c r="J147" s="412"/>
      <c r="K147" s="412"/>
      <c r="L147" s="412"/>
    </row>
    <row r="148" spans="1:26" x14ac:dyDescent="0.2">
      <c r="A148" s="412"/>
      <c r="B148" s="412"/>
      <c r="C148" s="412"/>
      <c r="D148" s="413" t="s">
        <v>207</v>
      </c>
      <c r="E148" s="414" t="s">
        <v>751</v>
      </c>
      <c r="F148" s="414"/>
      <c r="G148" s="414"/>
      <c r="H148" s="415">
        <v>70768.33</v>
      </c>
      <c r="I148" s="412"/>
      <c r="J148" s="412"/>
      <c r="K148" s="412"/>
      <c r="L148" s="412"/>
    </row>
    <row r="149" spans="1:26" x14ac:dyDescent="0.2">
      <c r="A149" s="412"/>
      <c r="B149" s="412"/>
      <c r="C149" s="412"/>
      <c r="D149" s="416" t="s">
        <v>715</v>
      </c>
      <c r="E149" s="417"/>
      <c r="F149" s="417"/>
      <c r="G149" s="417"/>
      <c r="H149" s="418">
        <v>308693.84999999998</v>
      </c>
      <c r="I149" s="412"/>
      <c r="J149" s="412"/>
      <c r="K149" s="412"/>
      <c r="L149" s="412"/>
    </row>
    <row r="150" spans="1:26" s="790" customFormat="1" ht="40.799999999999997" x14ac:dyDescent="0.2">
      <c r="A150" s="784">
        <v>22</v>
      </c>
      <c r="B150" s="784">
        <v>22</v>
      </c>
      <c r="C150" s="784" t="s">
        <v>857</v>
      </c>
      <c r="D150" s="784" t="s">
        <v>795</v>
      </c>
      <c r="E150" s="785">
        <v>0.22</v>
      </c>
      <c r="F150" s="786">
        <v>25958.011600000002</v>
      </c>
      <c r="G150" s="786">
        <v>17616.334800000001</v>
      </c>
      <c r="H150" s="787">
        <v>133473.37</v>
      </c>
      <c r="I150" s="787">
        <v>82160.509999999995</v>
      </c>
      <c r="J150" s="787">
        <v>51312.86</v>
      </c>
      <c r="K150" s="786">
        <v>854.68</v>
      </c>
      <c r="L150" s="786">
        <v>188.02959999999999</v>
      </c>
      <c r="M150" s="789">
        <v>0.22</v>
      </c>
      <c r="N150" s="789" t="s">
        <v>2420</v>
      </c>
      <c r="O150" s="789" t="s">
        <v>2421</v>
      </c>
      <c r="T150" s="790">
        <v>317261.3</v>
      </c>
      <c r="V150" s="790">
        <v>82160.509999999995</v>
      </c>
      <c r="W150" s="790">
        <v>51312.86</v>
      </c>
      <c r="X150" s="790">
        <v>18270.05</v>
      </c>
      <c r="Y150" s="790">
        <v>188.02959999999999</v>
      </c>
      <c r="Z150" s="790">
        <v>30.279039999999998</v>
      </c>
    </row>
    <row r="151" spans="1:26" x14ac:dyDescent="0.2">
      <c r="A151" s="407"/>
      <c r="B151" s="407"/>
      <c r="C151" s="407"/>
      <c r="D151" s="408" t="s">
        <v>847</v>
      </c>
      <c r="E151" s="409"/>
      <c r="F151" s="410">
        <v>8341.6767999999993</v>
      </c>
      <c r="G151" s="410">
        <v>1854.9408000000001</v>
      </c>
      <c r="H151" s="409"/>
      <c r="I151" s="409"/>
      <c r="J151" s="411">
        <v>18270.05</v>
      </c>
      <c r="K151" s="410">
        <v>137.63200000000001</v>
      </c>
      <c r="L151" s="410">
        <v>30.279039999999998</v>
      </c>
    </row>
    <row r="152" spans="1:26" ht="20.399999999999999" x14ac:dyDescent="0.2">
      <c r="A152" s="412"/>
      <c r="B152" s="412"/>
      <c r="C152" s="412"/>
      <c r="D152" s="395" t="s">
        <v>714</v>
      </c>
      <c r="E152" s="412"/>
      <c r="F152" s="412"/>
      <c r="G152" s="412"/>
      <c r="H152" s="412"/>
      <c r="I152" s="412"/>
      <c r="J152" s="412"/>
      <c r="K152" s="412"/>
      <c r="L152" s="412"/>
    </row>
    <row r="153" spans="1:26" ht="30.6" x14ac:dyDescent="0.2">
      <c r="A153" s="412"/>
      <c r="B153" s="412"/>
      <c r="C153" s="412"/>
      <c r="D153" s="395" t="s">
        <v>748</v>
      </c>
      <c r="E153" s="412"/>
      <c r="F153" s="412"/>
      <c r="G153" s="412"/>
      <c r="H153" s="412"/>
      <c r="I153" s="412"/>
      <c r="J153" s="412"/>
      <c r="K153" s="412"/>
      <c r="L153" s="412"/>
    </row>
    <row r="154" spans="1:26" ht="102" x14ac:dyDescent="0.2">
      <c r="A154" s="412"/>
      <c r="B154" s="412"/>
      <c r="C154" s="412"/>
      <c r="D154" s="395" t="s">
        <v>749</v>
      </c>
      <c r="E154" s="412"/>
      <c r="F154" s="412"/>
      <c r="G154" s="412"/>
      <c r="H154" s="412"/>
      <c r="I154" s="412"/>
      <c r="J154" s="412"/>
      <c r="K154" s="412"/>
      <c r="L154" s="412"/>
    </row>
    <row r="155" spans="1:26" x14ac:dyDescent="0.2">
      <c r="A155" s="412"/>
      <c r="B155" s="412"/>
      <c r="C155" s="412"/>
      <c r="D155" s="413" t="s">
        <v>206</v>
      </c>
      <c r="E155" s="414" t="s">
        <v>750</v>
      </c>
      <c r="F155" s="414"/>
      <c r="G155" s="414"/>
      <c r="H155" s="415">
        <v>110473.62</v>
      </c>
      <c r="I155" s="412"/>
      <c r="J155" s="412"/>
      <c r="K155" s="412"/>
      <c r="L155" s="412"/>
    </row>
    <row r="156" spans="1:26" x14ac:dyDescent="0.2">
      <c r="A156" s="412"/>
      <c r="B156" s="412"/>
      <c r="C156" s="412"/>
      <c r="D156" s="413" t="s">
        <v>207</v>
      </c>
      <c r="E156" s="414" t="s">
        <v>751</v>
      </c>
      <c r="F156" s="414"/>
      <c r="G156" s="414"/>
      <c r="H156" s="415">
        <v>73314.31</v>
      </c>
      <c r="I156" s="412"/>
      <c r="J156" s="412"/>
      <c r="K156" s="412"/>
      <c r="L156" s="412"/>
    </row>
    <row r="157" spans="1:26" x14ac:dyDescent="0.2">
      <c r="A157" s="412"/>
      <c r="B157" s="412"/>
      <c r="C157" s="412"/>
      <c r="D157" s="416" t="s">
        <v>715</v>
      </c>
      <c r="E157" s="417"/>
      <c r="F157" s="417"/>
      <c r="G157" s="417"/>
      <c r="H157" s="418">
        <v>317261.3</v>
      </c>
      <c r="I157" s="412"/>
      <c r="J157" s="412"/>
      <c r="K157" s="412"/>
      <c r="L157" s="412"/>
    </row>
    <row r="158" spans="1:26" s="790" customFormat="1" ht="30.6" x14ac:dyDescent="0.2">
      <c r="A158" s="784">
        <v>23</v>
      </c>
      <c r="B158" s="784">
        <v>23</v>
      </c>
      <c r="C158" s="784" t="s">
        <v>858</v>
      </c>
      <c r="D158" s="784" t="s">
        <v>859</v>
      </c>
      <c r="E158" s="785">
        <v>204.36</v>
      </c>
      <c r="F158" s="786">
        <v>10.15</v>
      </c>
      <c r="G158" s="786" t="s">
        <v>281</v>
      </c>
      <c r="H158" s="787">
        <v>27463.94</v>
      </c>
      <c r="I158" s="787" t="s">
        <v>281</v>
      </c>
      <c r="J158" s="787" t="s">
        <v>281</v>
      </c>
      <c r="K158" s="786" t="s">
        <v>281</v>
      </c>
      <c r="L158" s="786" t="s">
        <v>281</v>
      </c>
      <c r="M158" s="789">
        <f>E158</f>
        <v>204.36</v>
      </c>
      <c r="N158" s="789" t="s">
        <v>2457</v>
      </c>
      <c r="O158" s="789"/>
      <c r="T158" s="790">
        <v>27463.94</v>
      </c>
      <c r="V158" s="790" t="s">
        <v>281</v>
      </c>
      <c r="W158" s="790" t="s">
        <v>281</v>
      </c>
      <c r="X158" s="790" t="s">
        <v>281</v>
      </c>
      <c r="Y158" s="790" t="s">
        <v>281</v>
      </c>
      <c r="Z158" s="790" t="s">
        <v>281</v>
      </c>
    </row>
    <row r="159" spans="1:26" s="1231" customFormat="1" x14ac:dyDescent="0.2">
      <c r="A159" s="1232"/>
      <c r="B159" s="1232"/>
      <c r="C159" s="1232"/>
      <c r="D159" s="1233" t="s">
        <v>743</v>
      </c>
      <c r="E159" s="1234"/>
      <c r="F159" s="1235" t="s">
        <v>281</v>
      </c>
      <c r="G159" s="1235" t="s">
        <v>281</v>
      </c>
      <c r="H159" s="1234"/>
      <c r="I159" s="1234"/>
      <c r="J159" s="1236" t="s">
        <v>281</v>
      </c>
      <c r="K159" s="1235" t="s">
        <v>281</v>
      </c>
      <c r="L159" s="1235" t="s">
        <v>281</v>
      </c>
      <c r="M159" s="1237"/>
      <c r="N159" s="1237"/>
      <c r="O159" s="1237"/>
    </row>
    <row r="160" spans="1:26" s="1231" customFormat="1" x14ac:dyDescent="0.2">
      <c r="A160" s="1238"/>
      <c r="B160" s="1238"/>
      <c r="C160" s="1238"/>
      <c r="D160" s="1239" t="s">
        <v>716</v>
      </c>
      <c r="E160" s="1238"/>
      <c r="F160" s="1238"/>
      <c r="G160" s="1238"/>
      <c r="H160" s="1238"/>
      <c r="I160" s="1238"/>
      <c r="J160" s="1238"/>
      <c r="K160" s="1238"/>
      <c r="L160" s="1238"/>
      <c r="M160" s="1237"/>
      <c r="N160" s="1237"/>
      <c r="O160" s="1237"/>
    </row>
    <row r="161" spans="1:26" s="1231" customFormat="1" x14ac:dyDescent="0.2">
      <c r="A161" s="1238"/>
      <c r="B161" s="1238"/>
      <c r="C161" s="1238"/>
      <c r="D161" s="1240" t="s">
        <v>715</v>
      </c>
      <c r="E161" s="1241"/>
      <c r="F161" s="1241"/>
      <c r="G161" s="1241"/>
      <c r="H161" s="1242">
        <v>27463.94</v>
      </c>
      <c r="I161" s="1238"/>
      <c r="J161" s="1238"/>
      <c r="K161" s="1238"/>
      <c r="L161" s="1238"/>
      <c r="M161" s="1237"/>
      <c r="N161" s="1237"/>
      <c r="O161" s="1237"/>
    </row>
    <row r="162" spans="1:26" s="790" customFormat="1" ht="20.399999999999999" x14ac:dyDescent="0.2">
      <c r="A162" s="784">
        <v>24</v>
      </c>
      <c r="B162" s="784">
        <v>24</v>
      </c>
      <c r="C162" s="784" t="s">
        <v>851</v>
      </c>
      <c r="D162" s="784" t="s">
        <v>852</v>
      </c>
      <c r="E162" s="785">
        <v>204.36</v>
      </c>
      <c r="F162" s="786">
        <v>8.7899999999999991</v>
      </c>
      <c r="G162" s="786" t="s">
        <v>281</v>
      </c>
      <c r="H162" s="787">
        <v>24465.98</v>
      </c>
      <c r="I162" s="787" t="s">
        <v>281</v>
      </c>
      <c r="J162" s="787" t="s">
        <v>281</v>
      </c>
      <c r="K162" s="786" t="s">
        <v>281</v>
      </c>
      <c r="L162" s="786" t="s">
        <v>281</v>
      </c>
      <c r="M162" s="789">
        <f>E162</f>
        <v>204.36</v>
      </c>
      <c r="N162" s="789" t="s">
        <v>2457</v>
      </c>
      <c r="O162" s="789"/>
      <c r="T162" s="790">
        <v>24465.98</v>
      </c>
      <c r="V162" s="790" t="s">
        <v>281</v>
      </c>
      <c r="W162" s="790" t="s">
        <v>281</v>
      </c>
      <c r="X162" s="790" t="s">
        <v>281</v>
      </c>
      <c r="Y162" s="790" t="s">
        <v>281</v>
      </c>
      <c r="Z162" s="790" t="s">
        <v>281</v>
      </c>
    </row>
    <row r="163" spans="1:26" s="1231" customFormat="1" x14ac:dyDescent="0.2">
      <c r="A163" s="1232"/>
      <c r="B163" s="1232"/>
      <c r="C163" s="1232"/>
      <c r="D163" s="1233" t="s">
        <v>743</v>
      </c>
      <c r="E163" s="1234"/>
      <c r="F163" s="1235" t="s">
        <v>281</v>
      </c>
      <c r="G163" s="1235" t="s">
        <v>281</v>
      </c>
      <c r="H163" s="1234"/>
      <c r="I163" s="1234"/>
      <c r="J163" s="1236" t="s">
        <v>281</v>
      </c>
      <c r="K163" s="1235" t="s">
        <v>281</v>
      </c>
      <c r="L163" s="1235" t="s">
        <v>281</v>
      </c>
      <c r="M163" s="1237"/>
      <c r="N163" s="1237"/>
      <c r="O163" s="1237"/>
    </row>
    <row r="164" spans="1:26" s="1231" customFormat="1" x14ac:dyDescent="0.2">
      <c r="A164" s="1238"/>
      <c r="B164" s="1238"/>
      <c r="C164" s="1238"/>
      <c r="D164" s="1239" t="s">
        <v>792</v>
      </c>
      <c r="E164" s="1238"/>
      <c r="F164" s="1238"/>
      <c r="G164" s="1238"/>
      <c r="H164" s="1238"/>
      <c r="I164" s="1238"/>
      <c r="J164" s="1238"/>
      <c r="K164" s="1238"/>
      <c r="L164" s="1238"/>
      <c r="M164" s="1237"/>
      <c r="N164" s="1237"/>
      <c r="O164" s="1237"/>
    </row>
    <row r="165" spans="1:26" s="1231" customFormat="1" x14ac:dyDescent="0.2">
      <c r="A165" s="1238"/>
      <c r="B165" s="1238"/>
      <c r="C165" s="1238"/>
      <c r="D165" s="1240" t="s">
        <v>715</v>
      </c>
      <c r="E165" s="1241"/>
      <c r="F165" s="1241"/>
      <c r="G165" s="1241"/>
      <c r="H165" s="1242">
        <v>24465.98</v>
      </c>
      <c r="I165" s="1238"/>
      <c r="J165" s="1238"/>
      <c r="K165" s="1238"/>
      <c r="L165" s="1238"/>
      <c r="M165" s="1237"/>
      <c r="N165" s="1237"/>
      <c r="O165" s="1237"/>
    </row>
    <row r="166" spans="1:26" s="790" customFormat="1" ht="30.6" x14ac:dyDescent="0.2">
      <c r="A166" s="784">
        <v>25</v>
      </c>
      <c r="B166" s="784">
        <v>25</v>
      </c>
      <c r="C166" s="784" t="s">
        <v>860</v>
      </c>
      <c r="D166" s="784" t="s">
        <v>861</v>
      </c>
      <c r="E166" s="785">
        <v>204.36</v>
      </c>
      <c r="F166" s="786">
        <v>10.15</v>
      </c>
      <c r="G166" s="786" t="s">
        <v>281</v>
      </c>
      <c r="H166" s="787">
        <v>27463.94</v>
      </c>
      <c r="I166" s="787" t="s">
        <v>281</v>
      </c>
      <c r="J166" s="787" t="s">
        <v>281</v>
      </c>
      <c r="K166" s="786" t="s">
        <v>281</v>
      </c>
      <c r="L166" s="786" t="s">
        <v>281</v>
      </c>
      <c r="M166" s="789">
        <f>E166</f>
        <v>204.36</v>
      </c>
      <c r="N166" s="789" t="s">
        <v>2457</v>
      </c>
      <c r="O166" s="789"/>
      <c r="T166" s="790">
        <v>27463.94</v>
      </c>
      <c r="V166" s="790" t="s">
        <v>281</v>
      </c>
      <c r="W166" s="790" t="s">
        <v>281</v>
      </c>
      <c r="X166" s="790" t="s">
        <v>281</v>
      </c>
      <c r="Y166" s="790" t="s">
        <v>281</v>
      </c>
      <c r="Z166" s="790" t="s">
        <v>281</v>
      </c>
    </row>
    <row r="167" spans="1:26" s="1231" customFormat="1" x14ac:dyDescent="0.2">
      <c r="A167" s="1232"/>
      <c r="B167" s="1232"/>
      <c r="C167" s="1232"/>
      <c r="D167" s="1233" t="s">
        <v>743</v>
      </c>
      <c r="E167" s="1234"/>
      <c r="F167" s="1235" t="s">
        <v>281</v>
      </c>
      <c r="G167" s="1235" t="s">
        <v>281</v>
      </c>
      <c r="H167" s="1234"/>
      <c r="I167" s="1234"/>
      <c r="J167" s="1236" t="s">
        <v>281</v>
      </c>
      <c r="K167" s="1235" t="s">
        <v>281</v>
      </c>
      <c r="L167" s="1235" t="s">
        <v>281</v>
      </c>
      <c r="M167" s="1237"/>
      <c r="N167" s="1237"/>
      <c r="O167" s="1237"/>
    </row>
    <row r="168" spans="1:26" s="1231" customFormat="1" x14ac:dyDescent="0.2">
      <c r="A168" s="1238"/>
      <c r="B168" s="1238"/>
      <c r="C168" s="1238"/>
      <c r="D168" s="1239" t="s">
        <v>716</v>
      </c>
      <c r="E168" s="1238"/>
      <c r="F168" s="1238"/>
      <c r="G168" s="1238"/>
      <c r="H168" s="1238"/>
      <c r="I168" s="1238"/>
      <c r="J168" s="1238"/>
      <c r="K168" s="1238"/>
      <c r="L168" s="1238"/>
      <c r="M168" s="1237"/>
      <c r="N168" s="1237"/>
      <c r="O168" s="1237"/>
    </row>
    <row r="169" spans="1:26" s="1231" customFormat="1" x14ac:dyDescent="0.2">
      <c r="A169" s="1238"/>
      <c r="B169" s="1238"/>
      <c r="C169" s="1238"/>
      <c r="D169" s="1240" t="s">
        <v>715</v>
      </c>
      <c r="E169" s="1241"/>
      <c r="F169" s="1241"/>
      <c r="G169" s="1241"/>
      <c r="H169" s="1242">
        <v>27463.94</v>
      </c>
      <c r="I169" s="1238"/>
      <c r="J169" s="1238"/>
      <c r="K169" s="1238"/>
      <c r="L169" s="1238"/>
      <c r="M169" s="1237"/>
      <c r="N169" s="1237"/>
      <c r="O169" s="1237"/>
    </row>
    <row r="170" spans="1:26" s="790" customFormat="1" ht="30.6" x14ac:dyDescent="0.2">
      <c r="A170" s="784">
        <v>26</v>
      </c>
      <c r="B170" s="784">
        <v>26</v>
      </c>
      <c r="C170" s="784" t="s">
        <v>858</v>
      </c>
      <c r="D170" s="784" t="s">
        <v>859</v>
      </c>
      <c r="E170" s="785">
        <v>204.36</v>
      </c>
      <c r="F170" s="786">
        <v>10.15</v>
      </c>
      <c r="G170" s="786" t="s">
        <v>281</v>
      </c>
      <c r="H170" s="787">
        <v>27463.94</v>
      </c>
      <c r="I170" s="787" t="s">
        <v>281</v>
      </c>
      <c r="J170" s="787" t="s">
        <v>281</v>
      </c>
      <c r="K170" s="786" t="s">
        <v>281</v>
      </c>
      <c r="L170" s="786" t="s">
        <v>281</v>
      </c>
      <c r="M170" s="789">
        <f>E170</f>
        <v>204.36</v>
      </c>
      <c r="N170" s="789" t="s">
        <v>2457</v>
      </c>
      <c r="O170" s="789"/>
      <c r="T170" s="790">
        <v>27463.94</v>
      </c>
      <c r="V170" s="790" t="s">
        <v>281</v>
      </c>
      <c r="W170" s="790" t="s">
        <v>281</v>
      </c>
      <c r="X170" s="790" t="s">
        <v>281</v>
      </c>
      <c r="Y170" s="790" t="s">
        <v>281</v>
      </c>
      <c r="Z170" s="790" t="s">
        <v>281</v>
      </c>
    </row>
    <row r="171" spans="1:26" s="1231" customFormat="1" x14ac:dyDescent="0.2">
      <c r="A171" s="1232"/>
      <c r="B171" s="1232"/>
      <c r="C171" s="1232"/>
      <c r="D171" s="1233" t="s">
        <v>743</v>
      </c>
      <c r="E171" s="1234"/>
      <c r="F171" s="1235" t="s">
        <v>281</v>
      </c>
      <c r="G171" s="1235" t="s">
        <v>281</v>
      </c>
      <c r="H171" s="1234"/>
      <c r="I171" s="1234"/>
      <c r="J171" s="1236" t="s">
        <v>281</v>
      </c>
      <c r="K171" s="1235" t="s">
        <v>281</v>
      </c>
      <c r="L171" s="1235" t="s">
        <v>281</v>
      </c>
      <c r="M171" s="1237"/>
      <c r="N171" s="1237"/>
      <c r="O171" s="1237"/>
    </row>
    <row r="172" spans="1:26" s="1231" customFormat="1" x14ac:dyDescent="0.2">
      <c r="A172" s="1238"/>
      <c r="B172" s="1238"/>
      <c r="C172" s="1238"/>
      <c r="D172" s="1239" t="s">
        <v>716</v>
      </c>
      <c r="E172" s="1238"/>
      <c r="F172" s="1238"/>
      <c r="G172" s="1238"/>
      <c r="H172" s="1238"/>
      <c r="I172" s="1238"/>
      <c r="J172" s="1238"/>
      <c r="K172" s="1238"/>
      <c r="L172" s="1238"/>
      <c r="M172" s="1237"/>
      <c r="N172" s="1237"/>
      <c r="O172" s="1237"/>
    </row>
    <row r="173" spans="1:26" s="1231" customFormat="1" x14ac:dyDescent="0.2">
      <c r="A173" s="1238"/>
      <c r="B173" s="1238"/>
      <c r="C173" s="1238"/>
      <c r="D173" s="1240" t="s">
        <v>715</v>
      </c>
      <c r="E173" s="1241"/>
      <c r="F173" s="1241"/>
      <c r="G173" s="1241"/>
      <c r="H173" s="1242">
        <v>27463.94</v>
      </c>
      <c r="I173" s="1238"/>
      <c r="J173" s="1238"/>
      <c r="K173" s="1238"/>
      <c r="L173" s="1238"/>
      <c r="M173" s="1237"/>
      <c r="N173" s="1237"/>
      <c r="O173" s="1237"/>
    </row>
    <row r="174" spans="1:26" s="790" customFormat="1" ht="30.6" x14ac:dyDescent="0.2">
      <c r="A174" s="784">
        <v>27</v>
      </c>
      <c r="B174" s="784">
        <v>27</v>
      </c>
      <c r="C174" s="784" t="s">
        <v>744</v>
      </c>
      <c r="D174" s="784" t="s">
        <v>796</v>
      </c>
      <c r="E174" s="785">
        <v>44.72</v>
      </c>
      <c r="F174" s="786">
        <v>162.37745100000001</v>
      </c>
      <c r="G174" s="786" t="s">
        <v>281</v>
      </c>
      <c r="H174" s="787">
        <v>59254</v>
      </c>
      <c r="I174" s="787" t="s">
        <v>281</v>
      </c>
      <c r="J174" s="787" t="s">
        <v>281</v>
      </c>
      <c r="K174" s="786" t="s">
        <v>281</v>
      </c>
      <c r="L174" s="786" t="s">
        <v>281</v>
      </c>
      <c r="M174" s="789">
        <f>E174</f>
        <v>44.72</v>
      </c>
      <c r="N174" s="789" t="s">
        <v>2458</v>
      </c>
      <c r="O174" s="789"/>
      <c r="T174" s="790">
        <v>59254</v>
      </c>
      <c r="V174" s="790" t="s">
        <v>281</v>
      </c>
      <c r="W174" s="790" t="s">
        <v>281</v>
      </c>
      <c r="X174" s="790" t="s">
        <v>281</v>
      </c>
      <c r="Y174" s="790" t="s">
        <v>281</v>
      </c>
      <c r="Z174" s="790" t="s">
        <v>281</v>
      </c>
    </row>
    <row r="175" spans="1:26" x14ac:dyDescent="0.2">
      <c r="A175" s="407"/>
      <c r="B175" s="407"/>
      <c r="C175" s="407"/>
      <c r="D175" s="408" t="s">
        <v>745</v>
      </c>
      <c r="E175" s="409"/>
      <c r="F175" s="410" t="s">
        <v>281</v>
      </c>
      <c r="G175" s="410" t="s">
        <v>281</v>
      </c>
      <c r="H175" s="409"/>
      <c r="I175" s="409"/>
      <c r="J175" s="411" t="s">
        <v>281</v>
      </c>
      <c r="K175" s="410" t="s">
        <v>281</v>
      </c>
      <c r="L175" s="410" t="s">
        <v>281</v>
      </c>
    </row>
    <row r="176" spans="1:26" ht="20.399999999999999" x14ac:dyDescent="0.2">
      <c r="A176" s="412"/>
      <c r="B176" s="412"/>
      <c r="C176" s="412"/>
      <c r="D176" s="395" t="s">
        <v>714</v>
      </c>
      <c r="E176" s="412"/>
      <c r="F176" s="412"/>
      <c r="G176" s="412"/>
      <c r="H176" s="412"/>
      <c r="I176" s="412"/>
      <c r="J176" s="412"/>
      <c r="K176" s="412"/>
      <c r="L176" s="412"/>
    </row>
    <row r="177" spans="1:26" x14ac:dyDescent="0.2">
      <c r="A177" s="412"/>
      <c r="B177" s="412"/>
      <c r="C177" s="412"/>
      <c r="D177" s="416" t="s">
        <v>715</v>
      </c>
      <c r="E177" s="417"/>
      <c r="F177" s="417"/>
      <c r="G177" s="417"/>
      <c r="H177" s="418">
        <v>59254</v>
      </c>
      <c r="I177" s="412"/>
      <c r="J177" s="412"/>
      <c r="K177" s="412"/>
      <c r="L177" s="412"/>
    </row>
    <row r="178" spans="1:26" s="790" customFormat="1" ht="61.2" x14ac:dyDescent="0.2">
      <c r="A178" s="784">
        <v>28</v>
      </c>
      <c r="B178" s="784">
        <v>28</v>
      </c>
      <c r="C178" s="784" t="s">
        <v>862</v>
      </c>
      <c r="D178" s="784" t="s">
        <v>797</v>
      </c>
      <c r="E178" s="785">
        <v>11.999000000000001</v>
      </c>
      <c r="F178" s="786">
        <v>527.90290000000005</v>
      </c>
      <c r="G178" s="786">
        <v>379.99220000000003</v>
      </c>
      <c r="H178" s="787">
        <v>139825.07</v>
      </c>
      <c r="I178" s="787">
        <v>79456.899999999994</v>
      </c>
      <c r="J178" s="787">
        <v>60368.17</v>
      </c>
      <c r="K178" s="786">
        <v>15.375500000000001</v>
      </c>
      <c r="L178" s="786">
        <v>184.49062499999999</v>
      </c>
      <c r="M178" s="789">
        <f>3.975+1.3+0.971+5.533+0.22</f>
        <v>11.999000000000001</v>
      </c>
      <c r="N178" s="789" t="s">
        <v>2422</v>
      </c>
      <c r="O178" s="789" t="s">
        <v>2423</v>
      </c>
      <c r="T178" s="790">
        <v>290860.48</v>
      </c>
      <c r="V178" s="790">
        <v>79456.899999999994</v>
      </c>
      <c r="W178" s="790">
        <v>60368.17</v>
      </c>
      <c r="X178" s="790">
        <v>17985.3</v>
      </c>
      <c r="Y178" s="790">
        <v>184.49062499999999</v>
      </c>
      <c r="Z178" s="790">
        <v>28.591217</v>
      </c>
    </row>
    <row r="179" spans="1:26" x14ac:dyDescent="0.2">
      <c r="A179" s="407"/>
      <c r="B179" s="407"/>
      <c r="C179" s="407"/>
      <c r="D179" s="408" t="s">
        <v>224</v>
      </c>
      <c r="E179" s="409"/>
      <c r="F179" s="410">
        <v>147.91069999999999</v>
      </c>
      <c r="G179" s="410">
        <v>33.479950000000002</v>
      </c>
      <c r="H179" s="409"/>
      <c r="I179" s="409"/>
      <c r="J179" s="411">
        <v>17985.3</v>
      </c>
      <c r="K179" s="410">
        <v>2.3828</v>
      </c>
      <c r="L179" s="410">
        <v>28.591217</v>
      </c>
    </row>
    <row r="180" spans="1:26" ht="20.399999999999999" x14ac:dyDescent="0.2">
      <c r="A180" s="412"/>
      <c r="B180" s="412"/>
      <c r="C180" s="412"/>
      <c r="D180" s="395" t="s">
        <v>714</v>
      </c>
      <c r="E180" s="412"/>
      <c r="F180" s="412"/>
      <c r="G180" s="412"/>
      <c r="H180" s="412"/>
      <c r="I180" s="412"/>
      <c r="J180" s="412"/>
      <c r="K180" s="412"/>
      <c r="L180" s="412"/>
    </row>
    <row r="181" spans="1:26" ht="30.6" x14ac:dyDescent="0.2">
      <c r="A181" s="412"/>
      <c r="B181" s="412"/>
      <c r="C181" s="412"/>
      <c r="D181" s="395" t="s">
        <v>863</v>
      </c>
      <c r="E181" s="412"/>
      <c r="F181" s="412"/>
      <c r="G181" s="412"/>
      <c r="H181" s="412"/>
      <c r="I181" s="412"/>
      <c r="J181" s="412"/>
      <c r="K181" s="412"/>
      <c r="L181" s="412"/>
    </row>
    <row r="182" spans="1:26" ht="102" x14ac:dyDescent="0.2">
      <c r="A182" s="412"/>
      <c r="B182" s="412"/>
      <c r="C182" s="412"/>
      <c r="D182" s="395" t="s">
        <v>864</v>
      </c>
      <c r="E182" s="412"/>
      <c r="F182" s="412"/>
      <c r="G182" s="412"/>
      <c r="H182" s="412"/>
      <c r="I182" s="412"/>
      <c r="J182" s="412"/>
      <c r="K182" s="412"/>
      <c r="L182" s="412"/>
    </row>
    <row r="183" spans="1:26" x14ac:dyDescent="0.2">
      <c r="A183" s="412"/>
      <c r="B183" s="412"/>
      <c r="C183" s="412"/>
      <c r="D183" s="413" t="s">
        <v>206</v>
      </c>
      <c r="E183" s="414" t="s">
        <v>865</v>
      </c>
      <c r="F183" s="414"/>
      <c r="G183" s="414"/>
      <c r="H183" s="415">
        <v>90621.25</v>
      </c>
      <c r="I183" s="412"/>
      <c r="J183" s="412"/>
      <c r="K183" s="412"/>
      <c r="L183" s="412"/>
    </row>
    <row r="184" spans="1:26" x14ac:dyDescent="0.2">
      <c r="A184" s="412"/>
      <c r="B184" s="412"/>
      <c r="C184" s="412"/>
      <c r="D184" s="413" t="s">
        <v>207</v>
      </c>
      <c r="E184" s="414" t="s">
        <v>866</v>
      </c>
      <c r="F184" s="414"/>
      <c r="G184" s="414"/>
      <c r="H184" s="415">
        <v>60414.16</v>
      </c>
      <c r="I184" s="412"/>
      <c r="J184" s="412"/>
      <c r="K184" s="412"/>
      <c r="L184" s="412"/>
    </row>
    <row r="185" spans="1:26" x14ac:dyDescent="0.2">
      <c r="A185" s="412"/>
      <c r="B185" s="412"/>
      <c r="C185" s="412"/>
      <c r="D185" s="416" t="s">
        <v>715</v>
      </c>
      <c r="E185" s="417"/>
      <c r="F185" s="417"/>
      <c r="G185" s="417"/>
      <c r="H185" s="418">
        <v>290860.48</v>
      </c>
      <c r="I185" s="412"/>
      <c r="J185" s="412"/>
      <c r="K185" s="412"/>
      <c r="L185" s="412"/>
    </row>
    <row r="186" spans="1:26" s="790" customFormat="1" ht="30.6" x14ac:dyDescent="0.2">
      <c r="A186" s="784">
        <v>29</v>
      </c>
      <c r="B186" s="784">
        <v>29</v>
      </c>
      <c r="C186" s="784" t="s">
        <v>867</v>
      </c>
      <c r="D186" s="784" t="s">
        <v>798</v>
      </c>
      <c r="E186" s="785">
        <v>1.9</v>
      </c>
      <c r="F186" s="786">
        <v>759.10694999999998</v>
      </c>
      <c r="G186" s="786">
        <v>540.42065000000002</v>
      </c>
      <c r="H186" s="787">
        <v>32196.94</v>
      </c>
      <c r="I186" s="787">
        <v>18602.12</v>
      </c>
      <c r="J186" s="787">
        <v>13594.82</v>
      </c>
      <c r="K186" s="786">
        <v>23.264500000000002</v>
      </c>
      <c r="L186" s="786">
        <v>44.202550000000002</v>
      </c>
      <c r="M186" s="789">
        <v>1.9</v>
      </c>
      <c r="N186" s="789" t="s">
        <v>2424</v>
      </c>
      <c r="O186" s="789"/>
      <c r="T186" s="790">
        <v>69359.89</v>
      </c>
      <c r="V186" s="790">
        <v>18602.12</v>
      </c>
      <c r="W186" s="790">
        <v>13594.82</v>
      </c>
      <c r="X186" s="790">
        <v>5373.98</v>
      </c>
      <c r="Y186" s="790">
        <v>44.202550000000002</v>
      </c>
      <c r="Z186" s="790">
        <v>8.9169850000000004</v>
      </c>
    </row>
    <row r="187" spans="1:26" x14ac:dyDescent="0.2">
      <c r="A187" s="407"/>
      <c r="B187" s="407"/>
      <c r="C187" s="407"/>
      <c r="D187" s="408" t="s">
        <v>224</v>
      </c>
      <c r="E187" s="409"/>
      <c r="F187" s="410">
        <v>218.68629999999999</v>
      </c>
      <c r="G187" s="410">
        <v>63.176400000000001</v>
      </c>
      <c r="H187" s="409"/>
      <c r="I187" s="409"/>
      <c r="J187" s="411">
        <v>5373.98</v>
      </c>
      <c r="K187" s="410">
        <v>4.6931500000000002</v>
      </c>
      <c r="L187" s="410">
        <v>8.9169850000000004</v>
      </c>
    </row>
    <row r="188" spans="1:26" ht="20.399999999999999" x14ac:dyDescent="0.2">
      <c r="A188" s="412"/>
      <c r="B188" s="412"/>
      <c r="C188" s="412"/>
      <c r="D188" s="395" t="s">
        <v>714</v>
      </c>
      <c r="E188" s="412"/>
      <c r="F188" s="412"/>
      <c r="G188" s="412"/>
      <c r="H188" s="412"/>
      <c r="I188" s="412"/>
      <c r="J188" s="412"/>
      <c r="K188" s="412"/>
      <c r="L188" s="412"/>
    </row>
    <row r="189" spans="1:26" ht="30.6" x14ac:dyDescent="0.2">
      <c r="A189" s="412"/>
      <c r="B189" s="412"/>
      <c r="C189" s="412"/>
      <c r="D189" s="395" t="s">
        <v>863</v>
      </c>
      <c r="E189" s="412"/>
      <c r="F189" s="412"/>
      <c r="G189" s="412"/>
      <c r="H189" s="412"/>
      <c r="I189" s="412"/>
      <c r="J189" s="412"/>
      <c r="K189" s="412"/>
      <c r="L189" s="412"/>
    </row>
    <row r="190" spans="1:26" ht="102" x14ac:dyDescent="0.2">
      <c r="A190" s="412"/>
      <c r="B190" s="412"/>
      <c r="C190" s="412"/>
      <c r="D190" s="395" t="s">
        <v>864</v>
      </c>
      <c r="E190" s="412"/>
      <c r="F190" s="412"/>
      <c r="G190" s="412"/>
      <c r="H190" s="412"/>
      <c r="I190" s="412"/>
      <c r="J190" s="412"/>
      <c r="K190" s="412"/>
      <c r="L190" s="412"/>
    </row>
    <row r="191" spans="1:26" x14ac:dyDescent="0.2">
      <c r="A191" s="412"/>
      <c r="B191" s="412"/>
      <c r="C191" s="412"/>
      <c r="D191" s="413" t="s">
        <v>206</v>
      </c>
      <c r="E191" s="414" t="s">
        <v>865</v>
      </c>
      <c r="F191" s="414"/>
      <c r="G191" s="414"/>
      <c r="H191" s="415">
        <v>22297.77</v>
      </c>
      <c r="I191" s="412"/>
      <c r="J191" s="412"/>
      <c r="K191" s="412"/>
      <c r="L191" s="412"/>
    </row>
    <row r="192" spans="1:26" x14ac:dyDescent="0.2">
      <c r="A192" s="412"/>
      <c r="B192" s="412"/>
      <c r="C192" s="412"/>
      <c r="D192" s="413" t="s">
        <v>207</v>
      </c>
      <c r="E192" s="414" t="s">
        <v>866</v>
      </c>
      <c r="F192" s="414"/>
      <c r="G192" s="414"/>
      <c r="H192" s="415">
        <v>14865.18</v>
      </c>
      <c r="I192" s="412"/>
      <c r="J192" s="412"/>
      <c r="K192" s="412"/>
      <c r="L192" s="412"/>
    </row>
    <row r="193" spans="1:26" x14ac:dyDescent="0.2">
      <c r="A193" s="412"/>
      <c r="B193" s="412"/>
      <c r="C193" s="412"/>
      <c r="D193" s="416" t="s">
        <v>715</v>
      </c>
      <c r="E193" s="417"/>
      <c r="F193" s="417"/>
      <c r="G193" s="417"/>
      <c r="H193" s="418">
        <v>69359.89</v>
      </c>
      <c r="I193" s="412"/>
      <c r="J193" s="412"/>
      <c r="K193" s="412"/>
      <c r="L193" s="412"/>
    </row>
    <row r="194" spans="1:26" s="790" customFormat="1" ht="30.6" x14ac:dyDescent="0.2">
      <c r="A194" s="784">
        <v>30</v>
      </c>
      <c r="B194" s="784">
        <v>30</v>
      </c>
      <c r="C194" s="784" t="s">
        <v>868</v>
      </c>
      <c r="D194" s="784" t="s">
        <v>869</v>
      </c>
      <c r="E194" s="785">
        <v>10.913</v>
      </c>
      <c r="F194" s="786">
        <v>22.33</v>
      </c>
      <c r="G194" s="786" t="s">
        <v>281</v>
      </c>
      <c r="H194" s="787">
        <v>3226.43</v>
      </c>
      <c r="I194" s="787" t="s">
        <v>281</v>
      </c>
      <c r="J194" s="787" t="s">
        <v>281</v>
      </c>
      <c r="K194" s="786" t="s">
        <v>281</v>
      </c>
      <c r="L194" s="786" t="s">
        <v>281</v>
      </c>
      <c r="M194" s="789">
        <f>E194</f>
        <v>10.913</v>
      </c>
      <c r="N194" s="789"/>
      <c r="O194" s="789"/>
      <c r="T194" s="790">
        <v>3226.43</v>
      </c>
      <c r="V194" s="790" t="s">
        <v>281</v>
      </c>
      <c r="W194" s="790" t="s">
        <v>281</v>
      </c>
      <c r="X194" s="790" t="s">
        <v>281</v>
      </c>
      <c r="Y194" s="790" t="s">
        <v>281</v>
      </c>
      <c r="Z194" s="790" t="s">
        <v>281</v>
      </c>
    </row>
    <row r="195" spans="1:26" s="1231" customFormat="1" x14ac:dyDescent="0.2">
      <c r="A195" s="1232"/>
      <c r="B195" s="1232"/>
      <c r="C195" s="1232"/>
      <c r="D195" s="1233" t="s">
        <v>743</v>
      </c>
      <c r="E195" s="1234"/>
      <c r="F195" s="1235" t="s">
        <v>281</v>
      </c>
      <c r="G195" s="1235" t="s">
        <v>281</v>
      </c>
      <c r="H195" s="1234"/>
      <c r="I195" s="1234"/>
      <c r="J195" s="1236" t="s">
        <v>281</v>
      </c>
      <c r="K195" s="1235" t="s">
        <v>281</v>
      </c>
      <c r="L195" s="1235" t="s">
        <v>281</v>
      </c>
      <c r="M195" s="1237"/>
      <c r="N195" s="1237"/>
      <c r="O195" s="1237"/>
    </row>
    <row r="196" spans="1:26" s="1231" customFormat="1" x14ac:dyDescent="0.2">
      <c r="A196" s="1238"/>
      <c r="B196" s="1238"/>
      <c r="C196" s="1238"/>
      <c r="D196" s="1239" t="s">
        <v>716</v>
      </c>
      <c r="E196" s="1238"/>
      <c r="F196" s="1238"/>
      <c r="G196" s="1238"/>
      <c r="H196" s="1238"/>
      <c r="I196" s="1238"/>
      <c r="J196" s="1238"/>
      <c r="K196" s="1238"/>
      <c r="L196" s="1238"/>
      <c r="M196" s="1237"/>
      <c r="N196" s="1237"/>
      <c r="O196" s="1237"/>
    </row>
    <row r="197" spans="1:26" s="1231" customFormat="1" x14ac:dyDescent="0.2">
      <c r="A197" s="1238"/>
      <c r="B197" s="1238"/>
      <c r="C197" s="1238"/>
      <c r="D197" s="1240" t="s">
        <v>715</v>
      </c>
      <c r="E197" s="1241"/>
      <c r="F197" s="1241"/>
      <c r="G197" s="1241"/>
      <c r="H197" s="1242">
        <v>3226.43</v>
      </c>
      <c r="I197" s="1238"/>
      <c r="J197" s="1238"/>
      <c r="K197" s="1238"/>
      <c r="L197" s="1238"/>
      <c r="M197" s="1237"/>
      <c r="N197" s="1237"/>
      <c r="O197" s="1237"/>
    </row>
    <row r="198" spans="1:26" s="790" customFormat="1" ht="20.399999999999999" x14ac:dyDescent="0.2">
      <c r="A198" s="784">
        <v>31</v>
      </c>
      <c r="B198" s="784">
        <v>31</v>
      </c>
      <c r="C198" s="784" t="s">
        <v>870</v>
      </c>
      <c r="D198" s="784" t="s">
        <v>871</v>
      </c>
      <c r="E198" s="785">
        <v>2.7669999999999999</v>
      </c>
      <c r="F198" s="786">
        <v>10.45</v>
      </c>
      <c r="G198" s="786" t="s">
        <v>281</v>
      </c>
      <c r="H198" s="787">
        <v>382.84</v>
      </c>
      <c r="I198" s="787" t="s">
        <v>281</v>
      </c>
      <c r="J198" s="787" t="s">
        <v>281</v>
      </c>
      <c r="K198" s="786" t="s">
        <v>281</v>
      </c>
      <c r="L198" s="786" t="s">
        <v>281</v>
      </c>
      <c r="M198" s="789">
        <f>E198</f>
        <v>2.7669999999999999</v>
      </c>
      <c r="N198" s="789"/>
      <c r="O198" s="789"/>
      <c r="T198" s="790">
        <v>382.84</v>
      </c>
      <c r="V198" s="790" t="s">
        <v>281</v>
      </c>
      <c r="W198" s="790" t="s">
        <v>281</v>
      </c>
      <c r="X198" s="790" t="s">
        <v>281</v>
      </c>
      <c r="Y198" s="790" t="s">
        <v>281</v>
      </c>
      <c r="Z198" s="790" t="s">
        <v>281</v>
      </c>
    </row>
    <row r="199" spans="1:26" s="1231" customFormat="1" x14ac:dyDescent="0.2">
      <c r="A199" s="1232"/>
      <c r="B199" s="1232"/>
      <c r="C199" s="1232"/>
      <c r="D199" s="1233" t="s">
        <v>743</v>
      </c>
      <c r="E199" s="1234"/>
      <c r="F199" s="1235" t="s">
        <v>281</v>
      </c>
      <c r="G199" s="1235" t="s">
        <v>281</v>
      </c>
      <c r="H199" s="1234"/>
      <c r="I199" s="1234"/>
      <c r="J199" s="1236" t="s">
        <v>281</v>
      </c>
      <c r="K199" s="1235" t="s">
        <v>281</v>
      </c>
      <c r="L199" s="1235" t="s">
        <v>281</v>
      </c>
      <c r="M199" s="1237"/>
      <c r="N199" s="1237"/>
      <c r="O199" s="1237"/>
    </row>
    <row r="200" spans="1:26" s="1231" customFormat="1" x14ac:dyDescent="0.2">
      <c r="A200" s="1238"/>
      <c r="B200" s="1238"/>
      <c r="C200" s="1238"/>
      <c r="D200" s="1239" t="s">
        <v>716</v>
      </c>
      <c r="E200" s="1238"/>
      <c r="F200" s="1238"/>
      <c r="G200" s="1238"/>
      <c r="H200" s="1238"/>
      <c r="I200" s="1238"/>
      <c r="J200" s="1238"/>
      <c r="K200" s="1238"/>
      <c r="L200" s="1238"/>
      <c r="M200" s="1237"/>
      <c r="N200" s="1237"/>
      <c r="O200" s="1237"/>
    </row>
    <row r="201" spans="1:26" s="1231" customFormat="1" x14ac:dyDescent="0.2">
      <c r="A201" s="1238"/>
      <c r="B201" s="1238"/>
      <c r="C201" s="1238"/>
      <c r="D201" s="1240" t="s">
        <v>715</v>
      </c>
      <c r="E201" s="1241"/>
      <c r="F201" s="1241"/>
      <c r="G201" s="1241"/>
      <c r="H201" s="1242">
        <v>382.84</v>
      </c>
      <c r="I201" s="1238"/>
      <c r="J201" s="1238"/>
      <c r="K201" s="1238"/>
      <c r="L201" s="1238"/>
      <c r="M201" s="1237"/>
      <c r="N201" s="1237"/>
      <c r="O201" s="1237"/>
    </row>
    <row r="202" spans="1:26" s="790" customFormat="1" ht="20.399999999999999" x14ac:dyDescent="0.2">
      <c r="A202" s="784">
        <v>32</v>
      </c>
      <c r="B202" s="784">
        <v>32</v>
      </c>
      <c r="C202" s="784" t="s">
        <v>851</v>
      </c>
      <c r="D202" s="784" t="s">
        <v>852</v>
      </c>
      <c r="E202" s="785">
        <v>13.898999999999999</v>
      </c>
      <c r="F202" s="786">
        <v>8.7899999999999991</v>
      </c>
      <c r="G202" s="786" t="s">
        <v>281</v>
      </c>
      <c r="H202" s="787">
        <v>1663.99</v>
      </c>
      <c r="I202" s="787" t="s">
        <v>281</v>
      </c>
      <c r="J202" s="787" t="s">
        <v>281</v>
      </c>
      <c r="K202" s="786" t="s">
        <v>281</v>
      </c>
      <c r="L202" s="786" t="s">
        <v>281</v>
      </c>
      <c r="M202" s="789">
        <f>E202</f>
        <v>13.898999999999999</v>
      </c>
      <c r="N202" s="789" t="s">
        <v>2448</v>
      </c>
      <c r="O202" s="789"/>
      <c r="T202" s="790">
        <v>1663.99</v>
      </c>
      <c r="V202" s="790" t="s">
        <v>281</v>
      </c>
      <c r="W202" s="790" t="s">
        <v>281</v>
      </c>
      <c r="X202" s="790" t="s">
        <v>281</v>
      </c>
      <c r="Y202" s="790" t="s">
        <v>281</v>
      </c>
      <c r="Z202" s="790" t="s">
        <v>281</v>
      </c>
    </row>
    <row r="203" spans="1:26" s="1231" customFormat="1" x14ac:dyDescent="0.2">
      <c r="A203" s="1232"/>
      <c r="B203" s="1232"/>
      <c r="C203" s="1232"/>
      <c r="D203" s="1233" t="s">
        <v>743</v>
      </c>
      <c r="E203" s="1234"/>
      <c r="F203" s="1235" t="s">
        <v>281</v>
      </c>
      <c r="G203" s="1235" t="s">
        <v>281</v>
      </c>
      <c r="H203" s="1234"/>
      <c r="I203" s="1234"/>
      <c r="J203" s="1236" t="s">
        <v>281</v>
      </c>
      <c r="K203" s="1235" t="s">
        <v>281</v>
      </c>
      <c r="L203" s="1235" t="s">
        <v>281</v>
      </c>
      <c r="M203" s="1237"/>
      <c r="N203" s="1237"/>
      <c r="O203" s="1237"/>
    </row>
    <row r="204" spans="1:26" s="1231" customFormat="1" x14ac:dyDescent="0.2">
      <c r="A204" s="1238"/>
      <c r="B204" s="1238"/>
      <c r="C204" s="1238"/>
      <c r="D204" s="1239" t="s">
        <v>792</v>
      </c>
      <c r="E204" s="1238"/>
      <c r="F204" s="1238"/>
      <c r="G204" s="1238"/>
      <c r="H204" s="1238"/>
      <c r="I204" s="1238"/>
      <c r="J204" s="1238"/>
      <c r="K204" s="1238"/>
      <c r="L204" s="1238"/>
      <c r="M204" s="1237"/>
      <c r="N204" s="1237"/>
      <c r="O204" s="1237"/>
    </row>
    <row r="205" spans="1:26" s="1231" customFormat="1" x14ac:dyDescent="0.2">
      <c r="A205" s="1238"/>
      <c r="B205" s="1238"/>
      <c r="C205" s="1238"/>
      <c r="D205" s="1240" t="s">
        <v>715</v>
      </c>
      <c r="E205" s="1241"/>
      <c r="F205" s="1241"/>
      <c r="G205" s="1241"/>
      <c r="H205" s="1242">
        <v>1663.99</v>
      </c>
      <c r="I205" s="1238"/>
      <c r="J205" s="1238"/>
      <c r="K205" s="1238"/>
      <c r="L205" s="1238"/>
      <c r="M205" s="1237"/>
      <c r="N205" s="1237"/>
      <c r="O205" s="1237"/>
    </row>
    <row r="206" spans="1:26" s="790" customFormat="1" ht="20.399999999999999" x14ac:dyDescent="0.2">
      <c r="A206" s="784">
        <v>33</v>
      </c>
      <c r="B206" s="784">
        <v>33</v>
      </c>
      <c r="C206" s="784" t="s">
        <v>872</v>
      </c>
      <c r="D206" s="784" t="s">
        <v>873</v>
      </c>
      <c r="E206" s="785">
        <v>10.913</v>
      </c>
      <c r="F206" s="786">
        <v>22.33</v>
      </c>
      <c r="G206" s="786" t="s">
        <v>281</v>
      </c>
      <c r="H206" s="787">
        <v>3226.43</v>
      </c>
      <c r="I206" s="787" t="s">
        <v>281</v>
      </c>
      <c r="J206" s="787" t="s">
        <v>281</v>
      </c>
      <c r="K206" s="786" t="s">
        <v>281</v>
      </c>
      <c r="L206" s="786" t="s">
        <v>281</v>
      </c>
      <c r="M206" s="789">
        <f>E206</f>
        <v>10.913</v>
      </c>
      <c r="N206" s="789" t="s">
        <v>2447</v>
      </c>
      <c r="O206" s="789"/>
      <c r="T206" s="790">
        <v>3226.43</v>
      </c>
      <c r="V206" s="790" t="s">
        <v>281</v>
      </c>
      <c r="W206" s="790" t="s">
        <v>281</v>
      </c>
      <c r="X206" s="790" t="s">
        <v>281</v>
      </c>
      <c r="Y206" s="790" t="s">
        <v>281</v>
      </c>
      <c r="Z206" s="790" t="s">
        <v>281</v>
      </c>
    </row>
    <row r="207" spans="1:26" s="1231" customFormat="1" x14ac:dyDescent="0.2">
      <c r="A207" s="1232"/>
      <c r="B207" s="1232"/>
      <c r="C207" s="1232"/>
      <c r="D207" s="1233" t="s">
        <v>743</v>
      </c>
      <c r="E207" s="1234"/>
      <c r="F207" s="1235" t="s">
        <v>281</v>
      </c>
      <c r="G207" s="1235" t="s">
        <v>281</v>
      </c>
      <c r="H207" s="1234"/>
      <c r="I207" s="1234"/>
      <c r="J207" s="1236" t="s">
        <v>281</v>
      </c>
      <c r="K207" s="1235" t="s">
        <v>281</v>
      </c>
      <c r="L207" s="1235" t="s">
        <v>281</v>
      </c>
      <c r="M207" s="1237"/>
      <c r="N207" s="1237"/>
      <c r="O207" s="1237"/>
    </row>
    <row r="208" spans="1:26" s="1231" customFormat="1" x14ac:dyDescent="0.2">
      <c r="A208" s="1238"/>
      <c r="B208" s="1238"/>
      <c r="C208" s="1238"/>
      <c r="D208" s="1239" t="s">
        <v>716</v>
      </c>
      <c r="E208" s="1238"/>
      <c r="F208" s="1238"/>
      <c r="G208" s="1238"/>
      <c r="H208" s="1238"/>
      <c r="I208" s="1238"/>
      <c r="J208" s="1238"/>
      <c r="K208" s="1238"/>
      <c r="L208" s="1238"/>
      <c r="M208" s="1237"/>
      <c r="N208" s="1237"/>
      <c r="O208" s="1237"/>
    </row>
    <row r="209" spans="1:26" s="1231" customFormat="1" x14ac:dyDescent="0.2">
      <c r="A209" s="1238"/>
      <c r="B209" s="1238"/>
      <c r="C209" s="1238"/>
      <c r="D209" s="1240" t="s">
        <v>715</v>
      </c>
      <c r="E209" s="1241"/>
      <c r="F209" s="1241"/>
      <c r="G209" s="1241"/>
      <c r="H209" s="1242">
        <v>3226.43</v>
      </c>
      <c r="I209" s="1238"/>
      <c r="J209" s="1238"/>
      <c r="K209" s="1238"/>
      <c r="L209" s="1238"/>
      <c r="M209" s="1237"/>
      <c r="N209" s="1237"/>
      <c r="O209" s="1237"/>
    </row>
    <row r="210" spans="1:26" s="790" customFormat="1" ht="20.399999999999999" x14ac:dyDescent="0.2">
      <c r="A210" s="784">
        <v>34</v>
      </c>
      <c r="B210" s="784">
        <v>34</v>
      </c>
      <c r="C210" s="784" t="s">
        <v>874</v>
      </c>
      <c r="D210" s="784" t="s">
        <v>875</v>
      </c>
      <c r="E210" s="785">
        <v>2.7669999999999999</v>
      </c>
      <c r="F210" s="786">
        <v>10.45</v>
      </c>
      <c r="G210" s="786" t="s">
        <v>281</v>
      </c>
      <c r="H210" s="787">
        <v>382.84</v>
      </c>
      <c r="I210" s="787" t="s">
        <v>281</v>
      </c>
      <c r="J210" s="787" t="s">
        <v>281</v>
      </c>
      <c r="K210" s="786" t="s">
        <v>281</v>
      </c>
      <c r="L210" s="786" t="s">
        <v>281</v>
      </c>
      <c r="M210" s="789">
        <f>E210</f>
        <v>2.7669999999999999</v>
      </c>
      <c r="N210" s="789" t="s">
        <v>2446</v>
      </c>
      <c r="O210" s="789"/>
      <c r="T210" s="790">
        <v>382.84</v>
      </c>
      <c r="V210" s="790" t="s">
        <v>281</v>
      </c>
      <c r="W210" s="790" t="s">
        <v>281</v>
      </c>
      <c r="X210" s="790" t="s">
        <v>281</v>
      </c>
      <c r="Y210" s="790" t="s">
        <v>281</v>
      </c>
      <c r="Z210" s="790" t="s">
        <v>281</v>
      </c>
    </row>
    <row r="211" spans="1:26" s="1231" customFormat="1" x14ac:dyDescent="0.2">
      <c r="A211" s="1232"/>
      <c r="B211" s="1232"/>
      <c r="C211" s="1232"/>
      <c r="D211" s="1233" t="s">
        <v>743</v>
      </c>
      <c r="E211" s="1234"/>
      <c r="F211" s="1235" t="s">
        <v>281</v>
      </c>
      <c r="G211" s="1235" t="s">
        <v>281</v>
      </c>
      <c r="H211" s="1234"/>
      <c r="I211" s="1234"/>
      <c r="J211" s="1236" t="s">
        <v>281</v>
      </c>
      <c r="K211" s="1235" t="s">
        <v>281</v>
      </c>
      <c r="L211" s="1235" t="s">
        <v>281</v>
      </c>
      <c r="M211" s="1237"/>
      <c r="N211" s="1237"/>
      <c r="O211" s="1237"/>
    </row>
    <row r="212" spans="1:26" s="1231" customFormat="1" x14ac:dyDescent="0.2">
      <c r="A212" s="1238"/>
      <c r="B212" s="1238"/>
      <c r="C212" s="1238"/>
      <c r="D212" s="1239" t="s">
        <v>716</v>
      </c>
      <c r="E212" s="1238"/>
      <c r="F212" s="1238"/>
      <c r="G212" s="1238"/>
      <c r="H212" s="1238"/>
      <c r="I212" s="1238"/>
      <c r="J212" s="1238"/>
      <c r="K212" s="1238"/>
      <c r="L212" s="1238"/>
      <c r="M212" s="1237"/>
      <c r="N212" s="1237"/>
      <c r="O212" s="1237"/>
    </row>
    <row r="213" spans="1:26" x14ac:dyDescent="0.2">
      <c r="A213" s="412"/>
      <c r="B213" s="412"/>
      <c r="C213" s="412"/>
      <c r="D213" s="416" t="s">
        <v>715</v>
      </c>
      <c r="E213" s="417"/>
      <c r="F213" s="417"/>
      <c r="G213" s="417"/>
      <c r="H213" s="418">
        <v>382.84</v>
      </c>
      <c r="I213" s="412"/>
      <c r="J213" s="412"/>
      <c r="K213" s="412"/>
      <c r="L213" s="412"/>
    </row>
    <row r="214" spans="1:26" s="790" customFormat="1" ht="20.399999999999999" x14ac:dyDescent="0.2">
      <c r="A214" s="784">
        <v>35</v>
      </c>
      <c r="B214" s="784">
        <v>35</v>
      </c>
      <c r="C214" s="784" t="s">
        <v>876</v>
      </c>
      <c r="D214" s="784" t="s">
        <v>799</v>
      </c>
      <c r="E214" s="785">
        <v>21.06</v>
      </c>
      <c r="F214" s="786">
        <v>309.84649999999999</v>
      </c>
      <c r="G214" s="786">
        <v>184.59800000000001</v>
      </c>
      <c r="H214" s="787">
        <v>152254.53</v>
      </c>
      <c r="I214" s="787">
        <v>96924.23</v>
      </c>
      <c r="J214" s="787">
        <v>51472.32</v>
      </c>
      <c r="K214" s="786">
        <v>12.052</v>
      </c>
      <c r="L214" s="786">
        <v>253.81512000000001</v>
      </c>
      <c r="M214" s="789">
        <f>3.4+17.66</f>
        <v>21.06</v>
      </c>
      <c r="N214" s="789" t="s">
        <v>2437</v>
      </c>
      <c r="O214" s="789" t="s">
        <v>2436</v>
      </c>
      <c r="T214" s="790">
        <v>290856.18</v>
      </c>
      <c r="V214" s="790">
        <v>96924.23</v>
      </c>
      <c r="W214" s="790">
        <v>51472.32</v>
      </c>
      <c r="X214" s="790" t="s">
        <v>281</v>
      </c>
      <c r="Y214" s="790">
        <v>253.81512000000001</v>
      </c>
      <c r="Z214" s="790" t="s">
        <v>281</v>
      </c>
    </row>
    <row r="215" spans="1:26" x14ac:dyDescent="0.2">
      <c r="A215" s="407"/>
      <c r="B215" s="407"/>
      <c r="C215" s="407"/>
      <c r="D215" s="408" t="s">
        <v>745</v>
      </c>
      <c r="E215" s="409"/>
      <c r="F215" s="410">
        <v>102.7985</v>
      </c>
      <c r="G215" s="410" t="s">
        <v>281</v>
      </c>
      <c r="H215" s="409"/>
      <c r="I215" s="409"/>
      <c r="J215" s="411" t="s">
        <v>281</v>
      </c>
      <c r="K215" s="410" t="s">
        <v>281</v>
      </c>
      <c r="L215" s="410" t="s">
        <v>281</v>
      </c>
    </row>
    <row r="216" spans="1:26" ht="20.399999999999999" x14ac:dyDescent="0.2">
      <c r="A216" s="412"/>
      <c r="B216" s="412"/>
      <c r="C216" s="412"/>
      <c r="D216" s="395" t="s">
        <v>714</v>
      </c>
      <c r="E216" s="412"/>
      <c r="F216" s="412"/>
      <c r="G216" s="412"/>
      <c r="H216" s="412"/>
      <c r="I216" s="412"/>
      <c r="J216" s="412"/>
      <c r="K216" s="412"/>
      <c r="L216" s="412"/>
    </row>
    <row r="217" spans="1:26" ht="20.399999999999999" x14ac:dyDescent="0.2">
      <c r="A217" s="412"/>
      <c r="B217" s="412"/>
      <c r="C217" s="412"/>
      <c r="D217" s="395" t="s">
        <v>736</v>
      </c>
      <c r="E217" s="412"/>
      <c r="F217" s="412"/>
      <c r="G217" s="412"/>
      <c r="H217" s="412"/>
      <c r="I217" s="412"/>
      <c r="J217" s="412"/>
      <c r="K217" s="412"/>
      <c r="L217" s="412"/>
    </row>
    <row r="218" spans="1:26" ht="81.599999999999994" x14ac:dyDescent="0.2">
      <c r="A218" s="412"/>
      <c r="B218" s="412"/>
      <c r="C218" s="412"/>
      <c r="D218" s="395" t="s">
        <v>737</v>
      </c>
      <c r="E218" s="412"/>
      <c r="F218" s="412"/>
      <c r="G218" s="412"/>
      <c r="H218" s="412"/>
      <c r="I218" s="412"/>
      <c r="J218" s="412"/>
      <c r="K218" s="412"/>
      <c r="L218" s="412"/>
    </row>
    <row r="219" spans="1:26" x14ac:dyDescent="0.2">
      <c r="A219" s="412"/>
      <c r="B219" s="412"/>
      <c r="C219" s="412"/>
      <c r="D219" s="413" t="s">
        <v>206</v>
      </c>
      <c r="E219" s="414" t="s">
        <v>758</v>
      </c>
      <c r="F219" s="414"/>
      <c r="G219" s="414"/>
      <c r="H219" s="415">
        <v>88201.05</v>
      </c>
      <c r="I219" s="412"/>
      <c r="J219" s="412"/>
      <c r="K219" s="412"/>
      <c r="L219" s="412"/>
    </row>
    <row r="220" spans="1:26" x14ac:dyDescent="0.2">
      <c r="A220" s="412"/>
      <c r="B220" s="412"/>
      <c r="C220" s="412"/>
      <c r="D220" s="413" t="s">
        <v>207</v>
      </c>
      <c r="E220" s="414" t="s">
        <v>759</v>
      </c>
      <c r="F220" s="414"/>
      <c r="G220" s="414"/>
      <c r="H220" s="415">
        <v>50400.6</v>
      </c>
      <c r="I220" s="412"/>
      <c r="J220" s="412"/>
      <c r="K220" s="412"/>
      <c r="L220" s="412"/>
    </row>
    <row r="221" spans="1:26" x14ac:dyDescent="0.2">
      <c r="A221" s="412"/>
      <c r="B221" s="412"/>
      <c r="C221" s="412"/>
      <c r="D221" s="416" t="s">
        <v>715</v>
      </c>
      <c r="E221" s="417"/>
      <c r="F221" s="417"/>
      <c r="G221" s="417"/>
      <c r="H221" s="418">
        <v>290856.18</v>
      </c>
      <c r="I221" s="412"/>
      <c r="J221" s="412"/>
      <c r="K221" s="412"/>
      <c r="L221" s="412"/>
    </row>
    <row r="222" spans="1:26" s="790" customFormat="1" ht="20.399999999999999" x14ac:dyDescent="0.2">
      <c r="A222" s="784">
        <v>36</v>
      </c>
      <c r="B222" s="784">
        <v>36</v>
      </c>
      <c r="C222" s="784" t="s">
        <v>755</v>
      </c>
      <c r="D222" s="784" t="s">
        <v>834</v>
      </c>
      <c r="E222" s="785">
        <v>52.65</v>
      </c>
      <c r="F222" s="786">
        <v>42.98</v>
      </c>
      <c r="G222" s="786">
        <v>42.98</v>
      </c>
      <c r="H222" s="787">
        <v>29961.01</v>
      </c>
      <c r="I222" s="787" t="s">
        <v>281</v>
      </c>
      <c r="J222" s="787">
        <v>29961.01</v>
      </c>
      <c r="K222" s="786" t="s">
        <v>281</v>
      </c>
      <c r="L222" s="786" t="s">
        <v>281</v>
      </c>
      <c r="M222" s="789">
        <f>E214*2.5</f>
        <v>52.65</v>
      </c>
      <c r="N222" s="789" t="s">
        <v>2438</v>
      </c>
      <c r="O222" s="789"/>
      <c r="T222" s="790">
        <v>29961.01</v>
      </c>
      <c r="V222" s="790" t="s">
        <v>281</v>
      </c>
      <c r="W222" s="790">
        <v>29961.01</v>
      </c>
      <c r="X222" s="790" t="s">
        <v>281</v>
      </c>
      <c r="Y222" s="790" t="s">
        <v>281</v>
      </c>
      <c r="Z222" s="790" t="s">
        <v>281</v>
      </c>
    </row>
    <row r="223" spans="1:26" x14ac:dyDescent="0.2">
      <c r="A223" s="407"/>
      <c r="B223" s="407"/>
      <c r="C223" s="407"/>
      <c r="D223" s="408" t="s">
        <v>743</v>
      </c>
      <c r="E223" s="409"/>
      <c r="F223" s="410" t="s">
        <v>281</v>
      </c>
      <c r="G223" s="410" t="s">
        <v>281</v>
      </c>
      <c r="H223" s="409"/>
      <c r="I223" s="409"/>
      <c r="J223" s="411" t="s">
        <v>281</v>
      </c>
      <c r="K223" s="410" t="s">
        <v>281</v>
      </c>
      <c r="L223" s="410" t="s">
        <v>281</v>
      </c>
    </row>
    <row r="224" spans="1:26" x14ac:dyDescent="0.2">
      <c r="A224" s="412"/>
      <c r="B224" s="412"/>
      <c r="C224" s="412"/>
      <c r="D224" s="395" t="s">
        <v>716</v>
      </c>
      <c r="E224" s="412"/>
      <c r="F224" s="412"/>
      <c r="G224" s="412"/>
      <c r="H224" s="412"/>
      <c r="I224" s="412"/>
      <c r="J224" s="412"/>
      <c r="K224" s="412"/>
      <c r="L224" s="412"/>
    </row>
    <row r="225" spans="1:26" x14ac:dyDescent="0.2">
      <c r="A225" s="412"/>
      <c r="B225" s="412"/>
      <c r="C225" s="412"/>
      <c r="D225" s="416" t="s">
        <v>715</v>
      </c>
      <c r="E225" s="417"/>
      <c r="F225" s="417"/>
      <c r="G225" s="417"/>
      <c r="H225" s="418">
        <v>29961.01</v>
      </c>
      <c r="I225" s="412"/>
      <c r="J225" s="412"/>
      <c r="K225" s="412"/>
      <c r="L225" s="412"/>
    </row>
    <row r="226" spans="1:26" s="790" customFormat="1" ht="30.6" x14ac:dyDescent="0.2">
      <c r="A226" s="784">
        <v>37</v>
      </c>
      <c r="B226" s="784">
        <v>37</v>
      </c>
      <c r="C226" s="784" t="s">
        <v>744</v>
      </c>
      <c r="D226" s="784" t="s">
        <v>796</v>
      </c>
      <c r="E226" s="785">
        <v>21.06</v>
      </c>
      <c r="F226" s="1243">
        <v>162.38</v>
      </c>
      <c r="G226" s="786" t="s">
        <v>281</v>
      </c>
      <c r="H226" s="787">
        <v>27904.5</v>
      </c>
      <c r="I226" s="787" t="s">
        <v>281</v>
      </c>
      <c r="J226" s="787" t="s">
        <v>281</v>
      </c>
      <c r="K226" s="786" t="s">
        <v>281</v>
      </c>
      <c r="L226" s="786" t="s">
        <v>281</v>
      </c>
      <c r="M226" s="789">
        <f>E226</f>
        <v>21.06</v>
      </c>
      <c r="N226" s="789" t="s">
        <v>2439</v>
      </c>
      <c r="O226" s="789"/>
      <c r="T226" s="790">
        <v>27904.5</v>
      </c>
      <c r="V226" s="790" t="s">
        <v>281</v>
      </c>
      <c r="W226" s="790" t="s">
        <v>281</v>
      </c>
      <c r="X226" s="790" t="s">
        <v>281</v>
      </c>
      <c r="Y226" s="790" t="s">
        <v>281</v>
      </c>
      <c r="Z226" s="790" t="s">
        <v>281</v>
      </c>
    </row>
    <row r="227" spans="1:26" x14ac:dyDescent="0.2">
      <c r="A227" s="407"/>
      <c r="B227" s="407"/>
      <c r="C227" s="407"/>
      <c r="D227" s="408" t="s">
        <v>745</v>
      </c>
      <c r="E227" s="409"/>
      <c r="F227" s="410" t="s">
        <v>281</v>
      </c>
      <c r="G227" s="410" t="s">
        <v>281</v>
      </c>
      <c r="H227" s="409"/>
      <c r="I227" s="409"/>
      <c r="J227" s="411" t="s">
        <v>281</v>
      </c>
      <c r="K227" s="410" t="s">
        <v>281</v>
      </c>
      <c r="L227" s="410" t="s">
        <v>281</v>
      </c>
    </row>
    <row r="228" spans="1:26" ht="20.399999999999999" x14ac:dyDescent="0.2">
      <c r="A228" s="412"/>
      <c r="B228" s="412"/>
      <c r="C228" s="412"/>
      <c r="D228" s="395" t="s">
        <v>714</v>
      </c>
      <c r="E228" s="412"/>
      <c r="F228" s="412"/>
      <c r="G228" s="412"/>
      <c r="H228" s="412"/>
      <c r="I228" s="412"/>
      <c r="J228" s="412"/>
      <c r="K228" s="412"/>
      <c r="L228" s="412"/>
    </row>
    <row r="229" spans="1:26" x14ac:dyDescent="0.2">
      <c r="A229" s="412"/>
      <c r="B229" s="412"/>
      <c r="C229" s="412"/>
      <c r="D229" s="416" t="s">
        <v>715</v>
      </c>
      <c r="E229" s="417"/>
      <c r="F229" s="417"/>
      <c r="G229" s="417"/>
      <c r="H229" s="418">
        <v>27904.5</v>
      </c>
      <c r="I229" s="412"/>
      <c r="J229" s="412"/>
      <c r="K229" s="412"/>
      <c r="L229" s="412"/>
    </row>
    <row r="230" spans="1:26" s="790" customFormat="1" ht="40.799999999999997" x14ac:dyDescent="0.2">
      <c r="A230" s="784">
        <v>38</v>
      </c>
      <c r="B230" s="784">
        <v>38</v>
      </c>
      <c r="C230" s="784" t="s">
        <v>877</v>
      </c>
      <c r="D230" s="784" t="s">
        <v>800</v>
      </c>
      <c r="E230" s="785">
        <v>0.26</v>
      </c>
      <c r="F230" s="786">
        <v>27962.9676</v>
      </c>
      <c r="G230" s="786">
        <v>19484.542000000001</v>
      </c>
      <c r="H230" s="787">
        <v>165764.16</v>
      </c>
      <c r="I230" s="787">
        <v>98690.57</v>
      </c>
      <c r="J230" s="787">
        <v>67073.59</v>
      </c>
      <c r="K230" s="786">
        <v>912.64</v>
      </c>
      <c r="L230" s="786">
        <v>237.28639999999999</v>
      </c>
      <c r="M230" s="789">
        <v>0.26</v>
      </c>
      <c r="N230" s="789" t="s">
        <v>2425</v>
      </c>
      <c r="O230" s="789"/>
      <c r="T230" s="790">
        <v>392853.42</v>
      </c>
      <c r="V230" s="790">
        <v>98690.57</v>
      </c>
      <c r="W230" s="790">
        <v>67073.59</v>
      </c>
      <c r="X230" s="790">
        <v>25401.919999999998</v>
      </c>
      <c r="Y230" s="790">
        <v>237.28639999999999</v>
      </c>
      <c r="Z230" s="790">
        <v>42.034616</v>
      </c>
    </row>
    <row r="231" spans="1:26" x14ac:dyDescent="0.2">
      <c r="A231" s="407"/>
      <c r="B231" s="407"/>
      <c r="C231" s="407"/>
      <c r="D231" s="408" t="s">
        <v>847</v>
      </c>
      <c r="E231" s="409"/>
      <c r="F231" s="410">
        <v>8478.4256000000005</v>
      </c>
      <c r="G231" s="410">
        <v>2182.2584000000002</v>
      </c>
      <c r="H231" s="409"/>
      <c r="I231" s="409"/>
      <c r="J231" s="411">
        <v>25401.919999999998</v>
      </c>
      <c r="K231" s="410">
        <v>161.67160000000001</v>
      </c>
      <c r="L231" s="410">
        <v>42.034616</v>
      </c>
    </row>
    <row r="232" spans="1:26" ht="20.399999999999999" x14ac:dyDescent="0.2">
      <c r="A232" s="412"/>
      <c r="B232" s="412"/>
      <c r="C232" s="412"/>
      <c r="D232" s="395" t="s">
        <v>714</v>
      </c>
      <c r="E232" s="412"/>
      <c r="F232" s="412"/>
      <c r="G232" s="412"/>
      <c r="H232" s="412"/>
      <c r="I232" s="412"/>
      <c r="J232" s="412"/>
      <c r="K232" s="412"/>
      <c r="L232" s="412"/>
    </row>
    <row r="233" spans="1:26" ht="30.6" x14ac:dyDescent="0.2">
      <c r="A233" s="412"/>
      <c r="B233" s="412"/>
      <c r="C233" s="412"/>
      <c r="D233" s="395" t="s">
        <v>748</v>
      </c>
      <c r="E233" s="412"/>
      <c r="F233" s="412"/>
      <c r="G233" s="412"/>
      <c r="H233" s="412"/>
      <c r="I233" s="412"/>
      <c r="J233" s="412"/>
      <c r="K233" s="412"/>
      <c r="L233" s="412"/>
    </row>
    <row r="234" spans="1:26" ht="102" x14ac:dyDescent="0.2">
      <c r="A234" s="412"/>
      <c r="B234" s="412"/>
      <c r="C234" s="412"/>
      <c r="D234" s="395" t="s">
        <v>749</v>
      </c>
      <c r="E234" s="412"/>
      <c r="F234" s="412"/>
      <c r="G234" s="412"/>
      <c r="H234" s="412"/>
      <c r="I234" s="412"/>
      <c r="J234" s="412"/>
      <c r="K234" s="412"/>
      <c r="L234" s="412"/>
    </row>
    <row r="235" spans="1:26" x14ac:dyDescent="0.2">
      <c r="A235" s="412"/>
      <c r="B235" s="412"/>
      <c r="C235" s="412"/>
      <c r="D235" s="413" t="s">
        <v>206</v>
      </c>
      <c r="E235" s="414" t="s">
        <v>750</v>
      </c>
      <c r="F235" s="414"/>
      <c r="G235" s="414"/>
      <c r="H235" s="415">
        <v>136501.74</v>
      </c>
      <c r="I235" s="412"/>
      <c r="J235" s="412"/>
      <c r="K235" s="412"/>
      <c r="L235" s="412"/>
    </row>
    <row r="236" spans="1:26" x14ac:dyDescent="0.2">
      <c r="A236" s="412"/>
      <c r="B236" s="412"/>
      <c r="C236" s="412"/>
      <c r="D236" s="413" t="s">
        <v>207</v>
      </c>
      <c r="E236" s="414" t="s">
        <v>751</v>
      </c>
      <c r="F236" s="414"/>
      <c r="G236" s="414"/>
      <c r="H236" s="415">
        <v>90587.520000000004</v>
      </c>
      <c r="I236" s="412"/>
      <c r="J236" s="412"/>
      <c r="K236" s="412"/>
      <c r="L236" s="412"/>
    </row>
    <row r="237" spans="1:26" x14ac:dyDescent="0.2">
      <c r="A237" s="412"/>
      <c r="B237" s="412"/>
      <c r="C237" s="412"/>
      <c r="D237" s="416" t="s">
        <v>715</v>
      </c>
      <c r="E237" s="417"/>
      <c r="F237" s="417"/>
      <c r="G237" s="417"/>
      <c r="H237" s="418">
        <v>392853.42</v>
      </c>
      <c r="I237" s="412"/>
      <c r="J237" s="412"/>
      <c r="K237" s="412"/>
      <c r="L237" s="412"/>
    </row>
    <row r="238" spans="1:26" s="790" customFormat="1" ht="40.799999999999997" x14ac:dyDescent="0.2">
      <c r="A238" s="784">
        <v>39</v>
      </c>
      <c r="B238" s="784">
        <v>39</v>
      </c>
      <c r="C238" s="784" t="s">
        <v>878</v>
      </c>
      <c r="D238" s="784" t="s">
        <v>801</v>
      </c>
      <c r="E238" s="785">
        <v>0.02</v>
      </c>
      <c r="F238" s="786">
        <v>21953.196400000001</v>
      </c>
      <c r="G238" s="786">
        <v>14320.904</v>
      </c>
      <c r="H238" s="787">
        <v>10626.13</v>
      </c>
      <c r="I238" s="787">
        <v>6833.95</v>
      </c>
      <c r="J238" s="787">
        <v>3792.18</v>
      </c>
      <c r="K238" s="786">
        <v>821.56</v>
      </c>
      <c r="L238" s="786">
        <v>16.4312</v>
      </c>
      <c r="M238" s="789">
        <v>0.02</v>
      </c>
      <c r="N238" s="789" t="s">
        <v>2452</v>
      </c>
      <c r="O238" s="789"/>
      <c r="T238" s="790">
        <v>26289.87</v>
      </c>
      <c r="V238" s="790">
        <v>6833.95</v>
      </c>
      <c r="W238" s="790">
        <v>3792.18</v>
      </c>
      <c r="X238" s="790">
        <v>1725.47</v>
      </c>
      <c r="Y238" s="790">
        <v>16.4312</v>
      </c>
      <c r="Z238" s="790">
        <v>2.8553120000000001</v>
      </c>
    </row>
    <row r="239" spans="1:26" x14ac:dyDescent="0.2">
      <c r="A239" s="407"/>
      <c r="B239" s="407"/>
      <c r="C239" s="407"/>
      <c r="D239" s="408" t="s">
        <v>847</v>
      </c>
      <c r="E239" s="409"/>
      <c r="F239" s="410">
        <v>7632.2924000000003</v>
      </c>
      <c r="G239" s="410">
        <v>1927.0411999999999</v>
      </c>
      <c r="H239" s="409"/>
      <c r="I239" s="409"/>
      <c r="J239" s="411">
        <v>1725.47</v>
      </c>
      <c r="K239" s="410">
        <v>142.76560000000001</v>
      </c>
      <c r="L239" s="410">
        <v>2.8553120000000001</v>
      </c>
    </row>
    <row r="240" spans="1:26" ht="20.399999999999999" x14ac:dyDescent="0.2">
      <c r="A240" s="412"/>
      <c r="B240" s="412"/>
      <c r="C240" s="412"/>
      <c r="D240" s="395" t="s">
        <v>714</v>
      </c>
      <c r="E240" s="412"/>
      <c r="F240" s="412"/>
      <c r="G240" s="412"/>
      <c r="H240" s="412"/>
      <c r="I240" s="412"/>
      <c r="J240" s="412"/>
      <c r="K240" s="412"/>
      <c r="L240" s="412"/>
    </row>
    <row r="241" spans="1:26" ht="30.6" x14ac:dyDescent="0.2">
      <c r="A241" s="412"/>
      <c r="B241" s="412"/>
      <c r="C241" s="412"/>
      <c r="D241" s="395" t="s">
        <v>748</v>
      </c>
      <c r="E241" s="412"/>
      <c r="F241" s="412"/>
      <c r="G241" s="412"/>
      <c r="H241" s="412"/>
      <c r="I241" s="412"/>
      <c r="J241" s="412"/>
      <c r="K241" s="412"/>
      <c r="L241" s="412"/>
    </row>
    <row r="242" spans="1:26" ht="102" x14ac:dyDescent="0.2">
      <c r="A242" s="412"/>
      <c r="B242" s="412"/>
      <c r="C242" s="412"/>
      <c r="D242" s="395" t="s">
        <v>749</v>
      </c>
      <c r="E242" s="412"/>
      <c r="F242" s="412"/>
      <c r="G242" s="412"/>
      <c r="H242" s="412"/>
      <c r="I242" s="412"/>
      <c r="J242" s="412"/>
      <c r="K242" s="412"/>
      <c r="L242" s="412"/>
    </row>
    <row r="243" spans="1:26" x14ac:dyDescent="0.2">
      <c r="A243" s="412"/>
      <c r="B243" s="412"/>
      <c r="C243" s="412"/>
      <c r="D243" s="413" t="s">
        <v>206</v>
      </c>
      <c r="E243" s="414" t="s">
        <v>750</v>
      </c>
      <c r="F243" s="414"/>
      <c r="G243" s="414"/>
      <c r="H243" s="415">
        <v>9415.36</v>
      </c>
      <c r="I243" s="412"/>
      <c r="J243" s="412"/>
      <c r="K243" s="412"/>
      <c r="L243" s="412"/>
    </row>
    <row r="244" spans="1:26" x14ac:dyDescent="0.2">
      <c r="A244" s="412"/>
      <c r="B244" s="412"/>
      <c r="C244" s="412"/>
      <c r="D244" s="413" t="s">
        <v>207</v>
      </c>
      <c r="E244" s="414" t="s">
        <v>751</v>
      </c>
      <c r="F244" s="414"/>
      <c r="G244" s="414"/>
      <c r="H244" s="415">
        <v>6248.38</v>
      </c>
      <c r="I244" s="412"/>
      <c r="J244" s="412"/>
      <c r="K244" s="412"/>
      <c r="L244" s="412"/>
    </row>
    <row r="245" spans="1:26" x14ac:dyDescent="0.2">
      <c r="A245" s="412"/>
      <c r="B245" s="412"/>
      <c r="C245" s="412"/>
      <c r="D245" s="416" t="s">
        <v>715</v>
      </c>
      <c r="E245" s="417"/>
      <c r="F245" s="417"/>
      <c r="G245" s="417"/>
      <c r="H245" s="418">
        <v>26289.87</v>
      </c>
      <c r="I245" s="412"/>
      <c r="J245" s="412"/>
      <c r="K245" s="412"/>
      <c r="L245" s="412"/>
    </row>
    <row r="246" spans="1:26" s="790" customFormat="1" ht="30.6" x14ac:dyDescent="0.2">
      <c r="A246" s="784">
        <v>40</v>
      </c>
      <c r="B246" s="784">
        <v>40</v>
      </c>
      <c r="C246" s="784" t="s">
        <v>879</v>
      </c>
      <c r="D246" s="784" t="s">
        <v>802</v>
      </c>
      <c r="E246" s="785">
        <v>8.8000000000000007</v>
      </c>
      <c r="F246" s="786">
        <v>750.28949999999998</v>
      </c>
      <c r="G246" s="786">
        <v>676.30349999999999</v>
      </c>
      <c r="H246" s="787">
        <v>107169.84</v>
      </c>
      <c r="I246" s="787">
        <v>28199.25</v>
      </c>
      <c r="J246" s="787">
        <v>78797.490000000005</v>
      </c>
      <c r="K246" s="786">
        <v>7.4405000000000001</v>
      </c>
      <c r="L246" s="786">
        <v>65.476399999999998</v>
      </c>
      <c r="M246" s="789">
        <f>E246</f>
        <v>8.8000000000000007</v>
      </c>
      <c r="N246" s="789" t="s">
        <v>2440</v>
      </c>
      <c r="O246" s="789"/>
      <c r="T246" s="790">
        <v>152295.82</v>
      </c>
      <c r="V246" s="790">
        <v>28199.25</v>
      </c>
      <c r="W246" s="790">
        <v>78797.490000000005</v>
      </c>
      <c r="X246" s="790">
        <v>4.49</v>
      </c>
      <c r="Y246" s="790">
        <v>65.476399999999998</v>
      </c>
      <c r="Z246" s="790" t="s">
        <v>281</v>
      </c>
    </row>
    <row r="247" spans="1:26" x14ac:dyDescent="0.2">
      <c r="A247" s="407"/>
      <c r="B247" s="407"/>
      <c r="C247" s="407"/>
      <c r="D247" s="408" t="s">
        <v>880</v>
      </c>
      <c r="E247" s="409"/>
      <c r="F247" s="410">
        <v>71.575999999999993</v>
      </c>
      <c r="G247" s="410">
        <v>1.15E-2</v>
      </c>
      <c r="H247" s="409"/>
      <c r="I247" s="409"/>
      <c r="J247" s="411">
        <v>4.49</v>
      </c>
      <c r="K247" s="410" t="s">
        <v>281</v>
      </c>
      <c r="L247" s="410" t="s">
        <v>281</v>
      </c>
    </row>
    <row r="248" spans="1:26" ht="20.399999999999999" x14ac:dyDescent="0.2">
      <c r="A248" s="412"/>
      <c r="B248" s="412"/>
      <c r="C248" s="412"/>
      <c r="D248" s="395" t="s">
        <v>714</v>
      </c>
      <c r="E248" s="412"/>
      <c r="F248" s="412"/>
      <c r="G248" s="412"/>
      <c r="H248" s="412"/>
      <c r="I248" s="412"/>
      <c r="J248" s="412"/>
      <c r="K248" s="412"/>
      <c r="L248" s="412"/>
    </row>
    <row r="249" spans="1:26" ht="20.399999999999999" x14ac:dyDescent="0.2">
      <c r="A249" s="412"/>
      <c r="B249" s="412"/>
      <c r="C249" s="412"/>
      <c r="D249" s="395" t="s">
        <v>736</v>
      </c>
      <c r="E249" s="412"/>
      <c r="F249" s="412"/>
      <c r="G249" s="412"/>
      <c r="H249" s="412"/>
      <c r="I249" s="412"/>
      <c r="J249" s="412"/>
      <c r="K249" s="412"/>
      <c r="L249" s="412"/>
    </row>
    <row r="250" spans="1:26" ht="81.599999999999994" x14ac:dyDescent="0.2">
      <c r="A250" s="412"/>
      <c r="B250" s="412"/>
      <c r="C250" s="412"/>
      <c r="D250" s="395" t="s">
        <v>737</v>
      </c>
      <c r="E250" s="412"/>
      <c r="F250" s="412"/>
      <c r="G250" s="412"/>
      <c r="H250" s="412"/>
      <c r="I250" s="412"/>
      <c r="J250" s="412"/>
      <c r="K250" s="412"/>
      <c r="L250" s="412"/>
    </row>
    <row r="251" spans="1:26" x14ac:dyDescent="0.2">
      <c r="A251" s="412"/>
      <c r="B251" s="412"/>
      <c r="C251" s="412"/>
      <c r="D251" s="413" t="s">
        <v>206</v>
      </c>
      <c r="E251" s="414" t="s">
        <v>738</v>
      </c>
      <c r="F251" s="414"/>
      <c r="G251" s="414"/>
      <c r="H251" s="415">
        <v>28767.81</v>
      </c>
      <c r="I251" s="412"/>
      <c r="J251" s="412"/>
      <c r="K251" s="412"/>
      <c r="L251" s="412"/>
    </row>
    <row r="252" spans="1:26" x14ac:dyDescent="0.2">
      <c r="A252" s="412"/>
      <c r="B252" s="412"/>
      <c r="C252" s="412"/>
      <c r="D252" s="413" t="s">
        <v>207</v>
      </c>
      <c r="E252" s="414" t="s">
        <v>881</v>
      </c>
      <c r="F252" s="414"/>
      <c r="G252" s="414"/>
      <c r="H252" s="415">
        <v>16358.17</v>
      </c>
      <c r="I252" s="412"/>
      <c r="J252" s="412"/>
      <c r="K252" s="412"/>
      <c r="L252" s="412"/>
    </row>
    <row r="253" spans="1:26" x14ac:dyDescent="0.2">
      <c r="A253" s="412"/>
      <c r="B253" s="412"/>
      <c r="C253" s="412"/>
      <c r="D253" s="416" t="s">
        <v>715</v>
      </c>
      <c r="E253" s="417"/>
      <c r="F253" s="417"/>
      <c r="G253" s="417"/>
      <c r="H253" s="418">
        <v>152295.82</v>
      </c>
      <c r="I253" s="412"/>
      <c r="J253" s="412"/>
      <c r="K253" s="412"/>
      <c r="L253" s="412"/>
    </row>
    <row r="254" spans="1:26" s="790" customFormat="1" ht="30.6" x14ac:dyDescent="0.2">
      <c r="A254" s="784">
        <v>41</v>
      </c>
      <c r="B254" s="784">
        <v>41</v>
      </c>
      <c r="C254" s="784" t="s">
        <v>882</v>
      </c>
      <c r="D254" s="784" t="s">
        <v>803</v>
      </c>
      <c r="E254" s="785">
        <v>8.8000000000000007</v>
      </c>
      <c r="F254" s="786">
        <v>1094.48</v>
      </c>
      <c r="G254" s="786" t="s">
        <v>281</v>
      </c>
      <c r="H254" s="787">
        <v>78592.45</v>
      </c>
      <c r="I254" s="787" t="s">
        <v>281</v>
      </c>
      <c r="J254" s="787" t="s">
        <v>281</v>
      </c>
      <c r="K254" s="786" t="s">
        <v>281</v>
      </c>
      <c r="L254" s="786" t="s">
        <v>281</v>
      </c>
      <c r="M254" s="789">
        <f>E254</f>
        <v>8.8000000000000007</v>
      </c>
      <c r="N254" s="789" t="s">
        <v>2440</v>
      </c>
      <c r="O254" s="789"/>
      <c r="T254" s="790">
        <v>78592.45</v>
      </c>
      <c r="V254" s="790" t="s">
        <v>281</v>
      </c>
      <c r="W254" s="790" t="s">
        <v>281</v>
      </c>
      <c r="X254" s="790" t="s">
        <v>281</v>
      </c>
      <c r="Y254" s="790" t="s">
        <v>281</v>
      </c>
      <c r="Z254" s="790" t="s">
        <v>281</v>
      </c>
    </row>
    <row r="255" spans="1:26" x14ac:dyDescent="0.2">
      <c r="A255" s="407"/>
      <c r="B255" s="407"/>
      <c r="C255" s="407"/>
      <c r="D255" s="408" t="s">
        <v>883</v>
      </c>
      <c r="E255" s="409"/>
      <c r="F255" s="410" t="s">
        <v>281</v>
      </c>
      <c r="G255" s="410" t="s">
        <v>281</v>
      </c>
      <c r="H255" s="409"/>
      <c r="I255" s="409"/>
      <c r="J255" s="411" t="s">
        <v>281</v>
      </c>
      <c r="K255" s="410" t="s">
        <v>281</v>
      </c>
      <c r="L255" s="410" t="s">
        <v>281</v>
      </c>
    </row>
    <row r="256" spans="1:26" x14ac:dyDescent="0.2">
      <c r="A256" s="412"/>
      <c r="B256" s="412"/>
      <c r="C256" s="412"/>
      <c r="D256" s="395" t="s">
        <v>718</v>
      </c>
      <c r="E256" s="412"/>
      <c r="F256" s="412"/>
      <c r="G256" s="412"/>
      <c r="H256" s="412"/>
      <c r="I256" s="412"/>
      <c r="J256" s="412"/>
      <c r="K256" s="412"/>
      <c r="L256" s="412"/>
    </row>
    <row r="257" spans="1:26" ht="20.399999999999999" x14ac:dyDescent="0.2">
      <c r="A257" s="412"/>
      <c r="B257" s="412"/>
      <c r="C257" s="412"/>
      <c r="D257" s="395" t="s">
        <v>736</v>
      </c>
      <c r="E257" s="412"/>
      <c r="F257" s="412"/>
      <c r="G257" s="412"/>
      <c r="H257" s="412"/>
      <c r="I257" s="412"/>
      <c r="J257" s="412"/>
      <c r="K257" s="412"/>
      <c r="L257" s="412"/>
    </row>
    <row r="258" spans="1:26" ht="81.599999999999994" x14ac:dyDescent="0.2">
      <c r="A258" s="412"/>
      <c r="B258" s="412"/>
      <c r="C258" s="412"/>
      <c r="D258" s="395" t="s">
        <v>737</v>
      </c>
      <c r="E258" s="412"/>
      <c r="F258" s="412"/>
      <c r="G258" s="412"/>
      <c r="H258" s="412"/>
      <c r="I258" s="412"/>
      <c r="J258" s="412"/>
      <c r="K258" s="412"/>
      <c r="L258" s="412"/>
    </row>
    <row r="259" spans="1:26" s="790" customFormat="1" ht="30.6" x14ac:dyDescent="0.2">
      <c r="A259" s="784">
        <v>42</v>
      </c>
      <c r="B259" s="784">
        <v>42</v>
      </c>
      <c r="C259" s="784" t="s">
        <v>858</v>
      </c>
      <c r="D259" s="784" t="s">
        <v>859</v>
      </c>
      <c r="E259" s="785">
        <v>204</v>
      </c>
      <c r="F259" s="786">
        <v>10.15</v>
      </c>
      <c r="G259" s="786" t="s">
        <v>281</v>
      </c>
      <c r="H259" s="787">
        <v>27415.56</v>
      </c>
      <c r="I259" s="787" t="s">
        <v>281</v>
      </c>
      <c r="J259" s="787" t="s">
        <v>281</v>
      </c>
      <c r="K259" s="786" t="s">
        <v>281</v>
      </c>
      <c r="L259" s="786" t="s">
        <v>281</v>
      </c>
      <c r="M259" s="789">
        <v>204</v>
      </c>
      <c r="N259" s="789" t="s">
        <v>2453</v>
      </c>
      <c r="O259" s="789"/>
      <c r="T259" s="790">
        <v>27415.56</v>
      </c>
      <c r="V259" s="790" t="s">
        <v>281</v>
      </c>
      <c r="W259" s="790" t="s">
        <v>281</v>
      </c>
      <c r="X259" s="790" t="s">
        <v>281</v>
      </c>
      <c r="Y259" s="790" t="s">
        <v>281</v>
      </c>
      <c r="Z259" s="790" t="s">
        <v>281</v>
      </c>
    </row>
    <row r="260" spans="1:26" s="1231" customFormat="1" x14ac:dyDescent="0.2">
      <c r="A260" s="1232"/>
      <c r="B260" s="1232"/>
      <c r="C260" s="1232"/>
      <c r="D260" s="1233" t="s">
        <v>743</v>
      </c>
      <c r="E260" s="1234"/>
      <c r="F260" s="1235" t="s">
        <v>281</v>
      </c>
      <c r="G260" s="1235" t="s">
        <v>281</v>
      </c>
      <c r="H260" s="1234"/>
      <c r="I260" s="1234"/>
      <c r="J260" s="1236" t="s">
        <v>281</v>
      </c>
      <c r="K260" s="1235" t="s">
        <v>281</v>
      </c>
      <c r="L260" s="1235" t="s">
        <v>281</v>
      </c>
      <c r="M260" s="1237"/>
      <c r="N260" s="1237"/>
      <c r="O260" s="1237"/>
    </row>
    <row r="261" spans="1:26" s="1231" customFormat="1" x14ac:dyDescent="0.2">
      <c r="A261" s="1238"/>
      <c r="B261" s="1238"/>
      <c r="C261" s="1238"/>
      <c r="D261" s="1239" t="s">
        <v>716</v>
      </c>
      <c r="E261" s="1238"/>
      <c r="F261" s="1238"/>
      <c r="G261" s="1238"/>
      <c r="H261" s="1238"/>
      <c r="I261" s="1238"/>
      <c r="J261" s="1238"/>
      <c r="K261" s="1238"/>
      <c r="L261" s="1238"/>
      <c r="M261" s="1237"/>
      <c r="N261" s="1237"/>
      <c r="O261" s="1237"/>
    </row>
    <row r="262" spans="1:26" s="1231" customFormat="1" x14ac:dyDescent="0.2">
      <c r="A262" s="1238"/>
      <c r="B262" s="1238"/>
      <c r="C262" s="1238"/>
      <c r="D262" s="1240" t="s">
        <v>715</v>
      </c>
      <c r="E262" s="1241"/>
      <c r="F262" s="1241"/>
      <c r="G262" s="1241"/>
      <c r="H262" s="1242">
        <v>27415.56</v>
      </c>
      <c r="I262" s="1238"/>
      <c r="J262" s="1238"/>
      <c r="K262" s="1238"/>
      <c r="L262" s="1238"/>
      <c r="M262" s="1237"/>
      <c r="N262" s="1237"/>
      <c r="O262" s="1237"/>
    </row>
    <row r="263" spans="1:26" s="790" customFormat="1" ht="20.399999999999999" x14ac:dyDescent="0.2">
      <c r="A263" s="784">
        <v>43</v>
      </c>
      <c r="B263" s="784">
        <v>43</v>
      </c>
      <c r="C263" s="784" t="s">
        <v>851</v>
      </c>
      <c r="D263" s="784" t="s">
        <v>852</v>
      </c>
      <c r="E263" s="785">
        <v>204</v>
      </c>
      <c r="F263" s="786">
        <v>8.7899999999999991</v>
      </c>
      <c r="G263" s="786" t="s">
        <v>281</v>
      </c>
      <c r="H263" s="787">
        <v>24422.880000000001</v>
      </c>
      <c r="I263" s="787" t="s">
        <v>281</v>
      </c>
      <c r="J263" s="787" t="s">
        <v>281</v>
      </c>
      <c r="K263" s="786" t="s">
        <v>281</v>
      </c>
      <c r="L263" s="786" t="s">
        <v>281</v>
      </c>
      <c r="M263" s="789">
        <v>204</v>
      </c>
      <c r="N263" s="789" t="s">
        <v>2453</v>
      </c>
      <c r="O263" s="789"/>
      <c r="T263" s="790">
        <v>24422.880000000001</v>
      </c>
      <c r="V263" s="790" t="s">
        <v>281</v>
      </c>
      <c r="W263" s="790" t="s">
        <v>281</v>
      </c>
      <c r="X263" s="790" t="s">
        <v>281</v>
      </c>
      <c r="Y263" s="790" t="s">
        <v>281</v>
      </c>
      <c r="Z263" s="790" t="s">
        <v>281</v>
      </c>
    </row>
    <row r="264" spans="1:26" s="1231" customFormat="1" x14ac:dyDescent="0.2">
      <c r="A264" s="1232"/>
      <c r="B264" s="1232"/>
      <c r="C264" s="1232"/>
      <c r="D264" s="1233" t="s">
        <v>743</v>
      </c>
      <c r="E264" s="1234"/>
      <c r="F264" s="1235" t="s">
        <v>281</v>
      </c>
      <c r="G264" s="1235" t="s">
        <v>281</v>
      </c>
      <c r="H264" s="1234"/>
      <c r="I264" s="1234"/>
      <c r="J264" s="1236" t="s">
        <v>281</v>
      </c>
      <c r="K264" s="1235" t="s">
        <v>281</v>
      </c>
      <c r="L264" s="1235" t="s">
        <v>281</v>
      </c>
      <c r="M264" s="1237"/>
      <c r="N264" s="1237"/>
      <c r="O264" s="1237"/>
    </row>
    <row r="265" spans="1:26" s="1231" customFormat="1" x14ac:dyDescent="0.2">
      <c r="A265" s="1238"/>
      <c r="B265" s="1238"/>
      <c r="C265" s="1238"/>
      <c r="D265" s="1239" t="s">
        <v>792</v>
      </c>
      <c r="E265" s="1238"/>
      <c r="F265" s="1238"/>
      <c r="G265" s="1238"/>
      <c r="H265" s="1238"/>
      <c r="I265" s="1238"/>
      <c r="J265" s="1238"/>
      <c r="K265" s="1238"/>
      <c r="L265" s="1238"/>
      <c r="M265" s="1237"/>
      <c r="N265" s="1237"/>
      <c r="O265" s="1237"/>
    </row>
    <row r="266" spans="1:26" s="1231" customFormat="1" x14ac:dyDescent="0.2">
      <c r="A266" s="1238"/>
      <c r="B266" s="1238"/>
      <c r="C266" s="1238"/>
      <c r="D266" s="1240" t="s">
        <v>715</v>
      </c>
      <c r="E266" s="1241"/>
      <c r="F266" s="1241"/>
      <c r="G266" s="1241"/>
      <c r="H266" s="1242">
        <v>24422.880000000001</v>
      </c>
      <c r="I266" s="1238"/>
      <c r="J266" s="1238"/>
      <c r="K266" s="1238"/>
      <c r="L266" s="1238"/>
      <c r="M266" s="1237"/>
      <c r="N266" s="1237"/>
      <c r="O266" s="1237"/>
    </row>
    <row r="267" spans="1:26" s="790" customFormat="1" ht="30.6" x14ac:dyDescent="0.2">
      <c r="A267" s="784">
        <v>44</v>
      </c>
      <c r="B267" s="784">
        <v>44</v>
      </c>
      <c r="C267" s="784" t="s">
        <v>860</v>
      </c>
      <c r="D267" s="784" t="s">
        <v>861</v>
      </c>
      <c r="E267" s="785">
        <v>204</v>
      </c>
      <c r="F267" s="786">
        <v>10.15</v>
      </c>
      <c r="G267" s="786" t="s">
        <v>281</v>
      </c>
      <c r="H267" s="787">
        <v>27415.56</v>
      </c>
      <c r="I267" s="787" t="s">
        <v>281</v>
      </c>
      <c r="J267" s="787" t="s">
        <v>281</v>
      </c>
      <c r="K267" s="786" t="s">
        <v>281</v>
      </c>
      <c r="L267" s="786" t="s">
        <v>281</v>
      </c>
      <c r="M267" s="789">
        <v>204</v>
      </c>
      <c r="N267" s="789" t="s">
        <v>2453</v>
      </c>
      <c r="O267" s="789"/>
      <c r="T267" s="790">
        <v>27415.56</v>
      </c>
      <c r="V267" s="790" t="s">
        <v>281</v>
      </c>
      <c r="W267" s="790" t="s">
        <v>281</v>
      </c>
      <c r="X267" s="790" t="s">
        <v>281</v>
      </c>
      <c r="Y267" s="790" t="s">
        <v>281</v>
      </c>
      <c r="Z267" s="790" t="s">
        <v>281</v>
      </c>
    </row>
    <row r="268" spans="1:26" s="1231" customFormat="1" x14ac:dyDescent="0.2">
      <c r="A268" s="1232"/>
      <c r="B268" s="1232"/>
      <c r="C268" s="1232"/>
      <c r="D268" s="1233" t="s">
        <v>743</v>
      </c>
      <c r="E268" s="1234"/>
      <c r="F268" s="1235" t="s">
        <v>281</v>
      </c>
      <c r="G268" s="1235" t="s">
        <v>281</v>
      </c>
      <c r="H268" s="1234"/>
      <c r="I268" s="1234"/>
      <c r="J268" s="1236" t="s">
        <v>281</v>
      </c>
      <c r="K268" s="1235" t="s">
        <v>281</v>
      </c>
      <c r="L268" s="1235" t="s">
        <v>281</v>
      </c>
      <c r="M268" s="1237"/>
      <c r="N268" s="1237"/>
      <c r="O268" s="1237"/>
    </row>
    <row r="269" spans="1:26" s="1231" customFormat="1" x14ac:dyDescent="0.2">
      <c r="A269" s="1238"/>
      <c r="B269" s="1238"/>
      <c r="C269" s="1238"/>
      <c r="D269" s="1239" t="s">
        <v>716</v>
      </c>
      <c r="E269" s="1238"/>
      <c r="F269" s="1238"/>
      <c r="G269" s="1238"/>
      <c r="H269" s="1238"/>
      <c r="I269" s="1238"/>
      <c r="J269" s="1238"/>
      <c r="K269" s="1238"/>
      <c r="L269" s="1238"/>
      <c r="M269" s="1237"/>
      <c r="N269" s="1237"/>
      <c r="O269" s="1237"/>
    </row>
    <row r="270" spans="1:26" s="1231" customFormat="1" x14ac:dyDescent="0.2">
      <c r="A270" s="1238"/>
      <c r="B270" s="1238"/>
      <c r="C270" s="1238"/>
      <c r="D270" s="1240" t="s">
        <v>715</v>
      </c>
      <c r="E270" s="1241"/>
      <c r="F270" s="1241"/>
      <c r="G270" s="1241"/>
      <c r="H270" s="1242">
        <v>27415.56</v>
      </c>
      <c r="I270" s="1238"/>
      <c r="J270" s="1238"/>
      <c r="K270" s="1238"/>
      <c r="L270" s="1238"/>
      <c r="M270" s="1237"/>
      <c r="N270" s="1237"/>
      <c r="O270" s="1237"/>
    </row>
    <row r="271" spans="1:26" s="790" customFormat="1" ht="30.6" x14ac:dyDescent="0.2">
      <c r="A271" s="784">
        <v>45</v>
      </c>
      <c r="B271" s="784">
        <v>45</v>
      </c>
      <c r="C271" s="784" t="s">
        <v>858</v>
      </c>
      <c r="D271" s="784" t="s">
        <v>859</v>
      </c>
      <c r="E271" s="785">
        <v>204</v>
      </c>
      <c r="F271" s="786">
        <v>10.15</v>
      </c>
      <c r="G271" s="786" t="s">
        <v>281</v>
      </c>
      <c r="H271" s="787">
        <v>27415.56</v>
      </c>
      <c r="I271" s="787" t="s">
        <v>281</v>
      </c>
      <c r="J271" s="787" t="s">
        <v>281</v>
      </c>
      <c r="K271" s="786" t="s">
        <v>281</v>
      </c>
      <c r="L271" s="786" t="s">
        <v>281</v>
      </c>
      <c r="M271" s="789">
        <v>204</v>
      </c>
      <c r="N271" s="789" t="s">
        <v>2453</v>
      </c>
      <c r="O271" s="789"/>
      <c r="T271" s="790">
        <v>27415.56</v>
      </c>
      <c r="V271" s="790" t="s">
        <v>281</v>
      </c>
      <c r="W271" s="790" t="s">
        <v>281</v>
      </c>
      <c r="X271" s="790" t="s">
        <v>281</v>
      </c>
      <c r="Y271" s="790" t="s">
        <v>281</v>
      </c>
      <c r="Z271" s="790" t="s">
        <v>281</v>
      </c>
    </row>
    <row r="272" spans="1:26" s="1231" customFormat="1" x14ac:dyDescent="0.2">
      <c r="A272" s="1232"/>
      <c r="B272" s="1232"/>
      <c r="C272" s="1232"/>
      <c r="D272" s="1233" t="s">
        <v>743</v>
      </c>
      <c r="E272" s="1234"/>
      <c r="F272" s="1235" t="s">
        <v>281</v>
      </c>
      <c r="G272" s="1235" t="s">
        <v>281</v>
      </c>
      <c r="H272" s="1234"/>
      <c r="I272" s="1234"/>
      <c r="J272" s="1236" t="s">
        <v>281</v>
      </c>
      <c r="K272" s="1235" t="s">
        <v>281</v>
      </c>
      <c r="L272" s="1235" t="s">
        <v>281</v>
      </c>
      <c r="M272" s="1237"/>
      <c r="N272" s="1237"/>
      <c r="O272" s="1237"/>
    </row>
    <row r="273" spans="1:26" s="1231" customFormat="1" x14ac:dyDescent="0.2">
      <c r="A273" s="1238"/>
      <c r="B273" s="1238"/>
      <c r="C273" s="1238"/>
      <c r="D273" s="1239" t="s">
        <v>716</v>
      </c>
      <c r="E273" s="1238"/>
      <c r="F273" s="1238"/>
      <c r="G273" s="1238"/>
      <c r="H273" s="1238"/>
      <c r="I273" s="1238"/>
      <c r="J273" s="1238"/>
      <c r="K273" s="1238"/>
      <c r="L273" s="1238"/>
      <c r="M273" s="1237"/>
      <c r="N273" s="1237"/>
      <c r="O273" s="1237"/>
    </row>
    <row r="274" spans="1:26" s="1231" customFormat="1" x14ac:dyDescent="0.2">
      <c r="A274" s="1238"/>
      <c r="B274" s="1238"/>
      <c r="C274" s="1238"/>
      <c r="D274" s="1240" t="s">
        <v>715</v>
      </c>
      <c r="E274" s="1241"/>
      <c r="F274" s="1241"/>
      <c r="G274" s="1241"/>
      <c r="H274" s="1242">
        <v>27415.56</v>
      </c>
      <c r="I274" s="1238"/>
      <c r="J274" s="1238"/>
      <c r="K274" s="1238"/>
      <c r="L274" s="1238"/>
      <c r="M274" s="1237"/>
      <c r="N274" s="1237"/>
      <c r="O274" s="1237"/>
    </row>
    <row r="275" spans="1:26" s="790" customFormat="1" ht="30.6" x14ac:dyDescent="0.2">
      <c r="A275" s="784">
        <v>46</v>
      </c>
      <c r="B275" s="784">
        <v>46</v>
      </c>
      <c r="C275" s="784" t="s">
        <v>744</v>
      </c>
      <c r="D275" s="784" t="s">
        <v>1035</v>
      </c>
      <c r="E275" s="785">
        <v>82.64</v>
      </c>
      <c r="F275" s="786">
        <v>162.38</v>
      </c>
      <c r="G275" s="786" t="s">
        <v>281</v>
      </c>
      <c r="H275" s="787">
        <v>109499.65</v>
      </c>
      <c r="I275" s="787" t="s">
        <v>281</v>
      </c>
      <c r="J275" s="787" t="s">
        <v>281</v>
      </c>
      <c r="K275" s="786" t="s">
        <v>281</v>
      </c>
      <c r="L275" s="786" t="s">
        <v>281</v>
      </c>
      <c r="M275" s="789">
        <f>E275</f>
        <v>82.64</v>
      </c>
      <c r="N275" s="789" t="s">
        <v>2454</v>
      </c>
      <c r="O275" s="789"/>
      <c r="T275" s="790">
        <v>109499.65</v>
      </c>
      <c r="V275" s="790" t="s">
        <v>281</v>
      </c>
      <c r="W275" s="790" t="s">
        <v>281</v>
      </c>
      <c r="X275" s="790" t="s">
        <v>281</v>
      </c>
      <c r="Y275" s="790" t="s">
        <v>281</v>
      </c>
      <c r="Z275" s="790" t="s">
        <v>281</v>
      </c>
    </row>
    <row r="276" spans="1:26" x14ac:dyDescent="0.2">
      <c r="A276" s="407"/>
      <c r="B276" s="407"/>
      <c r="C276" s="407"/>
      <c r="D276" s="408" t="s">
        <v>745</v>
      </c>
      <c r="E276" s="409"/>
      <c r="F276" s="410" t="s">
        <v>281</v>
      </c>
      <c r="G276" s="410" t="s">
        <v>281</v>
      </c>
      <c r="H276" s="409"/>
      <c r="I276" s="409"/>
      <c r="J276" s="411" t="s">
        <v>281</v>
      </c>
      <c r="K276" s="410" t="s">
        <v>281</v>
      </c>
      <c r="L276" s="410" t="s">
        <v>281</v>
      </c>
    </row>
    <row r="277" spans="1:26" x14ac:dyDescent="0.2">
      <c r="A277" s="412"/>
      <c r="B277" s="412"/>
      <c r="C277" s="412"/>
      <c r="D277" s="395" t="s">
        <v>718</v>
      </c>
      <c r="E277" s="412"/>
      <c r="F277" s="412"/>
      <c r="G277" s="412"/>
      <c r="H277" s="412"/>
      <c r="I277" s="412"/>
      <c r="J277" s="412"/>
      <c r="K277" s="412"/>
      <c r="L277" s="412"/>
    </row>
    <row r="278" spans="1:26" s="790" customFormat="1" ht="30.6" x14ac:dyDescent="0.2">
      <c r="A278" s="784">
        <v>47</v>
      </c>
      <c r="B278" s="784">
        <v>47</v>
      </c>
      <c r="C278" s="784" t="s">
        <v>884</v>
      </c>
      <c r="D278" s="784" t="s">
        <v>804</v>
      </c>
      <c r="E278" s="785">
        <v>1.1200000000000001</v>
      </c>
      <c r="F278" s="786">
        <v>1688.0965000000001</v>
      </c>
      <c r="G278" s="786">
        <v>278.24250000000001</v>
      </c>
      <c r="H278" s="787">
        <v>74819.460000000006</v>
      </c>
      <c r="I278" s="787">
        <v>70693.460000000006</v>
      </c>
      <c r="J278" s="787">
        <v>4126</v>
      </c>
      <c r="K278" s="786">
        <v>174.27099999999999</v>
      </c>
      <c r="L278" s="786">
        <v>195.18351999999999</v>
      </c>
      <c r="M278" s="789">
        <v>1.1200000000000001</v>
      </c>
      <c r="N278" s="789" t="s">
        <v>2426</v>
      </c>
      <c r="O278" s="789"/>
      <c r="T278" s="790">
        <v>184527.27</v>
      </c>
      <c r="V278" s="790">
        <v>70693.460000000006</v>
      </c>
      <c r="W278" s="790">
        <v>4126</v>
      </c>
      <c r="X278" s="790">
        <v>6025.29</v>
      </c>
      <c r="Y278" s="790">
        <v>195.18351999999999</v>
      </c>
      <c r="Z278" s="790">
        <v>9.9691200000000002</v>
      </c>
    </row>
    <row r="279" spans="1:26" x14ac:dyDescent="0.2">
      <c r="A279" s="407"/>
      <c r="B279" s="407"/>
      <c r="C279" s="407"/>
      <c r="D279" s="408" t="s">
        <v>831</v>
      </c>
      <c r="E279" s="409"/>
      <c r="F279" s="410">
        <v>1409.854</v>
      </c>
      <c r="G279" s="410">
        <v>120.1635</v>
      </c>
      <c r="H279" s="409"/>
      <c r="I279" s="409"/>
      <c r="J279" s="411">
        <v>6025.29</v>
      </c>
      <c r="K279" s="410">
        <v>8.9009999999999998</v>
      </c>
      <c r="L279" s="410">
        <v>9.9691200000000002</v>
      </c>
    </row>
    <row r="280" spans="1:26" ht="20.399999999999999" x14ac:dyDescent="0.2">
      <c r="A280" s="412"/>
      <c r="B280" s="412"/>
      <c r="C280" s="412"/>
      <c r="D280" s="395" t="s">
        <v>714</v>
      </c>
      <c r="E280" s="412"/>
      <c r="F280" s="412"/>
      <c r="G280" s="412"/>
      <c r="H280" s="412"/>
      <c r="I280" s="412"/>
      <c r="J280" s="412"/>
      <c r="K280" s="412"/>
      <c r="L280" s="412"/>
    </row>
    <row r="281" spans="1:26" ht="20.399999999999999" x14ac:dyDescent="0.2">
      <c r="A281" s="412"/>
      <c r="B281" s="412"/>
      <c r="C281" s="412"/>
      <c r="D281" s="395" t="s">
        <v>736</v>
      </c>
      <c r="E281" s="412"/>
      <c r="F281" s="412"/>
      <c r="G281" s="412"/>
      <c r="H281" s="412"/>
      <c r="I281" s="412"/>
      <c r="J281" s="412"/>
      <c r="K281" s="412"/>
      <c r="L281" s="412"/>
    </row>
    <row r="282" spans="1:26" ht="81.599999999999994" x14ac:dyDescent="0.2">
      <c r="A282" s="412"/>
      <c r="B282" s="412"/>
      <c r="C282" s="412"/>
      <c r="D282" s="395" t="s">
        <v>737</v>
      </c>
      <c r="E282" s="412"/>
      <c r="F282" s="412"/>
      <c r="G282" s="412"/>
      <c r="H282" s="412"/>
      <c r="I282" s="412"/>
      <c r="J282" s="412"/>
      <c r="K282" s="412"/>
      <c r="L282" s="412"/>
    </row>
    <row r="283" spans="1:26" x14ac:dyDescent="0.2">
      <c r="A283" s="412"/>
      <c r="B283" s="412"/>
      <c r="C283" s="412"/>
      <c r="D283" s="413" t="s">
        <v>206</v>
      </c>
      <c r="E283" s="414" t="s">
        <v>758</v>
      </c>
      <c r="F283" s="414"/>
      <c r="G283" s="414"/>
      <c r="H283" s="415">
        <v>69814.06</v>
      </c>
      <c r="I283" s="412"/>
      <c r="J283" s="412"/>
      <c r="K283" s="412"/>
      <c r="L283" s="412"/>
    </row>
    <row r="284" spans="1:26" x14ac:dyDescent="0.2">
      <c r="A284" s="412"/>
      <c r="B284" s="412"/>
      <c r="C284" s="412"/>
      <c r="D284" s="413" t="s">
        <v>207</v>
      </c>
      <c r="E284" s="414" t="s">
        <v>759</v>
      </c>
      <c r="F284" s="414"/>
      <c r="G284" s="414"/>
      <c r="H284" s="415">
        <v>39893.75</v>
      </c>
      <c r="I284" s="412"/>
      <c r="J284" s="412"/>
      <c r="K284" s="412"/>
      <c r="L284" s="412"/>
    </row>
    <row r="285" spans="1:26" x14ac:dyDescent="0.2">
      <c r="A285" s="412"/>
      <c r="B285" s="412"/>
      <c r="C285" s="412"/>
      <c r="D285" s="416" t="s">
        <v>715</v>
      </c>
      <c r="E285" s="417"/>
      <c r="F285" s="417"/>
      <c r="G285" s="417"/>
      <c r="H285" s="418">
        <v>184527.27</v>
      </c>
      <c r="I285" s="412"/>
      <c r="J285" s="412"/>
      <c r="K285" s="412"/>
      <c r="L285" s="412"/>
    </row>
    <row r="286" spans="1:26" s="790" customFormat="1" ht="20.399999999999999" x14ac:dyDescent="0.2">
      <c r="A286" s="784">
        <v>48</v>
      </c>
      <c r="B286" s="784">
        <v>48</v>
      </c>
      <c r="C286" s="784" t="s">
        <v>885</v>
      </c>
      <c r="D286" s="784" t="s">
        <v>886</v>
      </c>
      <c r="E286" s="785">
        <v>2.67</v>
      </c>
      <c r="F286" s="786">
        <v>17.95</v>
      </c>
      <c r="G286" s="786" t="s">
        <v>281</v>
      </c>
      <c r="H286" s="787">
        <v>634.54999999999995</v>
      </c>
      <c r="I286" s="787" t="s">
        <v>281</v>
      </c>
      <c r="J286" s="787" t="s">
        <v>281</v>
      </c>
      <c r="K286" s="786" t="s">
        <v>281</v>
      </c>
      <c r="L286" s="786" t="s">
        <v>281</v>
      </c>
      <c r="M286" s="789">
        <f>E278*2.5</f>
        <v>2.8</v>
      </c>
      <c r="N286" s="789" t="s">
        <v>2449</v>
      </c>
      <c r="O286" s="789"/>
      <c r="T286" s="790">
        <v>634.54999999999995</v>
      </c>
      <c r="V286" s="790" t="s">
        <v>281</v>
      </c>
      <c r="W286" s="790" t="s">
        <v>281</v>
      </c>
      <c r="X286" s="790" t="s">
        <v>281</v>
      </c>
      <c r="Y286" s="790" t="s">
        <v>281</v>
      </c>
      <c r="Z286" s="790" t="s">
        <v>281</v>
      </c>
    </row>
    <row r="287" spans="1:26" s="1231" customFormat="1" x14ac:dyDescent="0.2">
      <c r="A287" s="1232"/>
      <c r="B287" s="1232"/>
      <c r="C287" s="1232"/>
      <c r="D287" s="1233" t="s">
        <v>743</v>
      </c>
      <c r="E287" s="1234"/>
      <c r="F287" s="1235" t="s">
        <v>281</v>
      </c>
      <c r="G287" s="1235" t="s">
        <v>281</v>
      </c>
      <c r="H287" s="1234"/>
      <c r="I287" s="1234"/>
      <c r="J287" s="1236" t="s">
        <v>281</v>
      </c>
      <c r="K287" s="1235" t="s">
        <v>281</v>
      </c>
      <c r="L287" s="1235" t="s">
        <v>281</v>
      </c>
      <c r="M287" s="1237"/>
      <c r="N287" s="1237"/>
      <c r="O287" s="1237"/>
    </row>
    <row r="288" spans="1:26" s="1231" customFormat="1" x14ac:dyDescent="0.2">
      <c r="A288" s="1238"/>
      <c r="B288" s="1238"/>
      <c r="C288" s="1238"/>
      <c r="D288" s="1239" t="s">
        <v>716</v>
      </c>
      <c r="E288" s="1238"/>
      <c r="F288" s="1238"/>
      <c r="G288" s="1238"/>
      <c r="H288" s="1238"/>
      <c r="I288" s="1238"/>
      <c r="J288" s="1238"/>
      <c r="K288" s="1238"/>
      <c r="L288" s="1238"/>
      <c r="M288" s="1237"/>
      <c r="N288" s="1237"/>
      <c r="O288" s="1237"/>
    </row>
    <row r="289" spans="1:26" s="1231" customFormat="1" x14ac:dyDescent="0.2">
      <c r="A289" s="1238"/>
      <c r="B289" s="1238"/>
      <c r="C289" s="1238"/>
      <c r="D289" s="1240" t="s">
        <v>715</v>
      </c>
      <c r="E289" s="1241"/>
      <c r="F289" s="1241"/>
      <c r="G289" s="1241"/>
      <c r="H289" s="1242">
        <v>634.54999999999995</v>
      </c>
      <c r="I289" s="1238"/>
      <c r="J289" s="1238"/>
      <c r="K289" s="1238"/>
      <c r="L289" s="1238"/>
      <c r="M289" s="1237"/>
      <c r="N289" s="1237"/>
      <c r="O289" s="1237"/>
    </row>
    <row r="290" spans="1:26" s="790" customFormat="1" ht="30.6" x14ac:dyDescent="0.2">
      <c r="A290" s="784">
        <v>49</v>
      </c>
      <c r="B290" s="784">
        <v>49</v>
      </c>
      <c r="C290" s="784" t="s">
        <v>744</v>
      </c>
      <c r="D290" s="784" t="s">
        <v>1512</v>
      </c>
      <c r="E290" s="785">
        <v>4.45</v>
      </c>
      <c r="F290" s="1243">
        <v>162.38</v>
      </c>
      <c r="G290" s="786" t="s">
        <v>281</v>
      </c>
      <c r="H290" s="787">
        <v>5896.25</v>
      </c>
      <c r="I290" s="787" t="s">
        <v>281</v>
      </c>
      <c r="J290" s="787" t="s">
        <v>281</v>
      </c>
      <c r="K290" s="786" t="s">
        <v>281</v>
      </c>
      <c r="L290" s="786" t="s">
        <v>281</v>
      </c>
      <c r="M290" s="789">
        <f>E290</f>
        <v>4.45</v>
      </c>
      <c r="N290" s="789" t="s">
        <v>2450</v>
      </c>
      <c r="O290" s="789"/>
      <c r="T290" s="790">
        <v>5896.25</v>
      </c>
      <c r="V290" s="790" t="s">
        <v>281</v>
      </c>
      <c r="W290" s="790" t="s">
        <v>281</v>
      </c>
      <c r="X290" s="790" t="s">
        <v>281</v>
      </c>
      <c r="Y290" s="790" t="s">
        <v>281</v>
      </c>
      <c r="Z290" s="790" t="s">
        <v>281</v>
      </c>
    </row>
    <row r="291" spans="1:26" x14ac:dyDescent="0.2">
      <c r="A291" s="407"/>
      <c r="B291" s="407"/>
      <c r="C291" s="407"/>
      <c r="D291" s="408" t="s">
        <v>745</v>
      </c>
      <c r="E291" s="409"/>
      <c r="F291" s="410" t="s">
        <v>281</v>
      </c>
      <c r="G291" s="410" t="s">
        <v>281</v>
      </c>
      <c r="H291" s="409"/>
      <c r="I291" s="409"/>
      <c r="J291" s="411" t="s">
        <v>281</v>
      </c>
      <c r="K291" s="410" t="s">
        <v>281</v>
      </c>
      <c r="L291" s="410" t="s">
        <v>281</v>
      </c>
    </row>
    <row r="292" spans="1:26" x14ac:dyDescent="0.2">
      <c r="A292" s="412"/>
      <c r="B292" s="412"/>
      <c r="C292" s="412"/>
      <c r="D292" s="395" t="s">
        <v>718</v>
      </c>
      <c r="E292" s="412"/>
      <c r="F292" s="412"/>
      <c r="G292" s="412"/>
      <c r="H292" s="412"/>
      <c r="I292" s="412"/>
      <c r="J292" s="412"/>
      <c r="K292" s="412"/>
      <c r="L292" s="412"/>
    </row>
    <row r="293" spans="1:26" s="790" customFormat="1" ht="30.6" x14ac:dyDescent="0.2">
      <c r="A293" s="784">
        <v>50</v>
      </c>
      <c r="B293" s="784">
        <v>50</v>
      </c>
      <c r="C293" s="784" t="s">
        <v>887</v>
      </c>
      <c r="D293" s="784" t="s">
        <v>805</v>
      </c>
      <c r="E293" s="785">
        <v>1.76</v>
      </c>
      <c r="F293" s="786">
        <v>2280.1624999999999</v>
      </c>
      <c r="G293" s="786">
        <v>1944.8960999999999</v>
      </c>
      <c r="H293" s="787">
        <v>71738.13</v>
      </c>
      <c r="I293" s="787">
        <v>26417.39</v>
      </c>
      <c r="J293" s="787">
        <v>45320.74</v>
      </c>
      <c r="K293" s="786">
        <v>33.326999999999998</v>
      </c>
      <c r="L293" s="786">
        <v>58.655520000000003</v>
      </c>
      <c r="M293" s="789">
        <v>1.76</v>
      </c>
      <c r="N293" s="789" t="s">
        <v>2427</v>
      </c>
      <c r="O293" s="789"/>
      <c r="T293" s="790">
        <v>124861.62</v>
      </c>
      <c r="V293" s="790">
        <v>26417.39</v>
      </c>
      <c r="W293" s="790">
        <v>45320.74</v>
      </c>
      <c r="X293" s="790">
        <v>7855.83</v>
      </c>
      <c r="Y293" s="790">
        <v>58.655520000000003</v>
      </c>
      <c r="Z293" s="790">
        <v>12.567016000000001</v>
      </c>
    </row>
    <row r="294" spans="1:26" x14ac:dyDescent="0.2">
      <c r="A294" s="407"/>
      <c r="B294" s="407"/>
      <c r="C294" s="407"/>
      <c r="D294" s="408" t="s">
        <v>224</v>
      </c>
      <c r="E294" s="409"/>
      <c r="F294" s="410">
        <v>335.26639999999998</v>
      </c>
      <c r="G294" s="410">
        <v>99.699250000000006</v>
      </c>
      <c r="H294" s="409"/>
      <c r="I294" s="409"/>
      <c r="J294" s="411">
        <v>7855.83</v>
      </c>
      <c r="K294" s="410">
        <v>7.1403499999999998</v>
      </c>
      <c r="L294" s="410">
        <v>12.567016000000001</v>
      </c>
    </row>
    <row r="295" spans="1:26" ht="20.399999999999999" x14ac:dyDescent="0.2">
      <c r="A295" s="412"/>
      <c r="B295" s="412"/>
      <c r="C295" s="412"/>
      <c r="D295" s="395" t="s">
        <v>714</v>
      </c>
      <c r="E295" s="412"/>
      <c r="F295" s="412"/>
      <c r="G295" s="412"/>
      <c r="H295" s="412"/>
      <c r="I295" s="412"/>
      <c r="J295" s="412"/>
      <c r="K295" s="412"/>
      <c r="L295" s="412"/>
    </row>
    <row r="296" spans="1:26" ht="30.6" x14ac:dyDescent="0.2">
      <c r="A296" s="412"/>
      <c r="B296" s="412"/>
      <c r="C296" s="412"/>
      <c r="D296" s="395" t="s">
        <v>863</v>
      </c>
      <c r="E296" s="412"/>
      <c r="F296" s="412"/>
      <c r="G296" s="412"/>
      <c r="H296" s="412"/>
      <c r="I296" s="412"/>
      <c r="J296" s="412"/>
      <c r="K296" s="412"/>
      <c r="L296" s="412"/>
    </row>
    <row r="297" spans="1:26" ht="102" x14ac:dyDescent="0.2">
      <c r="A297" s="412"/>
      <c r="B297" s="412"/>
      <c r="C297" s="412"/>
      <c r="D297" s="395" t="s">
        <v>864</v>
      </c>
      <c r="E297" s="412"/>
      <c r="F297" s="412"/>
      <c r="G297" s="412"/>
      <c r="H297" s="412"/>
      <c r="I297" s="412"/>
      <c r="J297" s="412"/>
      <c r="K297" s="412"/>
      <c r="L297" s="412"/>
    </row>
    <row r="298" spans="1:26" x14ac:dyDescent="0.2">
      <c r="A298" s="412"/>
      <c r="B298" s="412"/>
      <c r="C298" s="412"/>
      <c r="D298" s="413" t="s">
        <v>206</v>
      </c>
      <c r="E298" s="414" t="s">
        <v>865</v>
      </c>
      <c r="F298" s="414"/>
      <c r="G298" s="414"/>
      <c r="H298" s="415">
        <v>31874.09</v>
      </c>
      <c r="I298" s="412"/>
      <c r="J298" s="412"/>
      <c r="K298" s="412"/>
      <c r="L298" s="412"/>
    </row>
    <row r="299" spans="1:26" x14ac:dyDescent="0.2">
      <c r="A299" s="412"/>
      <c r="B299" s="412"/>
      <c r="C299" s="412"/>
      <c r="D299" s="413" t="s">
        <v>207</v>
      </c>
      <c r="E299" s="414" t="s">
        <v>866</v>
      </c>
      <c r="F299" s="414"/>
      <c r="G299" s="414"/>
      <c r="H299" s="415">
        <v>21249.4</v>
      </c>
      <c r="I299" s="412"/>
      <c r="J299" s="412"/>
      <c r="K299" s="412"/>
      <c r="L299" s="412"/>
    </row>
    <row r="300" spans="1:26" x14ac:dyDescent="0.2">
      <c r="A300" s="412"/>
      <c r="B300" s="412"/>
      <c r="C300" s="412"/>
      <c r="D300" s="416" t="s">
        <v>715</v>
      </c>
      <c r="E300" s="417"/>
      <c r="F300" s="417"/>
      <c r="G300" s="417"/>
      <c r="H300" s="418">
        <v>124861.62</v>
      </c>
      <c r="I300" s="412"/>
      <c r="J300" s="412"/>
      <c r="K300" s="412"/>
      <c r="L300" s="412"/>
    </row>
    <row r="301" spans="1:26" s="790" customFormat="1" ht="30.6" x14ac:dyDescent="0.2">
      <c r="A301" s="784">
        <v>51</v>
      </c>
      <c r="B301" s="784">
        <v>51</v>
      </c>
      <c r="C301" s="784" t="s">
        <v>868</v>
      </c>
      <c r="D301" s="784" t="s">
        <v>869</v>
      </c>
      <c r="E301" s="785">
        <v>1.76</v>
      </c>
      <c r="F301" s="786">
        <v>22.33</v>
      </c>
      <c r="G301" s="786" t="s">
        <v>281</v>
      </c>
      <c r="H301" s="787">
        <v>520.34</v>
      </c>
      <c r="I301" s="787" t="s">
        <v>281</v>
      </c>
      <c r="J301" s="787" t="s">
        <v>281</v>
      </c>
      <c r="K301" s="786" t="s">
        <v>281</v>
      </c>
      <c r="L301" s="786" t="s">
        <v>281</v>
      </c>
      <c r="M301" s="789">
        <v>1.76</v>
      </c>
      <c r="N301" s="789" t="s">
        <v>2451</v>
      </c>
      <c r="O301" s="789"/>
      <c r="T301" s="790">
        <v>520.34</v>
      </c>
      <c r="V301" s="790" t="s">
        <v>281</v>
      </c>
      <c r="W301" s="790" t="s">
        <v>281</v>
      </c>
      <c r="X301" s="790" t="s">
        <v>281</v>
      </c>
      <c r="Y301" s="790" t="s">
        <v>281</v>
      </c>
      <c r="Z301" s="790" t="s">
        <v>281</v>
      </c>
    </row>
    <row r="302" spans="1:26" s="1231" customFormat="1" x14ac:dyDescent="0.2">
      <c r="A302" s="1232"/>
      <c r="B302" s="1232"/>
      <c r="C302" s="1232"/>
      <c r="D302" s="1233" t="s">
        <v>743</v>
      </c>
      <c r="E302" s="1234"/>
      <c r="F302" s="1235" t="s">
        <v>281</v>
      </c>
      <c r="G302" s="1235" t="s">
        <v>281</v>
      </c>
      <c r="H302" s="1234"/>
      <c r="I302" s="1234"/>
      <c r="J302" s="1236" t="s">
        <v>281</v>
      </c>
      <c r="K302" s="1235" t="s">
        <v>281</v>
      </c>
      <c r="L302" s="1235" t="s">
        <v>281</v>
      </c>
      <c r="M302" s="1237"/>
      <c r="N302" s="1237"/>
      <c r="O302" s="1237"/>
    </row>
    <row r="303" spans="1:26" s="1231" customFormat="1" x14ac:dyDescent="0.2">
      <c r="A303" s="1238"/>
      <c r="B303" s="1238"/>
      <c r="C303" s="1238"/>
      <c r="D303" s="1239" t="s">
        <v>716</v>
      </c>
      <c r="E303" s="1238"/>
      <c r="F303" s="1238"/>
      <c r="G303" s="1238"/>
      <c r="H303" s="1238"/>
      <c r="I303" s="1238"/>
      <c r="J303" s="1238"/>
      <c r="K303" s="1238"/>
      <c r="L303" s="1238"/>
      <c r="M303" s="1237"/>
      <c r="N303" s="1237"/>
      <c r="O303" s="1237"/>
    </row>
    <row r="304" spans="1:26" s="1231" customFormat="1" x14ac:dyDescent="0.2">
      <c r="A304" s="1238"/>
      <c r="B304" s="1238"/>
      <c r="C304" s="1238"/>
      <c r="D304" s="1240" t="s">
        <v>715</v>
      </c>
      <c r="E304" s="1241"/>
      <c r="F304" s="1241"/>
      <c r="G304" s="1241"/>
      <c r="H304" s="1242">
        <v>520.34</v>
      </c>
      <c r="I304" s="1238"/>
      <c r="J304" s="1238"/>
      <c r="K304" s="1238"/>
      <c r="L304" s="1238"/>
      <c r="M304" s="1237"/>
      <c r="N304" s="1237"/>
      <c r="O304" s="1237"/>
    </row>
    <row r="305" spans="1:26" s="790" customFormat="1" ht="30.6" x14ac:dyDescent="0.2">
      <c r="A305" s="784">
        <v>52</v>
      </c>
      <c r="B305" s="784">
        <v>52</v>
      </c>
      <c r="C305" s="784" t="s">
        <v>888</v>
      </c>
      <c r="D305" s="784" t="s">
        <v>889</v>
      </c>
      <c r="E305" s="785">
        <v>1.76</v>
      </c>
      <c r="F305" s="786">
        <v>2.91</v>
      </c>
      <c r="G305" s="786">
        <v>2.91</v>
      </c>
      <c r="H305" s="787">
        <v>69.75</v>
      </c>
      <c r="I305" s="787" t="s">
        <v>281</v>
      </c>
      <c r="J305" s="787">
        <v>69.75</v>
      </c>
      <c r="K305" s="786" t="s">
        <v>281</v>
      </c>
      <c r="L305" s="786" t="s">
        <v>281</v>
      </c>
      <c r="M305" s="789">
        <v>1.76</v>
      </c>
      <c r="N305" s="789" t="s">
        <v>2451</v>
      </c>
      <c r="O305" s="789"/>
      <c r="T305" s="790">
        <v>69.75</v>
      </c>
      <c r="V305" s="790" t="s">
        <v>281</v>
      </c>
      <c r="W305" s="790">
        <v>69.75</v>
      </c>
      <c r="X305" s="790" t="s">
        <v>281</v>
      </c>
      <c r="Y305" s="790" t="s">
        <v>281</v>
      </c>
      <c r="Z305" s="790" t="s">
        <v>281</v>
      </c>
    </row>
    <row r="306" spans="1:26" s="1231" customFormat="1" x14ac:dyDescent="0.2">
      <c r="A306" s="1232"/>
      <c r="B306" s="1232"/>
      <c r="C306" s="1232"/>
      <c r="D306" s="1233" t="s">
        <v>743</v>
      </c>
      <c r="E306" s="1234"/>
      <c r="F306" s="1235" t="s">
        <v>281</v>
      </c>
      <c r="G306" s="1235" t="s">
        <v>281</v>
      </c>
      <c r="H306" s="1234"/>
      <c r="I306" s="1234"/>
      <c r="J306" s="1236" t="s">
        <v>281</v>
      </c>
      <c r="K306" s="1235" t="s">
        <v>281</v>
      </c>
      <c r="L306" s="1235" t="s">
        <v>281</v>
      </c>
      <c r="M306" s="1237"/>
      <c r="N306" s="1237"/>
      <c r="O306" s="1237"/>
    </row>
    <row r="307" spans="1:26" s="1231" customFormat="1" x14ac:dyDescent="0.2">
      <c r="A307" s="1238"/>
      <c r="B307" s="1238"/>
      <c r="C307" s="1238"/>
      <c r="D307" s="1239" t="s">
        <v>792</v>
      </c>
      <c r="E307" s="1238"/>
      <c r="F307" s="1238"/>
      <c r="G307" s="1238"/>
      <c r="H307" s="1238"/>
      <c r="I307" s="1238"/>
      <c r="J307" s="1238"/>
      <c r="K307" s="1238"/>
      <c r="L307" s="1238"/>
      <c r="M307" s="1237"/>
      <c r="N307" s="1237"/>
      <c r="O307" s="1237"/>
    </row>
    <row r="308" spans="1:26" s="1231" customFormat="1" x14ac:dyDescent="0.2">
      <c r="A308" s="1238"/>
      <c r="B308" s="1238"/>
      <c r="C308" s="1238"/>
      <c r="D308" s="1240" t="s">
        <v>715</v>
      </c>
      <c r="E308" s="1241"/>
      <c r="F308" s="1241"/>
      <c r="G308" s="1241"/>
      <c r="H308" s="1242">
        <v>69.75</v>
      </c>
      <c r="I308" s="1238"/>
      <c r="J308" s="1238"/>
      <c r="K308" s="1238"/>
      <c r="L308" s="1238"/>
      <c r="M308" s="1237"/>
      <c r="N308" s="1237"/>
      <c r="O308" s="1237"/>
    </row>
    <row r="309" spans="1:26" s="790" customFormat="1" ht="20.399999999999999" x14ac:dyDescent="0.2">
      <c r="A309" s="784">
        <v>53</v>
      </c>
      <c r="B309" s="784">
        <v>53</v>
      </c>
      <c r="C309" s="784" t="s">
        <v>872</v>
      </c>
      <c r="D309" s="784" t="s">
        <v>873</v>
      </c>
      <c r="E309" s="785">
        <v>1.76</v>
      </c>
      <c r="F309" s="786">
        <v>22.33</v>
      </c>
      <c r="G309" s="786" t="s">
        <v>281</v>
      </c>
      <c r="H309" s="787">
        <v>520.34</v>
      </c>
      <c r="I309" s="787" t="s">
        <v>281</v>
      </c>
      <c r="J309" s="787" t="s">
        <v>281</v>
      </c>
      <c r="K309" s="786" t="s">
        <v>281</v>
      </c>
      <c r="L309" s="786" t="s">
        <v>281</v>
      </c>
      <c r="M309" s="789">
        <v>1.76</v>
      </c>
      <c r="N309" s="789" t="s">
        <v>2451</v>
      </c>
      <c r="O309" s="789"/>
      <c r="T309" s="790">
        <v>520.34</v>
      </c>
      <c r="V309" s="790" t="s">
        <v>281</v>
      </c>
      <c r="W309" s="790" t="s">
        <v>281</v>
      </c>
      <c r="X309" s="790" t="s">
        <v>281</v>
      </c>
      <c r="Y309" s="790" t="s">
        <v>281</v>
      </c>
      <c r="Z309" s="790" t="s">
        <v>281</v>
      </c>
    </row>
    <row r="310" spans="1:26" s="1231" customFormat="1" x14ac:dyDescent="0.2">
      <c r="A310" s="1232"/>
      <c r="B310" s="1232"/>
      <c r="C310" s="1232"/>
      <c r="D310" s="1233" t="s">
        <v>743</v>
      </c>
      <c r="E310" s="1234"/>
      <c r="F310" s="1235" t="s">
        <v>281</v>
      </c>
      <c r="G310" s="1235" t="s">
        <v>281</v>
      </c>
      <c r="H310" s="1234"/>
      <c r="I310" s="1234"/>
      <c r="J310" s="1236" t="s">
        <v>281</v>
      </c>
      <c r="K310" s="1235" t="s">
        <v>281</v>
      </c>
      <c r="L310" s="1235" t="s">
        <v>281</v>
      </c>
      <c r="M310" s="1237"/>
      <c r="N310" s="1237"/>
      <c r="O310" s="1237"/>
    </row>
    <row r="311" spans="1:26" s="1231" customFormat="1" x14ac:dyDescent="0.2">
      <c r="A311" s="1238"/>
      <c r="B311" s="1238"/>
      <c r="C311" s="1238"/>
      <c r="D311" s="1239" t="s">
        <v>716</v>
      </c>
      <c r="E311" s="1238"/>
      <c r="F311" s="1238"/>
      <c r="G311" s="1238"/>
      <c r="H311" s="1238"/>
      <c r="I311" s="1238"/>
      <c r="J311" s="1238"/>
      <c r="K311" s="1238"/>
      <c r="L311" s="1238"/>
      <c r="M311" s="1237"/>
      <c r="N311" s="1237"/>
      <c r="O311" s="1237"/>
    </row>
    <row r="312" spans="1:26" x14ac:dyDescent="0.2">
      <c r="A312" s="412"/>
      <c r="B312" s="412"/>
      <c r="C312" s="412"/>
      <c r="D312" s="416" t="s">
        <v>715</v>
      </c>
      <c r="E312" s="417"/>
      <c r="F312" s="417"/>
      <c r="G312" s="417"/>
      <c r="H312" s="418">
        <v>520.34</v>
      </c>
      <c r="I312" s="412"/>
      <c r="J312" s="412"/>
      <c r="K312" s="412"/>
      <c r="L312" s="412"/>
    </row>
    <row r="313" spans="1:26" s="790" customFormat="1" ht="20.399999999999999" x14ac:dyDescent="0.2">
      <c r="A313" s="784">
        <v>54</v>
      </c>
      <c r="B313" s="784">
        <v>54</v>
      </c>
      <c r="C313" s="784" t="s">
        <v>890</v>
      </c>
      <c r="D313" s="784" t="s">
        <v>806</v>
      </c>
      <c r="E313" s="785">
        <v>8.6814</v>
      </c>
      <c r="F313" s="786">
        <v>7483.3536000000004</v>
      </c>
      <c r="G313" s="786">
        <v>6984.7412000000004</v>
      </c>
      <c r="H313" s="787">
        <v>996632.1</v>
      </c>
      <c r="I313" s="787">
        <v>193793.85</v>
      </c>
      <c r="J313" s="787">
        <v>802838.25</v>
      </c>
      <c r="K313" s="786">
        <v>57.049199999999999</v>
      </c>
      <c r="L313" s="786">
        <v>495.26692500000001</v>
      </c>
      <c r="M313" s="789">
        <f>E313</f>
        <v>8.6814</v>
      </c>
      <c r="N313" s="789" t="s">
        <v>2441</v>
      </c>
      <c r="O313" s="789" t="s">
        <v>2442</v>
      </c>
      <c r="T313" s="790">
        <v>1488605.07</v>
      </c>
      <c r="V313" s="790">
        <v>193793.85</v>
      </c>
      <c r="W313" s="790">
        <v>802838.25</v>
      </c>
      <c r="X313" s="790">
        <v>75043.839999999997</v>
      </c>
      <c r="Y313" s="790">
        <v>495.26692500000001</v>
      </c>
      <c r="Z313" s="790">
        <v>97.280296000000007</v>
      </c>
    </row>
    <row r="314" spans="1:26" x14ac:dyDescent="0.2">
      <c r="A314" s="407"/>
      <c r="B314" s="407"/>
      <c r="C314" s="407"/>
      <c r="D314" s="408" t="s">
        <v>831</v>
      </c>
      <c r="E314" s="409"/>
      <c r="F314" s="410">
        <v>498.61239999999998</v>
      </c>
      <c r="G314" s="410">
        <v>193.0804</v>
      </c>
      <c r="H314" s="409"/>
      <c r="I314" s="409"/>
      <c r="J314" s="411">
        <v>75043.839999999997</v>
      </c>
      <c r="K314" s="410">
        <v>11.2056</v>
      </c>
      <c r="L314" s="410">
        <v>97.280296000000007</v>
      </c>
    </row>
    <row r="315" spans="1:26" ht="20.399999999999999" x14ac:dyDescent="0.2">
      <c r="A315" s="412"/>
      <c r="B315" s="412"/>
      <c r="C315" s="412"/>
      <c r="D315" s="395" t="s">
        <v>714</v>
      </c>
      <c r="E315" s="412"/>
      <c r="F315" s="412"/>
      <c r="G315" s="412"/>
      <c r="H315" s="412"/>
      <c r="I315" s="412"/>
      <c r="J315" s="412"/>
      <c r="K315" s="412"/>
      <c r="L315" s="412"/>
    </row>
    <row r="316" spans="1:26" ht="30.6" x14ac:dyDescent="0.2">
      <c r="A316" s="412"/>
      <c r="B316" s="412"/>
      <c r="C316" s="412"/>
      <c r="D316" s="395" t="s">
        <v>748</v>
      </c>
      <c r="E316" s="412"/>
      <c r="F316" s="412"/>
      <c r="G316" s="412"/>
      <c r="H316" s="412"/>
      <c r="I316" s="412"/>
      <c r="J316" s="412"/>
      <c r="K316" s="412"/>
      <c r="L316" s="412"/>
    </row>
    <row r="317" spans="1:26" ht="102" x14ac:dyDescent="0.2">
      <c r="A317" s="412"/>
      <c r="B317" s="412"/>
      <c r="C317" s="412"/>
      <c r="D317" s="395" t="s">
        <v>749</v>
      </c>
      <c r="E317" s="412"/>
      <c r="F317" s="412"/>
      <c r="G317" s="412"/>
      <c r="H317" s="412"/>
      <c r="I317" s="412"/>
      <c r="J317" s="412"/>
      <c r="K317" s="412"/>
      <c r="L317" s="412"/>
    </row>
    <row r="318" spans="1:26" x14ac:dyDescent="0.2">
      <c r="A318" s="412"/>
      <c r="B318" s="412"/>
      <c r="C318" s="412"/>
      <c r="D318" s="413" t="s">
        <v>206</v>
      </c>
      <c r="E318" s="414" t="s">
        <v>750</v>
      </c>
      <c r="F318" s="414"/>
      <c r="G318" s="414"/>
      <c r="H318" s="415">
        <v>295721.46000000002</v>
      </c>
      <c r="I318" s="412"/>
      <c r="J318" s="412"/>
      <c r="K318" s="412"/>
      <c r="L318" s="412"/>
    </row>
    <row r="319" spans="1:26" x14ac:dyDescent="0.2">
      <c r="A319" s="412"/>
      <c r="B319" s="412"/>
      <c r="C319" s="412"/>
      <c r="D319" s="413" t="s">
        <v>207</v>
      </c>
      <c r="E319" s="414" t="s">
        <v>751</v>
      </c>
      <c r="F319" s="414"/>
      <c r="G319" s="414"/>
      <c r="H319" s="415">
        <v>196251.51</v>
      </c>
      <c r="I319" s="412"/>
      <c r="J319" s="412"/>
      <c r="K319" s="412"/>
      <c r="L319" s="412"/>
    </row>
    <row r="320" spans="1:26" x14ac:dyDescent="0.2">
      <c r="A320" s="412"/>
      <c r="B320" s="412"/>
      <c r="C320" s="412"/>
      <c r="D320" s="416" t="s">
        <v>715</v>
      </c>
      <c r="E320" s="417"/>
      <c r="F320" s="417"/>
      <c r="G320" s="417"/>
      <c r="H320" s="418">
        <v>1488605.07</v>
      </c>
      <c r="I320" s="412"/>
      <c r="J320" s="412"/>
      <c r="K320" s="412"/>
      <c r="L320" s="412"/>
    </row>
    <row r="321" spans="1:26" s="790" customFormat="1" ht="30.6" x14ac:dyDescent="0.2">
      <c r="A321" s="784">
        <v>55</v>
      </c>
      <c r="B321" s="784">
        <v>55</v>
      </c>
      <c r="C321" s="784" t="s">
        <v>891</v>
      </c>
      <c r="D321" s="784" t="s">
        <v>892</v>
      </c>
      <c r="E321" s="785">
        <v>437.5</v>
      </c>
      <c r="F321" s="786">
        <v>10.4</v>
      </c>
      <c r="G321" s="786" t="s">
        <v>281</v>
      </c>
      <c r="H321" s="787">
        <v>60243.75</v>
      </c>
      <c r="I321" s="787" t="s">
        <v>281</v>
      </c>
      <c r="J321" s="787" t="s">
        <v>281</v>
      </c>
      <c r="K321" s="786" t="s">
        <v>281</v>
      </c>
      <c r="L321" s="786" t="s">
        <v>281</v>
      </c>
      <c r="M321" s="789">
        <f>E321</f>
        <v>437.5</v>
      </c>
      <c r="N321" s="789" t="s">
        <v>2460</v>
      </c>
      <c r="O321" s="789"/>
      <c r="T321" s="790">
        <v>60243.75</v>
      </c>
      <c r="V321" s="790" t="s">
        <v>281</v>
      </c>
      <c r="W321" s="790" t="s">
        <v>281</v>
      </c>
      <c r="X321" s="790" t="s">
        <v>281</v>
      </c>
      <c r="Y321" s="790" t="s">
        <v>281</v>
      </c>
      <c r="Z321" s="790" t="s">
        <v>281</v>
      </c>
    </row>
    <row r="322" spans="1:26" s="1231" customFormat="1" x14ac:dyDescent="0.2">
      <c r="A322" s="1232"/>
      <c r="B322" s="1232"/>
      <c r="C322" s="1232"/>
      <c r="D322" s="1233" t="s">
        <v>743</v>
      </c>
      <c r="E322" s="1234"/>
      <c r="F322" s="1235" t="s">
        <v>281</v>
      </c>
      <c r="G322" s="1235" t="s">
        <v>281</v>
      </c>
      <c r="H322" s="1234"/>
      <c r="I322" s="1234"/>
      <c r="J322" s="1236" t="s">
        <v>281</v>
      </c>
      <c r="K322" s="1235" t="s">
        <v>281</v>
      </c>
      <c r="L322" s="1235" t="s">
        <v>281</v>
      </c>
      <c r="M322" s="1237"/>
      <c r="N322" s="1237"/>
      <c r="O322" s="1237"/>
    </row>
    <row r="323" spans="1:26" s="1231" customFormat="1" x14ac:dyDescent="0.2">
      <c r="A323" s="1238"/>
      <c r="B323" s="1238"/>
      <c r="C323" s="1238"/>
      <c r="D323" s="1239" t="s">
        <v>716</v>
      </c>
      <c r="E323" s="1238"/>
      <c r="F323" s="1238"/>
      <c r="G323" s="1238"/>
      <c r="H323" s="1238"/>
      <c r="I323" s="1238"/>
      <c r="J323" s="1238"/>
      <c r="K323" s="1238"/>
      <c r="L323" s="1238"/>
      <c r="M323" s="1237"/>
      <c r="N323" s="1237"/>
      <c r="O323" s="1237"/>
    </row>
    <row r="324" spans="1:26" s="1231" customFormat="1" x14ac:dyDescent="0.2">
      <c r="A324" s="1238"/>
      <c r="B324" s="1238"/>
      <c r="C324" s="1238"/>
      <c r="D324" s="1240" t="s">
        <v>715</v>
      </c>
      <c r="E324" s="1241"/>
      <c r="F324" s="1241"/>
      <c r="G324" s="1241"/>
      <c r="H324" s="1242">
        <v>60243.75</v>
      </c>
      <c r="I324" s="1238"/>
      <c r="J324" s="1238"/>
      <c r="K324" s="1238"/>
      <c r="L324" s="1238"/>
      <c r="M324" s="1237"/>
      <c r="N324" s="1237"/>
      <c r="O324" s="1237"/>
    </row>
    <row r="325" spans="1:26" s="790" customFormat="1" ht="20.399999999999999" x14ac:dyDescent="0.2">
      <c r="A325" s="784">
        <v>56</v>
      </c>
      <c r="B325" s="784">
        <v>56</v>
      </c>
      <c r="C325" s="784" t="s">
        <v>851</v>
      </c>
      <c r="D325" s="784" t="s">
        <v>852</v>
      </c>
      <c r="E325" s="785">
        <v>437.5</v>
      </c>
      <c r="F325" s="786">
        <v>8.7899999999999991</v>
      </c>
      <c r="G325" s="786" t="s">
        <v>281</v>
      </c>
      <c r="H325" s="787">
        <v>52377.5</v>
      </c>
      <c r="I325" s="787" t="s">
        <v>281</v>
      </c>
      <c r="J325" s="787" t="s">
        <v>281</v>
      </c>
      <c r="K325" s="786" t="s">
        <v>281</v>
      </c>
      <c r="L325" s="786" t="s">
        <v>281</v>
      </c>
      <c r="M325" s="789">
        <f>E325</f>
        <v>437.5</v>
      </c>
      <c r="N325" s="789" t="s">
        <v>2460</v>
      </c>
      <c r="O325" s="789"/>
      <c r="T325" s="790">
        <v>52377.5</v>
      </c>
      <c r="V325" s="790" t="s">
        <v>281</v>
      </c>
      <c r="W325" s="790" t="s">
        <v>281</v>
      </c>
      <c r="X325" s="790" t="s">
        <v>281</v>
      </c>
      <c r="Y325" s="790" t="s">
        <v>281</v>
      </c>
      <c r="Z325" s="790" t="s">
        <v>281</v>
      </c>
    </row>
    <row r="326" spans="1:26" s="1231" customFormat="1" x14ac:dyDescent="0.2">
      <c r="A326" s="1232"/>
      <c r="B326" s="1232"/>
      <c r="C326" s="1232"/>
      <c r="D326" s="1233" t="s">
        <v>743</v>
      </c>
      <c r="E326" s="1234"/>
      <c r="F326" s="1235" t="s">
        <v>281</v>
      </c>
      <c r="G326" s="1235" t="s">
        <v>281</v>
      </c>
      <c r="H326" s="1234"/>
      <c r="I326" s="1234"/>
      <c r="J326" s="1236" t="s">
        <v>281</v>
      </c>
      <c r="K326" s="1235" t="s">
        <v>281</v>
      </c>
      <c r="L326" s="1235" t="s">
        <v>281</v>
      </c>
      <c r="M326" s="1237"/>
      <c r="N326" s="1237"/>
      <c r="O326" s="1237"/>
    </row>
    <row r="327" spans="1:26" s="1231" customFormat="1" x14ac:dyDescent="0.2">
      <c r="A327" s="1238"/>
      <c r="B327" s="1238"/>
      <c r="C327" s="1238"/>
      <c r="D327" s="1239" t="s">
        <v>792</v>
      </c>
      <c r="E327" s="1238"/>
      <c r="F327" s="1238"/>
      <c r="G327" s="1238"/>
      <c r="H327" s="1238"/>
      <c r="I327" s="1238"/>
      <c r="J327" s="1238"/>
      <c r="K327" s="1238"/>
      <c r="L327" s="1238"/>
      <c r="M327" s="1237"/>
      <c r="N327" s="1237"/>
      <c r="O327" s="1237"/>
    </row>
    <row r="328" spans="1:26" s="1231" customFormat="1" x14ac:dyDescent="0.2">
      <c r="A328" s="1238"/>
      <c r="B328" s="1238"/>
      <c r="C328" s="1238"/>
      <c r="D328" s="1240" t="s">
        <v>715</v>
      </c>
      <c r="E328" s="1241"/>
      <c r="F328" s="1241"/>
      <c r="G328" s="1241"/>
      <c r="H328" s="1242">
        <v>52377.5</v>
      </c>
      <c r="I328" s="1238"/>
      <c r="J328" s="1238"/>
      <c r="K328" s="1238"/>
      <c r="L328" s="1238"/>
      <c r="M328" s="1237"/>
      <c r="N328" s="1237"/>
      <c r="O328" s="1237"/>
    </row>
    <row r="329" spans="1:26" s="790" customFormat="1" ht="30.6" x14ac:dyDescent="0.2">
      <c r="A329" s="784">
        <v>57</v>
      </c>
      <c r="B329" s="784">
        <v>57</v>
      </c>
      <c r="C329" s="784" t="s">
        <v>893</v>
      </c>
      <c r="D329" s="784" t="s">
        <v>894</v>
      </c>
      <c r="E329" s="785">
        <v>437.5</v>
      </c>
      <c r="F329" s="786">
        <v>10.4</v>
      </c>
      <c r="G329" s="786" t="s">
        <v>281</v>
      </c>
      <c r="H329" s="787">
        <v>60243.75</v>
      </c>
      <c r="I329" s="787" t="s">
        <v>281</v>
      </c>
      <c r="J329" s="787" t="s">
        <v>281</v>
      </c>
      <c r="K329" s="786" t="s">
        <v>281</v>
      </c>
      <c r="L329" s="786" t="s">
        <v>281</v>
      </c>
      <c r="M329" s="789">
        <f>E329</f>
        <v>437.5</v>
      </c>
      <c r="N329" s="789" t="s">
        <v>2460</v>
      </c>
      <c r="O329" s="789"/>
      <c r="T329" s="790">
        <v>60243.75</v>
      </c>
      <c r="V329" s="790" t="s">
        <v>281</v>
      </c>
      <c r="W329" s="790" t="s">
        <v>281</v>
      </c>
      <c r="X329" s="790" t="s">
        <v>281</v>
      </c>
      <c r="Y329" s="790" t="s">
        <v>281</v>
      </c>
      <c r="Z329" s="790" t="s">
        <v>281</v>
      </c>
    </row>
    <row r="330" spans="1:26" s="1231" customFormat="1" x14ac:dyDescent="0.2">
      <c r="A330" s="1232"/>
      <c r="B330" s="1232"/>
      <c r="C330" s="1232"/>
      <c r="D330" s="1233" t="s">
        <v>743</v>
      </c>
      <c r="E330" s="1234"/>
      <c r="F330" s="1235" t="s">
        <v>281</v>
      </c>
      <c r="G330" s="1235" t="s">
        <v>281</v>
      </c>
      <c r="H330" s="1234"/>
      <c r="I330" s="1234"/>
      <c r="J330" s="1236" t="s">
        <v>281</v>
      </c>
      <c r="K330" s="1235" t="s">
        <v>281</v>
      </c>
      <c r="L330" s="1235" t="s">
        <v>281</v>
      </c>
      <c r="M330" s="1237"/>
      <c r="N330" s="1237"/>
      <c r="O330" s="1237"/>
    </row>
    <row r="331" spans="1:26" s="1231" customFormat="1" x14ac:dyDescent="0.2">
      <c r="A331" s="1238"/>
      <c r="B331" s="1238"/>
      <c r="C331" s="1238"/>
      <c r="D331" s="1239" t="s">
        <v>716</v>
      </c>
      <c r="E331" s="1238"/>
      <c r="F331" s="1238"/>
      <c r="G331" s="1238"/>
      <c r="H331" s="1238"/>
      <c r="I331" s="1238"/>
      <c r="J331" s="1238"/>
      <c r="K331" s="1238"/>
      <c r="L331" s="1238"/>
      <c r="M331" s="1237"/>
      <c r="N331" s="1237"/>
      <c r="O331" s="1237"/>
    </row>
    <row r="332" spans="1:26" s="1231" customFormat="1" x14ac:dyDescent="0.2">
      <c r="A332" s="1238"/>
      <c r="B332" s="1238"/>
      <c r="C332" s="1238"/>
      <c r="D332" s="1240" t="s">
        <v>715</v>
      </c>
      <c r="E332" s="1241"/>
      <c r="F332" s="1241"/>
      <c r="G332" s="1241"/>
      <c r="H332" s="1242">
        <v>60243.75</v>
      </c>
      <c r="I332" s="1238"/>
      <c r="J332" s="1238"/>
      <c r="K332" s="1238"/>
      <c r="L332" s="1238"/>
      <c r="M332" s="1237"/>
      <c r="N332" s="1237"/>
      <c r="O332" s="1237"/>
    </row>
    <row r="333" spans="1:26" s="790" customFormat="1" ht="30.6" x14ac:dyDescent="0.2">
      <c r="A333" s="784">
        <v>58</v>
      </c>
      <c r="B333" s="784">
        <v>58</v>
      </c>
      <c r="C333" s="784" t="s">
        <v>891</v>
      </c>
      <c r="D333" s="784" t="s">
        <v>892</v>
      </c>
      <c r="E333" s="785">
        <v>437.5</v>
      </c>
      <c r="F333" s="786">
        <v>10.4</v>
      </c>
      <c r="G333" s="786" t="s">
        <v>281</v>
      </c>
      <c r="H333" s="787">
        <v>60243.75</v>
      </c>
      <c r="I333" s="787" t="s">
        <v>281</v>
      </c>
      <c r="J333" s="787" t="s">
        <v>281</v>
      </c>
      <c r="K333" s="786" t="s">
        <v>281</v>
      </c>
      <c r="L333" s="786" t="s">
        <v>281</v>
      </c>
      <c r="M333" s="789">
        <f>E333</f>
        <v>437.5</v>
      </c>
      <c r="N333" s="789" t="s">
        <v>2460</v>
      </c>
      <c r="O333" s="789"/>
      <c r="T333" s="790">
        <v>60243.75</v>
      </c>
      <c r="V333" s="790" t="s">
        <v>281</v>
      </c>
      <c r="W333" s="790" t="s">
        <v>281</v>
      </c>
      <c r="X333" s="790" t="s">
        <v>281</v>
      </c>
      <c r="Y333" s="790" t="s">
        <v>281</v>
      </c>
      <c r="Z333" s="790" t="s">
        <v>281</v>
      </c>
    </row>
    <row r="334" spans="1:26" s="1231" customFormat="1" x14ac:dyDescent="0.2">
      <c r="A334" s="1232"/>
      <c r="B334" s="1232"/>
      <c r="C334" s="1232"/>
      <c r="D334" s="1233" t="s">
        <v>743</v>
      </c>
      <c r="E334" s="1234"/>
      <c r="F334" s="1235" t="s">
        <v>281</v>
      </c>
      <c r="G334" s="1235" t="s">
        <v>281</v>
      </c>
      <c r="H334" s="1234"/>
      <c r="I334" s="1234"/>
      <c r="J334" s="1236" t="s">
        <v>281</v>
      </c>
      <c r="K334" s="1235" t="s">
        <v>281</v>
      </c>
      <c r="L334" s="1235" t="s">
        <v>281</v>
      </c>
      <c r="M334" s="1237"/>
      <c r="N334" s="1237"/>
      <c r="O334" s="1237"/>
    </row>
    <row r="335" spans="1:26" s="1231" customFormat="1" x14ac:dyDescent="0.2">
      <c r="A335" s="1238"/>
      <c r="B335" s="1238"/>
      <c r="C335" s="1238"/>
      <c r="D335" s="1239" t="s">
        <v>716</v>
      </c>
      <c r="E335" s="1238"/>
      <c r="F335" s="1238"/>
      <c r="G335" s="1238"/>
      <c r="H335" s="1238"/>
      <c r="I335" s="1238"/>
      <c r="J335" s="1238"/>
      <c r="K335" s="1238"/>
      <c r="L335" s="1238"/>
      <c r="M335" s="1237"/>
      <c r="N335" s="1237"/>
      <c r="O335" s="1237"/>
    </row>
    <row r="336" spans="1:26" s="1231" customFormat="1" x14ac:dyDescent="0.2">
      <c r="A336" s="1238"/>
      <c r="B336" s="1238"/>
      <c r="C336" s="1238"/>
      <c r="D336" s="1240" t="s">
        <v>715</v>
      </c>
      <c r="E336" s="1241"/>
      <c r="F336" s="1241"/>
      <c r="G336" s="1241"/>
      <c r="H336" s="1242">
        <v>60243.75</v>
      </c>
      <c r="I336" s="1238"/>
      <c r="J336" s="1238"/>
      <c r="K336" s="1238"/>
      <c r="L336" s="1238"/>
      <c r="M336" s="1237"/>
      <c r="N336" s="1237"/>
      <c r="O336" s="1237"/>
    </row>
    <row r="337" spans="1:26" s="790" customFormat="1" ht="30.6" x14ac:dyDescent="0.2">
      <c r="A337" s="784">
        <v>59</v>
      </c>
      <c r="B337" s="784">
        <v>59</v>
      </c>
      <c r="C337" s="784" t="s">
        <v>744</v>
      </c>
      <c r="D337" s="784" t="s">
        <v>1512</v>
      </c>
      <c r="E337" s="785">
        <v>208.35</v>
      </c>
      <c r="F337" s="786">
        <v>162.37745100000001</v>
      </c>
      <c r="G337" s="786" t="s">
        <v>281</v>
      </c>
      <c r="H337" s="787">
        <v>276063.75</v>
      </c>
      <c r="I337" s="787" t="s">
        <v>281</v>
      </c>
      <c r="J337" s="787" t="s">
        <v>281</v>
      </c>
      <c r="K337" s="786" t="s">
        <v>281</v>
      </c>
      <c r="L337" s="786" t="s">
        <v>281</v>
      </c>
      <c r="M337" s="789">
        <f>E337</f>
        <v>208.35</v>
      </c>
      <c r="N337" s="789" t="s">
        <v>2461</v>
      </c>
      <c r="O337" s="789"/>
      <c r="T337" s="790">
        <v>276063.75</v>
      </c>
      <c r="V337" s="790" t="s">
        <v>281</v>
      </c>
      <c r="W337" s="790" t="s">
        <v>281</v>
      </c>
      <c r="X337" s="790" t="s">
        <v>281</v>
      </c>
      <c r="Y337" s="790" t="s">
        <v>281</v>
      </c>
      <c r="Z337" s="790" t="s">
        <v>281</v>
      </c>
    </row>
    <row r="338" spans="1:26" x14ac:dyDescent="0.2">
      <c r="A338" s="407"/>
      <c r="B338" s="407"/>
      <c r="C338" s="407"/>
      <c r="D338" s="408" t="s">
        <v>745</v>
      </c>
      <c r="E338" s="409"/>
      <c r="F338" s="410" t="s">
        <v>281</v>
      </c>
      <c r="G338" s="410" t="s">
        <v>281</v>
      </c>
      <c r="H338" s="409"/>
      <c r="I338" s="409"/>
      <c r="J338" s="411" t="s">
        <v>281</v>
      </c>
      <c r="K338" s="410" t="s">
        <v>281</v>
      </c>
      <c r="L338" s="410" t="s">
        <v>281</v>
      </c>
    </row>
    <row r="339" spans="1:26" ht="20.399999999999999" x14ac:dyDescent="0.2">
      <c r="A339" s="412"/>
      <c r="B339" s="412"/>
      <c r="C339" s="412"/>
      <c r="D339" s="395" t="s">
        <v>714</v>
      </c>
      <c r="E339" s="412"/>
      <c r="F339" s="412"/>
      <c r="G339" s="412"/>
      <c r="H339" s="412"/>
      <c r="I339" s="412"/>
      <c r="J339" s="412"/>
      <c r="K339" s="412"/>
      <c r="L339" s="412"/>
    </row>
    <row r="340" spans="1:26" x14ac:dyDescent="0.2">
      <c r="A340" s="412"/>
      <c r="B340" s="412"/>
      <c r="C340" s="412"/>
      <c r="D340" s="416" t="s">
        <v>715</v>
      </c>
      <c r="E340" s="417"/>
      <c r="F340" s="417"/>
      <c r="G340" s="417"/>
      <c r="H340" s="418">
        <v>276063.75</v>
      </c>
      <c r="I340" s="412"/>
      <c r="J340" s="412"/>
      <c r="K340" s="412"/>
      <c r="L340" s="412"/>
    </row>
    <row r="341" spans="1:26" s="790" customFormat="1" ht="20.399999999999999" x14ac:dyDescent="0.2">
      <c r="A341" s="784">
        <v>60</v>
      </c>
      <c r="B341" s="784">
        <v>60</v>
      </c>
      <c r="C341" s="784" t="s">
        <v>895</v>
      </c>
      <c r="D341" s="784" t="s">
        <v>807</v>
      </c>
      <c r="E341" s="785">
        <v>179.99</v>
      </c>
      <c r="F341" s="786">
        <v>140.94399999999999</v>
      </c>
      <c r="G341" s="786">
        <v>68.597499999999997</v>
      </c>
      <c r="H341" s="787">
        <v>746450.93</v>
      </c>
      <c r="I341" s="787">
        <v>582978.61</v>
      </c>
      <c r="J341" s="787">
        <v>163472.32000000001</v>
      </c>
      <c r="K341" s="786">
        <v>8.1649999999999991</v>
      </c>
      <c r="L341" s="786">
        <v>1469.61835</v>
      </c>
      <c r="M341" s="789">
        <f>44.54+49.35+86.1</f>
        <v>179.99</v>
      </c>
      <c r="N341" s="789" t="s">
        <v>2430</v>
      </c>
      <c r="O341" s="789"/>
      <c r="T341" s="790">
        <v>1580110.35</v>
      </c>
      <c r="V341" s="790">
        <v>582978.61</v>
      </c>
      <c r="W341" s="790">
        <v>163472.32000000001</v>
      </c>
      <c r="X341" s="790" t="s">
        <v>281</v>
      </c>
      <c r="Y341" s="790">
        <v>1469.61835</v>
      </c>
      <c r="Z341" s="790" t="s">
        <v>281</v>
      </c>
    </row>
    <row r="342" spans="1:26" x14ac:dyDescent="0.2">
      <c r="A342" s="407"/>
      <c r="B342" s="407"/>
      <c r="C342" s="407"/>
      <c r="D342" s="408" t="s">
        <v>745</v>
      </c>
      <c r="E342" s="409"/>
      <c r="F342" s="410">
        <v>72.346500000000006</v>
      </c>
      <c r="G342" s="410" t="s">
        <v>281</v>
      </c>
      <c r="H342" s="409"/>
      <c r="I342" s="409"/>
      <c r="J342" s="411" t="s">
        <v>281</v>
      </c>
      <c r="K342" s="410" t="s">
        <v>281</v>
      </c>
      <c r="L342" s="410" t="s">
        <v>281</v>
      </c>
    </row>
    <row r="343" spans="1:26" ht="20.399999999999999" x14ac:dyDescent="0.2">
      <c r="A343" s="412"/>
      <c r="B343" s="412"/>
      <c r="C343" s="412"/>
      <c r="D343" s="395" t="s">
        <v>714</v>
      </c>
      <c r="E343" s="412"/>
      <c r="F343" s="412"/>
      <c r="G343" s="412"/>
      <c r="H343" s="412"/>
      <c r="I343" s="412"/>
      <c r="J343" s="412"/>
      <c r="K343" s="412"/>
      <c r="L343" s="412"/>
    </row>
    <row r="344" spans="1:26" ht="20.399999999999999" x14ac:dyDescent="0.2">
      <c r="A344" s="412"/>
      <c r="B344" s="412"/>
      <c r="C344" s="412"/>
      <c r="D344" s="395" t="s">
        <v>736</v>
      </c>
      <c r="E344" s="412"/>
      <c r="F344" s="412"/>
      <c r="G344" s="412"/>
      <c r="H344" s="412"/>
      <c r="I344" s="412"/>
      <c r="J344" s="412"/>
      <c r="K344" s="412"/>
      <c r="L344" s="412"/>
    </row>
    <row r="345" spans="1:26" ht="81.599999999999994" x14ac:dyDescent="0.2">
      <c r="A345" s="412"/>
      <c r="B345" s="412"/>
      <c r="C345" s="412"/>
      <c r="D345" s="395" t="s">
        <v>737</v>
      </c>
      <c r="E345" s="412"/>
      <c r="F345" s="412"/>
      <c r="G345" s="412"/>
      <c r="H345" s="412"/>
      <c r="I345" s="412"/>
      <c r="J345" s="412"/>
      <c r="K345" s="412"/>
      <c r="L345" s="412"/>
    </row>
    <row r="346" spans="1:26" x14ac:dyDescent="0.2">
      <c r="A346" s="412"/>
      <c r="B346" s="412"/>
      <c r="C346" s="412"/>
      <c r="D346" s="413" t="s">
        <v>206</v>
      </c>
      <c r="E346" s="414" t="s">
        <v>758</v>
      </c>
      <c r="F346" s="414"/>
      <c r="G346" s="414"/>
      <c r="H346" s="415">
        <v>530510.54</v>
      </c>
      <c r="I346" s="412"/>
      <c r="J346" s="412"/>
      <c r="K346" s="412"/>
      <c r="L346" s="412"/>
    </row>
    <row r="347" spans="1:26" x14ac:dyDescent="0.2">
      <c r="A347" s="412"/>
      <c r="B347" s="412"/>
      <c r="C347" s="412"/>
      <c r="D347" s="413" t="s">
        <v>207</v>
      </c>
      <c r="E347" s="414" t="s">
        <v>759</v>
      </c>
      <c r="F347" s="414"/>
      <c r="G347" s="414"/>
      <c r="H347" s="415">
        <v>303148.88</v>
      </c>
      <c r="I347" s="412"/>
      <c r="J347" s="412"/>
      <c r="K347" s="412"/>
      <c r="L347" s="412"/>
    </row>
    <row r="348" spans="1:26" x14ac:dyDescent="0.2">
      <c r="A348" s="412"/>
      <c r="B348" s="412"/>
      <c r="C348" s="412"/>
      <c r="D348" s="416" t="s">
        <v>715</v>
      </c>
      <c r="E348" s="417"/>
      <c r="F348" s="417"/>
      <c r="G348" s="417"/>
      <c r="H348" s="418">
        <v>1580110.35</v>
      </c>
      <c r="I348" s="412"/>
      <c r="J348" s="412"/>
      <c r="K348" s="412"/>
      <c r="L348" s="412"/>
    </row>
    <row r="349" spans="1:26" s="790" customFormat="1" ht="30.6" x14ac:dyDescent="0.2">
      <c r="A349" s="784">
        <v>61</v>
      </c>
      <c r="B349" s="784">
        <v>61</v>
      </c>
      <c r="C349" s="784" t="s">
        <v>753</v>
      </c>
      <c r="D349" s="784" t="s">
        <v>754</v>
      </c>
      <c r="E349" s="785">
        <v>265.45999999999998</v>
      </c>
      <c r="F349" s="786">
        <v>3.28</v>
      </c>
      <c r="G349" s="786">
        <v>3.28</v>
      </c>
      <c r="H349" s="787">
        <v>11528.93</v>
      </c>
      <c r="I349" s="787" t="s">
        <v>281</v>
      </c>
      <c r="J349" s="787">
        <v>11528.93</v>
      </c>
      <c r="K349" s="786" t="s">
        <v>281</v>
      </c>
      <c r="L349" s="786" t="s">
        <v>281</v>
      </c>
      <c r="M349" s="789">
        <f>E349</f>
        <v>265.45999999999998</v>
      </c>
      <c r="N349" s="789" t="s">
        <v>2456</v>
      </c>
      <c r="O349" s="789"/>
      <c r="T349" s="790">
        <v>11528.93</v>
      </c>
      <c r="V349" s="790" t="s">
        <v>281</v>
      </c>
      <c r="W349" s="790">
        <v>11528.93</v>
      </c>
      <c r="X349" s="790" t="s">
        <v>281</v>
      </c>
      <c r="Y349" s="790" t="s">
        <v>281</v>
      </c>
      <c r="Z349" s="790" t="s">
        <v>281</v>
      </c>
    </row>
    <row r="350" spans="1:26" s="1231" customFormat="1" x14ac:dyDescent="0.2">
      <c r="A350" s="1232"/>
      <c r="B350" s="1232"/>
      <c r="C350" s="1232"/>
      <c r="D350" s="1233" t="s">
        <v>743</v>
      </c>
      <c r="E350" s="1234"/>
      <c r="F350" s="1235" t="s">
        <v>281</v>
      </c>
      <c r="G350" s="1235" t="s">
        <v>281</v>
      </c>
      <c r="H350" s="1234"/>
      <c r="I350" s="1234"/>
      <c r="J350" s="1236" t="s">
        <v>281</v>
      </c>
      <c r="K350" s="1235" t="s">
        <v>281</v>
      </c>
      <c r="L350" s="1235" t="s">
        <v>281</v>
      </c>
      <c r="M350" s="1237"/>
      <c r="N350" s="1237"/>
      <c r="O350" s="1237"/>
    </row>
    <row r="351" spans="1:26" s="1231" customFormat="1" x14ac:dyDescent="0.2">
      <c r="A351" s="1238"/>
      <c r="B351" s="1238"/>
      <c r="C351" s="1238"/>
      <c r="D351" s="1239" t="s">
        <v>716</v>
      </c>
      <c r="E351" s="1238"/>
      <c r="F351" s="1238"/>
      <c r="G351" s="1238"/>
      <c r="H351" s="1238"/>
      <c r="I351" s="1238"/>
      <c r="J351" s="1238"/>
      <c r="K351" s="1238"/>
      <c r="L351" s="1238"/>
      <c r="M351" s="1237"/>
      <c r="N351" s="1237"/>
      <c r="O351" s="1237"/>
    </row>
    <row r="352" spans="1:26" s="1231" customFormat="1" x14ac:dyDescent="0.2">
      <c r="A352" s="1238"/>
      <c r="B352" s="1238"/>
      <c r="C352" s="1238"/>
      <c r="D352" s="1240" t="s">
        <v>715</v>
      </c>
      <c r="E352" s="1241"/>
      <c r="F352" s="1241"/>
      <c r="G352" s="1241"/>
      <c r="H352" s="1242">
        <v>11528.93</v>
      </c>
      <c r="I352" s="1238"/>
      <c r="J352" s="1238"/>
      <c r="K352" s="1238"/>
      <c r="L352" s="1238"/>
      <c r="M352" s="1237"/>
      <c r="N352" s="1237"/>
      <c r="O352" s="1237"/>
    </row>
    <row r="353" spans="1:26" s="790" customFormat="1" ht="20.399999999999999" x14ac:dyDescent="0.2">
      <c r="A353" s="784">
        <v>62</v>
      </c>
      <c r="B353" s="784">
        <v>62</v>
      </c>
      <c r="C353" s="784" t="s">
        <v>755</v>
      </c>
      <c r="D353" s="784" t="s">
        <v>834</v>
      </c>
      <c r="E353" s="785">
        <v>66.36</v>
      </c>
      <c r="F353" s="786">
        <v>42.98</v>
      </c>
      <c r="G353" s="786">
        <v>42.98</v>
      </c>
      <c r="H353" s="787">
        <v>37762.82</v>
      </c>
      <c r="I353" s="787" t="s">
        <v>281</v>
      </c>
      <c r="J353" s="787">
        <v>37762.82</v>
      </c>
      <c r="K353" s="786" t="s">
        <v>281</v>
      </c>
      <c r="L353" s="786" t="s">
        <v>281</v>
      </c>
      <c r="M353" s="789">
        <f>E353</f>
        <v>66.36</v>
      </c>
      <c r="N353" s="789" t="s">
        <v>2456</v>
      </c>
      <c r="O353" s="789"/>
      <c r="T353" s="790">
        <v>37762.82</v>
      </c>
      <c r="V353" s="790" t="s">
        <v>281</v>
      </c>
      <c r="W353" s="790">
        <v>37762.82</v>
      </c>
      <c r="X353" s="790" t="s">
        <v>281</v>
      </c>
      <c r="Y353" s="790" t="s">
        <v>281</v>
      </c>
      <c r="Z353" s="790" t="s">
        <v>281</v>
      </c>
    </row>
    <row r="354" spans="1:26" s="1231" customFormat="1" x14ac:dyDescent="0.2">
      <c r="A354" s="1232"/>
      <c r="B354" s="1232"/>
      <c r="C354" s="1232"/>
      <c r="D354" s="1233" t="s">
        <v>743</v>
      </c>
      <c r="E354" s="1234"/>
      <c r="F354" s="1235" t="s">
        <v>281</v>
      </c>
      <c r="G354" s="1235" t="s">
        <v>281</v>
      </c>
      <c r="H354" s="1234"/>
      <c r="I354" s="1234"/>
      <c r="J354" s="1236" t="s">
        <v>281</v>
      </c>
      <c r="K354" s="1235" t="s">
        <v>281</v>
      </c>
      <c r="L354" s="1235" t="s">
        <v>281</v>
      </c>
      <c r="M354" s="1237"/>
      <c r="N354" s="1237"/>
      <c r="O354" s="1237"/>
    </row>
    <row r="355" spans="1:26" s="1231" customFormat="1" x14ac:dyDescent="0.2">
      <c r="A355" s="1238"/>
      <c r="B355" s="1238"/>
      <c r="C355" s="1238"/>
      <c r="D355" s="1239" t="s">
        <v>716</v>
      </c>
      <c r="E355" s="1238"/>
      <c r="F355" s="1238"/>
      <c r="G355" s="1238"/>
      <c r="H355" s="1238"/>
      <c r="I355" s="1238"/>
      <c r="J355" s="1238"/>
      <c r="K355" s="1238"/>
      <c r="L355" s="1238"/>
      <c r="M355" s="1237"/>
      <c r="N355" s="1237"/>
      <c r="O355" s="1237"/>
    </row>
    <row r="356" spans="1:26" s="1231" customFormat="1" x14ac:dyDescent="0.2">
      <c r="A356" s="1238"/>
      <c r="B356" s="1238"/>
      <c r="C356" s="1238"/>
      <c r="D356" s="1240" t="s">
        <v>715</v>
      </c>
      <c r="E356" s="1241"/>
      <c r="F356" s="1241"/>
      <c r="G356" s="1241"/>
      <c r="H356" s="1242">
        <v>37762.82</v>
      </c>
      <c r="I356" s="1238"/>
      <c r="J356" s="1238"/>
      <c r="K356" s="1238"/>
      <c r="L356" s="1238"/>
      <c r="M356" s="1237"/>
      <c r="N356" s="1237"/>
      <c r="O356" s="1237"/>
    </row>
    <row r="357" spans="1:26" s="790" customFormat="1" ht="40.799999999999997" x14ac:dyDescent="0.2">
      <c r="A357" s="784">
        <v>63</v>
      </c>
      <c r="B357" s="784">
        <v>63</v>
      </c>
      <c r="C357" s="784" t="s">
        <v>744</v>
      </c>
      <c r="D357" s="784" t="s">
        <v>717</v>
      </c>
      <c r="E357" s="785">
        <v>179.99</v>
      </c>
      <c r="F357" s="786">
        <v>162.38</v>
      </c>
      <c r="G357" s="786" t="s">
        <v>281</v>
      </c>
      <c r="H357" s="787">
        <v>238490.35</v>
      </c>
      <c r="I357" s="787" t="s">
        <v>281</v>
      </c>
      <c r="J357" s="787" t="s">
        <v>281</v>
      </c>
      <c r="K357" s="786" t="s">
        <v>281</v>
      </c>
      <c r="L357" s="786" t="s">
        <v>281</v>
      </c>
      <c r="M357" s="789">
        <f>E357</f>
        <v>179.99</v>
      </c>
      <c r="N357" s="789" t="s">
        <v>2459</v>
      </c>
      <c r="O357" s="789"/>
      <c r="T357" s="790">
        <v>238490.35</v>
      </c>
      <c r="V357" s="790" t="s">
        <v>281</v>
      </c>
      <c r="W357" s="790" t="s">
        <v>281</v>
      </c>
      <c r="X357" s="790" t="s">
        <v>281</v>
      </c>
      <c r="Y357" s="790" t="s">
        <v>281</v>
      </c>
      <c r="Z357" s="790" t="s">
        <v>281</v>
      </c>
    </row>
    <row r="358" spans="1:26" x14ac:dyDescent="0.2">
      <c r="A358" s="407"/>
      <c r="B358" s="407"/>
      <c r="C358" s="407"/>
      <c r="D358" s="408" t="s">
        <v>745</v>
      </c>
      <c r="E358" s="409"/>
      <c r="F358" s="410" t="s">
        <v>281</v>
      </c>
      <c r="G358" s="410" t="s">
        <v>281</v>
      </c>
      <c r="H358" s="409"/>
      <c r="I358" s="409"/>
      <c r="J358" s="411" t="s">
        <v>281</v>
      </c>
      <c r="K358" s="410" t="s">
        <v>281</v>
      </c>
      <c r="L358" s="410" t="s">
        <v>281</v>
      </c>
    </row>
    <row r="359" spans="1:26" x14ac:dyDescent="0.2">
      <c r="A359" s="412"/>
      <c r="B359" s="412"/>
      <c r="C359" s="412"/>
      <c r="D359" s="395" t="s">
        <v>718</v>
      </c>
      <c r="E359" s="412"/>
      <c r="F359" s="412"/>
      <c r="G359" s="412"/>
      <c r="H359" s="412"/>
      <c r="I359" s="412"/>
      <c r="J359" s="412"/>
      <c r="K359" s="412"/>
      <c r="L359" s="412"/>
    </row>
    <row r="360" spans="1:26" s="790" customFormat="1" ht="30.6" x14ac:dyDescent="0.2">
      <c r="A360" s="784">
        <v>64</v>
      </c>
      <c r="B360" s="784">
        <v>64</v>
      </c>
      <c r="C360" s="784" t="s">
        <v>896</v>
      </c>
      <c r="D360" s="784" t="s">
        <v>808</v>
      </c>
      <c r="E360" s="785">
        <v>0.25</v>
      </c>
      <c r="F360" s="786">
        <v>1593.8034</v>
      </c>
      <c r="G360" s="786">
        <v>834.77695000000006</v>
      </c>
      <c r="H360" s="787">
        <v>11258.51</v>
      </c>
      <c r="I360" s="787">
        <v>8495.4</v>
      </c>
      <c r="J360" s="787">
        <v>2763.11</v>
      </c>
      <c r="K360" s="786">
        <v>74.341750000000005</v>
      </c>
      <c r="L360" s="786">
        <v>18.585438</v>
      </c>
      <c r="M360" s="789">
        <v>0.25</v>
      </c>
      <c r="N360" s="789" t="s">
        <v>2430</v>
      </c>
      <c r="O360" s="789"/>
      <c r="T360" s="790">
        <v>25617.21</v>
      </c>
      <c r="V360" s="790">
        <v>8495.4</v>
      </c>
      <c r="W360" s="790">
        <v>2763.11</v>
      </c>
      <c r="X360" s="790">
        <v>768.28</v>
      </c>
      <c r="Y360" s="790">
        <v>18.585438</v>
      </c>
      <c r="Z360" s="790">
        <v>1.2014629999999999</v>
      </c>
    </row>
    <row r="361" spans="1:26" x14ac:dyDescent="0.2">
      <c r="A361" s="407"/>
      <c r="B361" s="407"/>
      <c r="C361" s="407"/>
      <c r="D361" s="408" t="s">
        <v>224</v>
      </c>
      <c r="E361" s="409"/>
      <c r="F361" s="410">
        <v>759.02644999999995</v>
      </c>
      <c r="G361" s="410">
        <v>68.642349999999993</v>
      </c>
      <c r="H361" s="409"/>
      <c r="I361" s="409"/>
      <c r="J361" s="411">
        <v>768.28</v>
      </c>
      <c r="K361" s="410">
        <v>4.8058500000000004</v>
      </c>
      <c r="L361" s="410">
        <v>1.2014629999999999</v>
      </c>
    </row>
    <row r="362" spans="1:26" ht="20.399999999999999" x14ac:dyDescent="0.2">
      <c r="A362" s="412"/>
      <c r="B362" s="412"/>
      <c r="C362" s="412"/>
      <c r="D362" s="395" t="s">
        <v>714</v>
      </c>
      <c r="E362" s="412"/>
      <c r="F362" s="412"/>
      <c r="G362" s="412"/>
      <c r="H362" s="412"/>
      <c r="I362" s="412"/>
      <c r="J362" s="412"/>
      <c r="K362" s="412"/>
      <c r="L362" s="412"/>
    </row>
    <row r="363" spans="1:26" ht="30.6" x14ac:dyDescent="0.2">
      <c r="A363" s="412"/>
      <c r="B363" s="412"/>
      <c r="C363" s="412"/>
      <c r="D363" s="395" t="s">
        <v>863</v>
      </c>
      <c r="E363" s="412"/>
      <c r="F363" s="412"/>
      <c r="G363" s="412"/>
      <c r="H363" s="412"/>
      <c r="I363" s="412"/>
      <c r="J363" s="412"/>
      <c r="K363" s="412"/>
      <c r="L363" s="412"/>
    </row>
    <row r="364" spans="1:26" ht="102" x14ac:dyDescent="0.2">
      <c r="A364" s="412"/>
      <c r="B364" s="412"/>
      <c r="C364" s="412"/>
      <c r="D364" s="395" t="s">
        <v>864</v>
      </c>
      <c r="E364" s="412"/>
      <c r="F364" s="412"/>
      <c r="G364" s="412"/>
      <c r="H364" s="412"/>
      <c r="I364" s="412"/>
      <c r="J364" s="412"/>
      <c r="K364" s="412"/>
      <c r="L364" s="412"/>
    </row>
    <row r="365" spans="1:26" x14ac:dyDescent="0.2">
      <c r="A365" s="412"/>
      <c r="B365" s="412"/>
      <c r="C365" s="412"/>
      <c r="D365" s="413" t="s">
        <v>206</v>
      </c>
      <c r="E365" s="414" t="s">
        <v>865</v>
      </c>
      <c r="F365" s="414"/>
      <c r="G365" s="414"/>
      <c r="H365" s="415">
        <v>8615.2199999999993</v>
      </c>
      <c r="I365" s="412"/>
      <c r="J365" s="412"/>
      <c r="K365" s="412"/>
      <c r="L365" s="412"/>
    </row>
    <row r="366" spans="1:26" x14ac:dyDescent="0.2">
      <c r="A366" s="412"/>
      <c r="B366" s="412"/>
      <c r="C366" s="412"/>
      <c r="D366" s="413" t="s">
        <v>207</v>
      </c>
      <c r="E366" s="414" t="s">
        <v>866</v>
      </c>
      <c r="F366" s="414"/>
      <c r="G366" s="414"/>
      <c r="H366" s="415">
        <v>5743.48</v>
      </c>
      <c r="I366" s="412"/>
      <c r="J366" s="412"/>
      <c r="K366" s="412"/>
      <c r="L366" s="412"/>
    </row>
    <row r="367" spans="1:26" x14ac:dyDescent="0.2">
      <c r="A367" s="412"/>
      <c r="B367" s="412"/>
      <c r="C367" s="412"/>
      <c r="D367" s="416" t="s">
        <v>715</v>
      </c>
      <c r="E367" s="417"/>
      <c r="F367" s="417"/>
      <c r="G367" s="417"/>
      <c r="H367" s="418">
        <v>25617.21</v>
      </c>
      <c r="I367" s="412"/>
      <c r="J367" s="412"/>
      <c r="K367" s="412"/>
      <c r="L367" s="412"/>
    </row>
    <row r="368" spans="1:26" s="790" customFormat="1" ht="30.6" x14ac:dyDescent="0.2">
      <c r="A368" s="784">
        <v>65</v>
      </c>
      <c r="B368" s="784">
        <v>65</v>
      </c>
      <c r="C368" s="784" t="s">
        <v>897</v>
      </c>
      <c r="D368" s="784" t="s">
        <v>809</v>
      </c>
      <c r="E368" s="785">
        <v>26</v>
      </c>
      <c r="F368" s="786">
        <v>30.767099999999999</v>
      </c>
      <c r="G368" s="786">
        <v>11.60005</v>
      </c>
      <c r="H368" s="787">
        <v>26303.94</v>
      </c>
      <c r="I368" s="787">
        <v>22310.86</v>
      </c>
      <c r="J368" s="787">
        <v>3993.08</v>
      </c>
      <c r="K368" s="786">
        <v>1.9319999999999999</v>
      </c>
      <c r="L368" s="786">
        <v>50.231999999999999</v>
      </c>
      <c r="M368" s="789">
        <v>26</v>
      </c>
      <c r="N368" s="789" t="s">
        <v>2429</v>
      </c>
      <c r="O368" s="789"/>
      <c r="T368" s="790">
        <v>63747.07</v>
      </c>
      <c r="V368" s="790">
        <v>22310.86</v>
      </c>
      <c r="W368" s="790">
        <v>3993.08</v>
      </c>
      <c r="X368" s="790">
        <v>1846</v>
      </c>
      <c r="Y368" s="790">
        <v>50.231999999999999</v>
      </c>
      <c r="Z368" s="790">
        <v>3.5581</v>
      </c>
    </row>
    <row r="369" spans="1:26" x14ac:dyDescent="0.2">
      <c r="A369" s="407"/>
      <c r="B369" s="407"/>
      <c r="C369" s="407"/>
      <c r="D369" s="408" t="s">
        <v>898</v>
      </c>
      <c r="E369" s="409"/>
      <c r="F369" s="410">
        <v>19.16705</v>
      </c>
      <c r="G369" s="410">
        <v>1.58585</v>
      </c>
      <c r="H369" s="409"/>
      <c r="I369" s="409"/>
      <c r="J369" s="411">
        <v>1846</v>
      </c>
      <c r="K369" s="410">
        <v>0.13685</v>
      </c>
      <c r="L369" s="410">
        <v>3.5581</v>
      </c>
    </row>
    <row r="370" spans="1:26" ht="20.399999999999999" x14ac:dyDescent="0.2">
      <c r="A370" s="412"/>
      <c r="B370" s="412"/>
      <c r="C370" s="412"/>
      <c r="D370" s="395" t="s">
        <v>714</v>
      </c>
      <c r="E370" s="412"/>
      <c r="F370" s="412"/>
      <c r="G370" s="412"/>
      <c r="H370" s="412"/>
      <c r="I370" s="412"/>
      <c r="J370" s="412"/>
      <c r="K370" s="412"/>
      <c r="L370" s="412"/>
    </row>
    <row r="371" spans="1:26" ht="30.6" x14ac:dyDescent="0.2">
      <c r="A371" s="412"/>
      <c r="B371" s="412"/>
      <c r="C371" s="412"/>
      <c r="D371" s="395" t="s">
        <v>863</v>
      </c>
      <c r="E371" s="412"/>
      <c r="F371" s="412"/>
      <c r="G371" s="412"/>
      <c r="H371" s="412"/>
      <c r="I371" s="412"/>
      <c r="J371" s="412"/>
      <c r="K371" s="412"/>
      <c r="L371" s="412"/>
    </row>
    <row r="372" spans="1:26" ht="102" x14ac:dyDescent="0.2">
      <c r="A372" s="412"/>
      <c r="B372" s="412"/>
      <c r="C372" s="412"/>
      <c r="D372" s="395" t="s">
        <v>864</v>
      </c>
      <c r="E372" s="412"/>
      <c r="F372" s="412"/>
      <c r="G372" s="412"/>
      <c r="H372" s="412"/>
      <c r="I372" s="412"/>
      <c r="J372" s="412"/>
      <c r="K372" s="412"/>
      <c r="L372" s="412"/>
    </row>
    <row r="373" spans="1:26" x14ac:dyDescent="0.2">
      <c r="A373" s="412"/>
      <c r="B373" s="412"/>
      <c r="C373" s="412"/>
      <c r="D373" s="413" t="s">
        <v>206</v>
      </c>
      <c r="E373" s="414" t="s">
        <v>865</v>
      </c>
      <c r="F373" s="414"/>
      <c r="G373" s="414"/>
      <c r="H373" s="415">
        <v>22465.88</v>
      </c>
      <c r="I373" s="412"/>
      <c r="J373" s="412"/>
      <c r="K373" s="412"/>
      <c r="L373" s="412"/>
    </row>
    <row r="374" spans="1:26" x14ac:dyDescent="0.2">
      <c r="A374" s="412"/>
      <c r="B374" s="412"/>
      <c r="C374" s="412"/>
      <c r="D374" s="413" t="s">
        <v>207</v>
      </c>
      <c r="E374" s="414" t="s">
        <v>866</v>
      </c>
      <c r="F374" s="414"/>
      <c r="G374" s="414"/>
      <c r="H374" s="415">
        <v>14977.25</v>
      </c>
      <c r="I374" s="412"/>
      <c r="J374" s="412"/>
      <c r="K374" s="412"/>
      <c r="L374" s="412"/>
    </row>
    <row r="375" spans="1:26" x14ac:dyDescent="0.2">
      <c r="A375" s="412"/>
      <c r="B375" s="412"/>
      <c r="C375" s="412"/>
      <c r="D375" s="416" t="s">
        <v>715</v>
      </c>
      <c r="E375" s="417"/>
      <c r="F375" s="417"/>
      <c r="G375" s="417"/>
      <c r="H375" s="418">
        <v>63747.07</v>
      </c>
      <c r="I375" s="412"/>
      <c r="J375" s="412"/>
      <c r="K375" s="412"/>
      <c r="L375" s="412"/>
    </row>
    <row r="376" spans="1:26" s="790" customFormat="1" ht="20.399999999999999" x14ac:dyDescent="0.2">
      <c r="A376" s="784">
        <v>66</v>
      </c>
      <c r="B376" s="784">
        <v>66</v>
      </c>
      <c r="C376" s="784" t="s">
        <v>899</v>
      </c>
      <c r="D376" s="784" t="s">
        <v>810</v>
      </c>
      <c r="E376" s="785">
        <v>1.9</v>
      </c>
      <c r="F376" s="786">
        <v>91.355999999999995</v>
      </c>
      <c r="G376" s="786">
        <v>14.398</v>
      </c>
      <c r="H376" s="787">
        <v>6908.48</v>
      </c>
      <c r="I376" s="787">
        <v>6546.28</v>
      </c>
      <c r="J376" s="787">
        <v>362.2</v>
      </c>
      <c r="K376" s="786">
        <v>9.8670000000000009</v>
      </c>
      <c r="L376" s="786">
        <v>18.747299999999999</v>
      </c>
      <c r="M376" s="789">
        <v>1.9</v>
      </c>
      <c r="N376" s="789" t="s">
        <v>2431</v>
      </c>
      <c r="O376" s="789"/>
      <c r="T376" s="790">
        <v>16269.66</v>
      </c>
      <c r="V376" s="790">
        <v>6546.28</v>
      </c>
      <c r="W376" s="790">
        <v>362.2</v>
      </c>
      <c r="X376" s="790" t="s">
        <v>281</v>
      </c>
      <c r="Y376" s="790">
        <v>18.747299999999999</v>
      </c>
      <c r="Z376" s="790" t="s">
        <v>281</v>
      </c>
    </row>
    <row r="377" spans="1:26" x14ac:dyDescent="0.2">
      <c r="A377" s="407"/>
      <c r="B377" s="407"/>
      <c r="C377" s="407"/>
      <c r="D377" s="408" t="s">
        <v>831</v>
      </c>
      <c r="E377" s="409"/>
      <c r="F377" s="410">
        <v>76.957999999999998</v>
      </c>
      <c r="G377" s="410" t="s">
        <v>281</v>
      </c>
      <c r="H377" s="409"/>
      <c r="I377" s="409"/>
      <c r="J377" s="411" t="s">
        <v>281</v>
      </c>
      <c r="K377" s="410" t="s">
        <v>281</v>
      </c>
      <c r="L377" s="410" t="s">
        <v>281</v>
      </c>
    </row>
    <row r="378" spans="1:26" ht="20.399999999999999" x14ac:dyDescent="0.2">
      <c r="A378" s="412"/>
      <c r="B378" s="412"/>
      <c r="C378" s="412"/>
      <c r="D378" s="395" t="s">
        <v>714</v>
      </c>
      <c r="E378" s="412"/>
      <c r="F378" s="412"/>
      <c r="G378" s="412"/>
      <c r="H378" s="412"/>
      <c r="I378" s="412"/>
      <c r="J378" s="412"/>
      <c r="K378" s="412"/>
      <c r="L378" s="412"/>
    </row>
    <row r="379" spans="1:26" ht="20.399999999999999" x14ac:dyDescent="0.2">
      <c r="A379" s="412"/>
      <c r="B379" s="412"/>
      <c r="C379" s="412"/>
      <c r="D379" s="395" t="s">
        <v>736</v>
      </c>
      <c r="E379" s="412"/>
      <c r="F379" s="412"/>
      <c r="G379" s="412"/>
      <c r="H379" s="412"/>
      <c r="I379" s="412"/>
      <c r="J379" s="412"/>
      <c r="K379" s="412"/>
      <c r="L379" s="412"/>
    </row>
    <row r="380" spans="1:26" ht="81.599999999999994" x14ac:dyDescent="0.2">
      <c r="A380" s="412"/>
      <c r="B380" s="412"/>
      <c r="C380" s="412"/>
      <c r="D380" s="395" t="s">
        <v>737</v>
      </c>
      <c r="E380" s="412"/>
      <c r="F380" s="412"/>
      <c r="G380" s="412"/>
      <c r="H380" s="412"/>
      <c r="I380" s="412"/>
      <c r="J380" s="412"/>
      <c r="K380" s="412"/>
      <c r="L380" s="412"/>
    </row>
    <row r="381" spans="1:26" x14ac:dyDescent="0.2">
      <c r="A381" s="412"/>
      <c r="B381" s="412"/>
      <c r="C381" s="412"/>
      <c r="D381" s="413" t="s">
        <v>206</v>
      </c>
      <c r="E381" s="414" t="s">
        <v>758</v>
      </c>
      <c r="F381" s="414"/>
      <c r="G381" s="414"/>
      <c r="H381" s="415">
        <v>5957.11</v>
      </c>
      <c r="I381" s="412"/>
      <c r="J381" s="412"/>
      <c r="K381" s="412"/>
      <c r="L381" s="412"/>
    </row>
    <row r="382" spans="1:26" x14ac:dyDescent="0.2">
      <c r="A382" s="412"/>
      <c r="B382" s="412"/>
      <c r="C382" s="412"/>
      <c r="D382" s="413" t="s">
        <v>207</v>
      </c>
      <c r="E382" s="414" t="s">
        <v>759</v>
      </c>
      <c r="F382" s="414"/>
      <c r="G382" s="414"/>
      <c r="H382" s="415">
        <v>3404.07</v>
      </c>
      <c r="I382" s="412"/>
      <c r="J382" s="412"/>
      <c r="K382" s="412"/>
      <c r="L382" s="412"/>
    </row>
    <row r="383" spans="1:26" x14ac:dyDescent="0.2">
      <c r="A383" s="412"/>
      <c r="B383" s="412"/>
      <c r="C383" s="412"/>
      <c r="D383" s="416" t="s">
        <v>715</v>
      </c>
      <c r="E383" s="417"/>
      <c r="F383" s="417"/>
      <c r="G383" s="417"/>
      <c r="H383" s="418">
        <v>16269.66</v>
      </c>
      <c r="I383" s="412"/>
      <c r="J383" s="412"/>
      <c r="K383" s="412"/>
      <c r="L383" s="412"/>
    </row>
    <row r="384" spans="1:26" s="790" customFormat="1" ht="30.6" x14ac:dyDescent="0.2">
      <c r="A384" s="784">
        <v>67</v>
      </c>
      <c r="B384" s="784">
        <v>67</v>
      </c>
      <c r="C384" s="784" t="s">
        <v>868</v>
      </c>
      <c r="D384" s="784" t="s">
        <v>869</v>
      </c>
      <c r="E384" s="785">
        <v>4.0999999999999996</v>
      </c>
      <c r="F384" s="786">
        <v>22.33</v>
      </c>
      <c r="G384" s="786" t="s">
        <v>281</v>
      </c>
      <c r="H384" s="787">
        <v>1212.17</v>
      </c>
      <c r="I384" s="787" t="s">
        <v>281</v>
      </c>
      <c r="J384" s="787" t="s">
        <v>281</v>
      </c>
      <c r="K384" s="786" t="s">
        <v>281</v>
      </c>
      <c r="L384" s="786" t="s">
        <v>281</v>
      </c>
      <c r="M384" s="789">
        <f>E384</f>
        <v>4.0999999999999996</v>
      </c>
      <c r="N384" s="789" t="s">
        <v>2455</v>
      </c>
      <c r="O384" s="789"/>
      <c r="T384" s="790">
        <v>1212.17</v>
      </c>
      <c r="V384" s="790" t="s">
        <v>281</v>
      </c>
      <c r="W384" s="790" t="s">
        <v>281</v>
      </c>
      <c r="X384" s="790" t="s">
        <v>281</v>
      </c>
      <c r="Y384" s="790" t="s">
        <v>281</v>
      </c>
      <c r="Z384" s="790" t="s">
        <v>281</v>
      </c>
    </row>
    <row r="385" spans="1:26" s="1231" customFormat="1" x14ac:dyDescent="0.2">
      <c r="A385" s="1232"/>
      <c r="B385" s="1232"/>
      <c r="C385" s="1232"/>
      <c r="D385" s="1233" t="s">
        <v>743</v>
      </c>
      <c r="E385" s="1234"/>
      <c r="F385" s="1235" t="s">
        <v>281</v>
      </c>
      <c r="G385" s="1235" t="s">
        <v>281</v>
      </c>
      <c r="H385" s="1234"/>
      <c r="I385" s="1234"/>
      <c r="J385" s="1236" t="s">
        <v>281</v>
      </c>
      <c r="K385" s="1235" t="s">
        <v>281</v>
      </c>
      <c r="L385" s="1235" t="s">
        <v>281</v>
      </c>
      <c r="M385" s="1237"/>
      <c r="N385" s="1237"/>
      <c r="O385" s="1237"/>
    </row>
    <row r="386" spans="1:26" s="1231" customFormat="1" x14ac:dyDescent="0.2">
      <c r="A386" s="1238"/>
      <c r="B386" s="1238"/>
      <c r="C386" s="1238"/>
      <c r="D386" s="1239" t="s">
        <v>716</v>
      </c>
      <c r="E386" s="1238"/>
      <c r="F386" s="1238"/>
      <c r="G386" s="1238"/>
      <c r="H386" s="1238"/>
      <c r="I386" s="1238"/>
      <c r="J386" s="1238"/>
      <c r="K386" s="1238"/>
      <c r="L386" s="1238"/>
      <c r="M386" s="1237"/>
      <c r="N386" s="1237"/>
      <c r="O386" s="1237"/>
    </row>
    <row r="387" spans="1:26" s="1231" customFormat="1" x14ac:dyDescent="0.2">
      <c r="A387" s="1238"/>
      <c r="B387" s="1238"/>
      <c r="C387" s="1238"/>
      <c r="D387" s="1240" t="s">
        <v>715</v>
      </c>
      <c r="E387" s="1241"/>
      <c r="F387" s="1241"/>
      <c r="G387" s="1241"/>
      <c r="H387" s="1242">
        <v>1212.17</v>
      </c>
      <c r="I387" s="1238"/>
      <c r="J387" s="1238"/>
      <c r="K387" s="1238"/>
      <c r="L387" s="1238"/>
      <c r="M387" s="1237"/>
      <c r="N387" s="1237"/>
      <c r="O387" s="1237"/>
    </row>
    <row r="388" spans="1:26" s="790" customFormat="1" ht="30.6" x14ac:dyDescent="0.2">
      <c r="A388" s="784">
        <v>68</v>
      </c>
      <c r="B388" s="784">
        <v>68</v>
      </c>
      <c r="C388" s="784" t="s">
        <v>888</v>
      </c>
      <c r="D388" s="784" t="s">
        <v>889</v>
      </c>
      <c r="E388" s="785">
        <v>4.0999999999999996</v>
      </c>
      <c r="F388" s="786">
        <v>2.91</v>
      </c>
      <c r="G388" s="786">
        <v>2.91</v>
      </c>
      <c r="H388" s="787">
        <v>162.47999999999999</v>
      </c>
      <c r="I388" s="787" t="s">
        <v>281</v>
      </c>
      <c r="J388" s="787">
        <v>162.47999999999999</v>
      </c>
      <c r="K388" s="786" t="s">
        <v>281</v>
      </c>
      <c r="L388" s="786" t="s">
        <v>281</v>
      </c>
      <c r="M388" s="789">
        <f>E388</f>
        <v>4.0999999999999996</v>
      </c>
      <c r="N388" s="789" t="s">
        <v>2455</v>
      </c>
      <c r="O388" s="789"/>
      <c r="T388" s="790">
        <v>162.47999999999999</v>
      </c>
      <c r="V388" s="790" t="s">
        <v>281</v>
      </c>
      <c r="W388" s="790">
        <v>162.47999999999999</v>
      </c>
      <c r="X388" s="790" t="s">
        <v>281</v>
      </c>
      <c r="Y388" s="790" t="s">
        <v>281</v>
      </c>
      <c r="Z388" s="790" t="s">
        <v>281</v>
      </c>
    </row>
    <row r="389" spans="1:26" x14ac:dyDescent="0.2">
      <c r="A389" s="407"/>
      <c r="B389" s="407"/>
      <c r="C389" s="407"/>
      <c r="D389" s="408" t="s">
        <v>743</v>
      </c>
      <c r="E389" s="409"/>
      <c r="F389" s="410" t="s">
        <v>281</v>
      </c>
      <c r="G389" s="410" t="s">
        <v>281</v>
      </c>
      <c r="H389" s="409"/>
      <c r="I389" s="409"/>
      <c r="J389" s="411" t="s">
        <v>281</v>
      </c>
      <c r="K389" s="410" t="s">
        <v>281</v>
      </c>
      <c r="L389" s="410" t="s">
        <v>281</v>
      </c>
    </row>
    <row r="390" spans="1:26" x14ac:dyDescent="0.2">
      <c r="A390" s="412"/>
      <c r="B390" s="412"/>
      <c r="C390" s="412"/>
      <c r="D390" s="395" t="s">
        <v>792</v>
      </c>
      <c r="E390" s="412"/>
      <c r="F390" s="412"/>
      <c r="G390" s="412"/>
      <c r="H390" s="412"/>
      <c r="I390" s="412"/>
      <c r="J390" s="412"/>
      <c r="K390" s="412"/>
      <c r="L390" s="412"/>
    </row>
    <row r="391" spans="1:26" x14ac:dyDescent="0.2">
      <c r="A391" s="412"/>
      <c r="B391" s="412"/>
      <c r="C391" s="412"/>
      <c r="D391" s="416" t="s">
        <v>715</v>
      </c>
      <c r="E391" s="417"/>
      <c r="F391" s="417"/>
      <c r="G391" s="417"/>
      <c r="H391" s="418">
        <v>162.47999999999999</v>
      </c>
      <c r="I391" s="412"/>
      <c r="J391" s="412"/>
      <c r="K391" s="412"/>
      <c r="L391" s="412"/>
    </row>
    <row r="392" spans="1:26" s="790" customFormat="1" ht="20.399999999999999" x14ac:dyDescent="0.2">
      <c r="A392" s="784">
        <v>69</v>
      </c>
      <c r="B392" s="784">
        <v>69</v>
      </c>
      <c r="C392" s="784" t="s">
        <v>900</v>
      </c>
      <c r="D392" s="784" t="s">
        <v>811</v>
      </c>
      <c r="E392" s="785">
        <v>3.54</v>
      </c>
      <c r="F392" s="786">
        <v>436.63200000000001</v>
      </c>
      <c r="G392" s="786">
        <v>330.74</v>
      </c>
      <c r="H392" s="787">
        <v>32284.02</v>
      </c>
      <c r="I392" s="787">
        <v>16782.36</v>
      </c>
      <c r="J392" s="787">
        <v>15501.66</v>
      </c>
      <c r="K392" s="786">
        <v>13.455</v>
      </c>
      <c r="L392" s="786">
        <v>47.630699999999997</v>
      </c>
      <c r="M392" s="789">
        <v>354</v>
      </c>
      <c r="N392" s="789" t="s">
        <v>2428</v>
      </c>
      <c r="O392" s="789"/>
      <c r="T392" s="790">
        <v>69146.539999999994</v>
      </c>
      <c r="V392" s="790">
        <v>16782.36</v>
      </c>
      <c r="W392" s="790">
        <v>15501.66</v>
      </c>
      <c r="X392" s="790">
        <v>6847.46</v>
      </c>
      <c r="Y392" s="790">
        <v>47.630699999999997</v>
      </c>
      <c r="Z392" s="790">
        <v>12.05016</v>
      </c>
    </row>
    <row r="393" spans="1:26" x14ac:dyDescent="0.2">
      <c r="A393" s="407"/>
      <c r="B393" s="407"/>
      <c r="C393" s="407"/>
      <c r="D393" s="408" t="s">
        <v>901</v>
      </c>
      <c r="E393" s="409"/>
      <c r="F393" s="410">
        <v>105.892</v>
      </c>
      <c r="G393" s="410">
        <v>43.205500000000001</v>
      </c>
      <c r="H393" s="409"/>
      <c r="I393" s="409"/>
      <c r="J393" s="411">
        <v>6847.46</v>
      </c>
      <c r="K393" s="410">
        <v>3.4039999999999999</v>
      </c>
      <c r="L393" s="410">
        <v>12.05016</v>
      </c>
    </row>
    <row r="394" spans="1:26" ht="20.399999999999999" x14ac:dyDescent="0.2">
      <c r="A394" s="412"/>
      <c r="B394" s="412"/>
      <c r="C394" s="412"/>
      <c r="D394" s="395" t="s">
        <v>714</v>
      </c>
      <c r="E394" s="412"/>
      <c r="F394" s="412"/>
      <c r="G394" s="412"/>
      <c r="H394" s="412"/>
      <c r="I394" s="412"/>
      <c r="J394" s="412"/>
      <c r="K394" s="412"/>
      <c r="L394" s="412"/>
    </row>
    <row r="395" spans="1:26" ht="20.399999999999999" x14ac:dyDescent="0.2">
      <c r="A395" s="412"/>
      <c r="B395" s="412"/>
      <c r="C395" s="412"/>
      <c r="D395" s="395" t="s">
        <v>736</v>
      </c>
      <c r="E395" s="412"/>
      <c r="F395" s="412"/>
      <c r="G395" s="412"/>
      <c r="H395" s="412"/>
      <c r="I395" s="412"/>
      <c r="J395" s="412"/>
      <c r="K395" s="412"/>
      <c r="L395" s="412"/>
    </row>
    <row r="396" spans="1:26" ht="81.599999999999994" x14ac:dyDescent="0.2">
      <c r="A396" s="412"/>
      <c r="B396" s="412"/>
      <c r="C396" s="412"/>
      <c r="D396" s="395" t="s">
        <v>737</v>
      </c>
      <c r="E396" s="412"/>
      <c r="F396" s="412"/>
      <c r="G396" s="412"/>
      <c r="H396" s="412"/>
      <c r="I396" s="412"/>
      <c r="J396" s="412"/>
      <c r="K396" s="412"/>
      <c r="L396" s="412"/>
    </row>
    <row r="397" spans="1:26" x14ac:dyDescent="0.2">
      <c r="A397" s="412"/>
      <c r="B397" s="412"/>
      <c r="C397" s="412"/>
      <c r="D397" s="413" t="s">
        <v>206</v>
      </c>
      <c r="E397" s="414" t="s">
        <v>738</v>
      </c>
      <c r="F397" s="414"/>
      <c r="G397" s="414"/>
      <c r="H397" s="415">
        <v>24102.42</v>
      </c>
      <c r="I397" s="412"/>
      <c r="J397" s="412"/>
      <c r="K397" s="412"/>
      <c r="L397" s="412"/>
    </row>
    <row r="398" spans="1:26" x14ac:dyDescent="0.2">
      <c r="A398" s="412"/>
      <c r="B398" s="412"/>
      <c r="C398" s="412"/>
      <c r="D398" s="413" t="s">
        <v>207</v>
      </c>
      <c r="E398" s="414" t="s">
        <v>739</v>
      </c>
      <c r="F398" s="414"/>
      <c r="G398" s="414"/>
      <c r="H398" s="415">
        <v>12760.1</v>
      </c>
      <c r="I398" s="412"/>
      <c r="J398" s="412"/>
      <c r="K398" s="412"/>
      <c r="L398" s="412"/>
    </row>
    <row r="399" spans="1:26" x14ac:dyDescent="0.2">
      <c r="A399" s="412"/>
      <c r="B399" s="412"/>
      <c r="C399" s="412"/>
      <c r="D399" s="416" t="s">
        <v>715</v>
      </c>
      <c r="E399" s="417"/>
      <c r="F399" s="417"/>
      <c r="G399" s="417"/>
      <c r="H399" s="418">
        <v>69146.539999999994</v>
      </c>
      <c r="I399" s="412"/>
      <c r="J399" s="412"/>
      <c r="K399" s="412"/>
      <c r="L399" s="412"/>
    </row>
    <row r="400" spans="1:26" s="790" customFormat="1" ht="30.6" x14ac:dyDescent="0.2">
      <c r="A400" s="784">
        <v>70</v>
      </c>
      <c r="B400" s="784">
        <v>70</v>
      </c>
      <c r="C400" s="784" t="s">
        <v>902</v>
      </c>
      <c r="D400" s="784" t="s">
        <v>812</v>
      </c>
      <c r="E400" s="785">
        <v>354</v>
      </c>
      <c r="F400" s="786">
        <v>1863.1724999999999</v>
      </c>
      <c r="G400" s="786">
        <v>1376.7225000000001</v>
      </c>
      <c r="H400" s="787">
        <v>14162187.720000001</v>
      </c>
      <c r="I400" s="787">
        <v>7709542.9800000004</v>
      </c>
      <c r="J400" s="787">
        <v>6452644.7400000002</v>
      </c>
      <c r="K400" s="786">
        <v>57.028500000000001</v>
      </c>
      <c r="L400" s="786">
        <v>20188.089</v>
      </c>
      <c r="M400" s="789">
        <v>354</v>
      </c>
      <c r="N400" s="789" t="s">
        <v>2428</v>
      </c>
      <c r="O400" s="789"/>
      <c r="T400" s="790">
        <v>25186834.18</v>
      </c>
      <c r="V400" s="790">
        <v>7709542.9800000004</v>
      </c>
      <c r="W400" s="790">
        <v>6452644.7400000002</v>
      </c>
      <c r="X400" s="790" t="s">
        <v>281</v>
      </c>
      <c r="Y400" s="790">
        <v>20188.089</v>
      </c>
      <c r="Z400" s="790" t="s">
        <v>281</v>
      </c>
    </row>
    <row r="401" spans="1:26" x14ac:dyDescent="0.2">
      <c r="A401" s="407"/>
      <c r="B401" s="407"/>
      <c r="C401" s="407"/>
      <c r="D401" s="408" t="s">
        <v>745</v>
      </c>
      <c r="E401" s="409"/>
      <c r="F401" s="410">
        <v>486.45</v>
      </c>
      <c r="G401" s="410" t="s">
        <v>281</v>
      </c>
      <c r="H401" s="409"/>
      <c r="I401" s="409"/>
      <c r="J401" s="411" t="s">
        <v>281</v>
      </c>
      <c r="K401" s="410" t="s">
        <v>281</v>
      </c>
      <c r="L401" s="410" t="s">
        <v>281</v>
      </c>
    </row>
    <row r="402" spans="1:26" ht="20.399999999999999" x14ac:dyDescent="0.2">
      <c r="A402" s="412"/>
      <c r="B402" s="412"/>
      <c r="C402" s="412"/>
      <c r="D402" s="395" t="s">
        <v>714</v>
      </c>
      <c r="E402" s="412"/>
      <c r="F402" s="412"/>
      <c r="G402" s="412"/>
      <c r="H402" s="412"/>
      <c r="I402" s="412"/>
      <c r="J402" s="412"/>
      <c r="K402" s="412"/>
      <c r="L402" s="412"/>
    </row>
    <row r="403" spans="1:26" ht="20.399999999999999" x14ac:dyDescent="0.2">
      <c r="A403" s="412"/>
      <c r="B403" s="412"/>
      <c r="C403" s="412"/>
      <c r="D403" s="395" t="s">
        <v>736</v>
      </c>
      <c r="E403" s="412"/>
      <c r="F403" s="412"/>
      <c r="G403" s="412"/>
      <c r="H403" s="412"/>
      <c r="I403" s="412"/>
      <c r="J403" s="412"/>
      <c r="K403" s="412"/>
      <c r="L403" s="412"/>
    </row>
    <row r="404" spans="1:26" ht="81.599999999999994" x14ac:dyDescent="0.2">
      <c r="A404" s="412"/>
      <c r="B404" s="412"/>
      <c r="C404" s="412"/>
      <c r="D404" s="395" t="s">
        <v>737</v>
      </c>
      <c r="E404" s="412"/>
      <c r="F404" s="412"/>
      <c r="G404" s="412"/>
      <c r="H404" s="412"/>
      <c r="I404" s="412"/>
      <c r="J404" s="412"/>
      <c r="K404" s="412"/>
      <c r="L404" s="412"/>
    </row>
    <row r="405" spans="1:26" x14ac:dyDescent="0.2">
      <c r="A405" s="412"/>
      <c r="B405" s="412"/>
      <c r="C405" s="412"/>
      <c r="D405" s="413" t="s">
        <v>206</v>
      </c>
      <c r="E405" s="414" t="s">
        <v>758</v>
      </c>
      <c r="F405" s="414"/>
      <c r="G405" s="414"/>
      <c r="H405" s="415">
        <v>7015684.1100000003</v>
      </c>
      <c r="I405" s="412"/>
      <c r="J405" s="412"/>
      <c r="K405" s="412"/>
      <c r="L405" s="412"/>
    </row>
    <row r="406" spans="1:26" x14ac:dyDescent="0.2">
      <c r="A406" s="412"/>
      <c r="B406" s="412"/>
      <c r="C406" s="412"/>
      <c r="D406" s="413" t="s">
        <v>207</v>
      </c>
      <c r="E406" s="414" t="s">
        <v>759</v>
      </c>
      <c r="F406" s="414"/>
      <c r="G406" s="414"/>
      <c r="H406" s="415">
        <v>4008962.35</v>
      </c>
      <c r="I406" s="412"/>
      <c r="J406" s="412"/>
      <c r="K406" s="412"/>
      <c r="L406" s="412"/>
    </row>
    <row r="407" spans="1:26" x14ac:dyDescent="0.2">
      <c r="A407" s="412"/>
      <c r="B407" s="412"/>
      <c r="C407" s="412"/>
      <c r="D407" s="416" t="s">
        <v>715</v>
      </c>
      <c r="E407" s="417"/>
      <c r="F407" s="417"/>
      <c r="G407" s="417"/>
      <c r="H407" s="418">
        <v>25186834.18</v>
      </c>
      <c r="I407" s="412"/>
      <c r="J407" s="412"/>
      <c r="K407" s="412"/>
      <c r="L407" s="412"/>
    </row>
    <row r="408" spans="1:26" s="790" customFormat="1" ht="30.6" x14ac:dyDescent="0.2">
      <c r="A408" s="784">
        <v>71</v>
      </c>
      <c r="B408" s="784">
        <v>71</v>
      </c>
      <c r="C408" s="784" t="s">
        <v>753</v>
      </c>
      <c r="D408" s="784" t="s">
        <v>754</v>
      </c>
      <c r="E408" s="785">
        <v>708</v>
      </c>
      <c r="F408" s="786">
        <v>3.28</v>
      </c>
      <c r="G408" s="786">
        <v>3.28</v>
      </c>
      <c r="H408" s="787">
        <v>30748.44</v>
      </c>
      <c r="I408" s="787" t="s">
        <v>281</v>
      </c>
      <c r="J408" s="787">
        <v>30748.44</v>
      </c>
      <c r="K408" s="786" t="s">
        <v>281</v>
      </c>
      <c r="L408" s="786" t="s">
        <v>281</v>
      </c>
      <c r="M408" s="789">
        <f>E400*2.5*0.8</f>
        <v>708</v>
      </c>
      <c r="N408" s="789" t="s">
        <v>2444</v>
      </c>
      <c r="O408" s="789"/>
      <c r="T408" s="790">
        <v>30748.44</v>
      </c>
      <c r="V408" s="790" t="s">
        <v>281</v>
      </c>
      <c r="W408" s="790">
        <v>30748.44</v>
      </c>
      <c r="X408" s="790" t="s">
        <v>281</v>
      </c>
      <c r="Y408" s="790" t="s">
        <v>281</v>
      </c>
      <c r="Z408" s="790" t="s">
        <v>281</v>
      </c>
    </row>
    <row r="409" spans="1:26" s="1231" customFormat="1" x14ac:dyDescent="0.2">
      <c r="A409" s="1232"/>
      <c r="B409" s="1232"/>
      <c r="C409" s="1232"/>
      <c r="D409" s="1233" t="s">
        <v>743</v>
      </c>
      <c r="E409" s="1234"/>
      <c r="F409" s="1235" t="s">
        <v>281</v>
      </c>
      <c r="G409" s="1235" t="s">
        <v>281</v>
      </c>
      <c r="H409" s="1234"/>
      <c r="I409" s="1234"/>
      <c r="J409" s="1236" t="s">
        <v>281</v>
      </c>
      <c r="K409" s="1235" t="s">
        <v>281</v>
      </c>
      <c r="L409" s="1235" t="s">
        <v>281</v>
      </c>
      <c r="M409" s="1237"/>
      <c r="N409" s="1237"/>
      <c r="O409" s="1237"/>
    </row>
    <row r="410" spans="1:26" s="1231" customFormat="1" x14ac:dyDescent="0.2">
      <c r="A410" s="1238"/>
      <c r="B410" s="1238"/>
      <c r="C410" s="1238"/>
      <c r="D410" s="1239" t="s">
        <v>716</v>
      </c>
      <c r="E410" s="1238"/>
      <c r="F410" s="1238"/>
      <c r="G410" s="1238"/>
      <c r="H410" s="1238"/>
      <c r="I410" s="1238"/>
      <c r="J410" s="1238"/>
      <c r="K410" s="1238"/>
      <c r="L410" s="1238"/>
      <c r="M410" s="1237"/>
      <c r="N410" s="1237"/>
      <c r="O410" s="1237"/>
    </row>
    <row r="411" spans="1:26" s="1231" customFormat="1" x14ac:dyDescent="0.2">
      <c r="A411" s="1238"/>
      <c r="B411" s="1238"/>
      <c r="C411" s="1238"/>
      <c r="D411" s="1240" t="s">
        <v>715</v>
      </c>
      <c r="E411" s="1241"/>
      <c r="F411" s="1241"/>
      <c r="G411" s="1241"/>
      <c r="H411" s="1242">
        <v>30748.44</v>
      </c>
      <c r="I411" s="1238"/>
      <c r="J411" s="1238"/>
      <c r="K411" s="1238"/>
      <c r="L411" s="1238"/>
      <c r="M411" s="1237"/>
      <c r="N411" s="1237"/>
      <c r="O411" s="1237"/>
    </row>
    <row r="412" spans="1:26" s="790" customFormat="1" ht="20.399999999999999" x14ac:dyDescent="0.2">
      <c r="A412" s="784">
        <v>72</v>
      </c>
      <c r="B412" s="784">
        <v>72</v>
      </c>
      <c r="C412" s="784" t="s">
        <v>755</v>
      </c>
      <c r="D412" s="784" t="s">
        <v>834</v>
      </c>
      <c r="E412" s="785">
        <v>177</v>
      </c>
      <c r="F412" s="786">
        <v>42.98</v>
      </c>
      <c r="G412" s="786">
        <v>42.98</v>
      </c>
      <c r="H412" s="787">
        <v>100723.62</v>
      </c>
      <c r="I412" s="787" t="s">
        <v>281</v>
      </c>
      <c r="J412" s="787">
        <v>100723.62</v>
      </c>
      <c r="K412" s="786" t="s">
        <v>281</v>
      </c>
      <c r="L412" s="786" t="s">
        <v>281</v>
      </c>
      <c r="M412" s="789">
        <f>E400*2.5*0.2</f>
        <v>177</v>
      </c>
      <c r="N412" s="789" t="s">
        <v>2445</v>
      </c>
      <c r="O412" s="789"/>
      <c r="T412" s="790">
        <v>100723.62</v>
      </c>
      <c r="V412" s="790" t="s">
        <v>281</v>
      </c>
      <c r="W412" s="790">
        <v>100723.62</v>
      </c>
      <c r="X412" s="790" t="s">
        <v>281</v>
      </c>
      <c r="Y412" s="790" t="s">
        <v>281</v>
      </c>
      <c r="Z412" s="790" t="s">
        <v>281</v>
      </c>
    </row>
    <row r="413" spans="1:26" s="1231" customFormat="1" x14ac:dyDescent="0.2">
      <c r="A413" s="1232"/>
      <c r="B413" s="1232"/>
      <c r="C413" s="1232"/>
      <c r="D413" s="1233" t="s">
        <v>743</v>
      </c>
      <c r="E413" s="1234"/>
      <c r="F413" s="1235" t="s">
        <v>281</v>
      </c>
      <c r="G413" s="1235" t="s">
        <v>281</v>
      </c>
      <c r="H413" s="1234"/>
      <c r="I413" s="1234"/>
      <c r="J413" s="1236" t="s">
        <v>281</v>
      </c>
      <c r="K413" s="1235" t="s">
        <v>281</v>
      </c>
      <c r="L413" s="1235" t="s">
        <v>281</v>
      </c>
      <c r="M413" s="1237"/>
      <c r="N413" s="1237"/>
      <c r="O413" s="1237"/>
    </row>
    <row r="414" spans="1:26" s="1231" customFormat="1" x14ac:dyDescent="0.2">
      <c r="A414" s="1238"/>
      <c r="B414" s="1238"/>
      <c r="C414" s="1238"/>
      <c r="D414" s="1239" t="s">
        <v>716</v>
      </c>
      <c r="E414" s="1238"/>
      <c r="F414" s="1238"/>
      <c r="G414" s="1238"/>
      <c r="H414" s="1238"/>
      <c r="I414" s="1238"/>
      <c r="J414" s="1238"/>
      <c r="K414" s="1238"/>
      <c r="L414" s="1238"/>
      <c r="M414" s="1237"/>
      <c r="N414" s="1237"/>
      <c r="O414" s="1237"/>
    </row>
    <row r="415" spans="1:26" s="1231" customFormat="1" x14ac:dyDescent="0.2">
      <c r="A415" s="1238"/>
      <c r="B415" s="1238"/>
      <c r="C415" s="1238"/>
      <c r="D415" s="1240" t="s">
        <v>715</v>
      </c>
      <c r="E415" s="1241"/>
      <c r="F415" s="1241"/>
      <c r="G415" s="1241"/>
      <c r="H415" s="1242">
        <v>100723.62</v>
      </c>
      <c r="I415" s="1238"/>
      <c r="J415" s="1238"/>
      <c r="K415" s="1238"/>
      <c r="L415" s="1238"/>
      <c r="M415" s="1237"/>
      <c r="N415" s="1237"/>
      <c r="O415" s="1237"/>
    </row>
    <row r="416" spans="1:26" s="790" customFormat="1" ht="40.799999999999997" x14ac:dyDescent="0.2">
      <c r="A416" s="784">
        <v>73</v>
      </c>
      <c r="B416" s="784">
        <v>73</v>
      </c>
      <c r="C416" s="784" t="s">
        <v>744</v>
      </c>
      <c r="D416" s="784" t="s">
        <v>717</v>
      </c>
      <c r="E416" s="785">
        <v>354</v>
      </c>
      <c r="F416" s="786">
        <v>162.38</v>
      </c>
      <c r="G416" s="786" t="s">
        <v>281</v>
      </c>
      <c r="H416" s="787">
        <v>469057.08</v>
      </c>
      <c r="I416" s="787" t="s">
        <v>281</v>
      </c>
      <c r="J416" s="787" t="s">
        <v>281</v>
      </c>
      <c r="K416" s="786" t="s">
        <v>281</v>
      </c>
      <c r="L416" s="786" t="s">
        <v>281</v>
      </c>
      <c r="M416" s="789">
        <f>E416</f>
        <v>354</v>
      </c>
      <c r="N416" s="789" t="s">
        <v>2443</v>
      </c>
      <c r="O416" s="789"/>
      <c r="T416" s="790">
        <v>469057.08</v>
      </c>
      <c r="V416" s="790" t="s">
        <v>281</v>
      </c>
      <c r="W416" s="790" t="s">
        <v>281</v>
      </c>
      <c r="X416" s="790" t="s">
        <v>281</v>
      </c>
      <c r="Y416" s="790" t="s">
        <v>281</v>
      </c>
      <c r="Z416" s="790" t="s">
        <v>281</v>
      </c>
    </row>
    <row r="417" spans="1:26" x14ac:dyDescent="0.2">
      <c r="A417" s="407"/>
      <c r="B417" s="407"/>
      <c r="C417" s="407"/>
      <c r="D417" s="408" t="s">
        <v>745</v>
      </c>
      <c r="E417" s="409"/>
      <c r="F417" s="410" t="s">
        <v>281</v>
      </c>
      <c r="G417" s="410" t="s">
        <v>281</v>
      </c>
      <c r="H417" s="409"/>
      <c r="I417" s="409"/>
      <c r="J417" s="411" t="s">
        <v>281</v>
      </c>
      <c r="K417" s="410" t="s">
        <v>281</v>
      </c>
      <c r="L417" s="410" t="s">
        <v>281</v>
      </c>
    </row>
    <row r="418" spans="1:26" x14ac:dyDescent="0.2">
      <c r="A418" s="412"/>
      <c r="B418" s="412"/>
      <c r="C418" s="412"/>
      <c r="D418" s="395" t="s">
        <v>718</v>
      </c>
      <c r="E418" s="412"/>
      <c r="F418" s="412"/>
      <c r="G418" s="412"/>
      <c r="H418" s="412"/>
      <c r="I418" s="412"/>
      <c r="J418" s="412"/>
      <c r="K418" s="412"/>
      <c r="L418" s="412"/>
    </row>
    <row r="419" spans="1:26" s="790" customFormat="1" ht="30.6" x14ac:dyDescent="0.2">
      <c r="A419" s="784">
        <v>74</v>
      </c>
      <c r="B419" s="784">
        <v>74</v>
      </c>
      <c r="C419" s="784" t="s">
        <v>772</v>
      </c>
      <c r="D419" s="784" t="s">
        <v>813</v>
      </c>
      <c r="E419" s="785">
        <v>173.39</v>
      </c>
      <c r="F419" s="786">
        <v>1517.952</v>
      </c>
      <c r="G419" s="786">
        <v>1488.008</v>
      </c>
      <c r="H419" s="787">
        <v>3515010.63</v>
      </c>
      <c r="I419" s="787">
        <v>69274.509999999995</v>
      </c>
      <c r="J419" s="787">
        <v>3415996.27</v>
      </c>
      <c r="K419" s="786">
        <v>1.0465</v>
      </c>
      <c r="L419" s="786">
        <v>181.45263499999999</v>
      </c>
      <c r="M419" s="789">
        <f>E419</f>
        <v>173.39</v>
      </c>
      <c r="N419" s="789" t="s">
        <v>2432</v>
      </c>
      <c r="O419" s="789"/>
      <c r="T419" s="790">
        <v>4034193.28</v>
      </c>
      <c r="V419" s="790">
        <v>69274.509999999995</v>
      </c>
      <c r="W419" s="790">
        <v>3415996.27</v>
      </c>
      <c r="X419" s="790">
        <v>293790.28000000003</v>
      </c>
      <c r="Y419" s="790">
        <v>181.45263499999999</v>
      </c>
      <c r="Z419" s="790">
        <v>418.73685</v>
      </c>
    </row>
    <row r="420" spans="1:26" x14ac:dyDescent="0.2">
      <c r="A420" s="407"/>
      <c r="B420" s="407"/>
      <c r="C420" s="407"/>
      <c r="D420" s="408" t="s">
        <v>745</v>
      </c>
      <c r="E420" s="409"/>
      <c r="F420" s="410">
        <v>8.9239999999999995</v>
      </c>
      <c r="G420" s="410">
        <v>37.846499999999999</v>
      </c>
      <c r="H420" s="409"/>
      <c r="I420" s="409"/>
      <c r="J420" s="411">
        <v>293790.28000000003</v>
      </c>
      <c r="K420" s="410">
        <v>2.415</v>
      </c>
      <c r="L420" s="410">
        <v>418.73685</v>
      </c>
    </row>
    <row r="421" spans="1:26" ht="20.399999999999999" x14ac:dyDescent="0.2">
      <c r="A421" s="412"/>
      <c r="B421" s="412"/>
      <c r="C421" s="412"/>
      <c r="D421" s="395" t="s">
        <v>714</v>
      </c>
      <c r="E421" s="412"/>
      <c r="F421" s="412"/>
      <c r="G421" s="412"/>
      <c r="H421" s="412"/>
      <c r="I421" s="412"/>
      <c r="J421" s="412"/>
      <c r="K421" s="412"/>
      <c r="L421" s="412"/>
    </row>
    <row r="422" spans="1:26" ht="20.399999999999999" x14ac:dyDescent="0.2">
      <c r="A422" s="412"/>
      <c r="B422" s="412"/>
      <c r="C422" s="412"/>
      <c r="D422" s="395" t="s">
        <v>736</v>
      </c>
      <c r="E422" s="412"/>
      <c r="F422" s="412"/>
      <c r="G422" s="412"/>
      <c r="H422" s="412"/>
      <c r="I422" s="412"/>
      <c r="J422" s="412"/>
      <c r="K422" s="412"/>
      <c r="L422" s="412"/>
    </row>
    <row r="423" spans="1:26" ht="81.599999999999994" x14ac:dyDescent="0.2">
      <c r="A423" s="412"/>
      <c r="B423" s="412"/>
      <c r="C423" s="412"/>
      <c r="D423" s="395" t="s">
        <v>737</v>
      </c>
      <c r="E423" s="412"/>
      <c r="F423" s="412"/>
      <c r="G423" s="412"/>
      <c r="H423" s="412"/>
      <c r="I423" s="412"/>
      <c r="J423" s="412"/>
      <c r="K423" s="412"/>
      <c r="L423" s="412"/>
    </row>
    <row r="424" spans="1:26" x14ac:dyDescent="0.2">
      <c r="A424" s="412"/>
      <c r="B424" s="412"/>
      <c r="C424" s="412"/>
      <c r="D424" s="413" t="s">
        <v>206</v>
      </c>
      <c r="E424" s="414" t="s">
        <v>758</v>
      </c>
      <c r="F424" s="414"/>
      <c r="G424" s="414"/>
      <c r="H424" s="415">
        <v>330388.96000000002</v>
      </c>
      <c r="I424" s="412"/>
      <c r="J424" s="412"/>
      <c r="K424" s="412"/>
      <c r="L424" s="412"/>
    </row>
    <row r="425" spans="1:26" x14ac:dyDescent="0.2">
      <c r="A425" s="412"/>
      <c r="B425" s="412"/>
      <c r="C425" s="412"/>
      <c r="D425" s="413" t="s">
        <v>207</v>
      </c>
      <c r="E425" s="414" t="s">
        <v>759</v>
      </c>
      <c r="F425" s="414"/>
      <c r="G425" s="414"/>
      <c r="H425" s="415">
        <v>188793.69</v>
      </c>
      <c r="I425" s="412"/>
      <c r="J425" s="412"/>
      <c r="K425" s="412"/>
      <c r="L425" s="412"/>
    </row>
    <row r="426" spans="1:26" x14ac:dyDescent="0.2">
      <c r="A426" s="412"/>
      <c r="B426" s="412"/>
      <c r="C426" s="412"/>
      <c r="D426" s="416" t="s">
        <v>715</v>
      </c>
      <c r="E426" s="417"/>
      <c r="F426" s="417"/>
      <c r="G426" s="417"/>
      <c r="H426" s="418">
        <v>4034193.28</v>
      </c>
      <c r="I426" s="412"/>
      <c r="J426" s="412"/>
      <c r="K426" s="412"/>
      <c r="L426" s="412"/>
    </row>
    <row r="427" spans="1:26" s="790" customFormat="1" ht="30.6" x14ac:dyDescent="0.2">
      <c r="A427" s="784">
        <v>75</v>
      </c>
      <c r="B427" s="784">
        <v>75</v>
      </c>
      <c r="C427" s="784" t="s">
        <v>753</v>
      </c>
      <c r="D427" s="784" t="s">
        <v>754</v>
      </c>
      <c r="E427" s="785">
        <v>346.8</v>
      </c>
      <c r="F427" s="786">
        <v>3.28</v>
      </c>
      <c r="G427" s="786">
        <v>3.28</v>
      </c>
      <c r="H427" s="787">
        <v>15061.52</v>
      </c>
      <c r="I427" s="787" t="s">
        <v>281</v>
      </c>
      <c r="J427" s="787">
        <v>15061.52</v>
      </c>
      <c r="K427" s="786" t="s">
        <v>281</v>
      </c>
      <c r="L427" s="786" t="s">
        <v>281</v>
      </c>
      <c r="M427" s="789">
        <f>E419*0.8*2.5</f>
        <v>346.78</v>
      </c>
      <c r="N427" s="789" t="s">
        <v>2433</v>
      </c>
      <c r="O427" s="789"/>
      <c r="T427" s="790">
        <v>15061.52</v>
      </c>
      <c r="V427" s="790" t="s">
        <v>281</v>
      </c>
      <c r="W427" s="790">
        <v>15061.52</v>
      </c>
      <c r="X427" s="790" t="s">
        <v>281</v>
      </c>
      <c r="Y427" s="790" t="s">
        <v>281</v>
      </c>
      <c r="Z427" s="790" t="s">
        <v>281</v>
      </c>
    </row>
    <row r="428" spans="1:26" s="1231" customFormat="1" x14ac:dyDescent="0.2">
      <c r="A428" s="1232"/>
      <c r="B428" s="1232"/>
      <c r="C428" s="1232"/>
      <c r="D428" s="1233" t="s">
        <v>743</v>
      </c>
      <c r="E428" s="1234"/>
      <c r="F428" s="1235" t="s">
        <v>281</v>
      </c>
      <c r="G428" s="1235" t="s">
        <v>281</v>
      </c>
      <c r="H428" s="1234"/>
      <c r="I428" s="1234"/>
      <c r="J428" s="1236" t="s">
        <v>281</v>
      </c>
      <c r="K428" s="1235" t="s">
        <v>281</v>
      </c>
      <c r="L428" s="1235" t="s">
        <v>281</v>
      </c>
      <c r="M428" s="1237"/>
      <c r="N428" s="1237"/>
      <c r="O428" s="1237"/>
    </row>
    <row r="429" spans="1:26" s="1231" customFormat="1" x14ac:dyDescent="0.2">
      <c r="A429" s="1238"/>
      <c r="B429" s="1238"/>
      <c r="C429" s="1238"/>
      <c r="D429" s="1239" t="s">
        <v>716</v>
      </c>
      <c r="E429" s="1238"/>
      <c r="F429" s="1238"/>
      <c r="G429" s="1238"/>
      <c r="H429" s="1238"/>
      <c r="I429" s="1238"/>
      <c r="J429" s="1238"/>
      <c r="K429" s="1238"/>
      <c r="L429" s="1238"/>
      <c r="M429" s="1237"/>
      <c r="N429" s="1237"/>
      <c r="O429" s="1237"/>
    </row>
    <row r="430" spans="1:26" s="1231" customFormat="1" x14ac:dyDescent="0.2">
      <c r="A430" s="1238"/>
      <c r="B430" s="1238"/>
      <c r="C430" s="1238"/>
      <c r="D430" s="1240" t="s">
        <v>715</v>
      </c>
      <c r="E430" s="1241"/>
      <c r="F430" s="1241"/>
      <c r="G430" s="1241"/>
      <c r="H430" s="1242">
        <v>15061.52</v>
      </c>
      <c r="I430" s="1238"/>
      <c r="J430" s="1238"/>
      <c r="K430" s="1238"/>
      <c r="L430" s="1238"/>
      <c r="M430" s="1237"/>
      <c r="N430" s="1237"/>
      <c r="O430" s="1237"/>
    </row>
    <row r="431" spans="1:26" s="790" customFormat="1" ht="20.399999999999999" x14ac:dyDescent="0.2">
      <c r="A431" s="784">
        <v>76</v>
      </c>
      <c r="B431" s="784">
        <v>76</v>
      </c>
      <c r="C431" s="784" t="s">
        <v>755</v>
      </c>
      <c r="D431" s="784" t="s">
        <v>834</v>
      </c>
      <c r="E431" s="785">
        <v>86.7</v>
      </c>
      <c r="F431" s="786">
        <v>42.98</v>
      </c>
      <c r="G431" s="786">
        <v>42.98</v>
      </c>
      <c r="H431" s="787">
        <v>49337.5</v>
      </c>
      <c r="I431" s="787" t="s">
        <v>281</v>
      </c>
      <c r="J431" s="787">
        <v>49337.5</v>
      </c>
      <c r="K431" s="786" t="s">
        <v>281</v>
      </c>
      <c r="L431" s="786" t="s">
        <v>281</v>
      </c>
      <c r="M431" s="789">
        <f>E419*2.5*0.2</f>
        <v>86.694999999999993</v>
      </c>
      <c r="N431" s="789" t="s">
        <v>2434</v>
      </c>
      <c r="O431" s="789"/>
      <c r="T431" s="790">
        <v>49337.5</v>
      </c>
      <c r="V431" s="790" t="s">
        <v>281</v>
      </c>
      <c r="W431" s="790">
        <v>49337.5</v>
      </c>
      <c r="X431" s="790" t="s">
        <v>281</v>
      </c>
      <c r="Y431" s="790" t="s">
        <v>281</v>
      </c>
      <c r="Z431" s="790" t="s">
        <v>281</v>
      </c>
    </row>
    <row r="432" spans="1:26" s="1231" customFormat="1" x14ac:dyDescent="0.2">
      <c r="A432" s="1232"/>
      <c r="B432" s="1232"/>
      <c r="C432" s="1232"/>
      <c r="D432" s="1233" t="s">
        <v>743</v>
      </c>
      <c r="E432" s="1234"/>
      <c r="F432" s="1235" t="s">
        <v>281</v>
      </c>
      <c r="G432" s="1235" t="s">
        <v>281</v>
      </c>
      <c r="H432" s="1234"/>
      <c r="I432" s="1234"/>
      <c r="J432" s="1236" t="s">
        <v>281</v>
      </c>
      <c r="K432" s="1235" t="s">
        <v>281</v>
      </c>
      <c r="L432" s="1235" t="s">
        <v>281</v>
      </c>
      <c r="M432" s="1237"/>
      <c r="N432" s="1237"/>
      <c r="O432" s="1237"/>
    </row>
    <row r="433" spans="1:26" s="1231" customFormat="1" x14ac:dyDescent="0.2">
      <c r="A433" s="1238"/>
      <c r="B433" s="1238"/>
      <c r="C433" s="1238"/>
      <c r="D433" s="1239" t="s">
        <v>716</v>
      </c>
      <c r="E433" s="1238"/>
      <c r="F433" s="1238"/>
      <c r="G433" s="1238"/>
      <c r="H433" s="1238"/>
      <c r="I433" s="1238"/>
      <c r="J433" s="1238"/>
      <c r="K433" s="1238"/>
      <c r="L433" s="1238"/>
      <c r="M433" s="1237"/>
      <c r="N433" s="1237"/>
      <c r="O433" s="1237"/>
    </row>
    <row r="434" spans="1:26" s="1231" customFormat="1" x14ac:dyDescent="0.2">
      <c r="A434" s="1238"/>
      <c r="B434" s="1238"/>
      <c r="C434" s="1238"/>
      <c r="D434" s="1240" t="s">
        <v>715</v>
      </c>
      <c r="E434" s="1241"/>
      <c r="F434" s="1241"/>
      <c r="G434" s="1241"/>
      <c r="H434" s="1242">
        <v>49337.5</v>
      </c>
      <c r="I434" s="1238"/>
      <c r="J434" s="1238"/>
      <c r="K434" s="1238"/>
      <c r="L434" s="1238"/>
      <c r="M434" s="1237"/>
      <c r="N434" s="1237"/>
      <c r="O434" s="1237"/>
    </row>
    <row r="435" spans="1:26" s="790" customFormat="1" ht="40.799999999999997" x14ac:dyDescent="0.2">
      <c r="A435" s="784">
        <v>77</v>
      </c>
      <c r="B435" s="784">
        <v>77</v>
      </c>
      <c r="C435" s="784" t="s">
        <v>744</v>
      </c>
      <c r="D435" s="784" t="s">
        <v>717</v>
      </c>
      <c r="E435" s="785">
        <v>173.39</v>
      </c>
      <c r="F435" s="786">
        <v>162.38</v>
      </c>
      <c r="G435" s="786" t="s">
        <v>281</v>
      </c>
      <c r="H435" s="787">
        <v>229745.22</v>
      </c>
      <c r="I435" s="787" t="s">
        <v>281</v>
      </c>
      <c r="J435" s="787" t="s">
        <v>281</v>
      </c>
      <c r="K435" s="786" t="s">
        <v>281</v>
      </c>
      <c r="L435" s="786" t="s">
        <v>281</v>
      </c>
      <c r="M435" s="789">
        <f>E435</f>
        <v>173.39</v>
      </c>
      <c r="N435" s="789" t="s">
        <v>2435</v>
      </c>
      <c r="O435" s="789"/>
      <c r="T435" s="790">
        <v>229745.22</v>
      </c>
      <c r="V435" s="790" t="s">
        <v>281</v>
      </c>
      <c r="W435" s="790" t="s">
        <v>281</v>
      </c>
      <c r="X435" s="790" t="s">
        <v>281</v>
      </c>
      <c r="Y435" s="790" t="s">
        <v>281</v>
      </c>
      <c r="Z435" s="790" t="s">
        <v>281</v>
      </c>
    </row>
    <row r="436" spans="1:26" x14ac:dyDescent="0.2">
      <c r="A436" s="407"/>
      <c r="B436" s="407"/>
      <c r="C436" s="407"/>
      <c r="D436" s="408" t="s">
        <v>745</v>
      </c>
      <c r="E436" s="409"/>
      <c r="F436" s="410" t="s">
        <v>281</v>
      </c>
      <c r="G436" s="410" t="s">
        <v>281</v>
      </c>
      <c r="H436" s="409"/>
      <c r="I436" s="409"/>
      <c r="J436" s="411" t="s">
        <v>281</v>
      </c>
      <c r="K436" s="410" t="s">
        <v>281</v>
      </c>
      <c r="L436" s="410" t="s">
        <v>281</v>
      </c>
    </row>
    <row r="437" spans="1:26" x14ac:dyDescent="0.2">
      <c r="A437" s="412"/>
      <c r="B437" s="412"/>
      <c r="C437" s="412"/>
      <c r="D437" s="395" t="s">
        <v>718</v>
      </c>
      <c r="E437" s="412"/>
      <c r="F437" s="412"/>
      <c r="G437" s="412"/>
      <c r="H437" s="412"/>
      <c r="I437" s="412"/>
      <c r="J437" s="412"/>
      <c r="K437" s="412"/>
      <c r="L437" s="412"/>
    </row>
    <row r="438" spans="1:26" x14ac:dyDescent="0.2">
      <c r="A438" s="412"/>
      <c r="B438" s="412"/>
      <c r="C438" s="412"/>
      <c r="D438" s="412"/>
      <c r="E438" s="412"/>
      <c r="F438" s="412"/>
      <c r="G438" s="412"/>
      <c r="H438" s="412"/>
      <c r="I438" s="412"/>
      <c r="J438" s="412"/>
      <c r="K438" s="412"/>
      <c r="L438" s="412"/>
    </row>
    <row r="439" spans="1:26" x14ac:dyDescent="0.2">
      <c r="A439" s="1087" t="s">
        <v>903</v>
      </c>
      <c r="B439" s="1087"/>
      <c r="C439" s="1087"/>
      <c r="D439" s="1087"/>
      <c r="E439" s="1087"/>
      <c r="F439" s="1087"/>
      <c r="G439" s="1087"/>
      <c r="H439" s="1087"/>
      <c r="I439" s="1087"/>
      <c r="J439" s="1087"/>
      <c r="K439" s="1087"/>
      <c r="L439" s="1087"/>
    </row>
    <row r="440" spans="1:26" s="817" customFormat="1" ht="40.799999999999997" x14ac:dyDescent="0.2">
      <c r="A440" s="813">
        <v>78</v>
      </c>
      <c r="B440" s="813">
        <v>78</v>
      </c>
      <c r="C440" s="813" t="s">
        <v>904</v>
      </c>
      <c r="D440" s="813" t="s">
        <v>814</v>
      </c>
      <c r="E440" s="814">
        <v>1.714</v>
      </c>
      <c r="F440" s="815">
        <v>4292.4139999999998</v>
      </c>
      <c r="G440" s="815">
        <v>4182.1589999999997</v>
      </c>
      <c r="H440" s="816">
        <v>103095.4</v>
      </c>
      <c r="I440" s="816">
        <v>8127.46</v>
      </c>
      <c r="J440" s="816">
        <v>94907.25</v>
      </c>
      <c r="K440" s="815">
        <v>13.5792</v>
      </c>
      <c r="L440" s="815">
        <v>23.274749</v>
      </c>
      <c r="M440" s="819">
        <v>0</v>
      </c>
      <c r="N440" s="819" t="s">
        <v>2375</v>
      </c>
      <c r="O440" s="819"/>
      <c r="T440" s="817">
        <v>170596.9</v>
      </c>
      <c r="V440" s="817">
        <v>8127.46</v>
      </c>
      <c r="W440" s="817">
        <v>94907.25</v>
      </c>
      <c r="X440" s="817">
        <v>40786.67</v>
      </c>
      <c r="Y440" s="817">
        <v>23.274749</v>
      </c>
      <c r="Z440" s="817">
        <v>67.482579999999999</v>
      </c>
    </row>
    <row r="441" spans="1:26" x14ac:dyDescent="0.2">
      <c r="A441" s="407"/>
      <c r="B441" s="407"/>
      <c r="C441" s="407"/>
      <c r="D441" s="408" t="s">
        <v>763</v>
      </c>
      <c r="E441" s="409"/>
      <c r="F441" s="410">
        <v>105.91500000000001</v>
      </c>
      <c r="G441" s="410">
        <v>531.52080000000001</v>
      </c>
      <c r="H441" s="409"/>
      <c r="I441" s="409"/>
      <c r="J441" s="411">
        <v>40786.67</v>
      </c>
      <c r="K441" s="410">
        <v>39.371400000000001</v>
      </c>
      <c r="L441" s="410">
        <v>67.482579999999999</v>
      </c>
    </row>
    <row r="442" spans="1:26" ht="20.399999999999999" x14ac:dyDescent="0.2">
      <c r="A442" s="412"/>
      <c r="B442" s="412"/>
      <c r="C442" s="412"/>
      <c r="D442" s="395" t="s">
        <v>714</v>
      </c>
      <c r="E442" s="412"/>
      <c r="F442" s="412"/>
      <c r="G442" s="412"/>
      <c r="H442" s="412"/>
      <c r="I442" s="412"/>
      <c r="J442" s="412"/>
      <c r="K442" s="412"/>
      <c r="L442" s="412"/>
    </row>
    <row r="443" spans="1:26" ht="20.399999999999999" x14ac:dyDescent="0.2">
      <c r="A443" s="412"/>
      <c r="B443" s="412"/>
      <c r="C443" s="412"/>
      <c r="D443" s="395" t="s">
        <v>905</v>
      </c>
      <c r="E443" s="412"/>
      <c r="F443" s="412"/>
      <c r="G443" s="412"/>
      <c r="H443" s="412"/>
      <c r="I443" s="412"/>
      <c r="J443" s="412"/>
      <c r="K443" s="412"/>
      <c r="L443" s="412"/>
    </row>
    <row r="444" spans="1:26" ht="142.80000000000001" x14ac:dyDescent="0.2">
      <c r="A444" s="412"/>
      <c r="B444" s="412"/>
      <c r="C444" s="412"/>
      <c r="D444" s="395" t="s">
        <v>906</v>
      </c>
      <c r="E444" s="412"/>
      <c r="F444" s="412"/>
      <c r="G444" s="412"/>
      <c r="H444" s="412"/>
      <c r="I444" s="412"/>
      <c r="J444" s="412"/>
      <c r="K444" s="412"/>
      <c r="L444" s="412"/>
    </row>
    <row r="445" spans="1:26" x14ac:dyDescent="0.2">
      <c r="A445" s="412"/>
      <c r="B445" s="412"/>
      <c r="C445" s="412"/>
      <c r="D445" s="413" t="s">
        <v>206</v>
      </c>
      <c r="E445" s="414" t="s">
        <v>764</v>
      </c>
      <c r="F445" s="414"/>
      <c r="G445" s="414"/>
      <c r="H445" s="415">
        <v>45001</v>
      </c>
      <c r="I445" s="412"/>
      <c r="J445" s="412"/>
      <c r="K445" s="412"/>
      <c r="L445" s="412"/>
    </row>
    <row r="446" spans="1:26" x14ac:dyDescent="0.2">
      <c r="A446" s="412"/>
      <c r="B446" s="412"/>
      <c r="C446" s="412"/>
      <c r="D446" s="413" t="s">
        <v>207</v>
      </c>
      <c r="E446" s="414" t="s">
        <v>765</v>
      </c>
      <c r="F446" s="414"/>
      <c r="G446" s="414"/>
      <c r="H446" s="415">
        <v>22500.5</v>
      </c>
      <c r="I446" s="412"/>
      <c r="J446" s="412"/>
      <c r="K446" s="412"/>
      <c r="L446" s="412"/>
    </row>
    <row r="447" spans="1:26" x14ac:dyDescent="0.2">
      <c r="A447" s="412"/>
      <c r="B447" s="412"/>
      <c r="C447" s="412"/>
      <c r="D447" s="416" t="s">
        <v>715</v>
      </c>
      <c r="E447" s="417"/>
      <c r="F447" s="417"/>
      <c r="G447" s="417"/>
      <c r="H447" s="418">
        <v>170596.9</v>
      </c>
      <c r="I447" s="412"/>
      <c r="J447" s="412"/>
      <c r="K447" s="412"/>
      <c r="L447" s="412"/>
    </row>
    <row r="448" spans="1:26" s="817" customFormat="1" ht="40.799999999999997" x14ac:dyDescent="0.2">
      <c r="A448" s="813">
        <v>79</v>
      </c>
      <c r="B448" s="813">
        <v>79</v>
      </c>
      <c r="C448" s="813" t="s">
        <v>907</v>
      </c>
      <c r="D448" s="813" t="s">
        <v>815</v>
      </c>
      <c r="E448" s="814">
        <v>0.3</v>
      </c>
      <c r="F448" s="815">
        <v>3164.6505000000002</v>
      </c>
      <c r="G448" s="815">
        <v>0.75900000000000001</v>
      </c>
      <c r="H448" s="816">
        <v>42497.25</v>
      </c>
      <c r="I448" s="816">
        <v>42494.23</v>
      </c>
      <c r="J448" s="816">
        <v>3.02</v>
      </c>
      <c r="K448" s="815">
        <v>398.47500000000002</v>
      </c>
      <c r="L448" s="815">
        <v>119.5425</v>
      </c>
      <c r="M448" s="819">
        <v>0</v>
      </c>
      <c r="N448" s="819" t="s">
        <v>2375</v>
      </c>
      <c r="O448" s="819"/>
      <c r="T448" s="817">
        <v>96467.27</v>
      </c>
      <c r="V448" s="817">
        <v>42494.23</v>
      </c>
      <c r="W448" s="817">
        <v>3.02</v>
      </c>
      <c r="X448" s="817">
        <v>1.85</v>
      </c>
      <c r="Y448" s="817">
        <v>119.5425</v>
      </c>
      <c r="Z448" s="817">
        <v>3.4499999999999999E-3</v>
      </c>
    </row>
    <row r="449" spans="1:26" x14ac:dyDescent="0.2">
      <c r="A449" s="407"/>
      <c r="B449" s="407"/>
      <c r="C449" s="407"/>
      <c r="D449" s="408" t="s">
        <v>901</v>
      </c>
      <c r="E449" s="409"/>
      <c r="F449" s="410">
        <v>3163.8915000000002</v>
      </c>
      <c r="G449" s="410">
        <v>0.13800000000000001</v>
      </c>
      <c r="H449" s="409"/>
      <c r="I449" s="409"/>
      <c r="J449" s="411">
        <v>1.85</v>
      </c>
      <c r="K449" s="410">
        <v>1.15E-2</v>
      </c>
      <c r="L449" s="410">
        <v>3.4499999999999999E-3</v>
      </c>
    </row>
    <row r="450" spans="1:26" ht="20.399999999999999" x14ac:dyDescent="0.2">
      <c r="A450" s="412"/>
      <c r="B450" s="412"/>
      <c r="C450" s="412"/>
      <c r="D450" s="395" t="s">
        <v>714</v>
      </c>
      <c r="E450" s="412"/>
      <c r="F450" s="412"/>
      <c r="G450" s="412"/>
      <c r="H450" s="412"/>
      <c r="I450" s="412"/>
      <c r="J450" s="412"/>
      <c r="K450" s="412"/>
      <c r="L450" s="412"/>
    </row>
    <row r="451" spans="1:26" ht="20.399999999999999" x14ac:dyDescent="0.2">
      <c r="A451" s="412"/>
      <c r="B451" s="412"/>
      <c r="C451" s="412"/>
      <c r="D451" s="395" t="s">
        <v>736</v>
      </c>
      <c r="E451" s="412"/>
      <c r="F451" s="412"/>
      <c r="G451" s="412"/>
      <c r="H451" s="412"/>
      <c r="I451" s="412"/>
      <c r="J451" s="412"/>
      <c r="K451" s="412"/>
      <c r="L451" s="412"/>
    </row>
    <row r="452" spans="1:26" ht="81.599999999999994" x14ac:dyDescent="0.2">
      <c r="A452" s="412"/>
      <c r="B452" s="412"/>
      <c r="C452" s="412"/>
      <c r="D452" s="395" t="s">
        <v>737</v>
      </c>
      <c r="E452" s="412"/>
      <c r="F452" s="412"/>
      <c r="G452" s="412"/>
      <c r="H452" s="412"/>
      <c r="I452" s="412"/>
      <c r="J452" s="412"/>
      <c r="K452" s="412"/>
      <c r="L452" s="412"/>
    </row>
    <row r="453" spans="1:26" x14ac:dyDescent="0.2">
      <c r="A453" s="412"/>
      <c r="B453" s="412"/>
      <c r="C453" s="412"/>
      <c r="D453" s="413" t="s">
        <v>206</v>
      </c>
      <c r="E453" s="414" t="s">
        <v>908</v>
      </c>
      <c r="F453" s="414"/>
      <c r="G453" s="414"/>
      <c r="H453" s="415">
        <v>36971.589999999997</v>
      </c>
      <c r="I453" s="412"/>
      <c r="J453" s="412"/>
      <c r="K453" s="412"/>
      <c r="L453" s="412"/>
    </row>
    <row r="454" spans="1:26" x14ac:dyDescent="0.2">
      <c r="A454" s="412"/>
      <c r="B454" s="412"/>
      <c r="C454" s="412"/>
      <c r="D454" s="413" t="s">
        <v>207</v>
      </c>
      <c r="E454" s="414" t="s">
        <v>909</v>
      </c>
      <c r="F454" s="414"/>
      <c r="G454" s="414"/>
      <c r="H454" s="415">
        <v>16998.43</v>
      </c>
      <c r="I454" s="412"/>
      <c r="J454" s="412"/>
      <c r="K454" s="412"/>
      <c r="L454" s="412"/>
    </row>
    <row r="455" spans="1:26" x14ac:dyDescent="0.2">
      <c r="A455" s="412"/>
      <c r="B455" s="412"/>
      <c r="C455" s="412"/>
      <c r="D455" s="416" t="s">
        <v>715</v>
      </c>
      <c r="E455" s="417"/>
      <c r="F455" s="417"/>
      <c r="G455" s="417"/>
      <c r="H455" s="418">
        <v>96467.27</v>
      </c>
      <c r="I455" s="412"/>
      <c r="J455" s="412"/>
      <c r="K455" s="412"/>
      <c r="L455" s="412"/>
    </row>
    <row r="456" spans="1:26" s="817" customFormat="1" ht="40.799999999999997" x14ac:dyDescent="0.2">
      <c r="A456" s="813">
        <v>80</v>
      </c>
      <c r="B456" s="813">
        <v>80</v>
      </c>
      <c r="C456" s="813" t="s">
        <v>910</v>
      </c>
      <c r="D456" s="813" t="s">
        <v>816</v>
      </c>
      <c r="E456" s="814">
        <v>0.3</v>
      </c>
      <c r="F456" s="815">
        <v>461.95499999999998</v>
      </c>
      <c r="G456" s="815" t="s">
        <v>281</v>
      </c>
      <c r="H456" s="816">
        <v>6204.52</v>
      </c>
      <c r="I456" s="816">
        <v>6204.52</v>
      </c>
      <c r="J456" s="816" t="s">
        <v>281</v>
      </c>
      <c r="K456" s="815">
        <v>61.594000000000001</v>
      </c>
      <c r="L456" s="815">
        <v>18.478200000000001</v>
      </c>
      <c r="M456" s="819">
        <v>0</v>
      </c>
      <c r="N456" s="819" t="s">
        <v>2375</v>
      </c>
      <c r="O456" s="819"/>
      <c r="T456" s="817">
        <v>14208.35</v>
      </c>
      <c r="V456" s="817">
        <v>6204.52</v>
      </c>
      <c r="W456" s="817" t="s">
        <v>281</v>
      </c>
      <c r="X456" s="817" t="s">
        <v>281</v>
      </c>
      <c r="Y456" s="817">
        <v>18.478200000000001</v>
      </c>
      <c r="Z456" s="817" t="s">
        <v>281</v>
      </c>
    </row>
    <row r="457" spans="1:26" x14ac:dyDescent="0.2">
      <c r="A457" s="407"/>
      <c r="B457" s="407"/>
      <c r="C457" s="407"/>
      <c r="D457" s="408" t="s">
        <v>901</v>
      </c>
      <c r="E457" s="409"/>
      <c r="F457" s="410">
        <v>461.95499999999998</v>
      </c>
      <c r="G457" s="410" t="s">
        <v>281</v>
      </c>
      <c r="H457" s="409"/>
      <c r="I457" s="409"/>
      <c r="J457" s="411" t="s">
        <v>281</v>
      </c>
      <c r="K457" s="410" t="s">
        <v>281</v>
      </c>
      <c r="L457" s="410" t="s">
        <v>281</v>
      </c>
    </row>
    <row r="458" spans="1:26" ht="20.399999999999999" x14ac:dyDescent="0.2">
      <c r="A458" s="412"/>
      <c r="B458" s="412"/>
      <c r="C458" s="412"/>
      <c r="D458" s="395" t="s">
        <v>714</v>
      </c>
      <c r="E458" s="412"/>
      <c r="F458" s="412"/>
      <c r="G458" s="412"/>
      <c r="H458" s="412"/>
      <c r="I458" s="412"/>
      <c r="J458" s="412"/>
      <c r="K458" s="412"/>
      <c r="L458" s="412"/>
    </row>
    <row r="459" spans="1:26" ht="20.399999999999999" x14ac:dyDescent="0.2">
      <c r="A459" s="412"/>
      <c r="B459" s="412"/>
      <c r="C459" s="412"/>
      <c r="D459" s="395" t="s">
        <v>736</v>
      </c>
      <c r="E459" s="412"/>
      <c r="F459" s="412"/>
      <c r="G459" s="412"/>
      <c r="H459" s="412"/>
      <c r="I459" s="412"/>
      <c r="J459" s="412"/>
      <c r="K459" s="412"/>
      <c r="L459" s="412"/>
    </row>
    <row r="460" spans="1:26" ht="81.599999999999994" x14ac:dyDescent="0.2">
      <c r="A460" s="412"/>
      <c r="B460" s="412"/>
      <c r="C460" s="412"/>
      <c r="D460" s="395" t="s">
        <v>737</v>
      </c>
      <c r="E460" s="412"/>
      <c r="F460" s="412"/>
      <c r="G460" s="412"/>
      <c r="H460" s="412"/>
      <c r="I460" s="412"/>
      <c r="J460" s="412"/>
      <c r="K460" s="412"/>
      <c r="L460" s="412"/>
    </row>
    <row r="461" spans="1:26" x14ac:dyDescent="0.2">
      <c r="A461" s="412"/>
      <c r="B461" s="412"/>
      <c r="C461" s="412"/>
      <c r="D461" s="413" t="s">
        <v>206</v>
      </c>
      <c r="E461" s="414" t="s">
        <v>770</v>
      </c>
      <c r="F461" s="414"/>
      <c r="G461" s="414"/>
      <c r="H461" s="415">
        <v>5522.02</v>
      </c>
      <c r="I461" s="412"/>
      <c r="J461" s="412"/>
      <c r="K461" s="412"/>
      <c r="L461" s="412"/>
    </row>
    <row r="462" spans="1:26" x14ac:dyDescent="0.2">
      <c r="A462" s="412"/>
      <c r="B462" s="412"/>
      <c r="C462" s="412"/>
      <c r="D462" s="413" t="s">
        <v>207</v>
      </c>
      <c r="E462" s="414" t="s">
        <v>909</v>
      </c>
      <c r="F462" s="414"/>
      <c r="G462" s="414"/>
      <c r="H462" s="415">
        <v>2481.81</v>
      </c>
      <c r="I462" s="412"/>
      <c r="J462" s="412"/>
      <c r="K462" s="412"/>
      <c r="L462" s="412"/>
    </row>
    <row r="463" spans="1:26" x14ac:dyDescent="0.2">
      <c r="A463" s="412"/>
      <c r="B463" s="412"/>
      <c r="C463" s="412"/>
      <c r="D463" s="416" t="s">
        <v>715</v>
      </c>
      <c r="E463" s="417"/>
      <c r="F463" s="417"/>
      <c r="G463" s="417"/>
      <c r="H463" s="418">
        <v>14208.35</v>
      </c>
      <c r="I463" s="412"/>
      <c r="J463" s="412"/>
      <c r="K463" s="412"/>
      <c r="L463" s="412"/>
    </row>
    <row r="464" spans="1:26" s="817" customFormat="1" ht="30.6" x14ac:dyDescent="0.2">
      <c r="A464" s="813">
        <v>81</v>
      </c>
      <c r="B464" s="813">
        <v>81</v>
      </c>
      <c r="C464" s="813" t="s">
        <v>888</v>
      </c>
      <c r="D464" s="813" t="s">
        <v>911</v>
      </c>
      <c r="E464" s="814">
        <v>2790.4</v>
      </c>
      <c r="F464" s="815">
        <v>2.91</v>
      </c>
      <c r="G464" s="815">
        <v>2.91</v>
      </c>
      <c r="H464" s="816">
        <v>110583.55</v>
      </c>
      <c r="I464" s="816" t="s">
        <v>281</v>
      </c>
      <c r="J464" s="816">
        <v>110583.55</v>
      </c>
      <c r="K464" s="815" t="s">
        <v>281</v>
      </c>
      <c r="L464" s="815" t="s">
        <v>281</v>
      </c>
      <c r="M464" s="819">
        <v>0</v>
      </c>
      <c r="N464" s="819" t="s">
        <v>2375</v>
      </c>
      <c r="O464" s="819"/>
      <c r="T464" s="817">
        <v>110583.55</v>
      </c>
      <c r="V464" s="817" t="s">
        <v>281</v>
      </c>
      <c r="W464" s="817">
        <v>110583.55</v>
      </c>
      <c r="X464" s="817" t="s">
        <v>281</v>
      </c>
      <c r="Y464" s="817" t="s">
        <v>281</v>
      </c>
      <c r="Z464" s="817" t="s">
        <v>281</v>
      </c>
    </row>
    <row r="465" spans="1:26" x14ac:dyDescent="0.2">
      <c r="A465" s="407"/>
      <c r="B465" s="407"/>
      <c r="C465" s="407"/>
      <c r="D465" s="408" t="s">
        <v>743</v>
      </c>
      <c r="E465" s="409"/>
      <c r="F465" s="410" t="s">
        <v>281</v>
      </c>
      <c r="G465" s="410" t="s">
        <v>281</v>
      </c>
      <c r="H465" s="409"/>
      <c r="I465" s="409"/>
      <c r="J465" s="411" t="s">
        <v>281</v>
      </c>
      <c r="K465" s="410" t="s">
        <v>281</v>
      </c>
      <c r="L465" s="410" t="s">
        <v>281</v>
      </c>
    </row>
    <row r="466" spans="1:26" x14ac:dyDescent="0.2">
      <c r="A466" s="412"/>
      <c r="B466" s="412"/>
      <c r="C466" s="412"/>
      <c r="D466" s="395" t="s">
        <v>792</v>
      </c>
      <c r="E466" s="412"/>
      <c r="F466" s="412"/>
      <c r="G466" s="412"/>
      <c r="H466" s="412"/>
      <c r="I466" s="412"/>
      <c r="J466" s="412"/>
      <c r="K466" s="412"/>
      <c r="L466" s="412"/>
    </row>
    <row r="467" spans="1:26" x14ac:dyDescent="0.2">
      <c r="A467" s="412"/>
      <c r="B467" s="412"/>
      <c r="C467" s="412"/>
      <c r="D467" s="416" t="s">
        <v>715</v>
      </c>
      <c r="E467" s="417"/>
      <c r="F467" s="417"/>
      <c r="G467" s="417"/>
      <c r="H467" s="418">
        <v>110583.55</v>
      </c>
      <c r="I467" s="412"/>
      <c r="J467" s="412"/>
      <c r="K467" s="412"/>
      <c r="L467" s="412"/>
    </row>
    <row r="468" spans="1:26" s="817" customFormat="1" ht="30.6" x14ac:dyDescent="0.2">
      <c r="A468" s="813">
        <v>82</v>
      </c>
      <c r="B468" s="813">
        <v>82</v>
      </c>
      <c r="C468" s="813" t="s">
        <v>912</v>
      </c>
      <c r="D468" s="813" t="s">
        <v>913</v>
      </c>
      <c r="E468" s="814">
        <v>2790.4</v>
      </c>
      <c r="F468" s="815">
        <v>3.96</v>
      </c>
      <c r="G468" s="815" t="s">
        <v>281</v>
      </c>
      <c r="H468" s="816">
        <v>146300.67000000001</v>
      </c>
      <c r="I468" s="816" t="s">
        <v>281</v>
      </c>
      <c r="J468" s="816" t="s">
        <v>281</v>
      </c>
      <c r="K468" s="815" t="s">
        <v>281</v>
      </c>
      <c r="L468" s="815" t="s">
        <v>281</v>
      </c>
      <c r="M468" s="819">
        <v>0</v>
      </c>
      <c r="N468" s="819" t="s">
        <v>2375</v>
      </c>
      <c r="O468" s="819"/>
      <c r="T468" s="817">
        <v>146300.67000000001</v>
      </c>
      <c r="V468" s="817" t="s">
        <v>281</v>
      </c>
      <c r="W468" s="817" t="s">
        <v>281</v>
      </c>
      <c r="X468" s="817" t="s">
        <v>281</v>
      </c>
      <c r="Y468" s="817" t="s">
        <v>281</v>
      </c>
      <c r="Z468" s="817" t="s">
        <v>281</v>
      </c>
    </row>
    <row r="469" spans="1:26" x14ac:dyDescent="0.2">
      <c r="A469" s="407"/>
      <c r="B469" s="407"/>
      <c r="C469" s="407"/>
      <c r="D469" s="408" t="s">
        <v>743</v>
      </c>
      <c r="E469" s="409"/>
      <c r="F469" s="410" t="s">
        <v>281</v>
      </c>
      <c r="G469" s="410" t="s">
        <v>281</v>
      </c>
      <c r="H469" s="409"/>
      <c r="I469" s="409"/>
      <c r="J469" s="411" t="s">
        <v>281</v>
      </c>
      <c r="K469" s="410" t="s">
        <v>281</v>
      </c>
      <c r="L469" s="410" t="s">
        <v>281</v>
      </c>
    </row>
    <row r="470" spans="1:26" x14ac:dyDescent="0.2">
      <c r="A470" s="412"/>
      <c r="B470" s="412"/>
      <c r="C470" s="412"/>
      <c r="D470" s="395" t="s">
        <v>716</v>
      </c>
      <c r="E470" s="412"/>
      <c r="F470" s="412"/>
      <c r="G470" s="412"/>
      <c r="H470" s="412"/>
      <c r="I470" s="412"/>
      <c r="J470" s="412"/>
      <c r="K470" s="412"/>
      <c r="L470" s="412"/>
    </row>
    <row r="471" spans="1:26" x14ac:dyDescent="0.2">
      <c r="A471" s="412"/>
      <c r="B471" s="412"/>
      <c r="C471" s="412"/>
      <c r="D471" s="416" t="s">
        <v>715</v>
      </c>
      <c r="E471" s="417"/>
      <c r="F471" s="417"/>
      <c r="G471" s="417"/>
      <c r="H471" s="418">
        <v>146300.67000000001</v>
      </c>
      <c r="I471" s="412"/>
      <c r="J471" s="412"/>
      <c r="K471" s="412"/>
      <c r="L471" s="412"/>
    </row>
    <row r="472" spans="1:26" s="817" customFormat="1" ht="30.6" x14ac:dyDescent="0.2">
      <c r="A472" s="813">
        <v>83</v>
      </c>
      <c r="B472" s="813">
        <v>83</v>
      </c>
      <c r="C472" s="813" t="s">
        <v>888</v>
      </c>
      <c r="D472" s="813" t="s">
        <v>911</v>
      </c>
      <c r="E472" s="814">
        <v>2790.4</v>
      </c>
      <c r="F472" s="815">
        <v>2.91</v>
      </c>
      <c r="G472" s="815">
        <v>2.91</v>
      </c>
      <c r="H472" s="816">
        <v>110583.55</v>
      </c>
      <c r="I472" s="816" t="s">
        <v>281</v>
      </c>
      <c r="J472" s="816">
        <v>110583.55</v>
      </c>
      <c r="K472" s="815" t="s">
        <v>281</v>
      </c>
      <c r="L472" s="815" t="s">
        <v>281</v>
      </c>
      <c r="M472" s="819">
        <v>0</v>
      </c>
      <c r="N472" s="819" t="s">
        <v>2375</v>
      </c>
      <c r="O472" s="819"/>
      <c r="T472" s="817">
        <v>110583.55</v>
      </c>
      <c r="V472" s="817" t="s">
        <v>281</v>
      </c>
      <c r="W472" s="817">
        <v>110583.55</v>
      </c>
      <c r="X472" s="817" t="s">
        <v>281</v>
      </c>
      <c r="Y472" s="817" t="s">
        <v>281</v>
      </c>
      <c r="Z472" s="817" t="s">
        <v>281</v>
      </c>
    </row>
    <row r="473" spans="1:26" x14ac:dyDescent="0.2">
      <c r="A473" s="407"/>
      <c r="B473" s="407"/>
      <c r="C473" s="407"/>
      <c r="D473" s="408" t="s">
        <v>743</v>
      </c>
      <c r="E473" s="409"/>
      <c r="F473" s="410" t="s">
        <v>281</v>
      </c>
      <c r="G473" s="410" t="s">
        <v>281</v>
      </c>
      <c r="H473" s="409"/>
      <c r="I473" s="409"/>
      <c r="J473" s="411" t="s">
        <v>281</v>
      </c>
      <c r="K473" s="410" t="s">
        <v>281</v>
      </c>
      <c r="L473" s="410" t="s">
        <v>281</v>
      </c>
    </row>
    <row r="474" spans="1:26" x14ac:dyDescent="0.2">
      <c r="A474" s="412"/>
      <c r="B474" s="412"/>
      <c r="C474" s="412"/>
      <c r="D474" s="395" t="s">
        <v>792</v>
      </c>
      <c r="E474" s="412"/>
      <c r="F474" s="412"/>
      <c r="G474" s="412"/>
      <c r="H474" s="412"/>
      <c r="I474" s="412"/>
      <c r="J474" s="412"/>
      <c r="K474" s="412"/>
      <c r="L474" s="412"/>
    </row>
    <row r="475" spans="1:26" x14ac:dyDescent="0.2">
      <c r="A475" s="412"/>
      <c r="B475" s="412"/>
      <c r="C475" s="412"/>
      <c r="D475" s="416" t="s">
        <v>715</v>
      </c>
      <c r="E475" s="417"/>
      <c r="F475" s="417"/>
      <c r="G475" s="417"/>
      <c r="H475" s="418">
        <v>110583.55</v>
      </c>
      <c r="I475" s="412"/>
      <c r="J475" s="412"/>
      <c r="K475" s="412"/>
      <c r="L475" s="412"/>
    </row>
    <row r="476" spans="1:26" s="817" customFormat="1" ht="40.799999999999997" x14ac:dyDescent="0.2">
      <c r="A476" s="813">
        <v>84</v>
      </c>
      <c r="B476" s="813">
        <v>84</v>
      </c>
      <c r="C476" s="813" t="s">
        <v>762</v>
      </c>
      <c r="D476" s="813" t="s">
        <v>817</v>
      </c>
      <c r="E476" s="814">
        <v>1.879</v>
      </c>
      <c r="F476" s="815">
        <v>551.22950000000003</v>
      </c>
      <c r="G476" s="815">
        <v>551.22950000000003</v>
      </c>
      <c r="H476" s="816">
        <v>13713.47</v>
      </c>
      <c r="I476" s="816" t="s">
        <v>281</v>
      </c>
      <c r="J476" s="816">
        <v>13713.47</v>
      </c>
      <c r="K476" s="815" t="s">
        <v>281</v>
      </c>
      <c r="L476" s="815" t="s">
        <v>281</v>
      </c>
      <c r="M476" s="819">
        <v>0</v>
      </c>
      <c r="N476" s="819" t="s">
        <v>2375</v>
      </c>
      <c r="O476" s="819"/>
      <c r="T476" s="817">
        <v>26195.99</v>
      </c>
      <c r="V476" s="817" t="s">
        <v>281</v>
      </c>
      <c r="W476" s="817">
        <v>13713.47</v>
      </c>
      <c r="X476" s="817">
        <v>9045.2999999999993</v>
      </c>
      <c r="Y476" s="817" t="s">
        <v>281</v>
      </c>
      <c r="Z476" s="817">
        <v>17.416450999999999</v>
      </c>
    </row>
    <row r="477" spans="1:26" x14ac:dyDescent="0.2">
      <c r="A477" s="407"/>
      <c r="B477" s="407"/>
      <c r="C477" s="407"/>
      <c r="D477" s="408" t="s">
        <v>763</v>
      </c>
      <c r="E477" s="409"/>
      <c r="F477" s="410" t="s">
        <v>281</v>
      </c>
      <c r="G477" s="410">
        <v>107.52500000000001</v>
      </c>
      <c r="H477" s="409"/>
      <c r="I477" s="409"/>
      <c r="J477" s="411">
        <v>9045.2999999999993</v>
      </c>
      <c r="K477" s="410">
        <v>9.2690000000000001</v>
      </c>
      <c r="L477" s="410">
        <v>17.416450999999999</v>
      </c>
    </row>
    <row r="478" spans="1:26" ht="20.399999999999999" x14ac:dyDescent="0.2">
      <c r="A478" s="412"/>
      <c r="B478" s="412"/>
      <c r="C478" s="412"/>
      <c r="D478" s="395" t="s">
        <v>714</v>
      </c>
      <c r="E478" s="412"/>
      <c r="F478" s="412"/>
      <c r="G478" s="412"/>
      <c r="H478" s="412"/>
      <c r="I478" s="412"/>
      <c r="J478" s="412"/>
      <c r="K478" s="412"/>
      <c r="L478" s="412"/>
    </row>
    <row r="479" spans="1:26" ht="20.399999999999999" x14ac:dyDescent="0.2">
      <c r="A479" s="412"/>
      <c r="B479" s="412"/>
      <c r="C479" s="412"/>
      <c r="D479" s="395" t="s">
        <v>736</v>
      </c>
      <c r="E479" s="412"/>
      <c r="F479" s="412"/>
      <c r="G479" s="412"/>
      <c r="H479" s="412"/>
      <c r="I479" s="412"/>
      <c r="J479" s="412"/>
      <c r="K479" s="412"/>
      <c r="L479" s="412"/>
    </row>
    <row r="480" spans="1:26" ht="81.599999999999994" x14ac:dyDescent="0.2">
      <c r="A480" s="412"/>
      <c r="B480" s="412"/>
      <c r="C480" s="412"/>
      <c r="D480" s="395" t="s">
        <v>737</v>
      </c>
      <c r="E480" s="412"/>
      <c r="F480" s="412"/>
      <c r="G480" s="412"/>
      <c r="H480" s="412"/>
      <c r="I480" s="412"/>
      <c r="J480" s="412"/>
      <c r="K480" s="412"/>
      <c r="L480" s="412"/>
    </row>
    <row r="481" spans="1:26" x14ac:dyDescent="0.2">
      <c r="A481" s="412"/>
      <c r="B481" s="412"/>
      <c r="C481" s="412"/>
      <c r="D481" s="413" t="s">
        <v>206</v>
      </c>
      <c r="E481" s="414" t="s">
        <v>764</v>
      </c>
      <c r="F481" s="414"/>
      <c r="G481" s="414"/>
      <c r="H481" s="415">
        <v>8321.68</v>
      </c>
      <c r="I481" s="412"/>
      <c r="J481" s="412"/>
      <c r="K481" s="412"/>
      <c r="L481" s="412"/>
    </row>
    <row r="482" spans="1:26" x14ac:dyDescent="0.2">
      <c r="A482" s="412"/>
      <c r="B482" s="412"/>
      <c r="C482" s="412"/>
      <c r="D482" s="413" t="s">
        <v>207</v>
      </c>
      <c r="E482" s="414" t="s">
        <v>765</v>
      </c>
      <c r="F482" s="414"/>
      <c r="G482" s="414"/>
      <c r="H482" s="415">
        <v>4160.84</v>
      </c>
      <c r="I482" s="412"/>
      <c r="J482" s="412"/>
      <c r="K482" s="412"/>
      <c r="L482" s="412"/>
    </row>
    <row r="483" spans="1:26" x14ac:dyDescent="0.2">
      <c r="A483" s="412"/>
      <c r="B483" s="412"/>
      <c r="C483" s="412"/>
      <c r="D483" s="416" t="s">
        <v>715</v>
      </c>
      <c r="E483" s="417"/>
      <c r="F483" s="417"/>
      <c r="G483" s="417"/>
      <c r="H483" s="418">
        <v>26195.99</v>
      </c>
      <c r="I483" s="412"/>
      <c r="J483" s="412"/>
      <c r="K483" s="412"/>
      <c r="L483" s="412"/>
    </row>
    <row r="484" spans="1:26" s="817" customFormat="1" ht="30.6" x14ac:dyDescent="0.2">
      <c r="A484" s="813">
        <v>85</v>
      </c>
      <c r="B484" s="813">
        <v>85</v>
      </c>
      <c r="C484" s="813" t="s">
        <v>914</v>
      </c>
      <c r="D484" s="813" t="s">
        <v>818</v>
      </c>
      <c r="E484" s="814">
        <v>0.38300000000000001</v>
      </c>
      <c r="F484" s="815">
        <v>838.35</v>
      </c>
      <c r="G484" s="815" t="s">
        <v>281</v>
      </c>
      <c r="H484" s="816">
        <v>14375.11</v>
      </c>
      <c r="I484" s="816">
        <v>14375.11</v>
      </c>
      <c r="J484" s="816" t="s">
        <v>281</v>
      </c>
      <c r="K484" s="815">
        <v>111.78</v>
      </c>
      <c r="L484" s="815">
        <v>42.81174</v>
      </c>
      <c r="M484" s="819">
        <v>0</v>
      </c>
      <c r="N484" s="819" t="s">
        <v>2375</v>
      </c>
      <c r="O484" s="819"/>
      <c r="T484" s="817">
        <v>32919</v>
      </c>
      <c r="V484" s="817">
        <v>14375.11</v>
      </c>
      <c r="W484" s="817" t="s">
        <v>281</v>
      </c>
      <c r="X484" s="817" t="s">
        <v>281</v>
      </c>
      <c r="Y484" s="817">
        <v>42.81174</v>
      </c>
      <c r="Z484" s="817" t="s">
        <v>281</v>
      </c>
    </row>
    <row r="485" spans="1:26" x14ac:dyDescent="0.2">
      <c r="A485" s="407"/>
      <c r="B485" s="407"/>
      <c r="C485" s="407"/>
      <c r="D485" s="408" t="s">
        <v>901</v>
      </c>
      <c r="E485" s="409"/>
      <c r="F485" s="410">
        <v>838.35</v>
      </c>
      <c r="G485" s="410" t="s">
        <v>281</v>
      </c>
      <c r="H485" s="409"/>
      <c r="I485" s="409"/>
      <c r="J485" s="411" t="s">
        <v>281</v>
      </c>
      <c r="K485" s="410" t="s">
        <v>281</v>
      </c>
      <c r="L485" s="410" t="s">
        <v>281</v>
      </c>
    </row>
    <row r="486" spans="1:26" ht="20.399999999999999" x14ac:dyDescent="0.2">
      <c r="A486" s="412"/>
      <c r="B486" s="412"/>
      <c r="C486" s="412"/>
      <c r="D486" s="395" t="s">
        <v>714</v>
      </c>
      <c r="E486" s="412"/>
      <c r="F486" s="412"/>
      <c r="G486" s="412"/>
      <c r="H486" s="412"/>
      <c r="I486" s="412"/>
      <c r="J486" s="412"/>
      <c r="K486" s="412"/>
      <c r="L486" s="412"/>
    </row>
    <row r="487" spans="1:26" ht="20.399999999999999" x14ac:dyDescent="0.2">
      <c r="A487" s="412"/>
      <c r="B487" s="412"/>
      <c r="C487" s="412"/>
      <c r="D487" s="395" t="s">
        <v>736</v>
      </c>
      <c r="E487" s="412"/>
      <c r="F487" s="412"/>
      <c r="G487" s="412"/>
      <c r="H487" s="412"/>
      <c r="I487" s="412"/>
      <c r="J487" s="412"/>
      <c r="K487" s="412"/>
      <c r="L487" s="412"/>
    </row>
    <row r="488" spans="1:26" ht="81.599999999999994" x14ac:dyDescent="0.2">
      <c r="A488" s="412"/>
      <c r="B488" s="412"/>
      <c r="C488" s="412"/>
      <c r="D488" s="395" t="s">
        <v>737</v>
      </c>
      <c r="E488" s="412"/>
      <c r="F488" s="412"/>
      <c r="G488" s="412"/>
      <c r="H488" s="412"/>
      <c r="I488" s="412"/>
      <c r="J488" s="412"/>
      <c r="K488" s="412"/>
      <c r="L488" s="412"/>
    </row>
    <row r="489" spans="1:26" x14ac:dyDescent="0.2">
      <c r="A489" s="412"/>
      <c r="B489" s="412"/>
      <c r="C489" s="412"/>
      <c r="D489" s="413" t="s">
        <v>206</v>
      </c>
      <c r="E489" s="414" t="s">
        <v>770</v>
      </c>
      <c r="F489" s="414"/>
      <c r="G489" s="414"/>
      <c r="H489" s="415">
        <v>12793.85</v>
      </c>
      <c r="I489" s="412"/>
      <c r="J489" s="412"/>
      <c r="K489" s="412"/>
      <c r="L489" s="412"/>
    </row>
    <row r="490" spans="1:26" x14ac:dyDescent="0.2">
      <c r="A490" s="412"/>
      <c r="B490" s="412"/>
      <c r="C490" s="412"/>
      <c r="D490" s="413" t="s">
        <v>207</v>
      </c>
      <c r="E490" s="414" t="s">
        <v>909</v>
      </c>
      <c r="F490" s="414"/>
      <c r="G490" s="414"/>
      <c r="H490" s="415">
        <v>5750.04</v>
      </c>
      <c r="I490" s="412"/>
      <c r="J490" s="412"/>
      <c r="K490" s="412"/>
      <c r="L490" s="412"/>
    </row>
    <row r="491" spans="1:26" x14ac:dyDescent="0.2">
      <c r="A491" s="412"/>
      <c r="B491" s="412"/>
      <c r="C491" s="412"/>
      <c r="D491" s="416" t="s">
        <v>715</v>
      </c>
      <c r="E491" s="417"/>
      <c r="F491" s="417"/>
      <c r="G491" s="417"/>
      <c r="H491" s="418">
        <v>32919</v>
      </c>
      <c r="I491" s="412"/>
      <c r="J491" s="412"/>
      <c r="K491" s="412"/>
      <c r="L491" s="412"/>
    </row>
    <row r="492" spans="1:26" s="817" customFormat="1" ht="40.799999999999997" x14ac:dyDescent="0.2">
      <c r="A492" s="813">
        <v>86</v>
      </c>
      <c r="B492" s="813">
        <v>86</v>
      </c>
      <c r="C492" s="813" t="s">
        <v>915</v>
      </c>
      <c r="D492" s="813" t="s">
        <v>819</v>
      </c>
      <c r="E492" s="814">
        <v>1.879</v>
      </c>
      <c r="F492" s="815">
        <v>1335.127</v>
      </c>
      <c r="G492" s="815">
        <v>1335.127</v>
      </c>
      <c r="H492" s="816">
        <v>33215.230000000003</v>
      </c>
      <c r="I492" s="816" t="s">
        <v>281</v>
      </c>
      <c r="J492" s="816">
        <v>33215.230000000003</v>
      </c>
      <c r="K492" s="815" t="s">
        <v>281</v>
      </c>
      <c r="L492" s="815" t="s">
        <v>281</v>
      </c>
      <c r="M492" s="819">
        <v>0</v>
      </c>
      <c r="N492" s="819" t="s">
        <v>2375</v>
      </c>
      <c r="O492" s="819"/>
      <c r="T492" s="817">
        <v>58579.45</v>
      </c>
      <c r="V492" s="817" t="s">
        <v>281</v>
      </c>
      <c r="W492" s="817">
        <v>33215.230000000003</v>
      </c>
      <c r="X492" s="817">
        <v>18379.87</v>
      </c>
      <c r="Y492" s="817" t="s">
        <v>281</v>
      </c>
      <c r="Z492" s="817">
        <v>30.230291999999999</v>
      </c>
    </row>
    <row r="493" spans="1:26" x14ac:dyDescent="0.2">
      <c r="A493" s="407"/>
      <c r="B493" s="407"/>
      <c r="C493" s="407"/>
      <c r="D493" s="408" t="s">
        <v>763</v>
      </c>
      <c r="E493" s="409"/>
      <c r="F493" s="410" t="s">
        <v>281</v>
      </c>
      <c r="G493" s="410">
        <v>218.48849999999999</v>
      </c>
      <c r="H493" s="409"/>
      <c r="I493" s="409"/>
      <c r="J493" s="411">
        <v>18379.87</v>
      </c>
      <c r="K493" s="410">
        <v>16.0885</v>
      </c>
      <c r="L493" s="410">
        <v>30.230291999999999</v>
      </c>
    </row>
    <row r="494" spans="1:26" ht="20.399999999999999" x14ac:dyDescent="0.2">
      <c r="A494" s="412"/>
      <c r="B494" s="412"/>
      <c r="C494" s="412"/>
      <c r="D494" s="395" t="s">
        <v>714</v>
      </c>
      <c r="E494" s="412"/>
      <c r="F494" s="412"/>
      <c r="G494" s="412"/>
      <c r="H494" s="412"/>
      <c r="I494" s="412"/>
      <c r="J494" s="412"/>
      <c r="K494" s="412"/>
      <c r="L494" s="412"/>
    </row>
    <row r="495" spans="1:26" ht="20.399999999999999" x14ac:dyDescent="0.2">
      <c r="A495" s="412"/>
      <c r="B495" s="412"/>
      <c r="C495" s="412"/>
      <c r="D495" s="395" t="s">
        <v>736</v>
      </c>
      <c r="E495" s="412"/>
      <c r="F495" s="412"/>
      <c r="G495" s="412"/>
      <c r="H495" s="412"/>
      <c r="I495" s="412"/>
      <c r="J495" s="412"/>
      <c r="K495" s="412"/>
      <c r="L495" s="412"/>
    </row>
    <row r="496" spans="1:26" ht="81.599999999999994" x14ac:dyDescent="0.2">
      <c r="A496" s="412"/>
      <c r="B496" s="412"/>
      <c r="C496" s="412"/>
      <c r="D496" s="395" t="s">
        <v>737</v>
      </c>
      <c r="E496" s="412"/>
      <c r="F496" s="412"/>
      <c r="G496" s="412"/>
      <c r="H496" s="412"/>
      <c r="I496" s="412"/>
      <c r="J496" s="412"/>
      <c r="K496" s="412"/>
      <c r="L496" s="412"/>
    </row>
    <row r="497" spans="1:26" x14ac:dyDescent="0.2">
      <c r="A497" s="412"/>
      <c r="B497" s="412"/>
      <c r="C497" s="412"/>
      <c r="D497" s="413" t="s">
        <v>206</v>
      </c>
      <c r="E497" s="414" t="s">
        <v>764</v>
      </c>
      <c r="F497" s="414"/>
      <c r="G497" s="414"/>
      <c r="H497" s="415">
        <v>16909.48</v>
      </c>
      <c r="I497" s="412"/>
      <c r="J497" s="412"/>
      <c r="K497" s="412"/>
      <c r="L497" s="412"/>
    </row>
    <row r="498" spans="1:26" x14ac:dyDescent="0.2">
      <c r="A498" s="412"/>
      <c r="B498" s="412"/>
      <c r="C498" s="412"/>
      <c r="D498" s="413" t="s">
        <v>207</v>
      </c>
      <c r="E498" s="414" t="s">
        <v>765</v>
      </c>
      <c r="F498" s="414"/>
      <c r="G498" s="414"/>
      <c r="H498" s="415">
        <v>8454.74</v>
      </c>
      <c r="I498" s="412"/>
      <c r="J498" s="412"/>
      <c r="K498" s="412"/>
      <c r="L498" s="412"/>
    </row>
    <row r="499" spans="1:26" x14ac:dyDescent="0.2">
      <c r="A499" s="412"/>
      <c r="B499" s="412"/>
      <c r="C499" s="412"/>
      <c r="D499" s="416" t="s">
        <v>715</v>
      </c>
      <c r="E499" s="417"/>
      <c r="F499" s="417"/>
      <c r="G499" s="417"/>
      <c r="H499" s="418">
        <v>58579.45</v>
      </c>
      <c r="I499" s="412"/>
      <c r="J499" s="412"/>
      <c r="K499" s="412"/>
      <c r="L499" s="412"/>
    </row>
    <row r="500" spans="1:26" s="817" customFormat="1" ht="30.6" x14ac:dyDescent="0.2">
      <c r="A500" s="813">
        <v>87</v>
      </c>
      <c r="B500" s="813">
        <v>87</v>
      </c>
      <c r="C500" s="813" t="s">
        <v>916</v>
      </c>
      <c r="D500" s="813" t="s">
        <v>820</v>
      </c>
      <c r="E500" s="814">
        <v>1.879</v>
      </c>
      <c r="F500" s="815">
        <v>176.67449999999999</v>
      </c>
      <c r="G500" s="815">
        <v>176.67449999999999</v>
      </c>
      <c r="H500" s="816">
        <v>4395.3</v>
      </c>
      <c r="I500" s="816" t="s">
        <v>281</v>
      </c>
      <c r="J500" s="816">
        <v>4395.3</v>
      </c>
      <c r="K500" s="815" t="s">
        <v>281</v>
      </c>
      <c r="L500" s="815" t="s">
        <v>281</v>
      </c>
      <c r="M500" s="819">
        <v>0</v>
      </c>
      <c r="N500" s="819" t="s">
        <v>2375</v>
      </c>
      <c r="O500" s="819"/>
      <c r="T500" s="817">
        <v>6798.35</v>
      </c>
      <c r="V500" s="817" t="s">
        <v>281</v>
      </c>
      <c r="W500" s="817">
        <v>4395.3</v>
      </c>
      <c r="X500" s="817">
        <v>1741.34</v>
      </c>
      <c r="Y500" s="817" t="s">
        <v>281</v>
      </c>
      <c r="Z500" s="817">
        <v>2.701063</v>
      </c>
    </row>
    <row r="501" spans="1:26" x14ac:dyDescent="0.2">
      <c r="A501" s="407"/>
      <c r="B501" s="407"/>
      <c r="C501" s="407"/>
      <c r="D501" s="408" t="s">
        <v>763</v>
      </c>
      <c r="E501" s="409"/>
      <c r="F501" s="410" t="s">
        <v>281</v>
      </c>
      <c r="G501" s="410">
        <v>20.7</v>
      </c>
      <c r="H501" s="409"/>
      <c r="I501" s="409"/>
      <c r="J501" s="411">
        <v>1741.34</v>
      </c>
      <c r="K501" s="410">
        <v>1.4375</v>
      </c>
      <c r="L501" s="410">
        <v>2.701063</v>
      </c>
    </row>
    <row r="502" spans="1:26" ht="20.399999999999999" x14ac:dyDescent="0.2">
      <c r="A502" s="412"/>
      <c r="B502" s="412"/>
      <c r="C502" s="412"/>
      <c r="D502" s="395" t="s">
        <v>714</v>
      </c>
      <c r="E502" s="412"/>
      <c r="F502" s="412"/>
      <c r="G502" s="412"/>
      <c r="H502" s="412"/>
      <c r="I502" s="412"/>
      <c r="J502" s="412"/>
      <c r="K502" s="412"/>
      <c r="L502" s="412"/>
    </row>
    <row r="503" spans="1:26" ht="20.399999999999999" x14ac:dyDescent="0.2">
      <c r="A503" s="412"/>
      <c r="B503" s="412"/>
      <c r="C503" s="412"/>
      <c r="D503" s="395" t="s">
        <v>767</v>
      </c>
      <c r="E503" s="412"/>
      <c r="F503" s="412"/>
      <c r="G503" s="412"/>
      <c r="H503" s="412"/>
      <c r="I503" s="412"/>
      <c r="J503" s="412"/>
      <c r="K503" s="412"/>
      <c r="L503" s="412"/>
    </row>
    <row r="504" spans="1:26" ht="100.5" customHeight="1" x14ac:dyDescent="0.2">
      <c r="A504" s="412"/>
      <c r="B504" s="412"/>
      <c r="C504" s="412"/>
      <c r="D504" s="395" t="s">
        <v>917</v>
      </c>
      <c r="E504" s="412"/>
      <c r="F504" s="412"/>
      <c r="G504" s="412"/>
      <c r="H504" s="412"/>
      <c r="I504" s="412"/>
      <c r="J504" s="412"/>
      <c r="K504" s="412"/>
      <c r="L504" s="412"/>
    </row>
    <row r="505" spans="1:26" x14ac:dyDescent="0.2">
      <c r="A505" s="412"/>
      <c r="B505" s="412"/>
      <c r="C505" s="412"/>
      <c r="D505" s="413" t="s">
        <v>206</v>
      </c>
      <c r="E505" s="414" t="s">
        <v>764</v>
      </c>
      <c r="F505" s="414"/>
      <c r="G505" s="414"/>
      <c r="H505" s="415">
        <v>1602.03</v>
      </c>
      <c r="I505" s="412"/>
      <c r="J505" s="412"/>
      <c r="K505" s="412"/>
      <c r="L505" s="412"/>
    </row>
    <row r="506" spans="1:26" x14ac:dyDescent="0.2">
      <c r="A506" s="412"/>
      <c r="B506" s="412"/>
      <c r="C506" s="412"/>
      <c r="D506" s="413" t="s">
        <v>207</v>
      </c>
      <c r="E506" s="414" t="s">
        <v>765</v>
      </c>
      <c r="F506" s="414"/>
      <c r="G506" s="414"/>
      <c r="H506" s="415">
        <v>801.02</v>
      </c>
      <c r="I506" s="412"/>
      <c r="J506" s="412"/>
      <c r="K506" s="412"/>
      <c r="L506" s="412"/>
    </row>
    <row r="507" spans="1:26" x14ac:dyDescent="0.2">
      <c r="A507" s="419"/>
      <c r="B507" s="419"/>
      <c r="C507" s="419"/>
      <c r="D507" s="420" t="s">
        <v>715</v>
      </c>
      <c r="E507" s="421"/>
      <c r="F507" s="421"/>
      <c r="G507" s="421"/>
      <c r="H507" s="422">
        <v>6798.35</v>
      </c>
      <c r="I507" s="419"/>
      <c r="J507" s="419"/>
      <c r="K507" s="419"/>
      <c r="L507" s="419"/>
    </row>
    <row r="508" spans="1:26" x14ac:dyDescent="0.2">
      <c r="A508" s="1086" t="s">
        <v>918</v>
      </c>
      <c r="B508" s="1086"/>
      <c r="C508" s="1086"/>
      <c r="D508" s="1086"/>
      <c r="E508" s="1086"/>
      <c r="F508" s="1086"/>
      <c r="G508" s="1086"/>
      <c r="H508" s="1086"/>
      <c r="I508" s="1086"/>
      <c r="J508" s="1086"/>
      <c r="K508" s="1086"/>
      <c r="L508" s="1086"/>
    </row>
    <row r="509" spans="1:26" x14ac:dyDescent="0.2">
      <c r="A509" s="1085" t="s">
        <v>774</v>
      </c>
      <c r="B509" s="1085"/>
      <c r="C509" s="1085"/>
      <c r="D509" s="1085"/>
      <c r="E509" s="1085"/>
      <c r="F509" s="1085"/>
      <c r="G509" s="1085"/>
      <c r="H509" s="423">
        <v>24768089.629999999</v>
      </c>
      <c r="I509" s="419"/>
      <c r="J509" s="419"/>
      <c r="K509" s="419"/>
      <c r="L509" s="419"/>
    </row>
    <row r="510" spans="1:26" x14ac:dyDescent="0.2">
      <c r="A510" s="1085" t="s">
        <v>919</v>
      </c>
      <c r="B510" s="1085"/>
      <c r="C510" s="1085"/>
      <c r="D510" s="1085"/>
      <c r="E510" s="1085"/>
      <c r="F510" s="1085"/>
      <c r="G510" s="1085"/>
      <c r="H510" s="423">
        <v>2830717.08</v>
      </c>
      <c r="I510" s="419"/>
      <c r="J510" s="419"/>
      <c r="K510" s="419"/>
      <c r="L510" s="419"/>
    </row>
    <row r="511" spans="1:26" x14ac:dyDescent="0.2">
      <c r="A511" s="1085" t="s">
        <v>777</v>
      </c>
      <c r="B511" s="1085"/>
      <c r="C511" s="1085"/>
      <c r="D511" s="1085"/>
      <c r="E511" s="1085"/>
      <c r="F511" s="1085"/>
      <c r="G511" s="1085"/>
      <c r="H511" s="423">
        <v>614917.43000000005</v>
      </c>
      <c r="I511" s="419"/>
      <c r="J511" s="419"/>
      <c r="K511" s="419"/>
      <c r="L511" s="419"/>
    </row>
    <row r="512" spans="1:26" x14ac:dyDescent="0.2">
      <c r="A512" s="1085" t="s">
        <v>778</v>
      </c>
      <c r="B512" s="1085"/>
      <c r="C512" s="1085"/>
      <c r="D512" s="1085"/>
      <c r="E512" s="1085"/>
      <c r="F512" s="1085"/>
      <c r="G512" s="1085"/>
      <c r="H512" s="423">
        <v>9833140.7699999996</v>
      </c>
      <c r="I512" s="419"/>
      <c r="J512" s="419"/>
      <c r="K512" s="419"/>
      <c r="L512" s="419"/>
    </row>
    <row r="513" spans="1:15" x14ac:dyDescent="0.2">
      <c r="A513" s="1085" t="s">
        <v>779</v>
      </c>
      <c r="B513" s="1085"/>
      <c r="C513" s="1085"/>
      <c r="D513" s="1085"/>
      <c r="E513" s="1085"/>
      <c r="F513" s="1085"/>
      <c r="G513" s="1085"/>
      <c r="H513" s="423">
        <v>40126287.100000001</v>
      </c>
      <c r="I513" s="419"/>
      <c r="J513" s="419"/>
      <c r="K513" s="419"/>
      <c r="L513" s="419"/>
    </row>
    <row r="514" spans="1:15" x14ac:dyDescent="0.2">
      <c r="A514" s="1085" t="s">
        <v>206</v>
      </c>
      <c r="B514" s="1085"/>
      <c r="C514" s="1085"/>
      <c r="D514" s="1085"/>
      <c r="E514" s="1085"/>
      <c r="F514" s="1085"/>
      <c r="G514" s="1085"/>
      <c r="H514" s="423">
        <v>9737157.9199999999</v>
      </c>
      <c r="I514" s="419"/>
      <c r="J514" s="419"/>
      <c r="K514" s="419"/>
      <c r="L514" s="419"/>
    </row>
    <row r="515" spans="1:15" x14ac:dyDescent="0.2">
      <c r="A515" s="1085" t="s">
        <v>207</v>
      </c>
      <c r="B515" s="1085"/>
      <c r="C515" s="1085"/>
      <c r="D515" s="1085"/>
      <c r="E515" s="1085"/>
      <c r="F515" s="1085"/>
      <c r="G515" s="1085"/>
      <c r="H515" s="423">
        <v>5621039.5499999998</v>
      </c>
      <c r="I515" s="419"/>
      <c r="J515" s="419"/>
      <c r="K515" s="419"/>
      <c r="L515" s="419"/>
    </row>
    <row r="516" spans="1:15" s="426" customFormat="1" x14ac:dyDescent="0.2">
      <c r="A516" s="1086" t="s">
        <v>73</v>
      </c>
      <c r="B516" s="1086"/>
      <c r="C516" s="1086"/>
      <c r="D516" s="1086"/>
      <c r="E516" s="1086"/>
      <c r="F516" s="1086"/>
      <c r="G516" s="1086"/>
      <c r="H516" s="424">
        <v>40126287.100000001</v>
      </c>
      <c r="I516" s="425"/>
      <c r="J516" s="425"/>
      <c r="K516" s="425"/>
      <c r="L516" s="425"/>
      <c r="M516" s="823"/>
      <c r="N516" s="823"/>
      <c r="O516" s="823"/>
    </row>
    <row r="517" spans="1:15" s="368" customFormat="1" x14ac:dyDescent="0.2">
      <c r="A517" s="1084" t="s">
        <v>784</v>
      </c>
      <c r="B517" s="1084"/>
      <c r="C517" s="1084"/>
      <c r="D517" s="1084"/>
      <c r="E517" s="1084"/>
      <c r="F517" s="1084"/>
      <c r="G517" s="1084"/>
      <c r="H517" s="382">
        <v>3290355.54</v>
      </c>
      <c r="I517" s="383"/>
      <c r="J517" s="383"/>
      <c r="K517" s="383"/>
      <c r="L517" s="383"/>
      <c r="M517" s="631"/>
      <c r="N517" s="631"/>
      <c r="O517" s="631"/>
    </row>
    <row r="518" spans="1:15" s="386" customFormat="1" x14ac:dyDescent="0.2">
      <c r="A518" s="1083" t="s">
        <v>785</v>
      </c>
      <c r="B518" s="1083"/>
      <c r="C518" s="1083"/>
      <c r="D518" s="1083"/>
      <c r="E518" s="1083"/>
      <c r="F518" s="1083"/>
      <c r="G518" s="1083"/>
      <c r="H518" s="384">
        <v>43416642.640000001</v>
      </c>
      <c r="I518" s="385"/>
      <c r="J518" s="385"/>
      <c r="K518" s="385"/>
      <c r="L518" s="385"/>
      <c r="M518" s="635"/>
      <c r="N518" s="635"/>
      <c r="O518" s="635"/>
    </row>
    <row r="519" spans="1:15" s="368" customFormat="1" x14ac:dyDescent="0.2">
      <c r="A519" s="1084" t="s">
        <v>786</v>
      </c>
      <c r="B519" s="1084"/>
      <c r="C519" s="1084"/>
      <c r="D519" s="1084"/>
      <c r="E519" s="1084"/>
      <c r="F519" s="1084"/>
      <c r="G519" s="1084"/>
      <c r="H519" s="382">
        <v>1041999.42</v>
      </c>
      <c r="I519" s="383"/>
      <c r="J519" s="383"/>
      <c r="K519" s="383"/>
      <c r="L519" s="383"/>
      <c r="M519" s="631"/>
      <c r="N519" s="631"/>
      <c r="O519" s="631"/>
    </row>
    <row r="520" spans="1:15" s="389" customFormat="1" ht="12" x14ac:dyDescent="0.25">
      <c r="A520" s="1054" t="s">
        <v>787</v>
      </c>
      <c r="B520" s="1054"/>
      <c r="C520" s="1054"/>
      <c r="D520" s="1054"/>
      <c r="E520" s="1054"/>
      <c r="F520" s="1054"/>
      <c r="G520" s="1054"/>
      <c r="H520" s="387">
        <v>44458642.060000002</v>
      </c>
      <c r="I520" s="388"/>
      <c r="J520" s="388"/>
      <c r="K520" s="388"/>
      <c r="L520" s="388"/>
      <c r="M520" s="636"/>
      <c r="N520" s="636"/>
      <c r="O520" s="636"/>
    </row>
    <row r="521" spans="1:15" s="389" customFormat="1" ht="12" x14ac:dyDescent="0.25">
      <c r="A521" s="1054" t="s">
        <v>1686</v>
      </c>
      <c r="B521" s="1054"/>
      <c r="C521" s="1054"/>
      <c r="D521" s="1054"/>
      <c r="E521" s="1054"/>
      <c r="F521" s="1054"/>
      <c r="G521" s="1054"/>
      <c r="H521" s="387">
        <f>ROUND(H520*1.0514,2)</f>
        <v>46743816.259999998</v>
      </c>
      <c r="I521" s="388"/>
      <c r="J521" s="388"/>
      <c r="K521" s="388"/>
      <c r="L521" s="388"/>
      <c r="M521" s="636"/>
      <c r="N521" s="636"/>
      <c r="O521" s="636"/>
    </row>
    <row r="522" spans="1:15" s="368" customFormat="1" x14ac:dyDescent="0.2">
      <c r="M522" s="631"/>
      <c r="N522" s="631"/>
      <c r="O522" s="631"/>
    </row>
    <row r="523" spans="1:15" s="471" customFormat="1" x14ac:dyDescent="0.2">
      <c r="M523" s="631"/>
      <c r="N523" s="631"/>
      <c r="O523" s="631"/>
    </row>
    <row r="524" spans="1:15" s="471" customFormat="1" x14ac:dyDescent="0.2">
      <c r="M524" s="631"/>
      <c r="N524" s="631"/>
      <c r="O524" s="631"/>
    </row>
    <row r="525" spans="1:15" s="368" customFormat="1" x14ac:dyDescent="0.2">
      <c r="M525" s="631"/>
      <c r="N525" s="631"/>
      <c r="O525" s="631"/>
    </row>
    <row r="526" spans="1:15" s="368" customFormat="1" ht="24" x14ac:dyDescent="0.25">
      <c r="C526" s="428" t="s">
        <v>729</v>
      </c>
      <c r="D526" s="429" t="s">
        <v>824</v>
      </c>
      <c r="E526" s="427" t="s">
        <v>281</v>
      </c>
      <c r="F526" s="427"/>
      <c r="G526" s="389" t="s">
        <v>823</v>
      </c>
      <c r="M526" s="631"/>
      <c r="N526" s="631"/>
      <c r="O526" s="631"/>
    </row>
    <row r="527" spans="1:15" s="368" customFormat="1" ht="12" x14ac:dyDescent="0.25">
      <c r="C527" s="428"/>
      <c r="G527" s="389"/>
      <c r="M527" s="631"/>
      <c r="N527" s="631"/>
      <c r="O527" s="631"/>
    </row>
    <row r="528" spans="1:15" s="368" customFormat="1" ht="24" x14ac:dyDescent="0.25">
      <c r="C528" s="428" t="s">
        <v>730</v>
      </c>
      <c r="D528" s="429" t="s">
        <v>821</v>
      </c>
      <c r="E528" s="427" t="s">
        <v>281</v>
      </c>
      <c r="F528" s="427"/>
      <c r="G528" s="389" t="s">
        <v>822</v>
      </c>
      <c r="M528" s="631"/>
      <c r="N528" s="631"/>
      <c r="O528" s="631"/>
    </row>
    <row r="529" spans="13:15" s="368" customFormat="1" x14ac:dyDescent="0.2">
      <c r="M529" s="631"/>
      <c r="N529" s="631"/>
      <c r="O529" s="631"/>
    </row>
    <row r="530" spans="13:15" s="368" customFormat="1" x14ac:dyDescent="0.2">
      <c r="M530" s="631"/>
      <c r="N530" s="631"/>
      <c r="O530" s="631"/>
    </row>
  </sheetData>
  <mergeCells count="77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H18:J18"/>
    <mergeCell ref="K18:L18"/>
    <mergeCell ref="C11:I11"/>
    <mergeCell ref="K11:L12"/>
    <mergeCell ref="A12:B12"/>
    <mergeCell ref="C12:I12"/>
    <mergeCell ref="C13:I13"/>
    <mergeCell ref="K13:L14"/>
    <mergeCell ref="A14:B14"/>
    <mergeCell ref="C14:I14"/>
    <mergeCell ref="C15:I15"/>
    <mergeCell ref="K15:L16"/>
    <mergeCell ref="A16:B16"/>
    <mergeCell ref="C16:I16"/>
    <mergeCell ref="C17:I17"/>
    <mergeCell ref="F32:I32"/>
    <mergeCell ref="J32:K32"/>
    <mergeCell ref="H19:I19"/>
    <mergeCell ref="K19:L19"/>
    <mergeCell ref="K20:L20"/>
    <mergeCell ref="I21:J21"/>
    <mergeCell ref="K21:L21"/>
    <mergeCell ref="H23:H24"/>
    <mergeCell ref="I23:I24"/>
    <mergeCell ref="J23:K23"/>
    <mergeCell ref="C27:L27"/>
    <mergeCell ref="C28:L28"/>
    <mergeCell ref="C29:L29"/>
    <mergeCell ref="F31:I31"/>
    <mergeCell ref="J31:K31"/>
    <mergeCell ref="F33:I33"/>
    <mergeCell ref="J33:K33"/>
    <mergeCell ref="A35:A38"/>
    <mergeCell ref="B35:B38"/>
    <mergeCell ref="C35:C38"/>
    <mergeCell ref="D35:D38"/>
    <mergeCell ref="E35:E38"/>
    <mergeCell ref="F35:G35"/>
    <mergeCell ref="H35:J35"/>
    <mergeCell ref="K35:L35"/>
    <mergeCell ref="F36:F37"/>
    <mergeCell ref="G36:G37"/>
    <mergeCell ref="H36:H38"/>
    <mergeCell ref="I36:I38"/>
    <mergeCell ref="J36:J37"/>
    <mergeCell ref="A41:L41"/>
    <mergeCell ref="A439:L439"/>
    <mergeCell ref="A508:L508"/>
    <mergeCell ref="A509:G509"/>
    <mergeCell ref="K36:L36"/>
    <mergeCell ref="K37:L37"/>
    <mergeCell ref="A521:G521"/>
    <mergeCell ref="A510:G510"/>
    <mergeCell ref="A517:G517"/>
    <mergeCell ref="A518:G518"/>
    <mergeCell ref="A519:G519"/>
    <mergeCell ref="A520:G520"/>
    <mergeCell ref="A511:G511"/>
    <mergeCell ref="A512:G512"/>
    <mergeCell ref="A513:G513"/>
    <mergeCell ref="A514:G514"/>
    <mergeCell ref="A515:G515"/>
    <mergeCell ref="A516:G516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AD167"/>
  <sheetViews>
    <sheetView view="pageBreakPreview" zoomScaleNormal="100" zoomScaleSheetLayoutView="100" workbookViewId="0">
      <selection activeCell="M41" sqref="M41"/>
    </sheetView>
  </sheetViews>
  <sheetFormatPr defaultColWidth="9.109375" defaultRowHeight="10.199999999999999" x14ac:dyDescent="0.2"/>
  <cols>
    <col min="1" max="1" width="6.33203125" style="439" customWidth="1"/>
    <col min="2" max="2" width="6.6640625" style="439" customWidth="1"/>
    <col min="3" max="3" width="15.6640625" style="439" customWidth="1"/>
    <col min="4" max="4" width="40.6640625" style="439" customWidth="1"/>
    <col min="5" max="12" width="12.6640625" style="439" customWidth="1"/>
    <col min="13" max="13" width="15.88671875" style="439" customWidth="1"/>
    <col min="14" max="19" width="9.109375" style="439"/>
    <col min="20" max="29" width="0" style="439" hidden="1" customWidth="1"/>
    <col min="30" max="30" width="118.6640625" style="439" hidden="1" customWidth="1"/>
    <col min="31" max="36" width="0" style="439" hidden="1" customWidth="1"/>
    <col min="37" max="16384" width="9.109375" style="439"/>
  </cols>
  <sheetData>
    <row r="1" spans="1:12" x14ac:dyDescent="0.2">
      <c r="A1" s="1114"/>
      <c r="B1" s="1114"/>
      <c r="C1" s="1114"/>
      <c r="D1" s="1115"/>
      <c r="E1" s="438"/>
      <c r="F1" s="438"/>
      <c r="I1" s="1116" t="s">
        <v>680</v>
      </c>
      <c r="J1" s="1116"/>
      <c r="K1" s="1116"/>
      <c r="L1" s="1116"/>
    </row>
    <row r="2" spans="1:12" x14ac:dyDescent="0.2">
      <c r="A2" s="440"/>
      <c r="B2" s="440"/>
      <c r="C2" s="440"/>
      <c r="D2" s="440"/>
      <c r="E2" s="440"/>
      <c r="F2" s="440"/>
      <c r="G2" s="440"/>
      <c r="I2" s="1116" t="s">
        <v>241</v>
      </c>
      <c r="J2" s="1116"/>
      <c r="K2" s="1116"/>
      <c r="L2" s="1116"/>
    </row>
    <row r="3" spans="1:12" x14ac:dyDescent="0.2">
      <c r="A3" s="440"/>
      <c r="B3" s="440"/>
      <c r="C3" s="440"/>
      <c r="D3" s="440"/>
      <c r="E3" s="440"/>
      <c r="F3" s="440"/>
      <c r="G3" s="440"/>
      <c r="I3" s="1116" t="s">
        <v>681</v>
      </c>
      <c r="J3" s="1116"/>
      <c r="K3" s="1116"/>
      <c r="L3" s="1116"/>
    </row>
    <row r="4" spans="1:12" x14ac:dyDescent="0.2">
      <c r="A4" s="440"/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</row>
    <row r="5" spans="1:12" x14ac:dyDescent="0.2">
      <c r="A5" s="440"/>
      <c r="B5" s="440"/>
      <c r="C5" s="440"/>
      <c r="D5" s="440"/>
      <c r="E5" s="440"/>
      <c r="F5" s="440"/>
      <c r="G5" s="440"/>
      <c r="H5" s="440"/>
      <c r="I5" s="440"/>
      <c r="J5" s="440"/>
      <c r="K5" s="1112" t="s">
        <v>0</v>
      </c>
      <c r="L5" s="1113"/>
    </row>
    <row r="6" spans="1:12" x14ac:dyDescent="0.2">
      <c r="A6" s="440"/>
      <c r="B6" s="440"/>
      <c r="C6" s="440"/>
      <c r="D6" s="440"/>
      <c r="E6" s="440"/>
      <c r="F6" s="440"/>
      <c r="G6" s="440"/>
      <c r="H6" s="440"/>
      <c r="I6" s="1110" t="s">
        <v>1</v>
      </c>
      <c r="J6" s="1111"/>
      <c r="K6" s="1112" t="s">
        <v>2</v>
      </c>
      <c r="L6" s="1113"/>
    </row>
    <row r="7" spans="1:12" x14ac:dyDescent="0.2">
      <c r="A7" s="440"/>
      <c r="B7" s="440"/>
      <c r="C7" s="440"/>
      <c r="D7" s="440"/>
      <c r="E7" s="440"/>
      <c r="F7" s="440"/>
      <c r="G7" s="440"/>
      <c r="H7" s="440"/>
      <c r="I7" s="440"/>
      <c r="J7" s="440"/>
      <c r="K7" s="1117" t="s">
        <v>731</v>
      </c>
      <c r="L7" s="1118"/>
    </row>
    <row r="8" spans="1:12" x14ac:dyDescent="0.2">
      <c r="A8" s="1115" t="s">
        <v>3</v>
      </c>
      <c r="B8" s="1115"/>
      <c r="C8" s="1121" t="s">
        <v>731</v>
      </c>
      <c r="D8" s="1121"/>
      <c r="E8" s="1121"/>
      <c r="F8" s="1121"/>
      <c r="G8" s="1121"/>
      <c r="H8" s="1121"/>
      <c r="I8" s="1121"/>
      <c r="J8" s="441" t="s">
        <v>4</v>
      </c>
      <c r="K8" s="1119"/>
      <c r="L8" s="1120"/>
    </row>
    <row r="9" spans="1:12" x14ac:dyDescent="0.2">
      <c r="A9" s="440"/>
      <c r="B9" s="440"/>
      <c r="C9" s="1122" t="s">
        <v>226</v>
      </c>
      <c r="D9" s="1122"/>
      <c r="E9" s="1122"/>
      <c r="F9" s="1122"/>
      <c r="G9" s="1122"/>
      <c r="H9" s="1122"/>
      <c r="I9" s="1122"/>
      <c r="J9" s="440"/>
      <c r="K9" s="1117" t="s">
        <v>731</v>
      </c>
      <c r="L9" s="1118"/>
    </row>
    <row r="10" spans="1:12" s="393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92" t="s">
        <v>4</v>
      </c>
      <c r="K10" s="1119"/>
      <c r="L10" s="1120"/>
    </row>
    <row r="11" spans="1:12" s="393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s="393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92" t="s">
        <v>4</v>
      </c>
      <c r="K12" s="1064"/>
      <c r="L12" s="1065"/>
    </row>
    <row r="13" spans="1:12" s="393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s="393" customFormat="1" x14ac:dyDescent="0.2">
      <c r="A14" s="1060" t="s">
        <v>684</v>
      </c>
      <c r="B14" s="1060"/>
      <c r="C14" s="1070">
        <f>'реестр октябрь'!$B$6</f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x14ac:dyDescent="0.2">
      <c r="A15" s="440"/>
      <c r="B15" s="440"/>
      <c r="C15" s="1122" t="s">
        <v>229</v>
      </c>
      <c r="D15" s="1122"/>
      <c r="E15" s="1122"/>
      <c r="F15" s="1122"/>
      <c r="G15" s="1122"/>
      <c r="H15" s="1122"/>
      <c r="I15" s="1122"/>
      <c r="J15" s="440"/>
      <c r="K15" s="1117" t="s">
        <v>731</v>
      </c>
      <c r="L15" s="1118"/>
    </row>
    <row r="16" spans="1:12" x14ac:dyDescent="0.2">
      <c r="A16" s="1115" t="s">
        <v>686</v>
      </c>
      <c r="B16" s="1115"/>
      <c r="C16" s="1121" t="s">
        <v>961</v>
      </c>
      <c r="D16" s="1121"/>
      <c r="E16" s="1121"/>
      <c r="F16" s="1121"/>
      <c r="G16" s="1121"/>
      <c r="H16" s="1121"/>
      <c r="I16" s="1121"/>
      <c r="J16" s="440"/>
      <c r="K16" s="1119"/>
      <c r="L16" s="1120"/>
    </row>
    <row r="17" spans="1:12" x14ac:dyDescent="0.2">
      <c r="A17" s="440"/>
      <c r="B17" s="440"/>
      <c r="C17" s="1122" t="s">
        <v>687</v>
      </c>
      <c r="D17" s="1122"/>
      <c r="E17" s="1122"/>
      <c r="F17" s="1122"/>
      <c r="G17" s="1122"/>
      <c r="H17" s="1122"/>
      <c r="I17" s="1122"/>
      <c r="J17" s="440"/>
      <c r="K17" s="440"/>
      <c r="L17" s="440"/>
    </row>
    <row r="18" spans="1:12" ht="11.25" customHeight="1" x14ac:dyDescent="0.2">
      <c r="A18" s="440"/>
      <c r="B18" s="440"/>
      <c r="C18" s="440"/>
      <c r="D18" s="440"/>
      <c r="E18" s="440"/>
      <c r="F18" s="440"/>
      <c r="G18" s="440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440"/>
      <c r="B19" s="440"/>
      <c r="C19" s="440"/>
      <c r="D19" s="440"/>
      <c r="E19" s="440"/>
      <c r="F19" s="440"/>
      <c r="G19" s="440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440"/>
      <c r="B20" s="440"/>
      <c r="C20" s="440"/>
      <c r="D20" s="440"/>
      <c r="E20" s="440"/>
      <c r="F20" s="440"/>
      <c r="G20" s="440"/>
      <c r="H20" s="359"/>
      <c r="I20" s="359"/>
      <c r="J20" s="394" t="s">
        <v>10</v>
      </c>
      <c r="K20" s="1073">
        <v>45110</v>
      </c>
      <c r="L20" s="1074"/>
    </row>
    <row r="21" spans="1:12" x14ac:dyDescent="0.2">
      <c r="A21" s="440"/>
      <c r="B21" s="440"/>
      <c r="C21" s="440"/>
      <c r="D21" s="440"/>
      <c r="E21" s="440"/>
      <c r="F21" s="440"/>
      <c r="G21" s="440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440"/>
      <c r="B22" s="440"/>
      <c r="C22" s="440"/>
      <c r="D22" s="440"/>
      <c r="E22" s="440"/>
      <c r="F22" s="440"/>
      <c r="G22" s="440"/>
      <c r="H22" s="359"/>
      <c r="I22" s="359"/>
      <c r="J22" s="359"/>
      <c r="K22" s="359"/>
      <c r="L22" s="359"/>
    </row>
    <row r="23" spans="1:12" ht="11.25" customHeight="1" x14ac:dyDescent="0.2">
      <c r="A23" s="440"/>
      <c r="B23" s="440"/>
      <c r="C23" s="440"/>
      <c r="D23" s="440"/>
      <c r="E23" s="440"/>
      <c r="F23" s="440"/>
      <c r="G23" s="440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440"/>
      <c r="B24" s="440"/>
      <c r="C24" s="440"/>
      <c r="D24" s="440"/>
      <c r="E24" s="440"/>
      <c r="F24" s="440"/>
      <c r="G24" s="440"/>
      <c r="H24" s="1076"/>
      <c r="I24" s="1076"/>
      <c r="J24" s="363" t="s">
        <v>15</v>
      </c>
      <c r="K24" s="391" t="s">
        <v>16</v>
      </c>
      <c r="L24" s="359"/>
    </row>
    <row r="25" spans="1:12" x14ac:dyDescent="0.2">
      <c r="A25" s="440"/>
      <c r="B25" s="440"/>
      <c r="C25" s="440"/>
      <c r="D25" s="440"/>
      <c r="E25" s="440"/>
      <c r="F25" s="440"/>
      <c r="G25" s="440"/>
      <c r="H25" s="394">
        <v>3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440"/>
      <c r="B26" s="440"/>
      <c r="C26" s="440"/>
      <c r="D26" s="440"/>
      <c r="E26" s="440"/>
      <c r="F26" s="440"/>
      <c r="G26" s="440"/>
      <c r="H26" s="440"/>
      <c r="I26" s="440"/>
      <c r="J26" s="440"/>
      <c r="K26" s="440"/>
      <c r="L26" s="440"/>
    </row>
    <row r="27" spans="1:12" x14ac:dyDescent="0.2">
      <c r="A27" s="440"/>
      <c r="B27" s="440"/>
      <c r="C27" s="1123" t="s">
        <v>691</v>
      </c>
      <c r="D27" s="1123"/>
      <c r="E27" s="1123"/>
      <c r="F27" s="1123"/>
      <c r="G27" s="1123"/>
      <c r="H27" s="1123"/>
      <c r="I27" s="1123"/>
      <c r="J27" s="1123"/>
      <c r="K27" s="1123"/>
      <c r="L27" s="1123"/>
    </row>
    <row r="28" spans="1:12" x14ac:dyDescent="0.2">
      <c r="A28" s="440"/>
      <c r="B28" s="440"/>
      <c r="C28" s="1123" t="s">
        <v>732</v>
      </c>
      <c r="D28" s="1123"/>
      <c r="E28" s="1123"/>
      <c r="F28" s="1123"/>
      <c r="G28" s="1123"/>
      <c r="H28" s="1123"/>
      <c r="I28" s="1123"/>
      <c r="J28" s="1123"/>
      <c r="K28" s="1123"/>
      <c r="L28" s="1123"/>
    </row>
    <row r="29" spans="1:12" x14ac:dyDescent="0.2">
      <c r="A29" s="440"/>
      <c r="B29" s="440"/>
      <c r="C29" s="442"/>
      <c r="D29" s="442"/>
      <c r="E29" s="442"/>
      <c r="F29" s="442"/>
      <c r="G29" s="442"/>
      <c r="H29" s="442"/>
      <c r="I29" s="442"/>
      <c r="J29" s="442"/>
      <c r="K29" s="442"/>
      <c r="L29" s="442"/>
    </row>
    <row r="30" spans="1:12" x14ac:dyDescent="0.2">
      <c r="A30" s="440"/>
      <c r="B30" s="440"/>
      <c r="C30" s="442"/>
      <c r="D30" s="442"/>
      <c r="E30" s="442"/>
      <c r="F30" s="1110" t="s">
        <v>692</v>
      </c>
      <c r="G30" s="1110"/>
      <c r="H30" s="1110"/>
      <c r="I30" s="1110"/>
      <c r="J30" s="1124">
        <v>1177.98</v>
      </c>
      <c r="K30" s="1125"/>
      <c r="L30" s="440" t="s">
        <v>693</v>
      </c>
    </row>
    <row r="31" spans="1:12" x14ac:dyDescent="0.2">
      <c r="A31" s="440"/>
      <c r="B31" s="440"/>
      <c r="C31" s="442"/>
      <c r="D31" s="442"/>
      <c r="E31" s="442"/>
      <c r="F31" s="1110" t="s">
        <v>694</v>
      </c>
      <c r="G31" s="1110"/>
      <c r="H31" s="1110"/>
      <c r="I31" s="1110"/>
      <c r="J31" s="1124">
        <v>1292.77</v>
      </c>
      <c r="K31" s="1125"/>
      <c r="L31" s="440" t="s">
        <v>695</v>
      </c>
    </row>
    <row r="32" spans="1:12" x14ac:dyDescent="0.2">
      <c r="A32" s="440"/>
      <c r="B32" s="440"/>
      <c r="C32" s="440"/>
      <c r="D32" s="440"/>
      <c r="E32" s="440"/>
      <c r="F32" s="1110" t="s">
        <v>696</v>
      </c>
      <c r="G32" s="1110"/>
      <c r="H32" s="1110"/>
      <c r="I32" s="1110"/>
      <c r="J32" s="1124">
        <v>494.81</v>
      </c>
      <c r="K32" s="1125"/>
      <c r="L32" s="440" t="s">
        <v>693</v>
      </c>
    </row>
    <row r="34" spans="1:26" x14ac:dyDescent="0.2">
      <c r="A34" s="1126" t="s">
        <v>697</v>
      </c>
      <c r="B34" s="1126" t="s">
        <v>698</v>
      </c>
      <c r="C34" s="1126" t="s">
        <v>699</v>
      </c>
      <c r="D34" s="1126" t="s">
        <v>700</v>
      </c>
      <c r="E34" s="1126" t="s">
        <v>701</v>
      </c>
      <c r="F34" s="1129" t="s">
        <v>702</v>
      </c>
      <c r="G34" s="1130"/>
      <c r="H34" s="1129" t="s">
        <v>703</v>
      </c>
      <c r="I34" s="1131"/>
      <c r="J34" s="1130"/>
      <c r="K34" s="1129" t="s">
        <v>704</v>
      </c>
      <c r="L34" s="1130"/>
    </row>
    <row r="35" spans="1:26" x14ac:dyDescent="0.2">
      <c r="A35" s="1127"/>
      <c r="B35" s="1127"/>
      <c r="C35" s="1127"/>
      <c r="D35" s="1127"/>
      <c r="E35" s="1127"/>
      <c r="F35" s="1126" t="s">
        <v>705</v>
      </c>
      <c r="G35" s="1126" t="s">
        <v>706</v>
      </c>
      <c r="H35" s="1126" t="s">
        <v>705</v>
      </c>
      <c r="I35" s="1126" t="s">
        <v>707</v>
      </c>
      <c r="J35" s="1126" t="s">
        <v>706</v>
      </c>
      <c r="K35" s="1129" t="s">
        <v>708</v>
      </c>
      <c r="L35" s="1130"/>
    </row>
    <row r="36" spans="1:26" x14ac:dyDescent="0.2">
      <c r="A36" s="1127"/>
      <c r="B36" s="1127"/>
      <c r="C36" s="1127"/>
      <c r="D36" s="1127"/>
      <c r="E36" s="1127"/>
      <c r="F36" s="1128"/>
      <c r="G36" s="1128"/>
      <c r="H36" s="1127"/>
      <c r="I36" s="1127"/>
      <c r="J36" s="1128"/>
      <c r="K36" s="1129" t="s">
        <v>709</v>
      </c>
      <c r="L36" s="1130"/>
    </row>
    <row r="37" spans="1:26" ht="20.399999999999999" x14ac:dyDescent="0.2">
      <c r="A37" s="1128"/>
      <c r="B37" s="1128"/>
      <c r="C37" s="1128"/>
      <c r="D37" s="1128"/>
      <c r="E37" s="1128"/>
      <c r="F37" s="443" t="s">
        <v>707</v>
      </c>
      <c r="G37" s="443" t="s">
        <v>710</v>
      </c>
      <c r="H37" s="1128"/>
      <c r="I37" s="1128"/>
      <c r="J37" s="443" t="s">
        <v>710</v>
      </c>
      <c r="K37" s="443" t="s">
        <v>711</v>
      </c>
      <c r="L37" s="443" t="s">
        <v>712</v>
      </c>
    </row>
    <row r="38" spans="1:26" x14ac:dyDescent="0.2">
      <c r="A38" s="443">
        <v>1</v>
      </c>
      <c r="B38" s="443" t="s">
        <v>713</v>
      </c>
      <c r="C38" s="443">
        <v>2</v>
      </c>
      <c r="D38" s="443">
        <v>3</v>
      </c>
      <c r="E38" s="443">
        <v>4</v>
      </c>
      <c r="F38" s="443">
        <v>5</v>
      </c>
      <c r="G38" s="443">
        <v>6</v>
      </c>
      <c r="H38" s="443">
        <v>7</v>
      </c>
      <c r="I38" s="443">
        <v>8</v>
      </c>
      <c r="J38" s="443">
        <v>9</v>
      </c>
      <c r="K38" s="443">
        <v>10</v>
      </c>
      <c r="L38" s="443">
        <v>11</v>
      </c>
    </row>
    <row r="40" spans="1:26" x14ac:dyDescent="0.2">
      <c r="A40" s="1132" t="s">
        <v>932</v>
      </c>
      <c r="B40" s="1132"/>
      <c r="C40" s="1132"/>
      <c r="D40" s="1132"/>
      <c r="E40" s="1132"/>
      <c r="F40" s="1132"/>
      <c r="G40" s="1132"/>
      <c r="H40" s="1132"/>
      <c r="I40" s="1132"/>
      <c r="J40" s="1132"/>
      <c r="K40" s="1132"/>
      <c r="L40" s="1132"/>
    </row>
    <row r="41" spans="1:26" ht="40.799999999999997" x14ac:dyDescent="0.2">
      <c r="A41" s="444">
        <v>1</v>
      </c>
      <c r="B41" s="444">
        <v>1</v>
      </c>
      <c r="C41" s="444" t="s">
        <v>933</v>
      </c>
      <c r="D41" s="444" t="s">
        <v>921</v>
      </c>
      <c r="E41" s="445">
        <v>2.4700000000000002</v>
      </c>
      <c r="F41" s="446">
        <v>466.7</v>
      </c>
      <c r="G41" s="446">
        <v>7.8479999999999999</v>
      </c>
      <c r="H41" s="447">
        <v>49861.62</v>
      </c>
      <c r="I41" s="447">
        <v>49351.81</v>
      </c>
      <c r="J41" s="447">
        <v>256.66000000000003</v>
      </c>
      <c r="K41" s="446">
        <v>52.32</v>
      </c>
      <c r="L41" s="446">
        <v>129.2304</v>
      </c>
      <c r="M41" s="891" t="s">
        <v>2323</v>
      </c>
      <c r="T41" s="439">
        <v>114512.49</v>
      </c>
      <c r="V41" s="439">
        <v>49351.81</v>
      </c>
      <c r="W41" s="439">
        <v>256.66000000000003</v>
      </c>
      <c r="X41" s="439" t="s">
        <v>281</v>
      </c>
      <c r="Y41" s="439">
        <v>129.2304</v>
      </c>
      <c r="Z41" s="439" t="s">
        <v>281</v>
      </c>
    </row>
    <row r="42" spans="1:26" x14ac:dyDescent="0.2">
      <c r="A42" s="448"/>
      <c r="B42" s="448"/>
      <c r="C42" s="448"/>
      <c r="D42" s="449" t="s">
        <v>747</v>
      </c>
      <c r="E42" s="450"/>
      <c r="F42" s="451">
        <v>446.29199999999997</v>
      </c>
      <c r="G42" s="451" t="s">
        <v>281</v>
      </c>
      <c r="H42" s="450"/>
      <c r="I42" s="450"/>
      <c r="J42" s="452" t="s">
        <v>281</v>
      </c>
      <c r="K42" s="451" t="s">
        <v>281</v>
      </c>
      <c r="L42" s="451" t="s">
        <v>281</v>
      </c>
    </row>
    <row r="43" spans="1:26" ht="20.399999999999999" x14ac:dyDescent="0.2">
      <c r="A43" s="453"/>
      <c r="B43" s="453"/>
      <c r="C43" s="453"/>
      <c r="D43" s="437" t="s">
        <v>714</v>
      </c>
      <c r="E43" s="453"/>
      <c r="F43" s="453"/>
      <c r="G43" s="453"/>
      <c r="H43" s="453"/>
      <c r="I43" s="453"/>
      <c r="J43" s="453"/>
      <c r="K43" s="453"/>
      <c r="L43" s="453"/>
    </row>
    <row r="44" spans="1:26" ht="20.399999999999999" x14ac:dyDescent="0.2">
      <c r="A44" s="453"/>
      <c r="B44" s="453"/>
      <c r="C44" s="453"/>
      <c r="D44" s="437" t="s">
        <v>934</v>
      </c>
      <c r="E44" s="453"/>
      <c r="F44" s="453"/>
      <c r="G44" s="453"/>
      <c r="H44" s="453"/>
      <c r="I44" s="453"/>
      <c r="J44" s="453"/>
      <c r="K44" s="453"/>
      <c r="L44" s="453"/>
    </row>
    <row r="45" spans="1:26" ht="51" x14ac:dyDescent="0.2">
      <c r="A45" s="453"/>
      <c r="B45" s="453"/>
      <c r="C45" s="453"/>
      <c r="D45" s="437" t="s">
        <v>935</v>
      </c>
      <c r="E45" s="453"/>
      <c r="F45" s="453"/>
      <c r="G45" s="453"/>
      <c r="H45" s="453"/>
      <c r="I45" s="453"/>
      <c r="J45" s="453"/>
      <c r="K45" s="453"/>
      <c r="L45" s="453"/>
    </row>
    <row r="46" spans="1:26" x14ac:dyDescent="0.2">
      <c r="A46" s="453"/>
      <c r="B46" s="453"/>
      <c r="C46" s="453"/>
      <c r="D46" s="454" t="s">
        <v>206</v>
      </c>
      <c r="E46" s="455" t="s">
        <v>908</v>
      </c>
      <c r="F46" s="455"/>
      <c r="G46" s="455"/>
      <c r="H46" s="456">
        <v>42936.07</v>
      </c>
      <c r="I46" s="453"/>
      <c r="J46" s="453"/>
      <c r="K46" s="453"/>
      <c r="L46" s="453"/>
    </row>
    <row r="47" spans="1:26" x14ac:dyDescent="0.2">
      <c r="A47" s="453"/>
      <c r="B47" s="453"/>
      <c r="C47" s="453"/>
      <c r="D47" s="454" t="s">
        <v>207</v>
      </c>
      <c r="E47" s="455" t="s">
        <v>771</v>
      </c>
      <c r="F47" s="455"/>
      <c r="G47" s="455"/>
      <c r="H47" s="456">
        <v>21714.799999999999</v>
      </c>
      <c r="I47" s="453"/>
      <c r="J47" s="453"/>
      <c r="K47" s="453"/>
      <c r="L47" s="453"/>
    </row>
    <row r="48" spans="1:26" x14ac:dyDescent="0.2">
      <c r="A48" s="453"/>
      <c r="B48" s="453"/>
      <c r="C48" s="453"/>
      <c r="D48" s="457" t="s">
        <v>715</v>
      </c>
      <c r="E48" s="458"/>
      <c r="F48" s="458"/>
      <c r="G48" s="458"/>
      <c r="H48" s="459">
        <v>114512.49</v>
      </c>
      <c r="I48" s="453"/>
      <c r="J48" s="453"/>
      <c r="K48" s="453"/>
      <c r="L48" s="453"/>
    </row>
    <row r="49" spans="1:26" ht="40.799999999999997" x14ac:dyDescent="0.2">
      <c r="A49" s="444">
        <v>2</v>
      </c>
      <c r="B49" s="444">
        <v>2</v>
      </c>
      <c r="C49" s="444" t="s">
        <v>936</v>
      </c>
      <c r="D49" s="444" t="s">
        <v>922</v>
      </c>
      <c r="E49" s="445">
        <v>4.58</v>
      </c>
      <c r="F49" s="446">
        <v>718.33600000000001</v>
      </c>
      <c r="G49" s="446">
        <v>19.584</v>
      </c>
      <c r="H49" s="447">
        <v>139377.04999999999</v>
      </c>
      <c r="I49" s="447">
        <v>137055.63</v>
      </c>
      <c r="J49" s="447">
        <v>1187.55</v>
      </c>
      <c r="K49" s="446">
        <v>78.36</v>
      </c>
      <c r="L49" s="446">
        <v>358.8888</v>
      </c>
      <c r="T49" s="439">
        <v>318919.93</v>
      </c>
      <c r="V49" s="439">
        <v>137055.63</v>
      </c>
      <c r="W49" s="439">
        <v>1187.55</v>
      </c>
      <c r="X49" s="439" t="s">
        <v>281</v>
      </c>
      <c r="Y49" s="439">
        <v>358.8888</v>
      </c>
      <c r="Z49" s="439" t="s">
        <v>281</v>
      </c>
    </row>
    <row r="50" spans="1:26" x14ac:dyDescent="0.2">
      <c r="A50" s="448"/>
      <c r="B50" s="448"/>
      <c r="C50" s="448"/>
      <c r="D50" s="449" t="s">
        <v>747</v>
      </c>
      <c r="E50" s="450"/>
      <c r="F50" s="451">
        <v>668.41200000000003</v>
      </c>
      <c r="G50" s="451" t="s">
        <v>281</v>
      </c>
      <c r="H50" s="450"/>
      <c r="I50" s="450"/>
      <c r="J50" s="452" t="s">
        <v>281</v>
      </c>
      <c r="K50" s="451" t="s">
        <v>281</v>
      </c>
      <c r="L50" s="451" t="s">
        <v>281</v>
      </c>
    </row>
    <row r="51" spans="1:26" ht="20.399999999999999" x14ac:dyDescent="0.2">
      <c r="A51" s="453"/>
      <c r="B51" s="453"/>
      <c r="C51" s="453"/>
      <c r="D51" s="437" t="s">
        <v>714</v>
      </c>
      <c r="E51" s="453"/>
      <c r="F51" s="453"/>
      <c r="G51" s="453"/>
      <c r="H51" s="453"/>
      <c r="I51" s="453"/>
      <c r="J51" s="453"/>
      <c r="K51" s="453"/>
      <c r="L51" s="453"/>
    </row>
    <row r="52" spans="1:26" ht="20.399999999999999" x14ac:dyDescent="0.2">
      <c r="A52" s="453"/>
      <c r="B52" s="453"/>
      <c r="C52" s="453"/>
      <c r="D52" s="437" t="s">
        <v>934</v>
      </c>
      <c r="E52" s="453"/>
      <c r="F52" s="453"/>
      <c r="G52" s="453"/>
      <c r="H52" s="453"/>
      <c r="I52" s="453"/>
      <c r="J52" s="453"/>
      <c r="K52" s="453"/>
      <c r="L52" s="453"/>
    </row>
    <row r="53" spans="1:26" ht="51" x14ac:dyDescent="0.2">
      <c r="A53" s="453"/>
      <c r="B53" s="453"/>
      <c r="C53" s="453"/>
      <c r="D53" s="437" t="s">
        <v>935</v>
      </c>
      <c r="E53" s="453"/>
      <c r="F53" s="453"/>
      <c r="G53" s="453"/>
      <c r="H53" s="453"/>
      <c r="I53" s="453"/>
      <c r="J53" s="453"/>
      <c r="K53" s="453"/>
      <c r="L53" s="453"/>
    </row>
    <row r="54" spans="1:26" x14ac:dyDescent="0.2">
      <c r="A54" s="453"/>
      <c r="B54" s="453"/>
      <c r="C54" s="453"/>
      <c r="D54" s="454" t="s">
        <v>206</v>
      </c>
      <c r="E54" s="455" t="s">
        <v>908</v>
      </c>
      <c r="F54" s="455"/>
      <c r="G54" s="455"/>
      <c r="H54" s="456">
        <v>119238.39999999999</v>
      </c>
      <c r="I54" s="453"/>
      <c r="J54" s="453"/>
      <c r="K54" s="453"/>
      <c r="L54" s="453"/>
    </row>
    <row r="55" spans="1:26" x14ac:dyDescent="0.2">
      <c r="A55" s="453"/>
      <c r="B55" s="453"/>
      <c r="C55" s="453"/>
      <c r="D55" s="454" t="s">
        <v>207</v>
      </c>
      <c r="E55" s="455" t="s">
        <v>771</v>
      </c>
      <c r="F55" s="455"/>
      <c r="G55" s="455"/>
      <c r="H55" s="456">
        <v>60304.480000000003</v>
      </c>
      <c r="I55" s="453"/>
      <c r="J55" s="453"/>
      <c r="K55" s="453"/>
      <c r="L55" s="453"/>
    </row>
    <row r="56" spans="1:26" x14ac:dyDescent="0.2">
      <c r="A56" s="453"/>
      <c r="B56" s="453"/>
      <c r="C56" s="453"/>
      <c r="D56" s="457" t="s">
        <v>715</v>
      </c>
      <c r="E56" s="458"/>
      <c r="F56" s="458"/>
      <c r="G56" s="458"/>
      <c r="H56" s="459">
        <v>318919.93</v>
      </c>
      <c r="I56" s="453"/>
      <c r="J56" s="453"/>
      <c r="K56" s="453"/>
      <c r="L56" s="453"/>
    </row>
    <row r="57" spans="1:26" ht="40.799999999999997" x14ac:dyDescent="0.2">
      <c r="A57" s="444">
        <v>3</v>
      </c>
      <c r="B57" s="444">
        <v>3</v>
      </c>
      <c r="C57" s="444" t="s">
        <v>937</v>
      </c>
      <c r="D57" s="444" t="s">
        <v>923</v>
      </c>
      <c r="E57" s="445">
        <v>4.37</v>
      </c>
      <c r="F57" s="446">
        <v>1392.4376</v>
      </c>
      <c r="G57" s="446">
        <v>26.352</v>
      </c>
      <c r="H57" s="447">
        <v>262439.34000000003</v>
      </c>
      <c r="I57" s="447">
        <v>259498.64</v>
      </c>
      <c r="J57" s="447">
        <v>1524.69</v>
      </c>
      <c r="K57" s="446">
        <v>155.49600000000001</v>
      </c>
      <c r="L57" s="446">
        <v>679.51751999999999</v>
      </c>
      <c r="T57" s="439">
        <v>602382.56000000006</v>
      </c>
      <c r="V57" s="439">
        <v>259498.64</v>
      </c>
      <c r="W57" s="439">
        <v>1524.69</v>
      </c>
      <c r="X57" s="439" t="s">
        <v>281</v>
      </c>
      <c r="Y57" s="439">
        <v>679.51751999999999</v>
      </c>
      <c r="Z57" s="439" t="s">
        <v>281</v>
      </c>
    </row>
    <row r="58" spans="1:26" x14ac:dyDescent="0.2">
      <c r="A58" s="448"/>
      <c r="B58" s="448"/>
      <c r="C58" s="448"/>
      <c r="D58" s="449" t="s">
        <v>747</v>
      </c>
      <c r="E58" s="450"/>
      <c r="F58" s="451">
        <v>1326.3756000000001</v>
      </c>
      <c r="G58" s="451" t="s">
        <v>281</v>
      </c>
      <c r="H58" s="450"/>
      <c r="I58" s="450"/>
      <c r="J58" s="452" t="s">
        <v>281</v>
      </c>
      <c r="K58" s="451" t="s">
        <v>281</v>
      </c>
      <c r="L58" s="451" t="s">
        <v>281</v>
      </c>
    </row>
    <row r="59" spans="1:26" ht="20.399999999999999" x14ac:dyDescent="0.2">
      <c r="A59" s="453"/>
      <c r="B59" s="453"/>
      <c r="C59" s="453"/>
      <c r="D59" s="437" t="s">
        <v>714</v>
      </c>
      <c r="E59" s="453"/>
      <c r="F59" s="453"/>
      <c r="G59" s="453"/>
      <c r="H59" s="453"/>
      <c r="I59" s="453"/>
      <c r="J59" s="453"/>
      <c r="K59" s="453"/>
      <c r="L59" s="453"/>
    </row>
    <row r="60" spans="1:26" ht="20.399999999999999" x14ac:dyDescent="0.2">
      <c r="A60" s="453"/>
      <c r="B60" s="453"/>
      <c r="C60" s="453"/>
      <c r="D60" s="437" t="s">
        <v>938</v>
      </c>
      <c r="E60" s="453"/>
      <c r="F60" s="453"/>
      <c r="G60" s="453"/>
      <c r="H60" s="453"/>
      <c r="I60" s="453"/>
      <c r="J60" s="453"/>
      <c r="K60" s="453"/>
      <c r="L60" s="453"/>
    </row>
    <row r="61" spans="1:26" ht="81.599999999999994" x14ac:dyDescent="0.2">
      <c r="A61" s="453"/>
      <c r="B61" s="453"/>
      <c r="C61" s="453"/>
      <c r="D61" s="437" t="s">
        <v>939</v>
      </c>
      <c r="E61" s="453"/>
      <c r="F61" s="453"/>
      <c r="G61" s="453"/>
      <c r="H61" s="453"/>
      <c r="I61" s="453"/>
      <c r="J61" s="453"/>
      <c r="K61" s="453"/>
      <c r="L61" s="453"/>
    </row>
    <row r="62" spans="1:26" x14ac:dyDescent="0.2">
      <c r="A62" s="453"/>
      <c r="B62" s="453"/>
      <c r="C62" s="453"/>
      <c r="D62" s="454" t="s">
        <v>206</v>
      </c>
      <c r="E62" s="455" t="s">
        <v>908</v>
      </c>
      <c r="F62" s="455"/>
      <c r="G62" s="455"/>
      <c r="H62" s="456">
        <v>225763.82</v>
      </c>
      <c r="I62" s="453"/>
      <c r="J62" s="453"/>
      <c r="K62" s="453"/>
      <c r="L62" s="453"/>
    </row>
    <row r="63" spans="1:26" x14ac:dyDescent="0.2">
      <c r="A63" s="453"/>
      <c r="B63" s="453"/>
      <c r="C63" s="453"/>
      <c r="D63" s="454" t="s">
        <v>207</v>
      </c>
      <c r="E63" s="455" t="s">
        <v>771</v>
      </c>
      <c r="F63" s="455"/>
      <c r="G63" s="455"/>
      <c r="H63" s="456">
        <v>114179.4</v>
      </c>
      <c r="I63" s="453"/>
      <c r="J63" s="453"/>
      <c r="K63" s="453"/>
      <c r="L63" s="453"/>
    </row>
    <row r="64" spans="1:26" x14ac:dyDescent="0.2">
      <c r="A64" s="453"/>
      <c r="B64" s="453"/>
      <c r="C64" s="453"/>
      <c r="D64" s="457" t="s">
        <v>715</v>
      </c>
      <c r="E64" s="458"/>
      <c r="F64" s="458"/>
      <c r="G64" s="458"/>
      <c r="H64" s="459">
        <v>602382.56000000006</v>
      </c>
      <c r="I64" s="453"/>
      <c r="J64" s="453"/>
      <c r="K64" s="453"/>
      <c r="L64" s="453"/>
    </row>
    <row r="65" spans="1:26" ht="51" x14ac:dyDescent="0.2">
      <c r="A65" s="444">
        <v>4</v>
      </c>
      <c r="B65" s="444">
        <v>4</v>
      </c>
      <c r="C65" s="444" t="s">
        <v>940</v>
      </c>
      <c r="D65" s="444" t="s">
        <v>924</v>
      </c>
      <c r="E65" s="445">
        <v>0.34</v>
      </c>
      <c r="F65" s="446">
        <v>619.43193599999995</v>
      </c>
      <c r="G65" s="446">
        <v>106.7136</v>
      </c>
      <c r="H65" s="447">
        <v>8284.8799999999992</v>
      </c>
      <c r="I65" s="447">
        <v>7804.5</v>
      </c>
      <c r="J65" s="447">
        <v>480.38</v>
      </c>
      <c r="K65" s="446">
        <v>53.913600000000002</v>
      </c>
      <c r="L65" s="446">
        <v>18.330624</v>
      </c>
      <c r="T65" s="439">
        <v>22862.52</v>
      </c>
      <c r="V65" s="439">
        <v>7804.5</v>
      </c>
      <c r="W65" s="439">
        <v>480.38</v>
      </c>
      <c r="X65" s="439">
        <v>196.4</v>
      </c>
      <c r="Y65" s="439">
        <v>18.330624</v>
      </c>
      <c r="Z65" s="439">
        <v>0.36067199999999999</v>
      </c>
    </row>
    <row r="66" spans="1:26" x14ac:dyDescent="0.2">
      <c r="A66" s="448"/>
      <c r="B66" s="448"/>
      <c r="C66" s="448"/>
      <c r="D66" s="449" t="s">
        <v>747</v>
      </c>
      <c r="E66" s="450"/>
      <c r="F66" s="451">
        <v>512.71833600000002</v>
      </c>
      <c r="G66" s="451">
        <v>12.9024</v>
      </c>
      <c r="H66" s="450"/>
      <c r="I66" s="450"/>
      <c r="J66" s="452">
        <v>196.4</v>
      </c>
      <c r="K66" s="451">
        <v>1.0608</v>
      </c>
      <c r="L66" s="451">
        <v>0.36067199999999999</v>
      </c>
    </row>
    <row r="67" spans="1:26" ht="20.399999999999999" x14ac:dyDescent="0.2">
      <c r="A67" s="453"/>
      <c r="B67" s="453"/>
      <c r="C67" s="453"/>
      <c r="D67" s="437" t="s">
        <v>714</v>
      </c>
      <c r="E67" s="453"/>
      <c r="F67" s="453"/>
      <c r="G67" s="453"/>
      <c r="H67" s="453"/>
      <c r="I67" s="453"/>
      <c r="J67" s="453"/>
      <c r="K67" s="453"/>
      <c r="L67" s="453"/>
    </row>
    <row r="68" spans="1:26" ht="30.6" x14ac:dyDescent="0.2">
      <c r="A68" s="453"/>
      <c r="B68" s="453"/>
      <c r="C68" s="453"/>
      <c r="D68" s="437" t="s">
        <v>941</v>
      </c>
      <c r="E68" s="453"/>
      <c r="F68" s="453"/>
      <c r="G68" s="453"/>
      <c r="H68" s="453"/>
      <c r="I68" s="453"/>
      <c r="J68" s="453"/>
      <c r="K68" s="453"/>
      <c r="L68" s="453"/>
    </row>
    <row r="69" spans="1:26" ht="102" x14ac:dyDescent="0.2">
      <c r="A69" s="453"/>
      <c r="B69" s="453"/>
      <c r="C69" s="453"/>
      <c r="D69" s="437" t="s">
        <v>942</v>
      </c>
      <c r="E69" s="453"/>
      <c r="F69" s="453"/>
      <c r="G69" s="453"/>
      <c r="H69" s="453"/>
      <c r="I69" s="453"/>
      <c r="J69" s="453"/>
      <c r="K69" s="453"/>
      <c r="L69" s="453"/>
    </row>
    <row r="70" spans="1:26" x14ac:dyDescent="0.2">
      <c r="A70" s="453"/>
      <c r="B70" s="453"/>
      <c r="C70" s="453"/>
      <c r="D70" s="454" t="s">
        <v>206</v>
      </c>
      <c r="E70" s="455" t="s">
        <v>943</v>
      </c>
      <c r="F70" s="455"/>
      <c r="G70" s="455"/>
      <c r="H70" s="456">
        <v>9681.09</v>
      </c>
      <c r="I70" s="453"/>
      <c r="J70" s="453"/>
      <c r="K70" s="453"/>
      <c r="L70" s="453"/>
    </row>
    <row r="71" spans="1:26" x14ac:dyDescent="0.2">
      <c r="A71" s="453"/>
      <c r="B71" s="453"/>
      <c r="C71" s="453"/>
      <c r="D71" s="454" t="s">
        <v>207</v>
      </c>
      <c r="E71" s="455" t="s">
        <v>944</v>
      </c>
      <c r="F71" s="455"/>
      <c r="G71" s="455"/>
      <c r="H71" s="456">
        <v>4896.55</v>
      </c>
      <c r="I71" s="453"/>
      <c r="J71" s="453"/>
      <c r="K71" s="453"/>
      <c r="L71" s="453"/>
    </row>
    <row r="72" spans="1:26" x14ac:dyDescent="0.2">
      <c r="A72" s="453"/>
      <c r="B72" s="453"/>
      <c r="C72" s="453"/>
      <c r="D72" s="457" t="s">
        <v>715</v>
      </c>
      <c r="E72" s="458"/>
      <c r="F72" s="458"/>
      <c r="G72" s="458"/>
      <c r="H72" s="459">
        <v>22862.52</v>
      </c>
      <c r="I72" s="453"/>
      <c r="J72" s="453"/>
      <c r="K72" s="453"/>
      <c r="L72" s="453"/>
    </row>
    <row r="73" spans="1:26" ht="40.799999999999997" x14ac:dyDescent="0.2">
      <c r="A73" s="444">
        <v>5</v>
      </c>
      <c r="B73" s="444">
        <v>5</v>
      </c>
      <c r="C73" s="444" t="s">
        <v>945</v>
      </c>
      <c r="D73" s="444" t="s">
        <v>925</v>
      </c>
      <c r="E73" s="445">
        <v>0.39</v>
      </c>
      <c r="F73" s="446">
        <v>948.024</v>
      </c>
      <c r="G73" s="446">
        <v>190.2672</v>
      </c>
      <c r="H73" s="447">
        <v>14213.12</v>
      </c>
      <c r="I73" s="447">
        <v>13230.66</v>
      </c>
      <c r="J73" s="447">
        <v>982.46</v>
      </c>
      <c r="K73" s="446">
        <v>79.680000000000007</v>
      </c>
      <c r="L73" s="446">
        <v>31.075199999999999</v>
      </c>
      <c r="T73" s="439">
        <v>38751.379999999997</v>
      </c>
      <c r="V73" s="439">
        <v>13230.66</v>
      </c>
      <c r="W73" s="439">
        <v>982.46</v>
      </c>
      <c r="X73" s="439">
        <v>237.1</v>
      </c>
      <c r="Y73" s="439">
        <v>31.075199999999999</v>
      </c>
      <c r="Z73" s="439">
        <v>0.42494399999999999</v>
      </c>
    </row>
    <row r="74" spans="1:26" x14ac:dyDescent="0.2">
      <c r="A74" s="448"/>
      <c r="B74" s="448"/>
      <c r="C74" s="448"/>
      <c r="D74" s="449" t="s">
        <v>747</v>
      </c>
      <c r="E74" s="450"/>
      <c r="F74" s="451">
        <v>757.7568</v>
      </c>
      <c r="G74" s="451">
        <v>13.5792</v>
      </c>
      <c r="H74" s="450"/>
      <c r="I74" s="450"/>
      <c r="J74" s="452">
        <v>237.1</v>
      </c>
      <c r="K74" s="451">
        <v>1.0895999999999999</v>
      </c>
      <c r="L74" s="451">
        <v>0.42494399999999999</v>
      </c>
    </row>
    <row r="75" spans="1:26" ht="20.399999999999999" x14ac:dyDescent="0.2">
      <c r="A75" s="453"/>
      <c r="B75" s="453"/>
      <c r="C75" s="453"/>
      <c r="D75" s="437" t="s">
        <v>714</v>
      </c>
      <c r="E75" s="453"/>
      <c r="F75" s="453"/>
      <c r="G75" s="453"/>
      <c r="H75" s="453"/>
      <c r="I75" s="453"/>
      <c r="J75" s="453"/>
      <c r="K75" s="453"/>
      <c r="L75" s="453"/>
    </row>
    <row r="76" spans="1:26" ht="30.6" x14ac:dyDescent="0.2">
      <c r="A76" s="453"/>
      <c r="B76" s="453"/>
      <c r="C76" s="453"/>
      <c r="D76" s="437" t="s">
        <v>946</v>
      </c>
      <c r="E76" s="453"/>
      <c r="F76" s="453"/>
      <c r="G76" s="453"/>
      <c r="H76" s="453"/>
      <c r="I76" s="453"/>
      <c r="J76" s="453"/>
      <c r="K76" s="453"/>
      <c r="L76" s="453"/>
    </row>
    <row r="77" spans="1:26" ht="71.400000000000006" x14ac:dyDescent="0.2">
      <c r="A77" s="453"/>
      <c r="B77" s="453"/>
      <c r="C77" s="453"/>
      <c r="D77" s="437" t="s">
        <v>947</v>
      </c>
      <c r="E77" s="453"/>
      <c r="F77" s="453"/>
      <c r="G77" s="453"/>
      <c r="H77" s="453"/>
      <c r="I77" s="453"/>
      <c r="J77" s="453"/>
      <c r="K77" s="453"/>
      <c r="L77" s="453"/>
    </row>
    <row r="78" spans="1:26" x14ac:dyDescent="0.2">
      <c r="A78" s="453"/>
      <c r="B78" s="453"/>
      <c r="C78" s="453"/>
      <c r="D78" s="454" t="s">
        <v>206</v>
      </c>
      <c r="E78" s="455" t="s">
        <v>943</v>
      </c>
      <c r="F78" s="455"/>
      <c r="G78" s="455"/>
      <c r="H78" s="456">
        <v>16295.99</v>
      </c>
      <c r="I78" s="453"/>
      <c r="J78" s="453"/>
      <c r="K78" s="453"/>
      <c r="L78" s="453"/>
    </row>
    <row r="79" spans="1:26" x14ac:dyDescent="0.2">
      <c r="A79" s="453"/>
      <c r="B79" s="453"/>
      <c r="C79" s="453"/>
      <c r="D79" s="454" t="s">
        <v>207</v>
      </c>
      <c r="E79" s="455" t="s">
        <v>944</v>
      </c>
      <c r="F79" s="455"/>
      <c r="G79" s="455"/>
      <c r="H79" s="456">
        <v>8242.27</v>
      </c>
      <c r="I79" s="453"/>
      <c r="J79" s="453"/>
      <c r="K79" s="453"/>
      <c r="L79" s="453"/>
    </row>
    <row r="80" spans="1:26" x14ac:dyDescent="0.2">
      <c r="A80" s="453"/>
      <c r="B80" s="453"/>
      <c r="C80" s="453"/>
      <c r="D80" s="457" t="s">
        <v>715</v>
      </c>
      <c r="E80" s="458"/>
      <c r="F80" s="458"/>
      <c r="G80" s="458"/>
      <c r="H80" s="459">
        <v>38751.379999999997</v>
      </c>
      <c r="I80" s="453"/>
      <c r="J80" s="453"/>
      <c r="K80" s="453"/>
      <c r="L80" s="453"/>
    </row>
    <row r="81" spans="1:26" ht="40.799999999999997" x14ac:dyDescent="0.2">
      <c r="A81" s="444">
        <v>6</v>
      </c>
      <c r="B81" s="444">
        <v>6</v>
      </c>
      <c r="C81" s="444" t="s">
        <v>948</v>
      </c>
      <c r="D81" s="444" t="s">
        <v>926</v>
      </c>
      <c r="E81" s="445">
        <v>0.09</v>
      </c>
      <c r="F81" s="446">
        <v>1190.7791999999999</v>
      </c>
      <c r="G81" s="446">
        <v>286.94880000000001</v>
      </c>
      <c r="H81" s="447">
        <v>3983.73</v>
      </c>
      <c r="I81" s="447">
        <v>3641.8</v>
      </c>
      <c r="J81" s="447">
        <v>341.93</v>
      </c>
      <c r="K81" s="446">
        <v>95.04</v>
      </c>
      <c r="L81" s="446">
        <v>8.5535999999999994</v>
      </c>
      <c r="T81" s="439">
        <v>10802.12</v>
      </c>
      <c r="V81" s="439">
        <v>3641.8</v>
      </c>
      <c r="W81" s="439">
        <v>341.93</v>
      </c>
      <c r="X81" s="439">
        <v>100.46</v>
      </c>
      <c r="Y81" s="439">
        <v>8.5535999999999994</v>
      </c>
      <c r="Z81" s="439">
        <v>0.18230399999999999</v>
      </c>
    </row>
    <row r="82" spans="1:26" x14ac:dyDescent="0.2">
      <c r="A82" s="448"/>
      <c r="B82" s="448"/>
      <c r="C82" s="448"/>
      <c r="D82" s="449" t="s">
        <v>747</v>
      </c>
      <c r="E82" s="450"/>
      <c r="F82" s="451">
        <v>903.83040000000005</v>
      </c>
      <c r="G82" s="451">
        <v>24.9312</v>
      </c>
      <c r="H82" s="450"/>
      <c r="I82" s="450"/>
      <c r="J82" s="452">
        <v>100.46</v>
      </c>
      <c r="K82" s="451">
        <v>2.0255999999999998</v>
      </c>
      <c r="L82" s="451">
        <v>0.18230399999999999</v>
      </c>
    </row>
    <row r="83" spans="1:26" ht="20.399999999999999" x14ac:dyDescent="0.2">
      <c r="A83" s="453"/>
      <c r="B83" s="453"/>
      <c r="C83" s="453"/>
      <c r="D83" s="437" t="s">
        <v>714</v>
      </c>
      <c r="E83" s="453"/>
      <c r="F83" s="453"/>
      <c r="G83" s="453"/>
      <c r="H83" s="453"/>
      <c r="I83" s="453"/>
      <c r="J83" s="453"/>
      <c r="K83" s="453"/>
      <c r="L83" s="453"/>
    </row>
    <row r="84" spans="1:26" ht="30.6" x14ac:dyDescent="0.2">
      <c r="A84" s="453"/>
      <c r="B84" s="453"/>
      <c r="C84" s="453"/>
      <c r="D84" s="437" t="s">
        <v>946</v>
      </c>
      <c r="E84" s="453"/>
      <c r="F84" s="453"/>
      <c r="G84" s="453"/>
      <c r="H84" s="453"/>
      <c r="I84" s="453"/>
      <c r="J84" s="453"/>
      <c r="K84" s="453"/>
      <c r="L84" s="453"/>
    </row>
    <row r="85" spans="1:26" ht="71.400000000000006" x14ac:dyDescent="0.2">
      <c r="A85" s="453"/>
      <c r="B85" s="453"/>
      <c r="C85" s="453"/>
      <c r="D85" s="437" t="s">
        <v>947</v>
      </c>
      <c r="E85" s="453"/>
      <c r="F85" s="453"/>
      <c r="G85" s="453"/>
      <c r="H85" s="453"/>
      <c r="I85" s="453"/>
      <c r="J85" s="453"/>
      <c r="K85" s="453"/>
      <c r="L85" s="453"/>
    </row>
    <row r="86" spans="1:26" x14ac:dyDescent="0.2">
      <c r="A86" s="453"/>
      <c r="B86" s="453"/>
      <c r="C86" s="453"/>
      <c r="D86" s="454" t="s">
        <v>206</v>
      </c>
      <c r="E86" s="455" t="s">
        <v>943</v>
      </c>
      <c r="F86" s="455"/>
      <c r="G86" s="455"/>
      <c r="H86" s="456">
        <v>4528.13</v>
      </c>
      <c r="I86" s="453"/>
      <c r="J86" s="453"/>
      <c r="K86" s="453"/>
      <c r="L86" s="453"/>
    </row>
    <row r="87" spans="1:26" x14ac:dyDescent="0.2">
      <c r="A87" s="453"/>
      <c r="B87" s="453"/>
      <c r="C87" s="453"/>
      <c r="D87" s="454" t="s">
        <v>207</v>
      </c>
      <c r="E87" s="455" t="s">
        <v>944</v>
      </c>
      <c r="F87" s="455"/>
      <c r="G87" s="455"/>
      <c r="H87" s="456">
        <v>2290.2600000000002</v>
      </c>
      <c r="I87" s="453"/>
      <c r="J87" s="453"/>
      <c r="K87" s="453"/>
      <c r="L87" s="453"/>
    </row>
    <row r="88" spans="1:26" x14ac:dyDescent="0.2">
      <c r="A88" s="453"/>
      <c r="B88" s="453"/>
      <c r="C88" s="453"/>
      <c r="D88" s="457" t="s">
        <v>715</v>
      </c>
      <c r="E88" s="458"/>
      <c r="F88" s="458"/>
      <c r="G88" s="458"/>
      <c r="H88" s="459">
        <v>10802.12</v>
      </c>
      <c r="I88" s="453"/>
      <c r="J88" s="453"/>
      <c r="K88" s="453"/>
      <c r="L88" s="453"/>
    </row>
    <row r="89" spans="1:26" ht="20.399999999999999" x14ac:dyDescent="0.2">
      <c r="A89" s="444">
        <v>7</v>
      </c>
      <c r="B89" s="444">
        <v>7</v>
      </c>
      <c r="C89" s="444" t="s">
        <v>949</v>
      </c>
      <c r="D89" s="444" t="s">
        <v>927</v>
      </c>
      <c r="E89" s="445">
        <v>0.04</v>
      </c>
      <c r="F89" s="446">
        <v>984.87599999999998</v>
      </c>
      <c r="G89" s="446">
        <v>9.3840000000000003</v>
      </c>
      <c r="H89" s="447">
        <v>1751.88</v>
      </c>
      <c r="I89" s="447">
        <v>1746.91</v>
      </c>
      <c r="J89" s="447">
        <v>4.97</v>
      </c>
      <c r="K89" s="446">
        <v>114.36</v>
      </c>
      <c r="L89" s="446">
        <v>4.5743999999999998</v>
      </c>
      <c r="T89" s="439">
        <v>4049.84</v>
      </c>
      <c r="V89" s="439">
        <v>1746.91</v>
      </c>
      <c r="W89" s="439">
        <v>4.97</v>
      </c>
      <c r="X89" s="439">
        <v>7.26</v>
      </c>
      <c r="Y89" s="439">
        <v>4.5743999999999998</v>
      </c>
      <c r="Z89" s="439">
        <v>1.2E-2</v>
      </c>
    </row>
    <row r="90" spans="1:26" x14ac:dyDescent="0.2">
      <c r="A90" s="448"/>
      <c r="B90" s="448"/>
      <c r="C90" s="448"/>
      <c r="D90" s="449" t="s">
        <v>847</v>
      </c>
      <c r="E90" s="450"/>
      <c r="F90" s="451">
        <v>975.49199999999996</v>
      </c>
      <c r="G90" s="451">
        <v>4.056</v>
      </c>
      <c r="H90" s="450"/>
      <c r="I90" s="450"/>
      <c r="J90" s="452">
        <v>7.26</v>
      </c>
      <c r="K90" s="451">
        <v>0.3</v>
      </c>
      <c r="L90" s="451">
        <v>1.2E-2</v>
      </c>
    </row>
    <row r="91" spans="1:26" ht="20.399999999999999" x14ac:dyDescent="0.2">
      <c r="A91" s="453"/>
      <c r="B91" s="453"/>
      <c r="C91" s="453"/>
      <c r="D91" s="437" t="s">
        <v>714</v>
      </c>
      <c r="E91" s="453"/>
      <c r="F91" s="453"/>
      <c r="G91" s="453"/>
      <c r="H91" s="453"/>
      <c r="I91" s="453"/>
      <c r="J91" s="453"/>
      <c r="K91" s="453"/>
      <c r="L91" s="453"/>
    </row>
    <row r="92" spans="1:26" ht="20.399999999999999" x14ac:dyDescent="0.2">
      <c r="A92" s="453"/>
      <c r="B92" s="453"/>
      <c r="C92" s="453"/>
      <c r="D92" s="437" t="s">
        <v>934</v>
      </c>
      <c r="E92" s="453"/>
      <c r="F92" s="453"/>
      <c r="G92" s="453"/>
      <c r="H92" s="453"/>
      <c r="I92" s="453"/>
      <c r="J92" s="453"/>
      <c r="K92" s="453"/>
      <c r="L92" s="453"/>
    </row>
    <row r="93" spans="1:26" ht="51" x14ac:dyDescent="0.2">
      <c r="A93" s="453"/>
      <c r="B93" s="453"/>
      <c r="C93" s="453"/>
      <c r="D93" s="437" t="s">
        <v>935</v>
      </c>
      <c r="E93" s="453"/>
      <c r="F93" s="453"/>
      <c r="G93" s="453"/>
      <c r="H93" s="453"/>
      <c r="I93" s="453"/>
      <c r="J93" s="453"/>
      <c r="K93" s="453"/>
      <c r="L93" s="453"/>
    </row>
    <row r="94" spans="1:26" x14ac:dyDescent="0.2">
      <c r="A94" s="453"/>
      <c r="B94" s="453"/>
      <c r="C94" s="453"/>
      <c r="D94" s="454" t="s">
        <v>206</v>
      </c>
      <c r="E94" s="455" t="s">
        <v>908</v>
      </c>
      <c r="F94" s="455"/>
      <c r="G94" s="455"/>
      <c r="H94" s="456">
        <v>1526.13</v>
      </c>
      <c r="I94" s="453"/>
      <c r="J94" s="453"/>
      <c r="K94" s="453"/>
      <c r="L94" s="453"/>
    </row>
    <row r="95" spans="1:26" x14ac:dyDescent="0.2">
      <c r="A95" s="453"/>
      <c r="B95" s="453"/>
      <c r="C95" s="453"/>
      <c r="D95" s="454" t="s">
        <v>207</v>
      </c>
      <c r="E95" s="455" t="s">
        <v>771</v>
      </c>
      <c r="F95" s="455"/>
      <c r="G95" s="455"/>
      <c r="H95" s="456">
        <v>771.83</v>
      </c>
      <c r="I95" s="453"/>
      <c r="J95" s="453"/>
      <c r="K95" s="453"/>
      <c r="L95" s="453"/>
    </row>
    <row r="96" spans="1:26" x14ac:dyDescent="0.2">
      <c r="A96" s="453"/>
      <c r="B96" s="453"/>
      <c r="C96" s="453"/>
      <c r="D96" s="457" t="s">
        <v>715</v>
      </c>
      <c r="E96" s="458"/>
      <c r="F96" s="458"/>
      <c r="G96" s="458"/>
      <c r="H96" s="459">
        <v>4049.84</v>
      </c>
      <c r="I96" s="453"/>
      <c r="J96" s="453"/>
      <c r="K96" s="453"/>
      <c r="L96" s="453"/>
    </row>
    <row r="97" spans="1:26" ht="40.799999999999997" x14ac:dyDescent="0.2">
      <c r="A97" s="444">
        <v>8</v>
      </c>
      <c r="B97" s="444">
        <v>8</v>
      </c>
      <c r="C97" s="444" t="s">
        <v>950</v>
      </c>
      <c r="D97" s="444" t="s">
        <v>928</v>
      </c>
      <c r="E97" s="445">
        <v>0.04</v>
      </c>
      <c r="F97" s="446">
        <v>765.49919999999997</v>
      </c>
      <c r="G97" s="446">
        <v>43.468800000000002</v>
      </c>
      <c r="H97" s="447">
        <v>1316.03</v>
      </c>
      <c r="I97" s="447">
        <v>1293.01</v>
      </c>
      <c r="J97" s="447">
        <v>23.02</v>
      </c>
      <c r="K97" s="446">
        <v>90.028800000000004</v>
      </c>
      <c r="L97" s="446">
        <v>3.6011519999999999</v>
      </c>
      <c r="T97" s="439">
        <v>3691.56</v>
      </c>
      <c r="V97" s="439">
        <v>1293.01</v>
      </c>
      <c r="W97" s="439">
        <v>23.02</v>
      </c>
      <c r="X97" s="439">
        <v>10.79</v>
      </c>
      <c r="Y97" s="439">
        <v>3.6011519999999999</v>
      </c>
      <c r="Z97" s="439">
        <v>1.9199999999999998E-2</v>
      </c>
    </row>
    <row r="98" spans="1:26" x14ac:dyDescent="0.2">
      <c r="A98" s="448"/>
      <c r="B98" s="448"/>
      <c r="C98" s="448"/>
      <c r="D98" s="449" t="s">
        <v>847</v>
      </c>
      <c r="E98" s="450"/>
      <c r="F98" s="451">
        <v>722.03039999999999</v>
      </c>
      <c r="G98" s="451">
        <v>6.024</v>
      </c>
      <c r="H98" s="450"/>
      <c r="I98" s="450"/>
      <c r="J98" s="452">
        <v>10.79</v>
      </c>
      <c r="K98" s="451">
        <v>0.48</v>
      </c>
      <c r="L98" s="451">
        <v>1.9199999999999998E-2</v>
      </c>
    </row>
    <row r="99" spans="1:26" ht="20.399999999999999" x14ac:dyDescent="0.2">
      <c r="A99" s="453"/>
      <c r="B99" s="453"/>
      <c r="C99" s="453"/>
      <c r="D99" s="437" t="s">
        <v>714</v>
      </c>
      <c r="E99" s="453"/>
      <c r="F99" s="453"/>
      <c r="G99" s="453"/>
      <c r="H99" s="453"/>
      <c r="I99" s="453"/>
      <c r="J99" s="453"/>
      <c r="K99" s="453"/>
      <c r="L99" s="453"/>
    </row>
    <row r="100" spans="1:26" ht="30.6" x14ac:dyDescent="0.2">
      <c r="A100" s="453"/>
      <c r="B100" s="453"/>
      <c r="C100" s="453"/>
      <c r="D100" s="437" t="s">
        <v>946</v>
      </c>
      <c r="E100" s="453"/>
      <c r="F100" s="453"/>
      <c r="G100" s="453"/>
      <c r="H100" s="453"/>
      <c r="I100" s="453"/>
      <c r="J100" s="453"/>
      <c r="K100" s="453"/>
      <c r="L100" s="453"/>
    </row>
    <row r="101" spans="1:26" ht="71.400000000000006" x14ac:dyDescent="0.2">
      <c r="A101" s="453"/>
      <c r="B101" s="453"/>
      <c r="C101" s="453"/>
      <c r="D101" s="437" t="s">
        <v>947</v>
      </c>
      <c r="E101" s="453"/>
      <c r="F101" s="453"/>
      <c r="G101" s="453"/>
      <c r="H101" s="453"/>
      <c r="I101" s="453"/>
      <c r="J101" s="453"/>
      <c r="K101" s="453"/>
      <c r="L101" s="453"/>
    </row>
    <row r="102" spans="1:26" x14ac:dyDescent="0.2">
      <c r="A102" s="453"/>
      <c r="B102" s="453"/>
      <c r="C102" s="453"/>
      <c r="D102" s="454" t="s">
        <v>206</v>
      </c>
      <c r="E102" s="455" t="s">
        <v>943</v>
      </c>
      <c r="F102" s="455"/>
      <c r="G102" s="455"/>
      <c r="H102" s="456">
        <v>1577.6</v>
      </c>
      <c r="I102" s="453"/>
      <c r="J102" s="453"/>
      <c r="K102" s="453"/>
      <c r="L102" s="453"/>
    </row>
    <row r="103" spans="1:26" x14ac:dyDescent="0.2">
      <c r="A103" s="453"/>
      <c r="B103" s="453"/>
      <c r="C103" s="453"/>
      <c r="D103" s="454" t="s">
        <v>207</v>
      </c>
      <c r="E103" s="455" t="s">
        <v>944</v>
      </c>
      <c r="F103" s="455"/>
      <c r="G103" s="455"/>
      <c r="H103" s="456">
        <v>797.93</v>
      </c>
      <c r="I103" s="453"/>
      <c r="J103" s="453"/>
      <c r="K103" s="453"/>
      <c r="L103" s="453"/>
    </row>
    <row r="104" spans="1:26" x14ac:dyDescent="0.2">
      <c r="A104" s="453"/>
      <c r="B104" s="453"/>
      <c r="C104" s="453"/>
      <c r="D104" s="457" t="s">
        <v>715</v>
      </c>
      <c r="E104" s="458"/>
      <c r="F104" s="458"/>
      <c r="G104" s="458"/>
      <c r="H104" s="459">
        <v>3691.56</v>
      </c>
      <c r="I104" s="453"/>
      <c r="J104" s="453"/>
      <c r="K104" s="453"/>
      <c r="L104" s="453"/>
    </row>
    <row r="105" spans="1:26" ht="20.399999999999999" x14ac:dyDescent="0.2">
      <c r="A105" s="444">
        <v>9</v>
      </c>
      <c r="B105" s="444">
        <v>9</v>
      </c>
      <c r="C105" s="444" t="s">
        <v>951</v>
      </c>
      <c r="D105" s="444" t="s">
        <v>929</v>
      </c>
      <c r="E105" s="445">
        <v>1</v>
      </c>
      <c r="F105" s="446">
        <v>5.1984000000000004</v>
      </c>
      <c r="G105" s="446">
        <v>1.0416000000000001</v>
      </c>
      <c r="H105" s="447">
        <v>199.89</v>
      </c>
      <c r="I105" s="447">
        <v>186.1</v>
      </c>
      <c r="J105" s="447">
        <v>13.79</v>
      </c>
      <c r="K105" s="446">
        <v>0.432</v>
      </c>
      <c r="L105" s="446">
        <v>0.432</v>
      </c>
      <c r="T105" s="439">
        <v>553.45000000000005</v>
      </c>
      <c r="V105" s="439">
        <v>186.1</v>
      </c>
      <c r="W105" s="439">
        <v>13.79</v>
      </c>
      <c r="X105" s="439">
        <v>7.95</v>
      </c>
      <c r="Y105" s="439">
        <v>0.432</v>
      </c>
      <c r="Z105" s="439">
        <v>1.44E-2</v>
      </c>
    </row>
    <row r="106" spans="1:26" x14ac:dyDescent="0.2">
      <c r="A106" s="448"/>
      <c r="B106" s="448"/>
      <c r="C106" s="448"/>
      <c r="D106" s="449" t="s">
        <v>735</v>
      </c>
      <c r="E106" s="450"/>
      <c r="F106" s="451">
        <v>4.1567999999999996</v>
      </c>
      <c r="G106" s="451">
        <v>0.17760000000000001</v>
      </c>
      <c r="H106" s="450"/>
      <c r="I106" s="450"/>
      <c r="J106" s="452">
        <v>7.95</v>
      </c>
      <c r="K106" s="451">
        <v>1.44E-2</v>
      </c>
      <c r="L106" s="451">
        <v>1.44E-2</v>
      </c>
    </row>
    <row r="107" spans="1:26" ht="20.399999999999999" x14ac:dyDescent="0.2">
      <c r="A107" s="453"/>
      <c r="B107" s="453"/>
      <c r="C107" s="453"/>
      <c r="D107" s="437" t="s">
        <v>714</v>
      </c>
      <c r="E107" s="453"/>
      <c r="F107" s="453"/>
      <c r="G107" s="453"/>
      <c r="H107" s="453"/>
      <c r="I107" s="453"/>
      <c r="J107" s="453"/>
      <c r="K107" s="453"/>
      <c r="L107" s="453"/>
    </row>
    <row r="108" spans="1:26" ht="30.6" x14ac:dyDescent="0.2">
      <c r="A108" s="453"/>
      <c r="B108" s="453"/>
      <c r="C108" s="453"/>
      <c r="D108" s="437" t="s">
        <v>946</v>
      </c>
      <c r="E108" s="453"/>
      <c r="F108" s="453"/>
      <c r="G108" s="453"/>
      <c r="H108" s="453"/>
      <c r="I108" s="453"/>
      <c r="J108" s="453"/>
      <c r="K108" s="453"/>
      <c r="L108" s="453"/>
    </row>
    <row r="109" spans="1:26" ht="71.400000000000006" x14ac:dyDescent="0.2">
      <c r="A109" s="453"/>
      <c r="B109" s="453"/>
      <c r="C109" s="453"/>
      <c r="D109" s="437" t="s">
        <v>947</v>
      </c>
      <c r="E109" s="453"/>
      <c r="F109" s="453"/>
      <c r="G109" s="453"/>
      <c r="H109" s="453"/>
      <c r="I109" s="453"/>
      <c r="J109" s="453"/>
      <c r="K109" s="453"/>
      <c r="L109" s="453"/>
    </row>
    <row r="110" spans="1:26" x14ac:dyDescent="0.2">
      <c r="A110" s="453"/>
      <c r="B110" s="453"/>
      <c r="C110" s="453"/>
      <c r="D110" s="454" t="s">
        <v>206</v>
      </c>
      <c r="E110" s="455" t="s">
        <v>943</v>
      </c>
      <c r="F110" s="455"/>
      <c r="G110" s="455"/>
      <c r="H110" s="456">
        <v>234.8</v>
      </c>
      <c r="I110" s="453"/>
      <c r="J110" s="453"/>
      <c r="K110" s="453"/>
      <c r="L110" s="453"/>
    </row>
    <row r="111" spans="1:26" x14ac:dyDescent="0.2">
      <c r="A111" s="453"/>
      <c r="B111" s="453"/>
      <c r="C111" s="453"/>
      <c r="D111" s="454" t="s">
        <v>207</v>
      </c>
      <c r="E111" s="455" t="s">
        <v>944</v>
      </c>
      <c r="F111" s="455"/>
      <c r="G111" s="455"/>
      <c r="H111" s="456">
        <v>118.76</v>
      </c>
      <c r="I111" s="453"/>
      <c r="J111" s="453"/>
      <c r="K111" s="453"/>
      <c r="L111" s="453"/>
    </row>
    <row r="112" spans="1:26" x14ac:dyDescent="0.2">
      <c r="A112" s="453"/>
      <c r="B112" s="453"/>
      <c r="C112" s="453"/>
      <c r="D112" s="457" t="s">
        <v>715</v>
      </c>
      <c r="E112" s="458"/>
      <c r="F112" s="458"/>
      <c r="G112" s="458"/>
      <c r="H112" s="459">
        <v>553.45000000000005</v>
      </c>
      <c r="I112" s="453"/>
      <c r="J112" s="453"/>
      <c r="K112" s="453"/>
      <c r="L112" s="453"/>
    </row>
    <row r="113" spans="1:26" ht="30.6" x14ac:dyDescent="0.2">
      <c r="A113" s="444">
        <v>10</v>
      </c>
      <c r="B113" s="444">
        <v>10</v>
      </c>
      <c r="C113" s="444" t="s">
        <v>952</v>
      </c>
      <c r="D113" s="444" t="s">
        <v>930</v>
      </c>
      <c r="E113" s="445">
        <v>0.78</v>
      </c>
      <c r="F113" s="446">
        <v>84.2256</v>
      </c>
      <c r="G113" s="446">
        <v>45.604799999999997</v>
      </c>
      <c r="H113" s="447">
        <v>1819.63</v>
      </c>
      <c r="I113" s="447">
        <v>1348.66</v>
      </c>
      <c r="J113" s="447">
        <v>470.97</v>
      </c>
      <c r="K113" s="446">
        <v>4.1087999999999996</v>
      </c>
      <c r="L113" s="446">
        <v>3.2048640000000002</v>
      </c>
      <c r="T113" s="439">
        <v>4394.3999999999996</v>
      </c>
      <c r="V113" s="439">
        <v>1348.66</v>
      </c>
      <c r="W113" s="439">
        <v>470.97</v>
      </c>
      <c r="X113" s="439">
        <v>391.05</v>
      </c>
      <c r="Y113" s="439">
        <v>3.2048640000000002</v>
      </c>
      <c r="Z113" s="439">
        <v>0.84988799999999998</v>
      </c>
    </row>
    <row r="114" spans="1:26" x14ac:dyDescent="0.2">
      <c r="A114" s="448"/>
      <c r="B114" s="448"/>
      <c r="C114" s="448"/>
      <c r="D114" s="449" t="s">
        <v>747</v>
      </c>
      <c r="E114" s="450"/>
      <c r="F114" s="451">
        <v>38.620800000000003</v>
      </c>
      <c r="G114" s="451">
        <v>11.198399999999999</v>
      </c>
      <c r="H114" s="450"/>
      <c r="I114" s="450"/>
      <c r="J114" s="452">
        <v>391.05</v>
      </c>
      <c r="K114" s="451">
        <v>1.0895999999999999</v>
      </c>
      <c r="L114" s="451">
        <v>0.84988799999999998</v>
      </c>
    </row>
    <row r="115" spans="1:26" ht="20.399999999999999" x14ac:dyDescent="0.2">
      <c r="A115" s="453"/>
      <c r="B115" s="453"/>
      <c r="C115" s="453"/>
      <c r="D115" s="437" t="s">
        <v>714</v>
      </c>
      <c r="E115" s="453"/>
      <c r="F115" s="453"/>
      <c r="G115" s="453"/>
      <c r="H115" s="453"/>
      <c r="I115" s="453"/>
      <c r="J115" s="453"/>
      <c r="K115" s="453"/>
      <c r="L115" s="453"/>
    </row>
    <row r="116" spans="1:26" ht="30.6" x14ac:dyDescent="0.2">
      <c r="A116" s="453"/>
      <c r="B116" s="453"/>
      <c r="C116" s="453"/>
      <c r="D116" s="437" t="s">
        <v>946</v>
      </c>
      <c r="E116" s="453"/>
      <c r="F116" s="453"/>
      <c r="G116" s="453"/>
      <c r="H116" s="453"/>
      <c r="I116" s="453"/>
      <c r="J116" s="453"/>
      <c r="K116" s="453"/>
      <c r="L116" s="453"/>
    </row>
    <row r="117" spans="1:26" ht="71.400000000000006" x14ac:dyDescent="0.2">
      <c r="A117" s="453"/>
      <c r="B117" s="453"/>
      <c r="C117" s="453"/>
      <c r="D117" s="437" t="s">
        <v>947</v>
      </c>
      <c r="E117" s="453"/>
      <c r="F117" s="453"/>
      <c r="G117" s="453"/>
      <c r="H117" s="453"/>
      <c r="I117" s="453"/>
      <c r="J117" s="453"/>
      <c r="K117" s="453"/>
      <c r="L117" s="453"/>
    </row>
    <row r="118" spans="1:26" x14ac:dyDescent="0.2">
      <c r="A118" s="453"/>
      <c r="B118" s="453"/>
      <c r="C118" s="453"/>
      <c r="D118" s="454" t="s">
        <v>206</v>
      </c>
      <c r="E118" s="455" t="s">
        <v>953</v>
      </c>
      <c r="F118" s="455"/>
      <c r="G118" s="455"/>
      <c r="H118" s="456">
        <v>1687.52</v>
      </c>
      <c r="I118" s="453"/>
      <c r="J118" s="453"/>
      <c r="K118" s="453"/>
      <c r="L118" s="453"/>
    </row>
    <row r="119" spans="1:26" x14ac:dyDescent="0.2">
      <c r="A119" s="453"/>
      <c r="B119" s="453"/>
      <c r="C119" s="453"/>
      <c r="D119" s="454" t="s">
        <v>207</v>
      </c>
      <c r="E119" s="455" t="s">
        <v>954</v>
      </c>
      <c r="F119" s="455"/>
      <c r="G119" s="455"/>
      <c r="H119" s="456">
        <v>887.25</v>
      </c>
      <c r="I119" s="453"/>
      <c r="J119" s="453"/>
      <c r="K119" s="453"/>
      <c r="L119" s="453"/>
    </row>
    <row r="120" spans="1:26" x14ac:dyDescent="0.2">
      <c r="A120" s="453"/>
      <c r="B120" s="453"/>
      <c r="C120" s="453"/>
      <c r="D120" s="457" t="s">
        <v>715</v>
      </c>
      <c r="E120" s="458"/>
      <c r="F120" s="458"/>
      <c r="G120" s="458"/>
      <c r="H120" s="459">
        <v>4394.3999999999996</v>
      </c>
      <c r="I120" s="453"/>
      <c r="J120" s="453"/>
      <c r="K120" s="453"/>
      <c r="L120" s="453"/>
    </row>
    <row r="121" spans="1:26" ht="40.799999999999997" x14ac:dyDescent="0.2">
      <c r="A121" s="444">
        <v>11</v>
      </c>
      <c r="B121" s="444">
        <v>11</v>
      </c>
      <c r="C121" s="444" t="s">
        <v>955</v>
      </c>
      <c r="D121" s="444" t="s">
        <v>931</v>
      </c>
      <c r="E121" s="445">
        <v>4.62</v>
      </c>
      <c r="F121" s="446">
        <v>90.6</v>
      </c>
      <c r="G121" s="446">
        <v>0.372</v>
      </c>
      <c r="H121" s="447">
        <v>18685.32</v>
      </c>
      <c r="I121" s="447">
        <v>18662.54</v>
      </c>
      <c r="J121" s="447">
        <v>22.78</v>
      </c>
      <c r="K121" s="446">
        <v>11.568</v>
      </c>
      <c r="L121" s="446">
        <v>53.444159999999997</v>
      </c>
      <c r="T121" s="439">
        <v>44674.53</v>
      </c>
      <c r="V121" s="439">
        <v>18662.54</v>
      </c>
      <c r="W121" s="439">
        <v>22.78</v>
      </c>
      <c r="X121" s="439">
        <v>34.74</v>
      </c>
      <c r="Y121" s="439">
        <v>53.444159999999997</v>
      </c>
      <c r="Z121" s="439">
        <v>5.5440000000000003E-2</v>
      </c>
    </row>
    <row r="122" spans="1:26" x14ac:dyDescent="0.2">
      <c r="A122" s="448"/>
      <c r="B122" s="448"/>
      <c r="C122" s="448"/>
      <c r="D122" s="449" t="s">
        <v>747</v>
      </c>
      <c r="E122" s="450"/>
      <c r="F122" s="451">
        <v>90.227999999999994</v>
      </c>
      <c r="G122" s="451">
        <v>0.16800000000000001</v>
      </c>
      <c r="H122" s="450"/>
      <c r="I122" s="450"/>
      <c r="J122" s="452">
        <v>34.74</v>
      </c>
      <c r="K122" s="451">
        <v>1.2E-2</v>
      </c>
      <c r="L122" s="451">
        <v>5.5440000000000003E-2</v>
      </c>
    </row>
    <row r="123" spans="1:26" ht="20.399999999999999" x14ac:dyDescent="0.2">
      <c r="A123" s="453"/>
      <c r="B123" s="453"/>
      <c r="C123" s="453"/>
      <c r="D123" s="437" t="s">
        <v>714</v>
      </c>
      <c r="E123" s="453"/>
      <c r="F123" s="453"/>
      <c r="G123" s="453"/>
      <c r="H123" s="453"/>
      <c r="I123" s="453"/>
      <c r="J123" s="453"/>
      <c r="K123" s="453"/>
      <c r="L123" s="453"/>
    </row>
    <row r="124" spans="1:26" ht="20.399999999999999" x14ac:dyDescent="0.2">
      <c r="A124" s="453"/>
      <c r="B124" s="453"/>
      <c r="C124" s="453"/>
      <c r="D124" s="437" t="s">
        <v>934</v>
      </c>
      <c r="E124" s="453"/>
      <c r="F124" s="453"/>
      <c r="G124" s="453"/>
      <c r="H124" s="453"/>
      <c r="I124" s="453"/>
      <c r="J124" s="453"/>
      <c r="K124" s="453"/>
      <c r="L124" s="453"/>
    </row>
    <row r="125" spans="1:26" ht="51" x14ac:dyDescent="0.2">
      <c r="A125" s="453"/>
      <c r="B125" s="453"/>
      <c r="C125" s="453"/>
      <c r="D125" s="437" t="s">
        <v>935</v>
      </c>
      <c r="E125" s="453"/>
      <c r="F125" s="453"/>
      <c r="G125" s="453"/>
      <c r="H125" s="453"/>
      <c r="I125" s="453"/>
      <c r="J125" s="453"/>
      <c r="K125" s="453"/>
      <c r="L125" s="453"/>
    </row>
    <row r="126" spans="1:26" x14ac:dyDescent="0.2">
      <c r="A126" s="453"/>
      <c r="B126" s="453"/>
      <c r="C126" s="453"/>
      <c r="D126" s="454" t="s">
        <v>206</v>
      </c>
      <c r="E126" s="455" t="s">
        <v>758</v>
      </c>
      <c r="F126" s="455"/>
      <c r="G126" s="455"/>
      <c r="H126" s="456">
        <v>17014.52</v>
      </c>
      <c r="I126" s="453"/>
      <c r="J126" s="453"/>
      <c r="K126" s="453"/>
      <c r="L126" s="453"/>
    </row>
    <row r="127" spans="1:26" x14ac:dyDescent="0.2">
      <c r="A127" s="453"/>
      <c r="B127" s="453"/>
      <c r="C127" s="453"/>
      <c r="D127" s="454" t="s">
        <v>207</v>
      </c>
      <c r="E127" s="455" t="s">
        <v>956</v>
      </c>
      <c r="F127" s="455"/>
      <c r="G127" s="455"/>
      <c r="H127" s="456">
        <v>8974.69</v>
      </c>
      <c r="I127" s="453"/>
      <c r="J127" s="453"/>
      <c r="K127" s="453"/>
      <c r="L127" s="453"/>
    </row>
    <row r="128" spans="1:26" x14ac:dyDescent="0.2">
      <c r="A128" s="460"/>
      <c r="B128" s="460"/>
      <c r="C128" s="460"/>
      <c r="D128" s="461" t="s">
        <v>715</v>
      </c>
      <c r="E128" s="462"/>
      <c r="F128" s="462"/>
      <c r="G128" s="462"/>
      <c r="H128" s="463">
        <v>44674.53</v>
      </c>
      <c r="I128" s="460"/>
      <c r="J128" s="460"/>
      <c r="K128" s="460"/>
      <c r="L128" s="460"/>
    </row>
    <row r="130" spans="1:26" x14ac:dyDescent="0.2">
      <c r="A130" s="1132" t="s">
        <v>957</v>
      </c>
      <c r="B130" s="1132"/>
      <c r="C130" s="1132"/>
      <c r="D130" s="1132"/>
      <c r="E130" s="1132"/>
      <c r="F130" s="1132"/>
      <c r="G130" s="1132"/>
      <c r="H130" s="1132"/>
      <c r="I130" s="1132"/>
      <c r="J130" s="1132"/>
      <c r="K130" s="1132"/>
      <c r="L130" s="1132"/>
    </row>
    <row r="131" spans="1:26" ht="20.399999999999999" x14ac:dyDescent="0.2">
      <c r="A131" s="444">
        <v>12</v>
      </c>
      <c r="B131" s="444">
        <v>12</v>
      </c>
      <c r="C131" s="444" t="s">
        <v>755</v>
      </c>
      <c r="D131" s="444" t="s">
        <v>834</v>
      </c>
      <c r="E131" s="445">
        <v>13.265000000000001</v>
      </c>
      <c r="F131" s="446">
        <v>42.98</v>
      </c>
      <c r="G131" s="446">
        <v>42.98</v>
      </c>
      <c r="H131" s="447">
        <v>7548.58</v>
      </c>
      <c r="I131" s="447" t="s">
        <v>281</v>
      </c>
      <c r="J131" s="447">
        <v>7548.58</v>
      </c>
      <c r="K131" s="446" t="s">
        <v>281</v>
      </c>
      <c r="L131" s="446" t="s">
        <v>281</v>
      </c>
      <c r="T131" s="439">
        <v>7548.58</v>
      </c>
      <c r="V131" s="439" t="s">
        <v>281</v>
      </c>
      <c r="W131" s="439">
        <v>7548.58</v>
      </c>
      <c r="X131" s="439" t="s">
        <v>281</v>
      </c>
      <c r="Y131" s="439" t="s">
        <v>281</v>
      </c>
      <c r="Z131" s="439" t="s">
        <v>281</v>
      </c>
    </row>
    <row r="132" spans="1:26" x14ac:dyDescent="0.2">
      <c r="A132" s="448"/>
      <c r="B132" s="448"/>
      <c r="C132" s="448"/>
      <c r="D132" s="449" t="s">
        <v>743</v>
      </c>
      <c r="E132" s="450"/>
      <c r="F132" s="451" t="s">
        <v>281</v>
      </c>
      <c r="G132" s="451" t="s">
        <v>281</v>
      </c>
      <c r="H132" s="450"/>
      <c r="I132" s="450"/>
      <c r="J132" s="452" t="s">
        <v>281</v>
      </c>
      <c r="K132" s="451" t="s">
        <v>281</v>
      </c>
      <c r="L132" s="451" t="s">
        <v>281</v>
      </c>
    </row>
    <row r="133" spans="1:26" x14ac:dyDescent="0.2">
      <c r="A133" s="453"/>
      <c r="B133" s="453"/>
      <c r="C133" s="453"/>
      <c r="D133" s="437" t="s">
        <v>716</v>
      </c>
      <c r="E133" s="453"/>
      <c r="F133" s="453"/>
      <c r="G133" s="453"/>
      <c r="H133" s="453"/>
      <c r="I133" s="453"/>
      <c r="J133" s="453"/>
      <c r="K133" s="453"/>
      <c r="L133" s="453"/>
    </row>
    <row r="134" spans="1:26" x14ac:dyDescent="0.2">
      <c r="A134" s="453"/>
      <c r="B134" s="453"/>
      <c r="C134" s="453"/>
      <c r="D134" s="457" t="s">
        <v>715</v>
      </c>
      <c r="E134" s="458"/>
      <c r="F134" s="458"/>
      <c r="G134" s="458"/>
      <c r="H134" s="459">
        <v>7548.58</v>
      </c>
      <c r="I134" s="453"/>
      <c r="J134" s="453"/>
      <c r="K134" s="453"/>
      <c r="L134" s="453"/>
    </row>
    <row r="135" spans="1:26" ht="30.6" x14ac:dyDescent="0.2">
      <c r="A135" s="444">
        <v>13</v>
      </c>
      <c r="B135" s="444">
        <v>13</v>
      </c>
      <c r="C135" s="444" t="s">
        <v>851</v>
      </c>
      <c r="D135" s="444" t="s">
        <v>852</v>
      </c>
      <c r="E135" s="445">
        <v>13.265000000000001</v>
      </c>
      <c r="F135" s="446">
        <v>8.7899999999999991</v>
      </c>
      <c r="G135" s="446" t="s">
        <v>281</v>
      </c>
      <c r="H135" s="447">
        <v>1588.09</v>
      </c>
      <c r="I135" s="447" t="s">
        <v>281</v>
      </c>
      <c r="J135" s="447" t="s">
        <v>281</v>
      </c>
      <c r="K135" s="446" t="s">
        <v>281</v>
      </c>
      <c r="L135" s="446" t="s">
        <v>281</v>
      </c>
      <c r="T135" s="439">
        <v>1588.09</v>
      </c>
      <c r="V135" s="439" t="s">
        <v>281</v>
      </c>
      <c r="W135" s="439" t="s">
        <v>281</v>
      </c>
      <c r="X135" s="439" t="s">
        <v>281</v>
      </c>
      <c r="Y135" s="439" t="s">
        <v>281</v>
      </c>
      <c r="Z135" s="439" t="s">
        <v>281</v>
      </c>
    </row>
    <row r="136" spans="1:26" x14ac:dyDescent="0.2">
      <c r="A136" s="448"/>
      <c r="B136" s="448"/>
      <c r="C136" s="448"/>
      <c r="D136" s="449" t="s">
        <v>743</v>
      </c>
      <c r="E136" s="450"/>
      <c r="F136" s="451" t="s">
        <v>281</v>
      </c>
      <c r="G136" s="451" t="s">
        <v>281</v>
      </c>
      <c r="H136" s="450"/>
      <c r="I136" s="450"/>
      <c r="J136" s="452" t="s">
        <v>281</v>
      </c>
      <c r="K136" s="451" t="s">
        <v>281</v>
      </c>
      <c r="L136" s="451" t="s">
        <v>281</v>
      </c>
    </row>
    <row r="137" spans="1:26" x14ac:dyDescent="0.2">
      <c r="A137" s="453"/>
      <c r="B137" s="453"/>
      <c r="C137" s="453"/>
      <c r="D137" s="437" t="s">
        <v>792</v>
      </c>
      <c r="E137" s="453"/>
      <c r="F137" s="453"/>
      <c r="G137" s="453"/>
      <c r="H137" s="453"/>
      <c r="I137" s="453"/>
      <c r="J137" s="453"/>
      <c r="K137" s="453"/>
      <c r="L137" s="453"/>
    </row>
    <row r="138" spans="1:26" x14ac:dyDescent="0.2">
      <c r="A138" s="453"/>
      <c r="B138" s="453"/>
      <c r="C138" s="453"/>
      <c r="D138" s="457" t="s">
        <v>715</v>
      </c>
      <c r="E138" s="458"/>
      <c r="F138" s="458"/>
      <c r="G138" s="458"/>
      <c r="H138" s="459">
        <v>1588.09</v>
      </c>
      <c r="I138" s="453"/>
      <c r="J138" s="453"/>
      <c r="K138" s="453"/>
      <c r="L138" s="453"/>
    </row>
    <row r="139" spans="1:26" ht="20.399999999999999" x14ac:dyDescent="0.2">
      <c r="A139" s="444">
        <v>14</v>
      </c>
      <c r="B139" s="444">
        <v>14</v>
      </c>
      <c r="C139" s="444" t="s">
        <v>958</v>
      </c>
      <c r="D139" s="444" t="s">
        <v>959</v>
      </c>
      <c r="E139" s="445">
        <v>13.265000000000001</v>
      </c>
      <c r="F139" s="446">
        <v>18.489999999999998</v>
      </c>
      <c r="G139" s="446" t="s">
        <v>281</v>
      </c>
      <c r="H139" s="447">
        <v>3247.4</v>
      </c>
      <c r="I139" s="447" t="s">
        <v>281</v>
      </c>
      <c r="J139" s="447" t="s">
        <v>281</v>
      </c>
      <c r="K139" s="446" t="s">
        <v>281</v>
      </c>
      <c r="L139" s="446" t="s">
        <v>281</v>
      </c>
      <c r="T139" s="439">
        <v>3247.4</v>
      </c>
      <c r="V139" s="439" t="s">
        <v>281</v>
      </c>
      <c r="W139" s="439" t="s">
        <v>281</v>
      </c>
      <c r="X139" s="439" t="s">
        <v>281</v>
      </c>
      <c r="Y139" s="439" t="s">
        <v>281</v>
      </c>
      <c r="Z139" s="439" t="s">
        <v>281</v>
      </c>
    </row>
    <row r="140" spans="1:26" x14ac:dyDescent="0.2">
      <c r="A140" s="448"/>
      <c r="B140" s="448"/>
      <c r="C140" s="448"/>
      <c r="D140" s="449" t="s">
        <v>743</v>
      </c>
      <c r="E140" s="450"/>
      <c r="F140" s="451" t="s">
        <v>281</v>
      </c>
      <c r="G140" s="451" t="s">
        <v>281</v>
      </c>
      <c r="H140" s="450"/>
      <c r="I140" s="450"/>
      <c r="J140" s="452" t="s">
        <v>281</v>
      </c>
      <c r="K140" s="451" t="s">
        <v>281</v>
      </c>
      <c r="L140" s="451" t="s">
        <v>281</v>
      </c>
    </row>
    <row r="141" spans="1:26" x14ac:dyDescent="0.2">
      <c r="A141" s="453"/>
      <c r="B141" s="453"/>
      <c r="C141" s="453"/>
      <c r="D141" s="437" t="s">
        <v>716</v>
      </c>
      <c r="E141" s="453"/>
      <c r="F141" s="453"/>
      <c r="G141" s="453"/>
      <c r="H141" s="453"/>
      <c r="I141" s="453"/>
      <c r="J141" s="453"/>
      <c r="K141" s="453"/>
      <c r="L141" s="453"/>
    </row>
    <row r="142" spans="1:26" x14ac:dyDescent="0.2">
      <c r="A142" s="460"/>
      <c r="B142" s="460"/>
      <c r="C142" s="460"/>
      <c r="D142" s="461" t="s">
        <v>715</v>
      </c>
      <c r="E142" s="462"/>
      <c r="F142" s="462"/>
      <c r="G142" s="462"/>
      <c r="H142" s="463">
        <v>3247.4</v>
      </c>
      <c r="I142" s="460"/>
      <c r="J142" s="460"/>
      <c r="K142" s="460"/>
      <c r="L142" s="460"/>
    </row>
    <row r="143" spans="1:26" x14ac:dyDescent="0.2">
      <c r="A143" s="1133" t="s">
        <v>960</v>
      </c>
      <c r="B143" s="1133"/>
      <c r="C143" s="1133"/>
      <c r="D143" s="1133"/>
      <c r="E143" s="1133"/>
      <c r="F143" s="1133"/>
      <c r="G143" s="1133"/>
      <c r="H143" s="1133"/>
      <c r="I143" s="1133"/>
      <c r="J143" s="1133"/>
      <c r="K143" s="1133"/>
      <c r="L143" s="1133"/>
    </row>
    <row r="144" spans="1:26" s="401" customFormat="1" x14ac:dyDescent="0.2">
      <c r="A144" s="1085" t="s">
        <v>774</v>
      </c>
      <c r="B144" s="1085"/>
      <c r="C144" s="1085"/>
      <c r="D144" s="1085"/>
      <c r="E144" s="1085"/>
      <c r="F144" s="1085"/>
      <c r="G144" s="1085"/>
      <c r="H144" s="423">
        <f>H139+H135+H131+H121+H113+H97+H89+H81+H65+H57+H49+H41+H105+H73</f>
        <v>514316.56</v>
      </c>
      <c r="I144" s="419"/>
      <c r="J144" s="419"/>
      <c r="K144" s="419"/>
      <c r="L144" s="419"/>
    </row>
    <row r="145" spans="1:12" x14ac:dyDescent="0.2">
      <c r="A145" s="1134" t="s">
        <v>919</v>
      </c>
      <c r="B145" s="1134"/>
      <c r="C145" s="1134"/>
      <c r="D145" s="1134"/>
      <c r="E145" s="1134"/>
      <c r="F145" s="1134"/>
      <c r="G145" s="1134"/>
      <c r="H145" s="464">
        <v>7638.52</v>
      </c>
      <c r="I145" s="460"/>
      <c r="J145" s="460"/>
      <c r="K145" s="460"/>
      <c r="L145" s="460"/>
    </row>
    <row r="146" spans="1:12" x14ac:dyDescent="0.2">
      <c r="A146" s="1134" t="s">
        <v>776</v>
      </c>
      <c r="B146" s="1134"/>
      <c r="C146" s="1134"/>
      <c r="D146" s="1134"/>
      <c r="E146" s="1134"/>
      <c r="F146" s="1134"/>
      <c r="G146" s="1134"/>
      <c r="H146" s="464">
        <v>12857.78</v>
      </c>
      <c r="I146" s="460"/>
      <c r="J146" s="460"/>
      <c r="K146" s="460"/>
      <c r="L146" s="460"/>
    </row>
    <row r="147" spans="1:12" x14ac:dyDescent="0.2">
      <c r="A147" s="1134" t="s">
        <v>777</v>
      </c>
      <c r="B147" s="1134"/>
      <c r="C147" s="1134"/>
      <c r="D147" s="1134"/>
      <c r="E147" s="1134"/>
      <c r="F147" s="1134"/>
      <c r="G147" s="1134"/>
      <c r="H147" s="464">
        <v>985.75</v>
      </c>
      <c r="I147" s="460"/>
      <c r="J147" s="460"/>
      <c r="K147" s="460"/>
      <c r="L147" s="460"/>
    </row>
    <row r="148" spans="1:12" x14ac:dyDescent="0.2">
      <c r="A148" s="1134" t="s">
        <v>778</v>
      </c>
      <c r="B148" s="1134"/>
      <c r="C148" s="1134"/>
      <c r="D148" s="1134"/>
      <c r="E148" s="1134"/>
      <c r="F148" s="1134"/>
      <c r="G148" s="1134"/>
      <c r="H148" s="464">
        <v>493820.26</v>
      </c>
      <c r="I148" s="460"/>
      <c r="J148" s="460"/>
      <c r="K148" s="460"/>
      <c r="L148" s="460"/>
    </row>
    <row r="149" spans="1:12" x14ac:dyDescent="0.2">
      <c r="A149" s="1134" t="s">
        <v>779</v>
      </c>
      <c r="B149" s="1134"/>
      <c r="C149" s="1134"/>
      <c r="D149" s="1134"/>
      <c r="E149" s="1134"/>
      <c r="F149" s="1134"/>
      <c r="G149" s="1134"/>
      <c r="H149" s="464">
        <v>1173584.45</v>
      </c>
      <c r="I149" s="460"/>
      <c r="J149" s="460"/>
      <c r="K149" s="460"/>
      <c r="L149" s="460"/>
    </row>
    <row r="150" spans="1:12" x14ac:dyDescent="0.2">
      <c r="A150" s="1134" t="s">
        <v>206</v>
      </c>
      <c r="B150" s="1134"/>
      <c r="C150" s="1134"/>
      <c r="D150" s="1134"/>
      <c r="E150" s="1134"/>
      <c r="F150" s="1134"/>
      <c r="G150" s="1134"/>
      <c r="H150" s="464">
        <v>440484.07</v>
      </c>
      <c r="I150" s="460"/>
      <c r="J150" s="460"/>
      <c r="K150" s="460"/>
      <c r="L150" s="460"/>
    </row>
    <row r="151" spans="1:12" x14ac:dyDescent="0.2">
      <c r="A151" s="1134" t="s">
        <v>207</v>
      </c>
      <c r="B151" s="1134"/>
      <c r="C151" s="1134"/>
      <c r="D151" s="1134"/>
      <c r="E151" s="1134"/>
      <c r="F151" s="1134"/>
      <c r="G151" s="1134"/>
      <c r="H151" s="464">
        <v>223178.22</v>
      </c>
      <c r="I151" s="460"/>
      <c r="J151" s="460"/>
      <c r="K151" s="460"/>
      <c r="L151" s="460"/>
    </row>
    <row r="152" spans="1:12" s="467" customFormat="1" x14ac:dyDescent="0.2">
      <c r="A152" s="1133" t="s">
        <v>73</v>
      </c>
      <c r="B152" s="1133"/>
      <c r="C152" s="1133"/>
      <c r="D152" s="1133"/>
      <c r="E152" s="1133"/>
      <c r="F152" s="1133"/>
      <c r="G152" s="1133"/>
      <c r="H152" s="465">
        <v>1177978.8500000001</v>
      </c>
      <c r="I152" s="466"/>
      <c r="J152" s="466"/>
      <c r="K152" s="466"/>
      <c r="L152" s="466"/>
    </row>
    <row r="153" spans="1:12" s="393" customFormat="1" x14ac:dyDescent="0.2">
      <c r="A153" s="1084" t="s">
        <v>784</v>
      </c>
      <c r="B153" s="1084"/>
      <c r="C153" s="1084"/>
      <c r="D153" s="1084"/>
      <c r="E153" s="1084"/>
      <c r="F153" s="1084"/>
      <c r="G153" s="1084"/>
      <c r="H153" s="382">
        <f>ROUND(H152*0.082,2)</f>
        <v>96594.27</v>
      </c>
      <c r="I153" s="383"/>
      <c r="J153" s="383"/>
      <c r="K153" s="383"/>
      <c r="L153" s="383"/>
    </row>
    <row r="154" spans="1:12" s="386" customFormat="1" x14ac:dyDescent="0.2">
      <c r="A154" s="1083" t="s">
        <v>785</v>
      </c>
      <c r="B154" s="1083"/>
      <c r="C154" s="1083"/>
      <c r="D154" s="1083"/>
      <c r="E154" s="1083"/>
      <c r="F154" s="1083"/>
      <c r="G154" s="1083"/>
      <c r="H154" s="384">
        <f>H152+H153</f>
        <v>1274573.1200000001</v>
      </c>
      <c r="I154" s="385"/>
      <c r="J154" s="385"/>
      <c r="K154" s="385"/>
      <c r="L154" s="385"/>
    </row>
    <row r="155" spans="1:12" s="393" customFormat="1" x14ac:dyDescent="0.2">
      <c r="A155" s="1084" t="s">
        <v>786</v>
      </c>
      <c r="B155" s="1084"/>
      <c r="C155" s="1084"/>
      <c r="D155" s="1084"/>
      <c r="E155" s="1084"/>
      <c r="F155" s="1084"/>
      <c r="G155" s="1084"/>
      <c r="H155" s="382">
        <f>ROUND(H154*0.024,2)</f>
        <v>30589.75</v>
      </c>
      <c r="I155" s="383"/>
      <c r="J155" s="383"/>
      <c r="K155" s="383"/>
      <c r="L155" s="383"/>
    </row>
    <row r="156" spans="1:12" s="389" customFormat="1" ht="12" x14ac:dyDescent="0.25">
      <c r="A156" s="1054" t="s">
        <v>787</v>
      </c>
      <c r="B156" s="1054"/>
      <c r="C156" s="1054"/>
      <c r="D156" s="1054"/>
      <c r="E156" s="1054"/>
      <c r="F156" s="1054"/>
      <c r="G156" s="1054"/>
      <c r="H156" s="387">
        <f>H154+H155</f>
        <v>1305162.8700000001</v>
      </c>
      <c r="I156" s="388"/>
      <c r="J156" s="388"/>
      <c r="K156" s="388"/>
      <c r="L156" s="388"/>
    </row>
    <row r="157" spans="1:12" s="389" customFormat="1" ht="12" x14ac:dyDescent="0.25">
      <c r="A157" s="1054" t="s">
        <v>1686</v>
      </c>
      <c r="B157" s="1054"/>
      <c r="C157" s="1054"/>
      <c r="D157" s="1054"/>
      <c r="E157" s="1054"/>
      <c r="F157" s="1054"/>
      <c r="G157" s="1054"/>
      <c r="H157" s="387">
        <f>ROUND(H156*1.0514,2)</f>
        <v>1372248.24</v>
      </c>
      <c r="I157" s="388"/>
      <c r="J157" s="388"/>
      <c r="K157" s="388"/>
      <c r="L157" s="388"/>
    </row>
    <row r="158" spans="1:12" s="389" customFormat="1" ht="12" x14ac:dyDescent="0.25">
      <c r="A158" s="611"/>
      <c r="B158" s="611"/>
      <c r="C158" s="611"/>
      <c r="D158" s="611"/>
      <c r="E158" s="611"/>
      <c r="F158" s="611"/>
      <c r="G158" s="611"/>
      <c r="H158" s="612"/>
      <c r="I158" s="613"/>
      <c r="J158" s="613"/>
      <c r="K158" s="613"/>
      <c r="L158" s="613"/>
    </row>
    <row r="159" spans="1:12" s="389" customFormat="1" ht="12" x14ac:dyDescent="0.25">
      <c r="A159" s="611"/>
      <c r="B159" s="611"/>
      <c r="C159" s="611"/>
      <c r="D159" s="611"/>
      <c r="E159" s="611"/>
      <c r="F159" s="611"/>
      <c r="G159" s="611"/>
      <c r="H159" s="612"/>
      <c r="I159" s="613"/>
      <c r="J159" s="613"/>
      <c r="K159" s="613"/>
      <c r="L159" s="613"/>
    </row>
    <row r="160" spans="1:12" s="389" customFormat="1" ht="12" x14ac:dyDescent="0.25">
      <c r="A160" s="611"/>
      <c r="B160" s="611"/>
      <c r="C160" s="611"/>
      <c r="D160" s="611"/>
      <c r="E160" s="611"/>
      <c r="F160" s="611"/>
      <c r="G160" s="611"/>
      <c r="H160" s="612"/>
      <c r="I160" s="613"/>
      <c r="J160" s="613"/>
      <c r="K160" s="613"/>
      <c r="L160" s="613"/>
    </row>
    <row r="161" spans="3:7" s="393" customFormat="1" x14ac:dyDescent="0.2"/>
    <row r="162" spans="3:7" s="393" customFormat="1" x14ac:dyDescent="0.2"/>
    <row r="163" spans="3:7" s="393" customFormat="1" ht="24" x14ac:dyDescent="0.25">
      <c r="C163" s="428" t="s">
        <v>729</v>
      </c>
      <c r="D163" s="429" t="s">
        <v>824</v>
      </c>
      <c r="E163" s="427" t="s">
        <v>281</v>
      </c>
      <c r="F163" s="427"/>
      <c r="G163" s="389" t="s">
        <v>823</v>
      </c>
    </row>
    <row r="164" spans="3:7" s="393" customFormat="1" ht="12" x14ac:dyDescent="0.25">
      <c r="C164" s="428"/>
      <c r="G164" s="389"/>
    </row>
    <row r="165" spans="3:7" s="393" customFormat="1" ht="24" x14ac:dyDescent="0.25">
      <c r="C165" s="428" t="s">
        <v>730</v>
      </c>
      <c r="D165" s="429" t="s">
        <v>821</v>
      </c>
      <c r="E165" s="427" t="s">
        <v>281</v>
      </c>
      <c r="F165" s="427"/>
      <c r="G165" s="389" t="s">
        <v>822</v>
      </c>
    </row>
    <row r="166" spans="3:7" s="393" customFormat="1" x14ac:dyDescent="0.2"/>
    <row r="167" spans="3:7" s="393" customFormat="1" x14ac:dyDescent="0.2"/>
  </sheetData>
  <mergeCells count="77">
    <mergeCell ref="A156:G156"/>
    <mergeCell ref="A147:G147"/>
    <mergeCell ref="A148:G148"/>
    <mergeCell ref="A149:G149"/>
    <mergeCell ref="A150:G150"/>
    <mergeCell ref="A151:G151"/>
    <mergeCell ref="A152:G152"/>
    <mergeCell ref="A146:G146"/>
    <mergeCell ref="A144:G144"/>
    <mergeCell ref="A153:G153"/>
    <mergeCell ref="A154:G154"/>
    <mergeCell ref="A155:G155"/>
    <mergeCell ref="A40:L40"/>
    <mergeCell ref="A130:L130"/>
    <mergeCell ref="A143:L143"/>
    <mergeCell ref="A145:G145"/>
    <mergeCell ref="K35:L35"/>
    <mergeCell ref="K36:L36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F35:F36"/>
    <mergeCell ref="G35:G36"/>
    <mergeCell ref="H35:H37"/>
    <mergeCell ref="I35:I37"/>
    <mergeCell ref="J35:J36"/>
    <mergeCell ref="C27:L27"/>
    <mergeCell ref="C28:L28"/>
    <mergeCell ref="F30:I30"/>
    <mergeCell ref="J30:K30"/>
    <mergeCell ref="F31:I31"/>
    <mergeCell ref="J31:K31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A16:B16"/>
    <mergeCell ref="C16:I16"/>
    <mergeCell ref="C17:I17"/>
    <mergeCell ref="H18:J18"/>
    <mergeCell ref="K18:L18"/>
    <mergeCell ref="K11:L12"/>
    <mergeCell ref="A12:B12"/>
    <mergeCell ref="C12:I12"/>
    <mergeCell ref="C13:I13"/>
    <mergeCell ref="K13:L14"/>
    <mergeCell ref="A14:B14"/>
    <mergeCell ref="C14:I14"/>
    <mergeCell ref="A157:G157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99"/>
  <sheetViews>
    <sheetView view="pageBreakPreview" topLeftCell="A55" zoomScaleNormal="100" zoomScaleSheetLayoutView="100" workbookViewId="0">
      <selection activeCell="D57" sqref="D57"/>
    </sheetView>
  </sheetViews>
  <sheetFormatPr defaultColWidth="9.109375" defaultRowHeight="10.199999999999999" x14ac:dyDescent="0.2"/>
  <cols>
    <col min="1" max="1" width="6.33203125" style="401" customWidth="1"/>
    <col min="2" max="2" width="6.6640625" style="401" customWidth="1"/>
    <col min="3" max="3" width="15.6640625" style="401" customWidth="1"/>
    <col min="4" max="4" width="40.6640625" style="401" customWidth="1"/>
    <col min="5" max="12" width="12.6640625" style="401" customWidth="1"/>
    <col min="13" max="19" width="9.109375" style="401"/>
    <col min="20" max="29" width="0" style="401" hidden="1" customWidth="1"/>
    <col min="30" max="30" width="118.6640625" style="401" hidden="1" customWidth="1"/>
    <col min="31" max="36" width="0" style="401" hidden="1" customWidth="1"/>
    <col min="37" max="16384" width="9.109375" style="401"/>
  </cols>
  <sheetData>
    <row r="1" spans="1:12" x14ac:dyDescent="0.2">
      <c r="A1" s="1108"/>
      <c r="B1" s="1108"/>
      <c r="C1" s="1108"/>
      <c r="D1" s="1103"/>
      <c r="E1" s="396"/>
      <c r="F1" s="396"/>
      <c r="I1" s="1109" t="s">
        <v>680</v>
      </c>
      <c r="J1" s="1109"/>
      <c r="K1" s="1109"/>
      <c r="L1" s="1109"/>
    </row>
    <row r="2" spans="1:12" x14ac:dyDescent="0.2">
      <c r="A2" s="398"/>
      <c r="B2" s="398"/>
      <c r="C2" s="398"/>
      <c r="D2" s="398"/>
      <c r="E2" s="398"/>
      <c r="F2" s="398"/>
      <c r="G2" s="398"/>
      <c r="I2" s="1109" t="s">
        <v>241</v>
      </c>
      <c r="J2" s="1109"/>
      <c r="K2" s="1109"/>
      <c r="L2" s="1109"/>
    </row>
    <row r="3" spans="1:12" x14ac:dyDescent="0.2">
      <c r="A3" s="398"/>
      <c r="B3" s="398"/>
      <c r="C3" s="398"/>
      <c r="D3" s="398"/>
      <c r="E3" s="398"/>
      <c r="F3" s="398"/>
      <c r="G3" s="398"/>
      <c r="I3" s="1109" t="s">
        <v>681</v>
      </c>
      <c r="J3" s="1109"/>
      <c r="K3" s="1109"/>
      <c r="L3" s="1109"/>
    </row>
    <row r="4" spans="1:12" x14ac:dyDescent="0.2">
      <c r="A4" s="398"/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</row>
    <row r="5" spans="1:12" x14ac:dyDescent="0.2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1106" t="s">
        <v>0</v>
      </c>
      <c r="L5" s="1107"/>
    </row>
    <row r="6" spans="1:12" x14ac:dyDescent="0.2">
      <c r="A6" s="398"/>
      <c r="B6" s="398"/>
      <c r="C6" s="398"/>
      <c r="D6" s="398"/>
      <c r="E6" s="398"/>
      <c r="F6" s="398"/>
      <c r="G6" s="398"/>
      <c r="H6" s="398"/>
      <c r="I6" s="1090" t="s">
        <v>1</v>
      </c>
      <c r="J6" s="1105"/>
      <c r="K6" s="1106" t="s">
        <v>2</v>
      </c>
      <c r="L6" s="1107"/>
    </row>
    <row r="7" spans="1:12" x14ac:dyDescent="0.2">
      <c r="A7" s="398"/>
      <c r="B7" s="398"/>
      <c r="C7" s="398"/>
      <c r="D7" s="398"/>
      <c r="E7" s="398"/>
      <c r="F7" s="398"/>
      <c r="G7" s="398"/>
      <c r="H7" s="398"/>
      <c r="I7" s="398"/>
      <c r="J7" s="398"/>
      <c r="K7" s="1099" t="s">
        <v>731</v>
      </c>
      <c r="L7" s="1100"/>
    </row>
    <row r="8" spans="1:12" x14ac:dyDescent="0.2">
      <c r="A8" s="1103" t="s">
        <v>3</v>
      </c>
      <c r="B8" s="1103"/>
      <c r="C8" s="1104" t="s">
        <v>731</v>
      </c>
      <c r="D8" s="1104"/>
      <c r="E8" s="1104"/>
      <c r="F8" s="1104"/>
      <c r="G8" s="1104"/>
      <c r="H8" s="1104"/>
      <c r="I8" s="1104"/>
      <c r="J8" s="399" t="s">
        <v>4</v>
      </c>
      <c r="K8" s="1101"/>
      <c r="L8" s="1102"/>
    </row>
    <row r="9" spans="1:12" x14ac:dyDescent="0.2">
      <c r="A9" s="398"/>
      <c r="B9" s="398"/>
      <c r="C9" s="1098" t="s">
        <v>226</v>
      </c>
      <c r="D9" s="1098"/>
      <c r="E9" s="1098"/>
      <c r="F9" s="1098"/>
      <c r="G9" s="1098"/>
      <c r="H9" s="1098"/>
      <c r="I9" s="1098"/>
      <c r="J9" s="398"/>
      <c r="K9" s="1099" t="s">
        <v>731</v>
      </c>
      <c r="L9" s="1100"/>
    </row>
    <row r="10" spans="1:12" s="393" customFormat="1" x14ac:dyDescent="0.2">
      <c r="A10" s="1060" t="s">
        <v>682</v>
      </c>
      <c r="B10" s="1060"/>
      <c r="C10" s="1066" t="s">
        <v>780</v>
      </c>
      <c r="D10" s="1066"/>
      <c r="E10" s="1066"/>
      <c r="F10" s="1066"/>
      <c r="G10" s="1066"/>
      <c r="H10" s="1066"/>
      <c r="I10" s="1066"/>
      <c r="J10" s="392" t="s">
        <v>4</v>
      </c>
      <c r="K10" s="1101"/>
      <c r="L10" s="1102"/>
    </row>
    <row r="11" spans="1:12" s="393" customFormat="1" x14ac:dyDescent="0.2">
      <c r="A11" s="359"/>
      <c r="B11" s="359"/>
      <c r="C11" s="1067" t="s">
        <v>226</v>
      </c>
      <c r="D11" s="1067"/>
      <c r="E11" s="1067"/>
      <c r="F11" s="1067"/>
      <c r="G11" s="1067"/>
      <c r="H11" s="1067"/>
      <c r="I11" s="1067"/>
      <c r="J11" s="359"/>
      <c r="K11" s="1062" t="s">
        <v>731</v>
      </c>
      <c r="L11" s="1063"/>
    </row>
    <row r="12" spans="1:12" s="393" customFormat="1" x14ac:dyDescent="0.2">
      <c r="A12" s="1060" t="s">
        <v>683</v>
      </c>
      <c r="B12" s="1060"/>
      <c r="C12" s="1066" t="s">
        <v>781</v>
      </c>
      <c r="D12" s="1066"/>
      <c r="E12" s="1066"/>
      <c r="F12" s="1066"/>
      <c r="G12" s="1066"/>
      <c r="H12" s="1066"/>
      <c r="I12" s="1066"/>
      <c r="J12" s="392" t="s">
        <v>4</v>
      </c>
      <c r="K12" s="1064"/>
      <c r="L12" s="1065"/>
    </row>
    <row r="13" spans="1:12" s="393" customFormat="1" x14ac:dyDescent="0.2">
      <c r="A13" s="359"/>
      <c r="B13" s="359"/>
      <c r="C13" s="1067" t="s">
        <v>226</v>
      </c>
      <c r="D13" s="1067"/>
      <c r="E13" s="1067"/>
      <c r="F13" s="1067"/>
      <c r="G13" s="1067"/>
      <c r="H13" s="1067"/>
      <c r="I13" s="1067"/>
      <c r="J13" s="359"/>
      <c r="K13" s="1062" t="s">
        <v>731</v>
      </c>
      <c r="L13" s="1063"/>
    </row>
    <row r="14" spans="1:12" s="393" customFormat="1" x14ac:dyDescent="0.2">
      <c r="A14" s="1060" t="s">
        <v>684</v>
      </c>
      <c r="B14" s="1060"/>
      <c r="C14" s="1070">
        <f>'реестр октябрь'!$B$6</f>
        <v>1</v>
      </c>
      <c r="D14" s="1070"/>
      <c r="E14" s="1070"/>
      <c r="F14" s="1070"/>
      <c r="G14" s="1070"/>
      <c r="H14" s="1070"/>
      <c r="I14" s="1070"/>
      <c r="J14" s="359"/>
      <c r="K14" s="1064"/>
      <c r="L14" s="1065"/>
    </row>
    <row r="15" spans="1:12" x14ac:dyDescent="0.2">
      <c r="A15" s="398"/>
      <c r="B15" s="398"/>
      <c r="C15" s="1098" t="s">
        <v>229</v>
      </c>
      <c r="D15" s="1098"/>
      <c r="E15" s="1098"/>
      <c r="F15" s="1098"/>
      <c r="G15" s="1098"/>
      <c r="H15" s="1098"/>
      <c r="I15" s="1098"/>
      <c r="J15" s="398"/>
      <c r="K15" s="1099" t="s">
        <v>731</v>
      </c>
      <c r="L15" s="1100"/>
    </row>
    <row r="16" spans="1:12" x14ac:dyDescent="0.2">
      <c r="A16" s="1103" t="s">
        <v>686</v>
      </c>
      <c r="B16" s="1103"/>
      <c r="C16" s="1104" t="s">
        <v>982</v>
      </c>
      <c r="D16" s="1104"/>
      <c r="E16" s="1104"/>
      <c r="F16" s="1104"/>
      <c r="G16" s="1104"/>
      <c r="H16" s="1104"/>
      <c r="I16" s="1104"/>
      <c r="J16" s="398"/>
      <c r="K16" s="1101"/>
      <c r="L16" s="1102"/>
    </row>
    <row r="17" spans="1:12" x14ac:dyDescent="0.2">
      <c r="A17" s="398"/>
      <c r="B17" s="398"/>
      <c r="C17" s="1098" t="s">
        <v>687</v>
      </c>
      <c r="D17" s="1098"/>
      <c r="E17" s="1098"/>
      <c r="F17" s="1098"/>
      <c r="G17" s="1098"/>
      <c r="H17" s="1098"/>
      <c r="I17" s="1098"/>
      <c r="J17" s="398"/>
      <c r="K17" s="398"/>
      <c r="L17" s="398"/>
    </row>
    <row r="18" spans="1:12" ht="11.25" customHeight="1" x14ac:dyDescent="0.2">
      <c r="A18" s="398"/>
      <c r="B18" s="398"/>
      <c r="C18" s="398"/>
      <c r="D18" s="398"/>
      <c r="E18" s="398"/>
      <c r="F18" s="398"/>
      <c r="G18" s="398"/>
      <c r="H18" s="1055" t="s">
        <v>688</v>
      </c>
      <c r="I18" s="1055"/>
      <c r="J18" s="1056"/>
      <c r="K18" s="1068" t="s">
        <v>731</v>
      </c>
      <c r="L18" s="1069"/>
    </row>
    <row r="19" spans="1:12" ht="11.25" customHeight="1" x14ac:dyDescent="0.2">
      <c r="A19" s="398"/>
      <c r="B19" s="398"/>
      <c r="C19" s="398"/>
      <c r="D19" s="398"/>
      <c r="E19" s="398"/>
      <c r="F19" s="398"/>
      <c r="G19" s="398"/>
      <c r="H19" s="1055" t="s">
        <v>689</v>
      </c>
      <c r="I19" s="1056"/>
      <c r="J19" s="361" t="s">
        <v>9</v>
      </c>
      <c r="K19" s="1068" t="s">
        <v>783</v>
      </c>
      <c r="L19" s="1069"/>
    </row>
    <row r="20" spans="1:12" x14ac:dyDescent="0.2">
      <c r="A20" s="398"/>
      <c r="B20" s="398"/>
      <c r="C20" s="398"/>
      <c r="D20" s="398"/>
      <c r="E20" s="398"/>
      <c r="F20" s="398"/>
      <c r="G20" s="398"/>
      <c r="H20" s="359"/>
      <c r="I20" s="359"/>
      <c r="J20" s="394" t="s">
        <v>10</v>
      </c>
      <c r="K20" s="1073">
        <v>45110</v>
      </c>
      <c r="L20" s="1074"/>
    </row>
    <row r="21" spans="1:12" x14ac:dyDescent="0.2">
      <c r="A21" s="398"/>
      <c r="B21" s="398"/>
      <c r="C21" s="398"/>
      <c r="D21" s="398"/>
      <c r="E21" s="398"/>
      <c r="F21" s="398"/>
      <c r="G21" s="398"/>
      <c r="H21" s="359"/>
      <c r="I21" s="1055" t="s">
        <v>690</v>
      </c>
      <c r="J21" s="1056"/>
      <c r="K21" s="1068" t="s">
        <v>731</v>
      </c>
      <c r="L21" s="1069"/>
    </row>
    <row r="22" spans="1:12" x14ac:dyDescent="0.2">
      <c r="A22" s="398"/>
      <c r="B22" s="398"/>
      <c r="C22" s="398"/>
      <c r="D22" s="398"/>
      <c r="E22" s="398"/>
      <c r="F22" s="398"/>
      <c r="G22" s="398"/>
      <c r="H22" s="359"/>
      <c r="I22" s="359"/>
      <c r="J22" s="359"/>
      <c r="K22" s="359"/>
      <c r="L22" s="359"/>
    </row>
    <row r="23" spans="1:12" ht="11.25" customHeight="1" x14ac:dyDescent="0.2">
      <c r="A23" s="398"/>
      <c r="B23" s="398"/>
      <c r="C23" s="398"/>
      <c r="D23" s="398"/>
      <c r="E23" s="398"/>
      <c r="F23" s="398"/>
      <c r="G23" s="398"/>
      <c r="H23" s="1075" t="s">
        <v>12</v>
      </c>
      <c r="I23" s="1075" t="s">
        <v>13</v>
      </c>
      <c r="J23" s="1077" t="s">
        <v>14</v>
      </c>
      <c r="K23" s="1078"/>
      <c r="L23" s="359"/>
    </row>
    <row r="24" spans="1:12" x14ac:dyDescent="0.2">
      <c r="A24" s="398"/>
      <c r="B24" s="398"/>
      <c r="C24" s="398"/>
      <c r="D24" s="398"/>
      <c r="E24" s="398"/>
      <c r="F24" s="398"/>
      <c r="G24" s="398"/>
      <c r="H24" s="1076"/>
      <c r="I24" s="1076"/>
      <c r="J24" s="363" t="s">
        <v>15</v>
      </c>
      <c r="K24" s="391" t="s">
        <v>16</v>
      </c>
      <c r="L24" s="359"/>
    </row>
    <row r="25" spans="1:12" x14ac:dyDescent="0.2">
      <c r="A25" s="398"/>
      <c r="B25" s="398"/>
      <c r="C25" s="398"/>
      <c r="D25" s="398"/>
      <c r="E25" s="398"/>
      <c r="F25" s="398"/>
      <c r="G25" s="398"/>
      <c r="H25" s="394">
        <v>4</v>
      </c>
      <c r="I25" s="365">
        <v>45230</v>
      </c>
      <c r="J25" s="365">
        <v>45200</v>
      </c>
      <c r="K25" s="366">
        <v>45230</v>
      </c>
      <c r="L25" s="359"/>
    </row>
    <row r="26" spans="1:12" x14ac:dyDescent="0.2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</row>
    <row r="27" spans="1:12" x14ac:dyDescent="0.2">
      <c r="A27" s="398"/>
      <c r="B27" s="398"/>
      <c r="C27" s="1097" t="s">
        <v>691</v>
      </c>
      <c r="D27" s="1097"/>
      <c r="E27" s="1097"/>
      <c r="F27" s="1097"/>
      <c r="G27" s="1097"/>
      <c r="H27" s="1097"/>
      <c r="I27" s="1097"/>
      <c r="J27" s="1097"/>
      <c r="K27" s="1097"/>
      <c r="L27" s="1097"/>
    </row>
    <row r="28" spans="1:12" x14ac:dyDescent="0.2">
      <c r="A28" s="398"/>
      <c r="B28" s="398"/>
      <c r="C28" s="1097" t="s">
        <v>732</v>
      </c>
      <c r="D28" s="1097"/>
      <c r="E28" s="1097"/>
      <c r="F28" s="1097"/>
      <c r="G28" s="1097"/>
      <c r="H28" s="1097"/>
      <c r="I28" s="1097"/>
      <c r="J28" s="1097"/>
      <c r="K28" s="1097"/>
      <c r="L28" s="1097"/>
    </row>
    <row r="29" spans="1:12" x14ac:dyDescent="0.2">
      <c r="A29" s="398"/>
      <c r="B29" s="398"/>
      <c r="C29" s="400"/>
      <c r="D29" s="400"/>
      <c r="E29" s="400"/>
      <c r="F29" s="400"/>
      <c r="G29" s="400"/>
      <c r="H29" s="400"/>
      <c r="I29" s="400"/>
      <c r="J29" s="400"/>
      <c r="K29" s="400"/>
      <c r="L29" s="400"/>
    </row>
    <row r="30" spans="1:12" x14ac:dyDescent="0.2">
      <c r="A30" s="398"/>
      <c r="B30" s="398"/>
      <c r="C30" s="400"/>
      <c r="D30" s="400"/>
      <c r="E30" s="400"/>
      <c r="F30" s="1090" t="s">
        <v>692</v>
      </c>
      <c r="G30" s="1090"/>
      <c r="H30" s="1090"/>
      <c r="I30" s="1090"/>
      <c r="J30" s="1091">
        <v>25.37</v>
      </c>
      <c r="K30" s="1092"/>
      <c r="L30" s="398" t="s">
        <v>693</v>
      </c>
    </row>
    <row r="31" spans="1:12" x14ac:dyDescent="0.2">
      <c r="A31" s="398"/>
      <c r="B31" s="398"/>
      <c r="C31" s="400"/>
      <c r="D31" s="400"/>
      <c r="E31" s="400"/>
      <c r="F31" s="1090" t="s">
        <v>694</v>
      </c>
      <c r="G31" s="1090"/>
      <c r="H31" s="1090"/>
      <c r="I31" s="1090"/>
      <c r="J31" s="1091">
        <v>7.84</v>
      </c>
      <c r="K31" s="1092"/>
      <c r="L31" s="398" t="s">
        <v>695</v>
      </c>
    </row>
    <row r="32" spans="1:12" x14ac:dyDescent="0.2">
      <c r="A32" s="398"/>
      <c r="B32" s="398"/>
      <c r="C32" s="398"/>
      <c r="D32" s="398"/>
      <c r="E32" s="398"/>
      <c r="F32" s="1090" t="s">
        <v>696</v>
      </c>
      <c r="G32" s="1090"/>
      <c r="H32" s="1090"/>
      <c r="I32" s="1090"/>
      <c r="J32" s="1091">
        <v>3.93</v>
      </c>
      <c r="K32" s="1092"/>
      <c r="L32" s="398" t="s">
        <v>693</v>
      </c>
    </row>
    <row r="34" spans="1:26" x14ac:dyDescent="0.2">
      <c r="A34" s="1093" t="s">
        <v>697</v>
      </c>
      <c r="B34" s="1093" t="s">
        <v>698</v>
      </c>
      <c r="C34" s="1093" t="s">
        <v>699</v>
      </c>
      <c r="D34" s="1093" t="s">
        <v>700</v>
      </c>
      <c r="E34" s="1093" t="s">
        <v>701</v>
      </c>
      <c r="F34" s="1088" t="s">
        <v>702</v>
      </c>
      <c r="G34" s="1089"/>
      <c r="H34" s="1088" t="s">
        <v>703</v>
      </c>
      <c r="I34" s="1096"/>
      <c r="J34" s="1089"/>
      <c r="K34" s="1088" t="s">
        <v>704</v>
      </c>
      <c r="L34" s="1089"/>
    </row>
    <row r="35" spans="1:26" x14ac:dyDescent="0.2">
      <c r="A35" s="1094"/>
      <c r="B35" s="1094"/>
      <c r="C35" s="1094"/>
      <c r="D35" s="1094"/>
      <c r="E35" s="1094"/>
      <c r="F35" s="1093" t="s">
        <v>705</v>
      </c>
      <c r="G35" s="1093" t="s">
        <v>706</v>
      </c>
      <c r="H35" s="1093" t="s">
        <v>705</v>
      </c>
      <c r="I35" s="1093" t="s">
        <v>707</v>
      </c>
      <c r="J35" s="1093" t="s">
        <v>706</v>
      </c>
      <c r="K35" s="1088" t="s">
        <v>708</v>
      </c>
      <c r="L35" s="1089"/>
    </row>
    <row r="36" spans="1:26" x14ac:dyDescent="0.2">
      <c r="A36" s="1094"/>
      <c r="B36" s="1094"/>
      <c r="C36" s="1094"/>
      <c r="D36" s="1094"/>
      <c r="E36" s="1094"/>
      <c r="F36" s="1095"/>
      <c r="G36" s="1095"/>
      <c r="H36" s="1094"/>
      <c r="I36" s="1094"/>
      <c r="J36" s="1095"/>
      <c r="K36" s="1088" t="s">
        <v>709</v>
      </c>
      <c r="L36" s="1089"/>
    </row>
    <row r="37" spans="1:26" ht="20.399999999999999" x14ac:dyDescent="0.2">
      <c r="A37" s="1095"/>
      <c r="B37" s="1095"/>
      <c r="C37" s="1095"/>
      <c r="D37" s="1095"/>
      <c r="E37" s="1095"/>
      <c r="F37" s="402" t="s">
        <v>707</v>
      </c>
      <c r="G37" s="402" t="s">
        <v>710</v>
      </c>
      <c r="H37" s="1095"/>
      <c r="I37" s="1095"/>
      <c r="J37" s="402" t="s">
        <v>710</v>
      </c>
      <c r="K37" s="402" t="s">
        <v>711</v>
      </c>
      <c r="L37" s="402" t="s">
        <v>712</v>
      </c>
    </row>
    <row r="38" spans="1:26" x14ac:dyDescent="0.2">
      <c r="A38" s="402">
        <v>1</v>
      </c>
      <c r="B38" s="402" t="s">
        <v>713</v>
      </c>
      <c r="C38" s="402">
        <v>2</v>
      </c>
      <c r="D38" s="402">
        <v>3</v>
      </c>
      <c r="E38" s="402">
        <v>4</v>
      </c>
      <c r="F38" s="402">
        <v>5</v>
      </c>
      <c r="G38" s="402">
        <v>6</v>
      </c>
      <c r="H38" s="402">
        <v>7</v>
      </c>
      <c r="I38" s="402">
        <v>8</v>
      </c>
      <c r="J38" s="402">
        <v>9</v>
      </c>
      <c r="K38" s="402">
        <v>10</v>
      </c>
      <c r="L38" s="402">
        <v>11</v>
      </c>
    </row>
    <row r="40" spans="1:26" x14ac:dyDescent="0.2">
      <c r="A40" s="1087" t="s">
        <v>968</v>
      </c>
      <c r="B40" s="1087"/>
      <c r="C40" s="1087"/>
      <c r="D40" s="1087"/>
      <c r="E40" s="1087"/>
      <c r="F40" s="1087"/>
      <c r="G40" s="1087"/>
      <c r="H40" s="1087"/>
      <c r="I40" s="1087"/>
      <c r="J40" s="1087"/>
      <c r="K40" s="1087"/>
      <c r="L40" s="1087"/>
    </row>
    <row r="41" spans="1:26" ht="51" x14ac:dyDescent="0.2">
      <c r="A41" s="403">
        <v>1</v>
      </c>
      <c r="B41" s="403">
        <v>1</v>
      </c>
      <c r="C41" s="403" t="s">
        <v>969</v>
      </c>
      <c r="D41" s="403" t="s">
        <v>963</v>
      </c>
      <c r="E41" s="404">
        <v>7.5999999999999998E-2</v>
      </c>
      <c r="F41" s="405">
        <v>2741.8702499999999</v>
      </c>
      <c r="G41" s="405">
        <v>2741.8702499999999</v>
      </c>
      <c r="H41" s="406">
        <v>2758.98</v>
      </c>
      <c r="I41" s="406" t="s">
        <v>281</v>
      </c>
      <c r="J41" s="406">
        <v>2758.98</v>
      </c>
      <c r="K41" s="405" t="s">
        <v>281</v>
      </c>
      <c r="L41" s="405" t="s">
        <v>281</v>
      </c>
      <c r="T41" s="401">
        <v>5771.46</v>
      </c>
      <c r="V41" s="401" t="s">
        <v>281</v>
      </c>
      <c r="W41" s="401">
        <v>2758.98</v>
      </c>
      <c r="X41" s="401">
        <v>2297.85</v>
      </c>
      <c r="Y41" s="401" t="s">
        <v>281</v>
      </c>
      <c r="Z41" s="401">
        <v>3.8018999999999998</v>
      </c>
    </row>
    <row r="42" spans="1:26" x14ac:dyDescent="0.2">
      <c r="A42" s="407"/>
      <c r="B42" s="407"/>
      <c r="C42" s="407"/>
      <c r="D42" s="408" t="s">
        <v>763</v>
      </c>
      <c r="E42" s="409"/>
      <c r="F42" s="410" t="s">
        <v>281</v>
      </c>
      <c r="G42" s="410">
        <v>675.33749999999998</v>
      </c>
      <c r="H42" s="409"/>
      <c r="I42" s="409"/>
      <c r="J42" s="411">
        <v>2297.85</v>
      </c>
      <c r="K42" s="410">
        <v>50.024999999999999</v>
      </c>
      <c r="L42" s="410">
        <v>3.8018999999999998</v>
      </c>
    </row>
    <row r="43" spans="1:26" ht="20.399999999999999" x14ac:dyDescent="0.2">
      <c r="A43" s="412"/>
      <c r="B43" s="412"/>
      <c r="C43" s="412"/>
      <c r="D43" s="395" t="s">
        <v>714</v>
      </c>
      <c r="E43" s="412"/>
      <c r="F43" s="412"/>
      <c r="G43" s="412"/>
      <c r="H43" s="412"/>
      <c r="I43" s="412"/>
      <c r="J43" s="412"/>
      <c r="K43" s="412"/>
      <c r="L43" s="412"/>
    </row>
    <row r="44" spans="1:26" ht="30.6" x14ac:dyDescent="0.2">
      <c r="A44" s="412"/>
      <c r="B44" s="412"/>
      <c r="C44" s="412"/>
      <c r="D44" s="395" t="s">
        <v>970</v>
      </c>
      <c r="E44" s="412"/>
      <c r="F44" s="412"/>
      <c r="G44" s="412"/>
      <c r="H44" s="412"/>
      <c r="I44" s="412"/>
      <c r="J44" s="412"/>
      <c r="K44" s="412"/>
      <c r="L44" s="412"/>
    </row>
    <row r="45" spans="1:26" ht="183.6" x14ac:dyDescent="0.2">
      <c r="A45" s="412"/>
      <c r="B45" s="412"/>
      <c r="C45" s="412"/>
      <c r="D45" s="395" t="s">
        <v>971</v>
      </c>
      <c r="E45" s="412"/>
      <c r="F45" s="412"/>
      <c r="G45" s="412"/>
      <c r="H45" s="412"/>
      <c r="I45" s="412"/>
      <c r="J45" s="412"/>
      <c r="K45" s="412"/>
      <c r="L45" s="412"/>
    </row>
    <row r="46" spans="1:26" x14ac:dyDescent="0.2">
      <c r="A46" s="412"/>
      <c r="B46" s="412"/>
      <c r="C46" s="412"/>
      <c r="D46" s="413" t="s">
        <v>206</v>
      </c>
      <c r="E46" s="414" t="s">
        <v>764</v>
      </c>
      <c r="F46" s="414"/>
      <c r="G46" s="414"/>
      <c r="H46" s="415">
        <v>2114.02</v>
      </c>
      <c r="I46" s="412"/>
      <c r="J46" s="412"/>
      <c r="K46" s="412"/>
      <c r="L46" s="412"/>
    </row>
    <row r="47" spans="1:26" x14ac:dyDescent="0.2">
      <c r="A47" s="412"/>
      <c r="B47" s="412"/>
      <c r="C47" s="412"/>
      <c r="D47" s="413" t="s">
        <v>207</v>
      </c>
      <c r="E47" s="414" t="s">
        <v>972</v>
      </c>
      <c r="F47" s="414"/>
      <c r="G47" s="414"/>
      <c r="H47" s="415">
        <v>898.46</v>
      </c>
      <c r="I47" s="412"/>
      <c r="J47" s="412"/>
      <c r="K47" s="412"/>
      <c r="L47" s="412"/>
    </row>
    <row r="48" spans="1:26" x14ac:dyDescent="0.2">
      <c r="A48" s="412"/>
      <c r="B48" s="412"/>
      <c r="C48" s="412"/>
      <c r="D48" s="416" t="s">
        <v>715</v>
      </c>
      <c r="E48" s="417"/>
      <c r="F48" s="417"/>
      <c r="G48" s="417"/>
      <c r="H48" s="418">
        <v>5771.46</v>
      </c>
      <c r="I48" s="412"/>
      <c r="J48" s="412"/>
      <c r="K48" s="412"/>
      <c r="L48" s="412"/>
    </row>
    <row r="49" spans="1:26" ht="51" x14ac:dyDescent="0.2">
      <c r="A49" s="403">
        <v>2</v>
      </c>
      <c r="B49" s="403">
        <v>2</v>
      </c>
      <c r="C49" s="403" t="s">
        <v>973</v>
      </c>
      <c r="D49" s="403" t="s">
        <v>964</v>
      </c>
      <c r="E49" s="404">
        <v>1.1599999999999999E-2</v>
      </c>
      <c r="F49" s="405">
        <v>4353.2135500000004</v>
      </c>
      <c r="G49" s="405">
        <v>4250.9347500000003</v>
      </c>
      <c r="H49" s="406">
        <v>704.62</v>
      </c>
      <c r="I49" s="406">
        <v>51.43</v>
      </c>
      <c r="J49" s="406">
        <v>652.88</v>
      </c>
      <c r="K49" s="405">
        <v>12.696</v>
      </c>
      <c r="L49" s="405">
        <v>0.14727399999999999</v>
      </c>
      <c r="T49" s="401">
        <v>1139.8900000000001</v>
      </c>
      <c r="V49" s="401">
        <v>51.43</v>
      </c>
      <c r="W49" s="401">
        <v>652.88</v>
      </c>
      <c r="X49" s="401">
        <v>280.58</v>
      </c>
      <c r="Y49" s="401">
        <v>0.14727399999999999</v>
      </c>
      <c r="Z49" s="401">
        <v>0.46423199999999998</v>
      </c>
    </row>
    <row r="50" spans="1:26" x14ac:dyDescent="0.2">
      <c r="A50" s="407"/>
      <c r="B50" s="407"/>
      <c r="C50" s="407"/>
      <c r="D50" s="408" t="s">
        <v>763</v>
      </c>
      <c r="E50" s="409"/>
      <c r="F50" s="410">
        <v>99.028800000000004</v>
      </c>
      <c r="G50" s="410">
        <v>540.27</v>
      </c>
      <c r="H50" s="409"/>
      <c r="I50" s="409"/>
      <c r="J50" s="411">
        <v>280.58</v>
      </c>
      <c r="K50" s="410">
        <v>40.020000000000003</v>
      </c>
      <c r="L50" s="410">
        <v>0.46423199999999998</v>
      </c>
    </row>
    <row r="51" spans="1:26" ht="20.399999999999999" x14ac:dyDescent="0.2">
      <c r="A51" s="412"/>
      <c r="B51" s="412"/>
      <c r="C51" s="412"/>
      <c r="D51" s="395" t="s">
        <v>714</v>
      </c>
      <c r="E51" s="412"/>
      <c r="F51" s="412"/>
      <c r="G51" s="412"/>
      <c r="H51" s="412"/>
      <c r="I51" s="412"/>
      <c r="J51" s="412"/>
      <c r="K51" s="412"/>
      <c r="L51" s="412"/>
    </row>
    <row r="52" spans="1:26" ht="30.6" x14ac:dyDescent="0.2">
      <c r="A52" s="412"/>
      <c r="B52" s="412"/>
      <c r="C52" s="412"/>
      <c r="D52" s="395" t="s">
        <v>970</v>
      </c>
      <c r="E52" s="412"/>
      <c r="F52" s="412"/>
      <c r="G52" s="412"/>
      <c r="H52" s="412"/>
      <c r="I52" s="412"/>
      <c r="J52" s="412"/>
      <c r="K52" s="412"/>
      <c r="L52" s="412"/>
    </row>
    <row r="53" spans="1:26" ht="183.6" x14ac:dyDescent="0.2">
      <c r="A53" s="412"/>
      <c r="B53" s="412"/>
      <c r="C53" s="412"/>
      <c r="D53" s="395" t="s">
        <v>971</v>
      </c>
      <c r="E53" s="412"/>
      <c r="F53" s="412"/>
      <c r="G53" s="412"/>
      <c r="H53" s="412"/>
      <c r="I53" s="412"/>
      <c r="J53" s="412"/>
      <c r="K53" s="412"/>
      <c r="L53" s="412"/>
    </row>
    <row r="54" spans="1:26" x14ac:dyDescent="0.2">
      <c r="A54" s="412"/>
      <c r="B54" s="412"/>
      <c r="C54" s="412"/>
      <c r="D54" s="413" t="s">
        <v>206</v>
      </c>
      <c r="E54" s="414" t="s">
        <v>764</v>
      </c>
      <c r="F54" s="414"/>
      <c r="G54" s="414"/>
      <c r="H54" s="415">
        <v>305.45</v>
      </c>
      <c r="I54" s="412"/>
      <c r="J54" s="412"/>
      <c r="K54" s="412"/>
      <c r="L54" s="412"/>
    </row>
    <row r="55" spans="1:26" x14ac:dyDescent="0.2">
      <c r="A55" s="412"/>
      <c r="B55" s="412"/>
      <c r="C55" s="412"/>
      <c r="D55" s="413" t="s">
        <v>207</v>
      </c>
      <c r="E55" s="414" t="s">
        <v>972</v>
      </c>
      <c r="F55" s="414"/>
      <c r="G55" s="414"/>
      <c r="H55" s="415">
        <v>129.82</v>
      </c>
      <c r="I55" s="412"/>
      <c r="J55" s="412"/>
      <c r="K55" s="412"/>
      <c r="L55" s="412"/>
    </row>
    <row r="56" spans="1:26" x14ac:dyDescent="0.2">
      <c r="A56" s="412"/>
      <c r="B56" s="412"/>
      <c r="C56" s="412"/>
      <c r="D56" s="416" t="s">
        <v>715</v>
      </c>
      <c r="E56" s="417"/>
      <c r="F56" s="417"/>
      <c r="G56" s="417"/>
      <c r="H56" s="418">
        <v>1139.8900000000001</v>
      </c>
      <c r="I56" s="412"/>
      <c r="J56" s="412"/>
      <c r="K56" s="412"/>
      <c r="L56" s="412"/>
    </row>
    <row r="57" spans="1:26" ht="40.799999999999997" x14ac:dyDescent="0.2">
      <c r="A57" s="403">
        <v>3</v>
      </c>
      <c r="B57" s="403">
        <v>3</v>
      </c>
      <c r="C57" s="403" t="s">
        <v>974</v>
      </c>
      <c r="D57" s="403" t="s">
        <v>965</v>
      </c>
      <c r="E57" s="404">
        <v>1.4999999999999999E-2</v>
      </c>
      <c r="F57" s="405">
        <v>1460.6748</v>
      </c>
      <c r="G57" s="405" t="s">
        <v>281</v>
      </c>
      <c r="H57" s="406">
        <v>980.92</v>
      </c>
      <c r="I57" s="406">
        <v>980.92</v>
      </c>
      <c r="J57" s="406" t="s">
        <v>281</v>
      </c>
      <c r="K57" s="405">
        <v>187.26599999999999</v>
      </c>
      <c r="L57" s="405">
        <v>2.8089900000000001</v>
      </c>
      <c r="T57" s="401">
        <v>2187.4499999999998</v>
      </c>
      <c r="V57" s="401">
        <v>980.92</v>
      </c>
      <c r="W57" s="401" t="s">
        <v>281</v>
      </c>
      <c r="X57" s="401" t="s">
        <v>281</v>
      </c>
      <c r="Y57" s="401">
        <v>2.8089900000000001</v>
      </c>
      <c r="Z57" s="401" t="s">
        <v>281</v>
      </c>
    </row>
    <row r="58" spans="1:26" x14ac:dyDescent="0.2">
      <c r="A58" s="407"/>
      <c r="B58" s="407"/>
      <c r="C58" s="407"/>
      <c r="D58" s="408" t="s">
        <v>901</v>
      </c>
      <c r="E58" s="409"/>
      <c r="F58" s="410">
        <v>1460.6748</v>
      </c>
      <c r="G58" s="410" t="s">
        <v>281</v>
      </c>
      <c r="H58" s="409"/>
      <c r="I58" s="409"/>
      <c r="J58" s="411" t="s">
        <v>281</v>
      </c>
      <c r="K58" s="410" t="s">
        <v>281</v>
      </c>
      <c r="L58" s="410" t="s">
        <v>281</v>
      </c>
    </row>
    <row r="59" spans="1:26" ht="20.399999999999999" x14ac:dyDescent="0.2">
      <c r="A59" s="412"/>
      <c r="B59" s="412"/>
      <c r="C59" s="412"/>
      <c r="D59" s="395" t="s">
        <v>714</v>
      </c>
      <c r="E59" s="412"/>
      <c r="F59" s="412"/>
      <c r="G59" s="412"/>
      <c r="H59" s="412"/>
      <c r="I59" s="412"/>
      <c r="J59" s="412"/>
      <c r="K59" s="412"/>
      <c r="L59" s="412"/>
    </row>
    <row r="60" spans="1:26" ht="30.6" x14ac:dyDescent="0.2">
      <c r="A60" s="412"/>
      <c r="B60" s="412"/>
      <c r="C60" s="412"/>
      <c r="D60" s="395" t="s">
        <v>975</v>
      </c>
      <c r="E60" s="412"/>
      <c r="F60" s="412"/>
      <c r="G60" s="412"/>
      <c r="H60" s="412"/>
      <c r="I60" s="412"/>
      <c r="J60" s="412"/>
      <c r="K60" s="412"/>
      <c r="L60" s="412"/>
    </row>
    <row r="61" spans="1:26" ht="163.19999999999999" x14ac:dyDescent="0.2">
      <c r="A61" s="412"/>
      <c r="B61" s="412"/>
      <c r="C61" s="412"/>
      <c r="D61" s="395" t="s">
        <v>976</v>
      </c>
      <c r="E61" s="412"/>
      <c r="F61" s="412"/>
      <c r="G61" s="412"/>
      <c r="H61" s="412"/>
      <c r="I61" s="412"/>
      <c r="J61" s="412"/>
      <c r="K61" s="412"/>
      <c r="L61" s="412"/>
    </row>
    <row r="62" spans="1:26" x14ac:dyDescent="0.2">
      <c r="A62" s="412"/>
      <c r="B62" s="412"/>
      <c r="C62" s="412"/>
      <c r="D62" s="413" t="s">
        <v>206</v>
      </c>
      <c r="E62" s="414" t="s">
        <v>770</v>
      </c>
      <c r="F62" s="414"/>
      <c r="G62" s="414"/>
      <c r="H62" s="415">
        <v>873.02</v>
      </c>
      <c r="I62" s="412"/>
      <c r="J62" s="412"/>
      <c r="K62" s="412"/>
      <c r="L62" s="412"/>
    </row>
    <row r="63" spans="1:26" x14ac:dyDescent="0.2">
      <c r="A63" s="412"/>
      <c r="B63" s="412"/>
      <c r="C63" s="412"/>
      <c r="D63" s="413" t="s">
        <v>207</v>
      </c>
      <c r="E63" s="414" t="s">
        <v>977</v>
      </c>
      <c r="F63" s="414"/>
      <c r="G63" s="414"/>
      <c r="H63" s="415">
        <v>333.51</v>
      </c>
      <c r="I63" s="412"/>
      <c r="J63" s="412"/>
      <c r="K63" s="412"/>
      <c r="L63" s="412"/>
    </row>
    <row r="64" spans="1:26" x14ac:dyDescent="0.2">
      <c r="A64" s="412"/>
      <c r="B64" s="412"/>
      <c r="C64" s="412"/>
      <c r="D64" s="416" t="s">
        <v>715</v>
      </c>
      <c r="E64" s="417"/>
      <c r="F64" s="417"/>
      <c r="G64" s="417"/>
      <c r="H64" s="418">
        <v>2187.4499999999998</v>
      </c>
      <c r="I64" s="412"/>
      <c r="J64" s="412"/>
      <c r="K64" s="412"/>
      <c r="L64" s="412"/>
    </row>
    <row r="65" spans="1:26" ht="40.799999999999997" x14ac:dyDescent="0.2">
      <c r="A65" s="403">
        <v>4</v>
      </c>
      <c r="B65" s="403">
        <v>4</v>
      </c>
      <c r="C65" s="403" t="s">
        <v>744</v>
      </c>
      <c r="D65" s="403" t="s">
        <v>966</v>
      </c>
      <c r="E65" s="404">
        <v>11.6</v>
      </c>
      <c r="F65" s="405">
        <v>162.38</v>
      </c>
      <c r="G65" s="405" t="s">
        <v>281</v>
      </c>
      <c r="H65" s="406">
        <v>15370.23</v>
      </c>
      <c r="I65" s="406" t="s">
        <v>281</v>
      </c>
      <c r="J65" s="406" t="s">
        <v>281</v>
      </c>
      <c r="K65" s="405" t="s">
        <v>281</v>
      </c>
      <c r="L65" s="405" t="s">
        <v>281</v>
      </c>
      <c r="T65" s="401">
        <v>15370.23</v>
      </c>
      <c r="V65" s="401" t="s">
        <v>281</v>
      </c>
      <c r="W65" s="401" t="s">
        <v>281</v>
      </c>
      <c r="X65" s="401" t="s">
        <v>281</v>
      </c>
      <c r="Y65" s="401" t="s">
        <v>281</v>
      </c>
      <c r="Z65" s="401" t="s">
        <v>281</v>
      </c>
    </row>
    <row r="66" spans="1:26" x14ac:dyDescent="0.2">
      <c r="A66" s="407"/>
      <c r="B66" s="407"/>
      <c r="C66" s="407"/>
      <c r="D66" s="408" t="s">
        <v>745</v>
      </c>
      <c r="E66" s="409"/>
      <c r="F66" s="410" t="s">
        <v>281</v>
      </c>
      <c r="G66" s="410" t="s">
        <v>281</v>
      </c>
      <c r="H66" s="409"/>
      <c r="I66" s="409"/>
      <c r="J66" s="411" t="s">
        <v>281</v>
      </c>
      <c r="K66" s="410" t="s">
        <v>281</v>
      </c>
      <c r="L66" s="410" t="s">
        <v>281</v>
      </c>
    </row>
    <row r="67" spans="1:26" x14ac:dyDescent="0.2">
      <c r="A67" s="412"/>
      <c r="B67" s="412"/>
      <c r="C67" s="412"/>
      <c r="D67" s="395" t="s">
        <v>718</v>
      </c>
      <c r="E67" s="412"/>
      <c r="F67" s="412"/>
      <c r="G67" s="412"/>
      <c r="H67" s="412"/>
      <c r="I67" s="412"/>
      <c r="J67" s="412"/>
      <c r="K67" s="412"/>
      <c r="L67" s="412"/>
    </row>
    <row r="68" spans="1:26" ht="20.399999999999999" x14ac:dyDescent="0.2">
      <c r="A68" s="412"/>
      <c r="B68" s="412"/>
      <c r="C68" s="412"/>
      <c r="D68" s="395" t="s">
        <v>978</v>
      </c>
      <c r="E68" s="412"/>
      <c r="F68" s="412"/>
      <c r="G68" s="412"/>
      <c r="H68" s="412"/>
      <c r="I68" s="412"/>
      <c r="J68" s="412"/>
      <c r="K68" s="412"/>
      <c r="L68" s="412"/>
    </row>
    <row r="69" spans="1:26" ht="132.6" x14ac:dyDescent="0.2">
      <c r="A69" s="412"/>
      <c r="B69" s="412"/>
      <c r="C69" s="412"/>
      <c r="D69" s="395" t="s">
        <v>979</v>
      </c>
      <c r="E69" s="412"/>
      <c r="F69" s="412"/>
      <c r="G69" s="412"/>
      <c r="H69" s="412"/>
      <c r="I69" s="412"/>
      <c r="J69" s="412"/>
      <c r="K69" s="412"/>
      <c r="L69" s="412"/>
    </row>
    <row r="70" spans="1:26" ht="51" x14ac:dyDescent="0.2">
      <c r="A70" s="403">
        <v>5</v>
      </c>
      <c r="B70" s="403">
        <v>5</v>
      </c>
      <c r="C70" s="403" t="s">
        <v>980</v>
      </c>
      <c r="D70" s="403" t="s">
        <v>967</v>
      </c>
      <c r="E70" s="404">
        <v>6.1800000000000001E-2</v>
      </c>
      <c r="F70" s="405">
        <v>590.72625000000005</v>
      </c>
      <c r="G70" s="405">
        <v>590.72625000000005</v>
      </c>
      <c r="H70" s="406">
        <v>483.35</v>
      </c>
      <c r="I70" s="406" t="s">
        <v>281</v>
      </c>
      <c r="J70" s="406">
        <v>483.35</v>
      </c>
      <c r="K70" s="405" t="s">
        <v>281</v>
      </c>
      <c r="L70" s="405" t="s">
        <v>281</v>
      </c>
      <c r="T70" s="401">
        <v>901.32</v>
      </c>
      <c r="V70" s="401" t="s">
        <v>281</v>
      </c>
      <c r="W70" s="401">
        <v>483.35</v>
      </c>
      <c r="X70" s="401">
        <v>318.82</v>
      </c>
      <c r="Y70" s="401" t="s">
        <v>281</v>
      </c>
      <c r="Z70" s="401">
        <v>0.61386700000000005</v>
      </c>
    </row>
    <row r="71" spans="1:26" x14ac:dyDescent="0.2">
      <c r="A71" s="407"/>
      <c r="B71" s="407"/>
      <c r="C71" s="407"/>
      <c r="D71" s="408" t="s">
        <v>763</v>
      </c>
      <c r="E71" s="409"/>
      <c r="F71" s="410" t="s">
        <v>281</v>
      </c>
      <c r="G71" s="410">
        <v>115.23</v>
      </c>
      <c r="H71" s="409"/>
      <c r="I71" s="409"/>
      <c r="J71" s="411">
        <v>318.82</v>
      </c>
      <c r="K71" s="410">
        <v>9.9331250000000004</v>
      </c>
      <c r="L71" s="410">
        <v>0.61386700000000005</v>
      </c>
    </row>
    <row r="72" spans="1:26" ht="20.399999999999999" x14ac:dyDescent="0.2">
      <c r="A72" s="412"/>
      <c r="B72" s="412"/>
      <c r="C72" s="412"/>
      <c r="D72" s="395" t="s">
        <v>714</v>
      </c>
      <c r="E72" s="412"/>
      <c r="F72" s="412"/>
      <c r="G72" s="412"/>
      <c r="H72" s="412"/>
      <c r="I72" s="412"/>
      <c r="J72" s="412"/>
      <c r="K72" s="412"/>
      <c r="L72" s="412"/>
    </row>
    <row r="73" spans="1:26" ht="20.399999999999999" x14ac:dyDescent="0.2">
      <c r="A73" s="412"/>
      <c r="B73" s="412"/>
      <c r="C73" s="412"/>
      <c r="D73" s="395" t="s">
        <v>978</v>
      </c>
      <c r="E73" s="412"/>
      <c r="F73" s="412"/>
      <c r="G73" s="412"/>
      <c r="H73" s="412"/>
      <c r="I73" s="412"/>
      <c r="J73" s="412"/>
      <c r="K73" s="412"/>
      <c r="L73" s="412"/>
    </row>
    <row r="74" spans="1:26" ht="132.6" x14ac:dyDescent="0.2">
      <c r="A74" s="412"/>
      <c r="B74" s="412"/>
      <c r="C74" s="412"/>
      <c r="D74" s="395" t="s">
        <v>979</v>
      </c>
      <c r="E74" s="412"/>
      <c r="F74" s="412"/>
      <c r="G74" s="412"/>
      <c r="H74" s="412"/>
      <c r="I74" s="412"/>
      <c r="J74" s="412"/>
      <c r="K74" s="412"/>
      <c r="L74" s="412"/>
    </row>
    <row r="75" spans="1:26" x14ac:dyDescent="0.2">
      <c r="A75" s="412"/>
      <c r="B75" s="412"/>
      <c r="C75" s="412"/>
      <c r="D75" s="413" t="s">
        <v>206</v>
      </c>
      <c r="E75" s="414" t="s">
        <v>764</v>
      </c>
      <c r="F75" s="414"/>
      <c r="G75" s="414"/>
      <c r="H75" s="415">
        <v>293.31</v>
      </c>
      <c r="I75" s="412"/>
      <c r="J75" s="412"/>
      <c r="K75" s="412"/>
      <c r="L75" s="412"/>
    </row>
    <row r="76" spans="1:26" x14ac:dyDescent="0.2">
      <c r="A76" s="412"/>
      <c r="B76" s="412"/>
      <c r="C76" s="412"/>
      <c r="D76" s="413" t="s">
        <v>207</v>
      </c>
      <c r="E76" s="414" t="s">
        <v>972</v>
      </c>
      <c r="F76" s="414"/>
      <c r="G76" s="414"/>
      <c r="H76" s="415">
        <v>124.66</v>
      </c>
      <c r="I76" s="412"/>
      <c r="J76" s="412"/>
      <c r="K76" s="412"/>
      <c r="L76" s="412"/>
    </row>
    <row r="77" spans="1:26" x14ac:dyDescent="0.2">
      <c r="A77" s="419"/>
      <c r="B77" s="419"/>
      <c r="C77" s="419"/>
      <c r="D77" s="420" t="s">
        <v>715</v>
      </c>
      <c r="E77" s="421"/>
      <c r="F77" s="421"/>
      <c r="G77" s="421"/>
      <c r="H77" s="422">
        <v>901.32</v>
      </c>
      <c r="I77" s="419"/>
      <c r="J77" s="419"/>
      <c r="K77" s="419"/>
      <c r="L77" s="419"/>
    </row>
    <row r="78" spans="1:26" x14ac:dyDescent="0.2">
      <c r="A78" s="1086" t="s">
        <v>981</v>
      </c>
      <c r="B78" s="1086"/>
      <c r="C78" s="1086"/>
      <c r="D78" s="1086"/>
      <c r="E78" s="1086"/>
      <c r="F78" s="1086"/>
      <c r="G78" s="1086"/>
      <c r="H78" s="1086"/>
      <c r="I78" s="1086"/>
      <c r="J78" s="1086"/>
      <c r="K78" s="1086"/>
      <c r="L78" s="1086"/>
    </row>
    <row r="79" spans="1:26" x14ac:dyDescent="0.2">
      <c r="A79" s="1085" t="s">
        <v>774</v>
      </c>
      <c r="B79" s="1085"/>
      <c r="C79" s="1085"/>
      <c r="D79" s="1085"/>
      <c r="E79" s="1085"/>
      <c r="F79" s="1085"/>
      <c r="G79" s="1085"/>
      <c r="H79" s="423">
        <f>H70+H65+H57+H49+H41</f>
        <v>20298.099999999999</v>
      </c>
      <c r="I79" s="419"/>
      <c r="J79" s="419"/>
      <c r="K79" s="419"/>
      <c r="L79" s="419"/>
    </row>
    <row r="80" spans="1:26" x14ac:dyDescent="0.2">
      <c r="A80" s="1085" t="s">
        <v>776</v>
      </c>
      <c r="B80" s="1085"/>
      <c r="C80" s="1085"/>
      <c r="D80" s="1085"/>
      <c r="E80" s="1085"/>
      <c r="F80" s="1085"/>
      <c r="G80" s="1085"/>
      <c r="H80" s="423">
        <v>3895.21</v>
      </c>
      <c r="I80" s="419"/>
      <c r="J80" s="419"/>
      <c r="K80" s="419"/>
      <c r="L80" s="419"/>
    </row>
    <row r="81" spans="1:12" x14ac:dyDescent="0.2">
      <c r="A81" s="1085" t="s">
        <v>777</v>
      </c>
      <c r="B81" s="1085"/>
      <c r="C81" s="1085"/>
      <c r="D81" s="1085"/>
      <c r="E81" s="1085"/>
      <c r="F81" s="1085"/>
      <c r="G81" s="1085"/>
      <c r="H81" s="423">
        <v>2897.25</v>
      </c>
      <c r="I81" s="419"/>
      <c r="J81" s="419"/>
      <c r="K81" s="419"/>
      <c r="L81" s="419"/>
    </row>
    <row r="82" spans="1:12" x14ac:dyDescent="0.2">
      <c r="A82" s="1085" t="s">
        <v>778</v>
      </c>
      <c r="B82" s="1085"/>
      <c r="C82" s="1085"/>
      <c r="D82" s="1085"/>
      <c r="E82" s="1085"/>
      <c r="F82" s="1085"/>
      <c r="G82" s="1085"/>
      <c r="H82" s="423">
        <v>1032.3499999999999</v>
      </c>
      <c r="I82" s="419"/>
      <c r="J82" s="419"/>
      <c r="K82" s="419"/>
      <c r="L82" s="419"/>
    </row>
    <row r="83" spans="1:12" x14ac:dyDescent="0.2">
      <c r="A83" s="1085" t="s">
        <v>779</v>
      </c>
      <c r="B83" s="1085"/>
      <c r="C83" s="1085"/>
      <c r="D83" s="1085"/>
      <c r="E83" s="1085"/>
      <c r="F83" s="1085"/>
      <c r="G83" s="1085"/>
      <c r="H83" s="423">
        <v>25370.35</v>
      </c>
      <c r="I83" s="419"/>
      <c r="J83" s="419"/>
      <c r="K83" s="419"/>
      <c r="L83" s="419"/>
    </row>
    <row r="84" spans="1:12" x14ac:dyDescent="0.2">
      <c r="A84" s="1085" t="s">
        <v>206</v>
      </c>
      <c r="B84" s="1085"/>
      <c r="C84" s="1085"/>
      <c r="D84" s="1085"/>
      <c r="E84" s="1085"/>
      <c r="F84" s="1085"/>
      <c r="G84" s="1085"/>
      <c r="H84" s="423">
        <v>3585.8</v>
      </c>
      <c r="I84" s="419"/>
      <c r="J84" s="419"/>
      <c r="K84" s="419"/>
      <c r="L84" s="419"/>
    </row>
    <row r="85" spans="1:12" x14ac:dyDescent="0.2">
      <c r="A85" s="1085" t="s">
        <v>207</v>
      </c>
      <c r="B85" s="1085"/>
      <c r="C85" s="1085"/>
      <c r="D85" s="1085"/>
      <c r="E85" s="1085"/>
      <c r="F85" s="1085"/>
      <c r="G85" s="1085"/>
      <c r="H85" s="423">
        <v>1486.45</v>
      </c>
      <c r="I85" s="419"/>
      <c r="J85" s="419"/>
      <c r="K85" s="419"/>
      <c r="L85" s="419"/>
    </row>
    <row r="86" spans="1:12" s="426" customFormat="1" x14ac:dyDescent="0.2">
      <c r="A86" s="1086" t="s">
        <v>73</v>
      </c>
      <c r="B86" s="1086"/>
      <c r="C86" s="1086"/>
      <c r="D86" s="1086"/>
      <c r="E86" s="1086"/>
      <c r="F86" s="1086"/>
      <c r="G86" s="1086"/>
      <c r="H86" s="424">
        <v>25370.35</v>
      </c>
      <c r="I86" s="425"/>
      <c r="J86" s="425"/>
      <c r="K86" s="425"/>
      <c r="L86" s="425"/>
    </row>
    <row r="87" spans="1:12" s="393" customFormat="1" x14ac:dyDescent="0.2">
      <c r="A87" s="1084" t="s">
        <v>784</v>
      </c>
      <c r="B87" s="1084"/>
      <c r="C87" s="1084"/>
      <c r="D87" s="1084"/>
      <c r="E87" s="1084"/>
      <c r="F87" s="1084"/>
      <c r="G87" s="1084"/>
      <c r="H87" s="382">
        <f>ROUND(H86*0.082,2)</f>
        <v>2080.37</v>
      </c>
      <c r="I87" s="383"/>
      <c r="J87" s="383"/>
      <c r="K87" s="383"/>
      <c r="L87" s="383"/>
    </row>
    <row r="88" spans="1:12" s="386" customFormat="1" x14ac:dyDescent="0.2">
      <c r="A88" s="1083" t="s">
        <v>785</v>
      </c>
      <c r="B88" s="1083"/>
      <c r="C88" s="1083"/>
      <c r="D88" s="1083"/>
      <c r="E88" s="1083"/>
      <c r="F88" s="1083"/>
      <c r="G88" s="1083"/>
      <c r="H88" s="384">
        <f>H86+H87</f>
        <v>27450.720000000001</v>
      </c>
      <c r="I88" s="385"/>
      <c r="J88" s="385"/>
      <c r="K88" s="385"/>
      <c r="L88" s="385"/>
    </row>
    <row r="89" spans="1:12" s="393" customFormat="1" x14ac:dyDescent="0.2">
      <c r="A89" s="1084" t="s">
        <v>786</v>
      </c>
      <c r="B89" s="1084"/>
      <c r="C89" s="1084"/>
      <c r="D89" s="1084"/>
      <c r="E89" s="1084"/>
      <c r="F89" s="1084"/>
      <c r="G89" s="1084"/>
      <c r="H89" s="382">
        <f>ROUND(H88*0.024,2)</f>
        <v>658.82</v>
      </c>
      <c r="I89" s="383"/>
      <c r="J89" s="383"/>
      <c r="K89" s="383"/>
      <c r="L89" s="383"/>
    </row>
    <row r="90" spans="1:12" s="389" customFormat="1" ht="12" x14ac:dyDescent="0.25">
      <c r="A90" s="1054" t="s">
        <v>787</v>
      </c>
      <c r="B90" s="1054"/>
      <c r="C90" s="1054"/>
      <c r="D90" s="1054"/>
      <c r="E90" s="1054"/>
      <c r="F90" s="1054"/>
      <c r="G90" s="1054"/>
      <c r="H90" s="387">
        <f>H88+H89</f>
        <v>28109.54</v>
      </c>
      <c r="I90" s="388"/>
      <c r="J90" s="388"/>
      <c r="K90" s="388"/>
      <c r="L90" s="388"/>
    </row>
    <row r="91" spans="1:12" s="389" customFormat="1" ht="12" x14ac:dyDescent="0.25">
      <c r="A91" s="1054" t="s">
        <v>1686</v>
      </c>
      <c r="B91" s="1054"/>
      <c r="C91" s="1054"/>
      <c r="D91" s="1054"/>
      <c r="E91" s="1054"/>
      <c r="F91" s="1054"/>
      <c r="G91" s="1054"/>
      <c r="H91" s="387">
        <f>ROUND(H90*1.0514,2)</f>
        <v>29554.37</v>
      </c>
      <c r="I91" s="388"/>
      <c r="J91" s="388"/>
      <c r="K91" s="388"/>
      <c r="L91" s="388"/>
    </row>
    <row r="92" spans="1:12" s="389" customFormat="1" ht="12" x14ac:dyDescent="0.25">
      <c r="A92" s="611"/>
      <c r="B92" s="611"/>
      <c r="C92" s="611"/>
      <c r="D92" s="611"/>
      <c r="E92" s="611"/>
      <c r="F92" s="611"/>
      <c r="G92" s="611"/>
      <c r="H92" s="612"/>
      <c r="I92" s="613"/>
      <c r="J92" s="613"/>
      <c r="K92" s="613"/>
      <c r="L92" s="613"/>
    </row>
    <row r="93" spans="1:12" s="389" customFormat="1" ht="12" x14ac:dyDescent="0.25">
      <c r="A93" s="611"/>
      <c r="B93" s="611"/>
      <c r="C93" s="611"/>
      <c r="D93" s="611"/>
      <c r="E93" s="611"/>
      <c r="F93" s="611"/>
      <c r="G93" s="611"/>
      <c r="H93" s="612"/>
      <c r="I93" s="613"/>
      <c r="J93" s="613"/>
      <c r="K93" s="613"/>
      <c r="L93" s="613"/>
    </row>
    <row r="94" spans="1:12" s="389" customFormat="1" ht="12" x14ac:dyDescent="0.25">
      <c r="A94" s="611"/>
      <c r="B94" s="611"/>
      <c r="C94" s="611"/>
      <c r="D94" s="611"/>
      <c r="E94" s="611"/>
      <c r="F94" s="611"/>
      <c r="G94" s="611"/>
      <c r="H94" s="612"/>
      <c r="I94" s="613"/>
      <c r="J94" s="613"/>
      <c r="K94" s="613"/>
      <c r="L94" s="613"/>
    </row>
    <row r="95" spans="1:12" s="393" customFormat="1" x14ac:dyDescent="0.2"/>
    <row r="96" spans="1:12" s="393" customFormat="1" ht="24" x14ac:dyDescent="0.25">
      <c r="C96" s="428" t="s">
        <v>729</v>
      </c>
      <c r="D96" s="429" t="s">
        <v>824</v>
      </c>
      <c r="E96" s="427" t="s">
        <v>281</v>
      </c>
      <c r="F96" s="427"/>
      <c r="G96" s="389" t="s">
        <v>823</v>
      </c>
    </row>
    <row r="97" spans="3:7" s="393" customFormat="1" ht="12" x14ac:dyDescent="0.25">
      <c r="C97" s="428"/>
      <c r="G97" s="389"/>
    </row>
    <row r="98" spans="3:7" s="393" customFormat="1" ht="24" x14ac:dyDescent="0.25">
      <c r="C98" s="428" t="s">
        <v>730</v>
      </c>
      <c r="D98" s="429" t="s">
        <v>821</v>
      </c>
      <c r="E98" s="427" t="s">
        <v>281</v>
      </c>
      <c r="F98" s="427"/>
      <c r="G98" s="389" t="s">
        <v>822</v>
      </c>
    </row>
    <row r="99" spans="3:7" s="393" customFormat="1" x14ac:dyDescent="0.2"/>
  </sheetData>
  <mergeCells count="75">
    <mergeCell ref="A84:G84"/>
    <mergeCell ref="A85:G85"/>
    <mergeCell ref="A86:G86"/>
    <mergeCell ref="A79:G79"/>
    <mergeCell ref="A87:G87"/>
    <mergeCell ref="A89:G89"/>
    <mergeCell ref="A90:G90"/>
    <mergeCell ref="A40:L40"/>
    <mergeCell ref="F35:F36"/>
    <mergeCell ref="G35:G36"/>
    <mergeCell ref="H35:H37"/>
    <mergeCell ref="I35:I37"/>
    <mergeCell ref="J35:J36"/>
    <mergeCell ref="K35:L35"/>
    <mergeCell ref="K36:L36"/>
    <mergeCell ref="A88:G88"/>
    <mergeCell ref="A78:L78"/>
    <mergeCell ref="A80:G80"/>
    <mergeCell ref="A81:G81"/>
    <mergeCell ref="A82:G82"/>
    <mergeCell ref="A83:G83"/>
    <mergeCell ref="F32:I32"/>
    <mergeCell ref="J32:K32"/>
    <mergeCell ref="A34:A37"/>
    <mergeCell ref="B34:B37"/>
    <mergeCell ref="C34:C37"/>
    <mergeCell ref="D34:D37"/>
    <mergeCell ref="E34:E37"/>
    <mergeCell ref="F34:G34"/>
    <mergeCell ref="H34:J34"/>
    <mergeCell ref="K34:L34"/>
    <mergeCell ref="C27:L27"/>
    <mergeCell ref="C28:L28"/>
    <mergeCell ref="F30:I30"/>
    <mergeCell ref="J30:K30"/>
    <mergeCell ref="F31:I31"/>
    <mergeCell ref="J31:K31"/>
    <mergeCell ref="H23:H24"/>
    <mergeCell ref="I23:I24"/>
    <mergeCell ref="J23:K23"/>
    <mergeCell ref="C15:I15"/>
    <mergeCell ref="K15:L16"/>
    <mergeCell ref="H19:I19"/>
    <mergeCell ref="K19:L19"/>
    <mergeCell ref="K20:L20"/>
    <mergeCell ref="I21:J21"/>
    <mergeCell ref="K21:L21"/>
    <mergeCell ref="A16:B16"/>
    <mergeCell ref="C16:I16"/>
    <mergeCell ref="C17:I17"/>
    <mergeCell ref="H18:J18"/>
    <mergeCell ref="K18:L18"/>
    <mergeCell ref="K11:L12"/>
    <mergeCell ref="A12:B12"/>
    <mergeCell ref="C12:I12"/>
    <mergeCell ref="C13:I13"/>
    <mergeCell ref="K13:L14"/>
    <mergeCell ref="A14:B14"/>
    <mergeCell ref="C14:I14"/>
    <mergeCell ref="A91:G91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40</vt:i4>
      </vt:variant>
    </vt:vector>
  </HeadingPairs>
  <TitlesOfParts>
    <vt:vector size="66" baseType="lpstr">
      <vt:lpstr>кс-3 апрель</vt:lpstr>
      <vt:lpstr>к 9 ПЖ объемы</vt:lpstr>
      <vt:lpstr>02-01-01</vt:lpstr>
      <vt:lpstr>КС-3</vt:lpstr>
      <vt:lpstr>реестр октябрь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43 02-01-01(2016)-100%</vt:lpstr>
      <vt:lpstr>кс-3 январь-2</vt:lpstr>
      <vt:lpstr>р январь-2</vt:lpstr>
      <vt:lpstr>46_02-01-01(2016)</vt:lpstr>
      <vt:lpstr>М-29 нояб</vt:lpstr>
      <vt:lpstr>'02-01-01'!Заголовки_для_печати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'46_02-01-01(2016)'!Заголовки_для_печати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'КС-3'!Область_печати</vt:lpstr>
      <vt:lpstr>'кс-3 апрель'!Область_печати</vt:lpstr>
      <vt:lpstr>'кс-3 январь-2'!Область_печати</vt:lpstr>
      <vt:lpstr>'М-29 нояб'!Область_печати</vt:lpstr>
      <vt:lpstr>'р январь-2'!Область_печати</vt:lpstr>
      <vt:lpstr>'реестр октябрь'!Область_печати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2023-04-28T08:42:39Z</cp:lastPrinted>
  <dcterms:created xsi:type="dcterms:W3CDTF">2020-09-30T08:50:27Z</dcterms:created>
  <dcterms:modified xsi:type="dcterms:W3CDTF">2023-11-22T16:00:34Z</dcterms:modified>
</cp:coreProperties>
</file>