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2 выполнение\"/>
    </mc:Choice>
  </mc:AlternateContent>
  <xr:revisionPtr revIDLastSave="0" documentId="13_ncr:1_{436ABEF0-CD69-448E-95CA-60A724316750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НВК5" sheetId="2" r:id="rId1"/>
    <sheet name="ТС доп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НВК5!$A$1:$A$381</definedName>
    <definedName name="_xlnm._FilterDatabase" localSheetId="1" hidden="1">'ТС доп'!$C$1:$C$139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0">НВК5!$1:$1</definedName>
    <definedName name="_xlnm.Print_Titles" localSheetId="1">'ТС доп'!$1:$1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" l="1"/>
  <c r="K22" i="1" s="1"/>
  <c r="K5" i="1"/>
  <c r="K6" i="1"/>
  <c r="K7" i="1"/>
  <c r="K9" i="1"/>
  <c r="K10" i="1"/>
  <c r="K12" i="1"/>
  <c r="K13" i="1"/>
  <c r="K14" i="1"/>
  <c r="K15" i="1"/>
  <c r="K16" i="1"/>
  <c r="K17" i="1"/>
  <c r="K18" i="1"/>
  <c r="K19" i="1"/>
  <c r="K20" i="1"/>
  <c r="K4" i="1"/>
  <c r="I7" i="1"/>
  <c r="I5" i="1"/>
  <c r="I9" i="1"/>
  <c r="H9" i="1"/>
  <c r="I20" i="1"/>
  <c r="I19" i="1"/>
  <c r="H19" i="1"/>
  <c r="I18" i="1"/>
  <c r="I17" i="1"/>
  <c r="H17" i="1"/>
  <c r="I16" i="1"/>
  <c r="H16" i="1"/>
  <c r="I15" i="1"/>
  <c r="I14" i="1"/>
  <c r="H14" i="1"/>
  <c r="I12" i="1"/>
  <c r="H12" i="1"/>
  <c r="I10" i="1"/>
  <c r="H10" i="1"/>
  <c r="H5" i="1"/>
  <c r="I6" i="1"/>
  <c r="I4" i="1"/>
  <c r="H4" i="1"/>
  <c r="G21" i="1" l="1"/>
  <c r="G22" i="1" s="1"/>
  <c r="F5" i="1"/>
  <c r="J5" i="1" s="1"/>
  <c r="F6" i="1"/>
  <c r="J6" i="1" s="1"/>
  <c r="F7" i="1"/>
  <c r="J7" i="1" s="1"/>
  <c r="F9" i="1"/>
  <c r="F10" i="1"/>
  <c r="J10" i="1" s="1"/>
  <c r="F12" i="1"/>
  <c r="J12" i="1" s="1"/>
  <c r="F13" i="1"/>
  <c r="J13" i="1" s="1"/>
  <c r="F14" i="1"/>
  <c r="J14" i="1" s="1"/>
  <c r="F15" i="1"/>
  <c r="J15" i="1" s="1"/>
  <c r="F16" i="1"/>
  <c r="J16" i="1" s="1"/>
  <c r="F17" i="1"/>
  <c r="J17" i="1" s="1"/>
  <c r="F18" i="1"/>
  <c r="J18" i="1" s="1"/>
  <c r="F19" i="1"/>
  <c r="J19" i="1" s="1"/>
  <c r="F20" i="1"/>
  <c r="J20" i="1" s="1"/>
  <c r="F4" i="1"/>
  <c r="J4" i="1" s="1"/>
  <c r="K86" i="2"/>
  <c r="K87" i="2"/>
  <c r="K123" i="2"/>
  <c r="G4" i="2"/>
  <c r="K4" i="2" s="1"/>
  <c r="G5" i="2"/>
  <c r="K5" i="2" s="1"/>
  <c r="G6" i="2"/>
  <c r="K6" i="2" s="1"/>
  <c r="G7" i="2"/>
  <c r="K7" i="2" s="1"/>
  <c r="G8" i="2"/>
  <c r="K8" i="2" s="1"/>
  <c r="G10" i="2"/>
  <c r="K10" i="2" s="1"/>
  <c r="G11" i="2"/>
  <c r="K11" i="2" s="1"/>
  <c r="G12" i="2"/>
  <c r="K12" i="2" s="1"/>
  <c r="G13" i="2"/>
  <c r="K13" i="2" s="1"/>
  <c r="G14" i="2"/>
  <c r="K14" i="2" s="1"/>
  <c r="G16" i="2"/>
  <c r="K16" i="2" s="1"/>
  <c r="G17" i="2"/>
  <c r="K17" i="2" s="1"/>
  <c r="G18" i="2"/>
  <c r="K18" i="2" s="1"/>
  <c r="G19" i="2"/>
  <c r="K19" i="2" s="1"/>
  <c r="G20" i="2"/>
  <c r="K20" i="2" s="1"/>
  <c r="G21" i="2"/>
  <c r="K21" i="2" s="1"/>
  <c r="G22" i="2"/>
  <c r="K22" i="2" s="1"/>
  <c r="G23" i="2"/>
  <c r="K23" i="2" s="1"/>
  <c r="G24" i="2"/>
  <c r="K24" i="2" s="1"/>
  <c r="G25" i="2"/>
  <c r="K25" i="2" s="1"/>
  <c r="G26" i="2"/>
  <c r="K26" i="2" s="1"/>
  <c r="G27" i="2"/>
  <c r="K27" i="2" s="1"/>
  <c r="G28" i="2"/>
  <c r="K28" i="2" s="1"/>
  <c r="G29" i="2"/>
  <c r="K29" i="2" s="1"/>
  <c r="G30" i="2"/>
  <c r="K30" i="2" s="1"/>
  <c r="G34" i="2"/>
  <c r="K34" i="2" s="1"/>
  <c r="G35" i="2"/>
  <c r="K35" i="2" s="1"/>
  <c r="G36" i="2"/>
  <c r="K36" i="2" s="1"/>
  <c r="G37" i="2"/>
  <c r="K37" i="2" s="1"/>
  <c r="G38" i="2"/>
  <c r="K38" i="2" s="1"/>
  <c r="G39" i="2"/>
  <c r="K39" i="2" s="1"/>
  <c r="G40" i="2"/>
  <c r="K40" i="2" s="1"/>
  <c r="G41" i="2"/>
  <c r="K41" i="2" s="1"/>
  <c r="G42" i="2"/>
  <c r="K42" i="2" s="1"/>
  <c r="G44" i="2"/>
  <c r="K44" i="2" s="1"/>
  <c r="G45" i="2"/>
  <c r="K45" i="2" s="1"/>
  <c r="G46" i="2"/>
  <c r="K46" i="2" s="1"/>
  <c r="G47" i="2"/>
  <c r="K47" i="2" s="1"/>
  <c r="G48" i="2"/>
  <c r="K48" i="2" s="1"/>
  <c r="G49" i="2"/>
  <c r="K49" i="2" s="1"/>
  <c r="G50" i="2"/>
  <c r="K50" i="2" s="1"/>
  <c r="G51" i="2"/>
  <c r="K51" i="2" s="1"/>
  <c r="G52" i="2"/>
  <c r="K52" i="2" s="1"/>
  <c r="G53" i="2"/>
  <c r="K53" i="2" s="1"/>
  <c r="G54" i="2"/>
  <c r="K54" i="2" s="1"/>
  <c r="G55" i="2"/>
  <c r="K55" i="2" s="1"/>
  <c r="G57" i="2"/>
  <c r="K57" i="2" s="1"/>
  <c r="G58" i="2"/>
  <c r="K58" i="2" s="1"/>
  <c r="G59" i="2"/>
  <c r="K59" i="2" s="1"/>
  <c r="G60" i="2"/>
  <c r="K60" i="2" s="1"/>
  <c r="G61" i="2"/>
  <c r="K61" i="2" s="1"/>
  <c r="G62" i="2"/>
  <c r="K62" i="2" s="1"/>
  <c r="G64" i="2"/>
  <c r="K64" i="2" s="1"/>
  <c r="G65" i="2"/>
  <c r="K65" i="2" s="1"/>
  <c r="G66" i="2"/>
  <c r="K66" i="2" s="1"/>
  <c r="G67" i="2"/>
  <c r="K67" i="2" s="1"/>
  <c r="G68" i="2"/>
  <c r="K68" i="2" s="1"/>
  <c r="G69" i="2"/>
  <c r="K69" i="2" s="1"/>
  <c r="G70" i="2"/>
  <c r="K70" i="2" s="1"/>
  <c r="G71" i="2"/>
  <c r="K71" i="2" s="1"/>
  <c r="G72" i="2"/>
  <c r="K72" i="2" s="1"/>
  <c r="G73" i="2"/>
  <c r="K73" i="2" s="1"/>
  <c r="G74" i="2"/>
  <c r="K74" i="2" s="1"/>
  <c r="G75" i="2"/>
  <c r="K75" i="2" s="1"/>
  <c r="G77" i="2"/>
  <c r="K77" i="2" s="1"/>
  <c r="G78" i="2"/>
  <c r="K78" i="2" s="1"/>
  <c r="G79" i="2"/>
  <c r="K79" i="2" s="1"/>
  <c r="G80" i="2"/>
  <c r="K80" i="2" s="1"/>
  <c r="G82" i="2"/>
  <c r="K82" i="2" s="1"/>
  <c r="G83" i="2"/>
  <c r="K83" i="2" s="1"/>
  <c r="G84" i="2"/>
  <c r="K84" i="2" s="1"/>
  <c r="G85" i="2"/>
  <c r="K85" i="2" s="1"/>
  <c r="G86" i="2"/>
  <c r="G87" i="2"/>
  <c r="G88" i="2"/>
  <c r="K88" i="2" s="1"/>
  <c r="G89" i="2"/>
  <c r="K89" i="2" s="1"/>
  <c r="G90" i="2"/>
  <c r="K90" i="2" s="1"/>
  <c r="G91" i="2"/>
  <c r="K91" i="2" s="1"/>
  <c r="G92" i="2"/>
  <c r="K92" i="2" s="1"/>
  <c r="G93" i="2"/>
  <c r="K93" i="2" s="1"/>
  <c r="G94" i="2"/>
  <c r="K94" i="2" s="1"/>
  <c r="G95" i="2"/>
  <c r="K95" i="2" s="1"/>
  <c r="G96" i="2"/>
  <c r="K96" i="2" s="1"/>
  <c r="G97" i="2"/>
  <c r="K97" i="2" s="1"/>
  <c r="G98" i="2"/>
  <c r="K98" i="2" s="1"/>
  <c r="G99" i="2"/>
  <c r="K99" i="2" s="1"/>
  <c r="G100" i="2"/>
  <c r="K100" i="2" s="1"/>
  <c r="G101" i="2"/>
  <c r="K101" i="2" s="1"/>
  <c r="G102" i="2"/>
  <c r="K102" i="2" s="1"/>
  <c r="G103" i="2"/>
  <c r="K103" i="2" s="1"/>
  <c r="G107" i="2"/>
  <c r="K107" i="2" s="1"/>
  <c r="G108" i="2"/>
  <c r="K108" i="2" s="1"/>
  <c r="G109" i="2"/>
  <c r="K109" i="2" s="1"/>
  <c r="G110" i="2"/>
  <c r="K110" i="2" s="1"/>
  <c r="G111" i="2"/>
  <c r="K111" i="2" s="1"/>
  <c r="G112" i="2"/>
  <c r="K112" i="2" s="1"/>
  <c r="G113" i="2"/>
  <c r="K113" i="2" s="1"/>
  <c r="G114" i="2"/>
  <c r="K114" i="2" s="1"/>
  <c r="G116" i="2"/>
  <c r="K116" i="2" s="1"/>
  <c r="G117" i="2"/>
  <c r="K117" i="2" s="1"/>
  <c r="G118" i="2"/>
  <c r="K118" i="2" s="1"/>
  <c r="G119" i="2"/>
  <c r="K119" i="2" s="1"/>
  <c r="G121" i="2"/>
  <c r="K121" i="2" s="1"/>
  <c r="G122" i="2"/>
  <c r="K122" i="2" s="1"/>
  <c r="G123" i="2"/>
  <c r="G124" i="2"/>
  <c r="K124" i="2" s="1"/>
  <c r="G125" i="2"/>
  <c r="K125" i="2" s="1"/>
  <c r="G126" i="2"/>
  <c r="K126" i="2" s="1"/>
  <c r="G127" i="2"/>
  <c r="K127" i="2" s="1"/>
  <c r="G128" i="2"/>
  <c r="K128" i="2" s="1"/>
  <c r="G129" i="2"/>
  <c r="K129" i="2" s="1"/>
  <c r="G130" i="2"/>
  <c r="K130" i="2" s="1"/>
  <c r="G131" i="2"/>
  <c r="K131" i="2" s="1"/>
  <c r="G132" i="2"/>
  <c r="K132" i="2" s="1"/>
  <c r="G133" i="2"/>
  <c r="K133" i="2" s="1"/>
  <c r="G134" i="2"/>
  <c r="K134" i="2" s="1"/>
  <c r="G135" i="2"/>
  <c r="K135" i="2" s="1"/>
  <c r="G136" i="2"/>
  <c r="K136" i="2" s="1"/>
  <c r="G139" i="2"/>
  <c r="K139" i="2" s="1"/>
  <c r="G140" i="2"/>
  <c r="K140" i="2" s="1"/>
  <c r="G141" i="2"/>
  <c r="K141" i="2" s="1"/>
  <c r="G142" i="2"/>
  <c r="K142" i="2" s="1"/>
  <c r="G143" i="2"/>
  <c r="K143" i="2" s="1"/>
  <c r="G144" i="2"/>
  <c r="K144" i="2" s="1"/>
  <c r="G145" i="2"/>
  <c r="K145" i="2" s="1"/>
  <c r="G147" i="2"/>
  <c r="K147" i="2" s="1"/>
  <c r="G148" i="2"/>
  <c r="K148" i="2" s="1"/>
  <c r="G149" i="2"/>
  <c r="K149" i="2" s="1"/>
  <c r="G150" i="2"/>
  <c r="K150" i="2" s="1"/>
  <c r="G151" i="2"/>
  <c r="K151" i="2" s="1"/>
  <c r="G152" i="2"/>
  <c r="K152" i="2" s="1"/>
  <c r="G153" i="2"/>
  <c r="K153" i="2" s="1"/>
  <c r="G155" i="2"/>
  <c r="K155" i="2" s="1"/>
  <c r="G156" i="2"/>
  <c r="K156" i="2" s="1"/>
  <c r="G157" i="2"/>
  <c r="K157" i="2" s="1"/>
  <c r="G158" i="2"/>
  <c r="K158" i="2" s="1"/>
  <c r="G159" i="2"/>
  <c r="K159" i="2" s="1"/>
  <c r="G160" i="2"/>
  <c r="K160" i="2" s="1"/>
  <c r="G161" i="2"/>
  <c r="K161" i="2" s="1"/>
  <c r="G162" i="2"/>
  <c r="K162" i="2" s="1"/>
  <c r="G163" i="2"/>
  <c r="K163" i="2" s="1"/>
  <c r="G164" i="2"/>
  <c r="K164" i="2" s="1"/>
  <c r="G166" i="2"/>
  <c r="K166" i="2" s="1"/>
  <c r="G167" i="2"/>
  <c r="K167" i="2" s="1"/>
  <c r="G168" i="2"/>
  <c r="K168" i="2" s="1"/>
  <c r="G169" i="2"/>
  <c r="K169" i="2" s="1"/>
  <c r="G170" i="2"/>
  <c r="K170" i="2" s="1"/>
  <c r="G171" i="2"/>
  <c r="K171" i="2" s="1"/>
  <c r="G173" i="2"/>
  <c r="K173" i="2" s="1"/>
  <c r="G174" i="2"/>
  <c r="K174" i="2" s="1"/>
  <c r="G175" i="2"/>
  <c r="K175" i="2" s="1"/>
  <c r="G176" i="2"/>
  <c r="K176" i="2" s="1"/>
  <c r="G177" i="2"/>
  <c r="K177" i="2" s="1"/>
  <c r="G178" i="2"/>
  <c r="K178" i="2" s="1"/>
  <c r="G179" i="2"/>
  <c r="K179" i="2" s="1"/>
  <c r="G180" i="2"/>
  <c r="K180" i="2" s="1"/>
  <c r="G181" i="2"/>
  <c r="K181" i="2" s="1"/>
  <c r="G182" i="2"/>
  <c r="K182" i="2" s="1"/>
  <c r="G183" i="2"/>
  <c r="K183" i="2" s="1"/>
  <c r="G184" i="2"/>
  <c r="K184" i="2" s="1"/>
  <c r="G185" i="2"/>
  <c r="K185" i="2" s="1"/>
  <c r="G186" i="2"/>
  <c r="K186" i="2" s="1"/>
  <c r="G187" i="2"/>
  <c r="K187" i="2" s="1"/>
  <c r="G188" i="2"/>
  <c r="K188" i="2" s="1"/>
  <c r="G189" i="2"/>
  <c r="K189" i="2" s="1"/>
  <c r="G190" i="2"/>
  <c r="K190" i="2" s="1"/>
  <c r="G191" i="2"/>
  <c r="K191" i="2" s="1"/>
  <c r="G192" i="2"/>
  <c r="K192" i="2" s="1"/>
  <c r="G195" i="2"/>
  <c r="K195" i="2" s="1"/>
  <c r="G196" i="2"/>
  <c r="I196" i="2"/>
  <c r="J196" i="2" s="1"/>
  <c r="G197" i="2"/>
  <c r="I197" i="2"/>
  <c r="J197" i="2" s="1"/>
  <c r="G198" i="2"/>
  <c r="I198" i="2"/>
  <c r="J198" i="2"/>
  <c r="G199" i="2"/>
  <c r="I199" i="2"/>
  <c r="J199" i="2"/>
  <c r="G200" i="2"/>
  <c r="G202" i="2"/>
  <c r="K202" i="2" s="1"/>
  <c r="I202" i="2"/>
  <c r="J202" i="2"/>
  <c r="G203" i="2"/>
  <c r="J203" i="2"/>
  <c r="G204" i="2"/>
  <c r="J204" i="2"/>
  <c r="G205" i="2"/>
  <c r="J205" i="2"/>
  <c r="G206" i="2"/>
  <c r="J206" i="2"/>
  <c r="G207" i="2"/>
  <c r="J207" i="2"/>
  <c r="G208" i="2"/>
  <c r="J208" i="2"/>
  <c r="G210" i="2"/>
  <c r="J210" i="2"/>
  <c r="G211" i="2"/>
  <c r="I211" i="2"/>
  <c r="J211" i="2"/>
  <c r="G212" i="2"/>
  <c r="I212" i="2"/>
  <c r="J212" i="2" s="1"/>
  <c r="G213" i="2"/>
  <c r="J213" i="2"/>
  <c r="G215" i="2"/>
  <c r="K215" i="2" s="1"/>
  <c r="G216" i="2"/>
  <c r="K216" i="2" s="1"/>
  <c r="G217" i="2"/>
  <c r="K217" i="2" s="1"/>
  <c r="G218" i="2"/>
  <c r="K218" i="2" s="1"/>
  <c r="G219" i="2"/>
  <c r="K219" i="2" s="1"/>
  <c r="G220" i="2"/>
  <c r="K220" i="2" s="1"/>
  <c r="G221" i="2"/>
  <c r="K221" i="2" s="1"/>
  <c r="G222" i="2"/>
  <c r="K222" i="2" s="1"/>
  <c r="G223" i="2"/>
  <c r="K223" i="2" s="1"/>
  <c r="G224" i="2"/>
  <c r="K224" i="2" s="1"/>
  <c r="G225" i="2"/>
  <c r="K225" i="2" s="1"/>
  <c r="G226" i="2"/>
  <c r="K226" i="2" s="1"/>
  <c r="G227" i="2"/>
  <c r="K227" i="2" s="1"/>
  <c r="G228" i="2"/>
  <c r="K228" i="2" s="1"/>
  <c r="G229" i="2"/>
  <c r="K229" i="2" s="1"/>
  <c r="H230" i="2"/>
  <c r="H231" i="2" s="1"/>
  <c r="H232" i="2" s="1"/>
  <c r="H233" i="2" s="1"/>
  <c r="J9" i="1" l="1"/>
  <c r="J21" i="1" s="1"/>
  <c r="J22" i="1" s="1"/>
  <c r="K212" i="2"/>
  <c r="K207" i="2"/>
  <c r="K208" i="2"/>
  <c r="K199" i="2"/>
  <c r="K213" i="2"/>
  <c r="K204" i="2"/>
  <c r="K196" i="2"/>
  <c r="K205" i="2"/>
  <c r="K203" i="2"/>
  <c r="K211" i="2"/>
  <c r="K210" i="2"/>
  <c r="K206" i="2"/>
  <c r="K198" i="2"/>
  <c r="K197" i="2"/>
  <c r="H234" i="2"/>
  <c r="H235" i="2" s="1"/>
  <c r="J200" i="2"/>
  <c r="K200" i="2" s="1"/>
  <c r="K230" i="2" s="1"/>
  <c r="K231" i="2" s="1"/>
  <c r="K232" i="2" s="1"/>
  <c r="K233" i="2" s="1"/>
  <c r="K234" i="2" s="1"/>
  <c r="K235" i="2" s="1"/>
  <c r="J376" i="2" l="1"/>
  <c r="J377" i="2" s="1"/>
  <c r="J378" i="2" s="1"/>
  <c r="J379" i="2" s="1"/>
  <c r="J380" i="2" l="1"/>
  <c r="J381" i="2" s="1"/>
</calcChain>
</file>

<file path=xl/sharedStrings.xml><?xml version="1.0" encoding="utf-8"?>
<sst xmlns="http://schemas.openxmlformats.org/spreadsheetml/2006/main" count="1007" uniqueCount="567">
  <si>
    <t>Раздел 1. Прокладка временного участка теплосети Т1, Т2</t>
  </si>
  <si>
    <t>Установка опор под проезды высотой 3 м</t>
  </si>
  <si>
    <t>1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</si>
  <si>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</si>
  <si>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</si>
  <si>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</si>
  <si>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2</t>
  </si>
  <si>
    <t>3</t>
  </si>
  <si>
    <t>4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</si>
  <si>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</si>
  <si>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</si>
  <si>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кг</t>
  </si>
  <si>
    <t>ФССЦ-04.1.02.05-0008</t>
  </si>
  <si>
    <t>Смеси бетонные тяжелого бетона (БСТ), класс B22,5 (М300)</t>
  </si>
  <si>
    <t>м3</t>
  </si>
  <si>
    <t>ФЕР13-03-004-26</t>
  </si>
  <si>
    <t>Окраска металлических огрунтованных поверхностей: эмалью ПФ-115</t>
  </si>
  <si>
    <t>100 м2</t>
  </si>
  <si>
    <t>Установка опор из ФБС блоков</t>
  </si>
  <si>
    <t>5</t>
  </si>
  <si>
    <t>ФЕР07-05-001-02</t>
  </si>
  <si>
    <t>Установка блоков стен подвалов массой: до 1 т</t>
  </si>
  <si>
    <t>6</t>
  </si>
  <si>
    <t>ФССЦ-05.2.02.01-0013</t>
  </si>
  <si>
    <t>Блоки бетонные для стен подвалов на цементном вяжущем полнотелые с вырезом М100, объем менее 0,3 м3</t>
  </si>
  <si>
    <t>Тепловая сеть</t>
  </si>
  <si>
    <t>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</si>
  <si>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</si>
  <si>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</si>
  <si>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</si>
  <si>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8</t>
  </si>
  <si>
    <t>ФССЦ-23.8.04.06-0085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</si>
  <si>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</si>
  <si>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шт</t>
  </si>
  <si>
    <t>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</si>
  <si>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</si>
  <si>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</si>
  <si>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м</t>
  </si>
  <si>
    <t>10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</si>
  <si>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</si>
  <si>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</si>
  <si>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</si>
  <si>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11</t>
  </si>
  <si>
    <t>ФЕР09-07-031-01</t>
  </si>
  <si>
    <t>Антикоррозийная защита металлических поверхностей</t>
  </si>
  <si>
    <t>12</t>
  </si>
  <si>
    <t>ФССЦ-14.4.02.09-0306</t>
  </si>
  <si>
    <t>Краска антикоррозийная</t>
  </si>
  <si>
    <t>т</t>
  </si>
  <si>
    <t>13</t>
  </si>
  <si>
    <t>ФССЦ-14.4.01.09-0427</t>
  </si>
  <si>
    <t>Грунтовка антикоррозионная цинкнаполненная на основе эпоксидной смолы</t>
  </si>
  <si>
    <t>14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</si>
  <si>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</si>
  <si>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</si>
  <si>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15</t>
  </si>
  <si>
    <t>ФССЦ-12.2.04.11-0010</t>
  </si>
  <si>
    <t>Маты теплоизоляционные из стекловолокна URSA, марки: М-15-18000-1200-50</t>
  </si>
  <si>
    <t>Всего с НДС</t>
  </si>
  <si>
    <t>НДС</t>
  </si>
  <si>
    <t>с Дог.Кф</t>
  </si>
  <si>
    <t>с ЗУ</t>
  </si>
  <si>
    <t>с ВЗиС</t>
  </si>
  <si>
    <t>Праймер битумный производства «Техно-Николь»</t>
  </si>
  <si>
    <t>ФССЦ-01.2.03.05-0010</t>
  </si>
  <si>
    <t>200</t>
  </si>
  <si>
    <t>Мастика битумная «Еша»</t>
  </si>
  <si>
    <t>ФССЦ-01.2.03.03-0009</t>
  </si>
  <si>
    <t>199</t>
  </si>
  <si>
    <t>Гидроизоляция боковая обмазочная битумная в 2 слоя по выровненной поверхности бутовой кладки, кирпичу, бетону</t>
  </si>
  <si>
    <t>Объем=18,21 / 100</t>
  </si>
  <si>
    <t>ФЕР08-01-003-07</t>
  </si>
  <si>
    <t>198</t>
  </si>
  <si>
    <t>Муфта защитная полиэтиленовая для прохода труб сквозь стену, номинальный наружный диаметр 630 мм</t>
  </si>
  <si>
    <t>ФССЦ-24.3.05.07-0025</t>
  </si>
  <si>
    <t>197</t>
  </si>
  <si>
    <t>Заделка битумом и прядью концов футляра диаметром: 600 мм  / прим установка защитной муфты</t>
  </si>
  <si>
    <t>футляр</t>
  </si>
  <si>
    <t>ФЕР22-05-004-03</t>
  </si>
  <si>
    <t>196</t>
  </si>
  <si>
    <t>Пробивка отверстий в колодцах и коробках железобетонных</t>
  </si>
  <si>
    <t>Объем=3,1415*0,669*2</t>
  </si>
  <si>
    <t>ФЕР34-02-016-01</t>
  </si>
  <si>
    <t>195</t>
  </si>
  <si>
    <t>Люк чугунный тяжелый (ГОСТ 3634-99) марка Т(C250)-В-1-60</t>
  </si>
  <si>
    <t>ФССЦ-08.1.02.06-0031</t>
  </si>
  <si>
    <t>194</t>
  </si>
  <si>
    <t>Установка люка</t>
  </si>
  <si>
    <t>ФЕР23-04-011-01</t>
  </si>
  <si>
    <t>193</t>
  </si>
  <si>
    <t>Плиты перекрытия ПП10-1, бетон B15, объем 0,10 м3, расход арматуры 8,38 кг</t>
  </si>
  <si>
    <t>ФССЦ-05.1.06.09-0087</t>
  </si>
  <si>
    <t>192</t>
  </si>
  <si>
    <t>Плиты перекрытия 2ПП20-2, бетон B15, объем 0,48 м3, расход арматуры 84,49 кг</t>
  </si>
  <si>
    <t>ФССЦ-05.1.06.09-0010</t>
  </si>
  <si>
    <t>191</t>
  </si>
  <si>
    <t>Установка сборных железобетонных колец горловин колодцев / прим.</t>
  </si>
  <si>
    <t>Объем=2 / 100</t>
  </si>
  <si>
    <t>ФЕР23-03-008-01</t>
  </si>
  <si>
    <t>190</t>
  </si>
  <si>
    <t>Кольцо опорное КО-6 /бетон B15 (М200), объем 0,02 м3, расход арматуры 1,10 кг</t>
  </si>
  <si>
    <t>ФССЦ-05.1.01.09-0042</t>
  </si>
  <si>
    <t>189</t>
  </si>
  <si>
    <t>Установка сборных железобетонных колец горловин колодцев</t>
  </si>
  <si>
    <t>188</t>
  </si>
  <si>
    <t>Лестницы шахтные</t>
  </si>
  <si>
    <t>ФССЦ-07.5.01.02-0042</t>
  </si>
  <si>
    <t>187</t>
  </si>
  <si>
    <t>Установка лестниц в существующих тепловых камерах со стенами: бетонными</t>
  </si>
  <si>
    <t>ФЕРр66-9-2</t>
  </si>
  <si>
    <t>186</t>
  </si>
  <si>
    <t>Устройство колодцев</t>
  </si>
  <si>
    <t>Труба КОРСИС ПРО DN/OD 630mm SN16 в компл. с растр. и упл.(6м)</t>
  </si>
  <si>
    <t>ООО "НФ Инжиниринг, Счет на оплату № NF-8684 от 26.10.2023 г.(п.4)</t>
  </si>
  <si>
    <t>185</t>
  </si>
  <si>
    <t>Укладка трубопроводов канализации из полиэтиленовых труб диаметром: 630 мм</t>
  </si>
  <si>
    <t>100 м</t>
  </si>
  <si>
    <t>Объем=31 / 100</t>
  </si>
  <si>
    <t>ФЕР23-01-030-11</t>
  </si>
  <si>
    <t>184</t>
  </si>
  <si>
    <t>Песок карьерный</t>
  </si>
  <si>
    <t>Цена Поставщика ООО "Генпоставка"</t>
  </si>
  <si>
    <t>183</t>
  </si>
  <si>
    <t>Устройство основания под трубопроводы: песчаного</t>
  </si>
  <si>
    <t>10 м3</t>
  </si>
  <si>
    <t>Объем=((1+0,63)*0,15*31) / 10</t>
  </si>
  <si>
    <t>ФЕР23-01-001-01</t>
  </si>
  <si>
    <t>182</t>
  </si>
  <si>
    <t>Прокладка трубопровода</t>
  </si>
  <si>
    <t>Заделка битумом и прядью концов футляра диаметром: 800 мм</t>
  </si>
  <si>
    <t>ФЕР22-05-004-05</t>
  </si>
  <si>
    <t>181</t>
  </si>
  <si>
    <t>Кольца центрирующие для труб, диаметр 600 мм</t>
  </si>
  <si>
    <t>ФССЦ-23.1.02.03-0008</t>
  </si>
  <si>
    <t>180</t>
  </si>
  <si>
    <t>Протаскивание в футляр полиэтиленовых труб диаметром: 630 мм</t>
  </si>
  <si>
    <t>100 м трубы, уложенной в футляр</t>
  </si>
  <si>
    <t>Объем=6 / 100</t>
  </si>
  <si>
    <t>ФЕР22-05-005-11</t>
  </si>
  <si>
    <t>179</t>
  </si>
  <si>
    <t>Мастика "Ярославна БПХ-2"</t>
  </si>
  <si>
    <t>ФССЦ-01.2.03.03-0002</t>
  </si>
  <si>
    <t>178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</si>
  <si>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</si>
  <si>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Объем=6/1000</t>
  </si>
  <si>
    <t>ФЕР22-02-003-14</t>
  </si>
  <si>
    <t>177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</si>
  <si>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</si>
  <si>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ФССЦ-23.5.01.08-0054</t>
  </si>
  <si>
    <t>176</t>
  </si>
  <si>
    <t>Укладка стальных неразрезных кожухов (футляров) в открытых траншеях диаметром: 800 мм</t>
  </si>
  <si>
    <t>ФЕР22-01-015-06</t>
  </si>
  <si>
    <t>175</t>
  </si>
  <si>
    <t>Устройство футляров</t>
  </si>
  <si>
    <t>Перевозка и утилизация отходов 4-5 класса опасности</t>
  </si>
  <si>
    <t>Цена поставщика ООО "Террус"</t>
  </si>
  <si>
    <t>174</t>
  </si>
  <si>
    <t>173</t>
  </si>
  <si>
    <t>Засыпка траншей и котлованов с перемещением грунта до 5 м бульдозерами мощностью: 59 кВт (80 л.с.), группа грунтов 2</t>
  </si>
  <si>
    <t>1000 м3</t>
  </si>
  <si>
    <t>Объем=(50,81+155,2) / 1000</t>
  </si>
  <si>
    <t>ФЕР01-01-033-02</t>
  </si>
  <si>
    <t>172</t>
  </si>
  <si>
    <t>Доработка грунта вручную в траншеях глубиной до 2 м без креплений с откосами, группа грунтов: 2</t>
  </si>
  <si>
    <t>100 м3</t>
  </si>
  <si>
    <t>Объем=6,7 / 100</t>
  </si>
  <si>
    <t>ФЕР01-02-057-02</t>
  </si>
  <si>
    <t>171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</si>
  <si>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</si>
  <si>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Объем=172,44 / 1000</t>
  </si>
  <si>
    <t>ФЕР01-01-013-14</t>
  </si>
  <si>
    <t>170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</si>
  <si>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</si>
  <si>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Объем=(216,6-172,44) / 1000</t>
  </si>
  <si>
    <t>ФЕР01-01-009-14</t>
  </si>
  <si>
    <t>169</t>
  </si>
  <si>
    <t>Земляные работы</t>
  </si>
  <si>
    <t>Раздел 5. Ливневая канализация (колодцы 26-27)</t>
  </si>
  <si>
    <t>168</t>
  </si>
  <si>
    <t>167</t>
  </si>
  <si>
    <t>Объем=72,85 / 100</t>
  </si>
  <si>
    <t>166</t>
  </si>
  <si>
    <t>Муфта защитная полиэтиленовая для прохода труб сквозь стену, номинальный наружный диаметр 1000 мм / прим. 1200 мм</t>
  </si>
  <si>
    <t>ФССЦ-24.3.05.07-0029</t>
  </si>
  <si>
    <t>165</t>
  </si>
  <si>
    <t>Заделка битумом и прядью концов футляра диаметром: 1400 мм / прим установка защитной муфты</t>
  </si>
  <si>
    <t>ФЕР22-05-004-09</t>
  </si>
  <si>
    <t>164</t>
  </si>
  <si>
    <t>Объем=3,1415*1,3*6</t>
  </si>
  <si>
    <t>163</t>
  </si>
  <si>
    <t>162</t>
  </si>
  <si>
    <t>161</t>
  </si>
  <si>
    <t>160</t>
  </si>
  <si>
    <t>159</t>
  </si>
  <si>
    <t>158</t>
  </si>
  <si>
    <t>157</t>
  </si>
  <si>
    <t>156</t>
  </si>
  <si>
    <t>155</t>
  </si>
  <si>
    <t>154</t>
  </si>
  <si>
    <t>Кольцо стеновое смотровых колодцев КС20.6, бетон B15 (М200), объем 0,39 м3, расход арматуры 13,04 кг</t>
  </si>
  <si>
    <t>ФССЦ-05.1.01.09-0071</t>
  </si>
  <si>
    <t>153</t>
  </si>
  <si>
    <t>Кольцо стеновое смотровых колодцев КС20.9, бетон B15 (М200), объем 0,59 м3, расход арматуры 19,88 кг</t>
  </si>
  <si>
    <t>ФССЦ-05.1.01.09-0073</t>
  </si>
  <si>
    <t>152</t>
  </si>
  <si>
    <t>151</t>
  </si>
  <si>
    <t>Плита днища ПН20, бетон B15 (М200), объем 0,59 м3, расход арматуры 79,44 кг</t>
  </si>
  <si>
    <t>ФССЦ-05.1.01.11-0046</t>
  </si>
  <si>
    <t>150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</si>
  <si>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</si>
  <si>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</si>
  <si>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ФЕР23-03-001-07</t>
  </si>
  <si>
    <t>149</t>
  </si>
  <si>
    <t>Труба КОРСИС ПРО DN/OD 1200mm SN16 в компл. с растр. и упл. (6м)</t>
  </si>
  <si>
    <t>ООО "НФ Инжиниринг, Счет на оплату № NF-8684 от 26.10.2023 г.(п.2)</t>
  </si>
  <si>
    <t>148</t>
  </si>
  <si>
    <t>Укладка трубопроводов канализации из полиэтиленовых труб диаметром: 1200 мм</t>
  </si>
  <si>
    <t>Объем=132 / 100</t>
  </si>
  <si>
    <t>ФЕР23-01-030-16</t>
  </si>
  <si>
    <t>147</t>
  </si>
  <si>
    <t>Щебень известняковый М600 фр. 20/40</t>
  </si>
  <si>
    <t>146</t>
  </si>
  <si>
    <t>Устройство основания под трубопроводы: щебеночного</t>
  </si>
  <si>
    <t>Объем=1,8 / 10</t>
  </si>
  <si>
    <t>ФЕР23-01-001-02</t>
  </si>
  <si>
    <t>145</t>
  </si>
  <si>
    <t>144</t>
  </si>
  <si>
    <t>Объем=61,32 / 10</t>
  </si>
  <si>
    <t>143</t>
  </si>
  <si>
    <t>Заделка битумом и прядью концов футляра диаметром: 1400 мм</t>
  </si>
  <si>
    <t>142</t>
  </si>
  <si>
    <t>Кольца центрирующие для труб, диаметр 1200 мм</t>
  </si>
  <si>
    <t>ФССЦ-23.1.02.03-0012</t>
  </si>
  <si>
    <t>141</t>
  </si>
  <si>
    <t>Протаскивание в футляр полиэтиленовых труб диаметром: 1200 мм</t>
  </si>
  <si>
    <t>Объем=14 / 100</t>
  </si>
  <si>
    <t>ФЕР22-05-005-16</t>
  </si>
  <si>
    <t>140</t>
  </si>
  <si>
    <t>Раствор готовый кладочный, цементный, М100</t>
  </si>
  <si>
    <t>ФССЦ-04.3.01.09-0014</t>
  </si>
  <si>
    <t>139</t>
  </si>
  <si>
    <t>Раствор готовый кладочный, цементный, М25</t>
  </si>
  <si>
    <t>ФССЦ-04.3.01.09-0011</t>
  </si>
  <si>
    <t>138</t>
  </si>
  <si>
    <t>Заполнение трубопроводов или межтрубного пространства при трубах в футляре: цементным раствором</t>
  </si>
  <si>
    <t>ФЕРр66-38-3</t>
  </si>
  <si>
    <t>137</t>
  </si>
  <si>
    <t>136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</si>
  <si>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</si>
  <si>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</si>
  <si>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ФЕР22-02-007-03</t>
  </si>
  <si>
    <t>135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</si>
  <si>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</si>
  <si>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ФССЦ-23.5.01.08-0097</t>
  </si>
  <si>
    <t>134</t>
  </si>
  <si>
    <t>Укладка стальных неразрезных кожухов (футляров) в открытых траншеях диаметром: 1400 мм</t>
  </si>
  <si>
    <t>Объем=(4+10) / 100</t>
  </si>
  <si>
    <t>ФЕР22-01-015-10</t>
  </si>
  <si>
    <t>133</t>
  </si>
  <si>
    <t>132</t>
  </si>
  <si>
    <t>Погрузка при автомобильных перевозках мусора строительного с погрузкой вручную</t>
  </si>
  <si>
    <t>1 т груза</t>
  </si>
  <si>
    <t>Объем=(0,96*2,5+0,04*2,5+126,6)*0,2</t>
  </si>
  <si>
    <t>ФССЦпг-01-01-01-041</t>
  </si>
  <si>
    <t>131</t>
  </si>
  <si>
    <t>Погрузка при автомобильных перевозках мусора строительного с погрузкой экскаваторами емкостью ковша до 0,5 м3</t>
  </si>
  <si>
    <t>Объем=(0,96*2,5+0,04*2,5+126,6)*0,8</t>
  </si>
  <si>
    <t>ФССЦпг-01-01-01-043</t>
  </si>
  <si>
    <t>130</t>
  </si>
  <si>
    <t>Перевозка грузов I класса автомобилями-самосвалами грузоподъемностью 10 т работающих вне карьера на расстояние до 1 км</t>
  </si>
  <si>
    <t>ФССЦпг-03-21-01-001</t>
  </si>
  <si>
    <t>129</t>
  </si>
  <si>
    <t>128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</si>
  <si>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</si>
  <si>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</si>
  <si>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127</t>
  </si>
  <si>
    <t>Укладка трубопроводов из железобетонных безнапорных раструбных труб диаметром: 1000 мм/ Демонтаж</t>
  </si>
  <si>
    <t>ФЕР23-01-007-05</t>
  </si>
  <si>
    <t>126</t>
  </si>
  <si>
    <t>Демонтажные работы</t>
  </si>
  <si>
    <t>125</t>
  </si>
  <si>
    <t>124</t>
  </si>
  <si>
    <t>Объем=(1048,56+513,4) / 1000</t>
  </si>
  <si>
    <t>123</t>
  </si>
  <si>
    <t>Объем=52,41 / 100</t>
  </si>
  <si>
    <t>122</t>
  </si>
  <si>
    <t>Объем=1233,66 / 1000</t>
  </si>
  <si>
    <t>121</t>
  </si>
  <si>
    <t>Разработка грунта в котлованах объемом до 500 м3 экскаваторами с ковшом вместимостью 0,4 (0,35-0,45) м3, группа грунтов: 2</t>
  </si>
  <si>
    <t>Объем=62,19 / 1000</t>
  </si>
  <si>
    <t>ФЕР01-01-006-02</t>
  </si>
  <si>
    <t>120</t>
  </si>
  <si>
    <t>Разработка грунта в траншеях экскаватором «обратная лопата» с ковшом вместимостью 0,65 (0,5-1) м3, группа грунтов: 2</t>
  </si>
  <si>
    <t>Объем=(1686,55-52,41) / 1000</t>
  </si>
  <si>
    <t>ФЕР01-01-009-08</t>
  </si>
  <si>
    <t>119</t>
  </si>
  <si>
    <t>Раздел 4. Ливневая канализацйия (колодцы 24-25)</t>
  </si>
  <si>
    <t>118</t>
  </si>
  <si>
    <t>117</t>
  </si>
  <si>
    <t>Объем=(5,47+9,24+5,28) / 100</t>
  </si>
  <si>
    <t>116</t>
  </si>
  <si>
    <t>Муфта защитная полиэтиленовая для прохода труб сквозь стену, номинальный наружный диаметр 315 мм</t>
  </si>
  <si>
    <t>ФССЦ-24.3.05.07-0019</t>
  </si>
  <si>
    <t>115</t>
  </si>
  <si>
    <t>Заделка сальников при проходе труб через фундаменты или стены подвала диаметром: до 300 мм</t>
  </si>
  <si>
    <t>ФЕР16-07-006-03</t>
  </si>
  <si>
    <t>114</t>
  </si>
  <si>
    <t>Пробивка отверстий в колодцах и коробках железобетонных / одно сущ.</t>
  </si>
  <si>
    <t>Объем=3,1415*0,365*3</t>
  </si>
  <si>
    <t>113</t>
  </si>
  <si>
    <t>Решетка прямоугольного чугунного дождеприемника, номинальная нагрузка 12,5 кН, размеры лаза 360х780 мм</t>
  </si>
  <si>
    <t>ФССЦ-08.1.02.06-1014</t>
  </si>
  <si>
    <t>112</t>
  </si>
  <si>
    <t>Крышка колодцев КЦП 1-10-1, бетон B15 (М200), объем 0,1 м3, расход арматуры 7,70 кг</t>
  </si>
  <si>
    <t>ФССЦ-05.1.01.08-0091</t>
  </si>
  <si>
    <t>111</t>
  </si>
  <si>
    <t>Кольцо стеновое смотровых колодцев КС10.9А, бетон B15 (М200), объем 0,22 м3, расход арматуры 14,76 кг/применит. КС10.9Б</t>
  </si>
  <si>
    <t>ФССЦ-05.1.01.09-0057</t>
  </si>
  <si>
    <t>110</t>
  </si>
  <si>
    <t>Кольцо стеновое смотровых колодцев КС10.9, бетон B15 (М200), объем 0,24 м3, расход арматуры 5,66 кг</t>
  </si>
  <si>
    <t>ФССЦ-05.1.01.09-0056</t>
  </si>
  <si>
    <t>109</t>
  </si>
  <si>
    <t>Кольцо стеновое смотровых колодцев КС10.6, бетон B15 (М200), объем 0,16 м3, расход арматуры 3,95 кг</t>
  </si>
  <si>
    <t>ФССЦ-05.1.01.09-0055</t>
  </si>
  <si>
    <t>108</t>
  </si>
  <si>
    <t>Кольцо стеновое смотровых колодцев КС10.3, бетон B15 (М200), объем 0,08 м3, расход арматуры 1,96 кг</t>
  </si>
  <si>
    <t>ФССЦ-05.1.01.09-0054</t>
  </si>
  <si>
    <t>107</t>
  </si>
  <si>
    <t>Плита днища плоская, бетон B15 (М200), объем до 0,5 м3, расход арматуры 60 кг/м3/применит. КЦД 10а</t>
  </si>
  <si>
    <t>ФССЦ-05.1.01.11-0052</t>
  </si>
  <si>
    <t>106</t>
  </si>
  <si>
    <t>Скобы ходовые</t>
  </si>
  <si>
    <t>ФССЦ-01.7.15.10-0067</t>
  </si>
  <si>
    <t>105</t>
  </si>
  <si>
    <t>104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</si>
  <si>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</si>
  <si>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</si>
  <si>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ФЕР23-03-007-03</t>
  </si>
  <si>
    <t>103</t>
  </si>
  <si>
    <t>Устройство дождеприемных колодцев Д-1 и Д-2,Дсущ. из сборных ж.б. элементов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</si>
  <si>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</si>
  <si>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ФССЦ-24.3.04.05-0031</t>
  </si>
  <si>
    <t>102</t>
  </si>
  <si>
    <t>Укладка канализационных безнапорных раструбных труб из поливинилхлорида (ПВХ) диаметром: 315 мм</t>
  </si>
  <si>
    <t>Объем=27 / 100</t>
  </si>
  <si>
    <t>ФЕР23-01-020-04</t>
  </si>
  <si>
    <t>101</t>
  </si>
  <si>
    <t>Цена ПоставщикаООО "Генпоставка”</t>
  </si>
  <si>
    <t>100</t>
  </si>
  <si>
    <t>Объем=0,8 / 10</t>
  </si>
  <si>
    <t>99</t>
  </si>
  <si>
    <t>98</t>
  </si>
  <si>
    <t>Уплотнение грунта пневматическими трамбовками, группа грунтов: 1-2</t>
  </si>
  <si>
    <t>ФЕР01-02-005-01</t>
  </si>
  <si>
    <t>97</t>
  </si>
  <si>
    <t>Объем=53,39 / 1000</t>
  </si>
  <si>
    <t>96</t>
  </si>
  <si>
    <t>Засыпка вручную траншей, пазух котлованов и ям, группа грунтов: 1</t>
  </si>
  <si>
    <t>Объем=16,44 / 100</t>
  </si>
  <si>
    <t>ФЕР01-02-061-01</t>
  </si>
  <si>
    <t>95</t>
  </si>
  <si>
    <t>Объем=4,45 / 10</t>
  </si>
  <si>
    <t>94</t>
  </si>
  <si>
    <t>93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</si>
  <si>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</si>
  <si>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Объем=31,94 / 1000</t>
  </si>
  <si>
    <t>ФЕР01-01-018-02</t>
  </si>
  <si>
    <t>92</t>
  </si>
  <si>
    <t>Объем=(85,33-6,32) / 1000</t>
  </si>
  <si>
    <t>91</t>
  </si>
  <si>
    <t>Земляные работы под колодцы и траншею</t>
  </si>
  <si>
    <t>Участки Д-1-22-17; Д-2-18; Дсущ-16;15а-15б</t>
  </si>
  <si>
    <t>Раздел 3. Подключение дождеприемников Д-1-22 нов, Д-2-12А нов.</t>
  </si>
  <si>
    <t>90</t>
  </si>
  <si>
    <t>89</t>
  </si>
  <si>
    <t>Объем=124 / 100</t>
  </si>
  <si>
    <t>88</t>
  </si>
  <si>
    <t>87</t>
  </si>
  <si>
    <t>86</t>
  </si>
  <si>
    <t>Объем=3,1415*0,365*15</t>
  </si>
  <si>
    <t>85</t>
  </si>
  <si>
    <t>84</t>
  </si>
  <si>
    <t>Люк чугунный тяжелый (ГОСТ 3634-99) марка Т(C250)-К-1-60</t>
  </si>
  <si>
    <t>ФССЦ-08.1.02.06-0033</t>
  </si>
  <si>
    <t>83</t>
  </si>
  <si>
    <t>82</t>
  </si>
  <si>
    <t>Кольцо стеновое смотровых колодцев КС15.6, бетон B15 (М200), объем 0,265 м3, расход арматуры 4,94 кг</t>
  </si>
  <si>
    <t>ФССЦ-05.1.01.09-0063</t>
  </si>
  <si>
    <t>81</t>
  </si>
  <si>
    <t>Кольцо стеновое смотровых колодцев КС15.9, бетон B15 (М200), объем 0,40 м3, расход арматуры 7,02 кг</t>
  </si>
  <si>
    <t>ФССЦ-05.1.01.09-0065</t>
  </si>
  <si>
    <t>80</t>
  </si>
  <si>
    <t>Плиты перекрытия 2ПП15-2, бетон B15, объем 0,27 м3, расход арматуры 32,71 кг</t>
  </si>
  <si>
    <t>ФССЦ-05.1.06.09-0008</t>
  </si>
  <si>
    <t>79</t>
  </si>
  <si>
    <t>Плита днища ПН15, бетон B15 (М200), объем 0,38 м3, расход арматуры 33,13 кг</t>
  </si>
  <si>
    <t>ФССЦ-05.1.01.11-0045</t>
  </si>
  <si>
    <t>78</t>
  </si>
  <si>
    <t>Устройство круглых сборных железобетонных канализационных колодцев диаметром: 1,5 м в сухих грунтах</t>
  </si>
  <si>
    <t>Объем=(0,38*5+0,27*5+0,4*15+0,265*2+0,02*19+1,39+1,39+1,39+1,22+0,57) / 10</t>
  </si>
  <si>
    <t>ФЕР23-03-001-05</t>
  </si>
  <si>
    <t>77</t>
  </si>
  <si>
    <t>76</t>
  </si>
  <si>
    <t>75</t>
  </si>
  <si>
    <t>Кольцо стеновое смотровых колодцев КС7.3, бетон B15 (М200), объем 0,05 м3, расход арматуры 1,64 кг</t>
  </si>
  <si>
    <t>ФССЦ-05.1.01.09-0051</t>
  </si>
  <si>
    <t>74</t>
  </si>
  <si>
    <t>73</t>
  </si>
  <si>
    <t>72</t>
  </si>
  <si>
    <t>Плиты перекрытия ПП10-2, бетон B15, объем 0,10 м3, расход арматуры 16,65 кг</t>
  </si>
  <si>
    <t>ФССЦ-05.1.06.09-0088</t>
  </si>
  <si>
    <t>71</t>
  </si>
  <si>
    <t>Плита днища ПН10, бетон B15 (М200), объем 0,18 м3, расход арматуры 15,14 кг</t>
  </si>
  <si>
    <t>ФССЦ-05.1.01.11-0044</t>
  </si>
  <si>
    <t>70</t>
  </si>
  <si>
    <t>Устройство круглых сборных железобетонных канализационных колодцев диаметром: 1 м в сухих грунтах</t>
  </si>
  <si>
    <t>Объем=(0,18*4+0,1*5+0,24*7+0,16*10,05*1+0,55+0,56+0,56) / 10</t>
  </si>
  <si>
    <t>ФЕР23-03-001-03</t>
  </si>
  <si>
    <t>69</t>
  </si>
  <si>
    <t>Устройство колодцев 15а,15б,15г,16,17,17а,18</t>
  </si>
  <si>
    <t>68</t>
  </si>
  <si>
    <t>Объем=215 / 100</t>
  </si>
  <si>
    <t>67</t>
  </si>
  <si>
    <t>66</t>
  </si>
  <si>
    <t>Объем=4,73 / 10</t>
  </si>
  <si>
    <t>65</t>
  </si>
  <si>
    <t>Заделка битумом и прядью концов футляра диаметром: 500 мм</t>
  </si>
  <si>
    <t>ФЕР22-05-004-02</t>
  </si>
  <si>
    <t>64</t>
  </si>
  <si>
    <t>Кольца центрирующие для труб, диаметр 300 мм</t>
  </si>
  <si>
    <t>ФССЦ-23.1.02.03-0004</t>
  </si>
  <si>
    <t>63</t>
  </si>
  <si>
    <t>Протаскивание в футляр полиэтиленовых труб диаметром: 315 мм</t>
  </si>
  <si>
    <t>ФЕР22-05-005-05</t>
  </si>
  <si>
    <t>62</t>
  </si>
  <si>
    <t>61</t>
  </si>
  <si>
    <t>60</t>
  </si>
  <si>
    <t>59</t>
  </si>
  <si>
    <t>Материал рулонный гидроизоляционный изол, резино-битумный, без полимерных добавок</t>
  </si>
  <si>
    <t>м2</t>
  </si>
  <si>
    <t>ФССЦ-12.1.02.15-0041</t>
  </si>
  <si>
    <t>58</t>
  </si>
  <si>
    <t>57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</si>
  <si>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</si>
  <si>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Объем=31/1000</t>
  </si>
  <si>
    <t>ФЕР22-02-005-11</t>
  </si>
  <si>
    <t>56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</si>
  <si>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</si>
  <si>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ФЕР22-02-006-11</t>
  </si>
  <si>
    <t>55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</si>
  <si>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</si>
  <si>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ФССЦ-23.5.01.08-0027</t>
  </si>
  <si>
    <t>54</t>
  </si>
  <si>
    <t>Укладка стальных неразрезных кожухов (футляров) в открытых траншеях диаметром: 500 мм</t>
  </si>
  <si>
    <t>Объем=(11,5+19,5) / 100</t>
  </si>
  <si>
    <t>ФЕР22-01-015-03</t>
  </si>
  <si>
    <t>53</t>
  </si>
  <si>
    <t>52</t>
  </si>
  <si>
    <t>Объем=1,2+0,168+21,321</t>
  </si>
  <si>
    <t>51</t>
  </si>
  <si>
    <t>Объем=(10,94*2,5+1,2+0,168+21,321)*0,2</t>
  </si>
  <si>
    <t>50</t>
  </si>
  <si>
    <t>Объем=(10,94*2,5+1,2+0,168+21,321)*0,8</t>
  </si>
  <si>
    <t>49</t>
  </si>
  <si>
    <t>Устройство круглых сборных железобетонных канализационных колодцев диаметром: 1 м в сухих грунтах / демонтаж</t>
  </si>
  <si>
    <t>Объем=(1,8+1+4,8+1,6+0,2+0,5+0,36+0,2+0,48) / 10</t>
  </si>
  <si>
    <t>48</t>
  </si>
  <si>
    <t>Разборка трубопроводов канализации: из чугунных труб диаметром 300 мм/применит.</t>
  </si>
  <si>
    <t>Объем=230 / 100</t>
  </si>
  <si>
    <t>ФЕРр66-2-3</t>
  </si>
  <si>
    <t>47</t>
  </si>
  <si>
    <t>Щиты из досок, толщина 25 мм</t>
  </si>
  <si>
    <t>ФССЦ-11.2.13.04-0011</t>
  </si>
  <si>
    <t>46</t>
  </si>
  <si>
    <t>Крепление инвентарными щитами стенок траншей шириной до 2 м в грунтах: устойчивых</t>
  </si>
  <si>
    <t>Объем=(45,1*(2,585+0,15)*2+20,6*(2,785+0,15)*2+26,3*(2,785+0,15)*2+5,9*(3,575+0,15)*2+29,4*(3,77+0,15)*2+30*(3,925+0,15)*2+20,2*(4,145+0,15)*2) / 100</t>
  </si>
  <si>
    <t>ФЕР01-02-066-02</t>
  </si>
  <si>
    <t>45</t>
  </si>
  <si>
    <t>44</t>
  </si>
  <si>
    <t>Объем=498,23 / 100</t>
  </si>
  <si>
    <t>43</t>
  </si>
  <si>
    <t>Объем=111,26 / 1000</t>
  </si>
  <si>
    <t>42</t>
  </si>
  <si>
    <t>Засыпка вручную траншей, пазух котлованов и ям, группа грунтов: 2</t>
  </si>
  <si>
    <t>Объем=99,5 / 100</t>
  </si>
  <si>
    <t>ФЕР01-02-061-02</t>
  </si>
  <si>
    <t>41</t>
  </si>
  <si>
    <t>Объем=35,96 / 10</t>
  </si>
  <si>
    <t>40</t>
  </si>
  <si>
    <t>39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</si>
  <si>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</si>
  <si>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Объем=94,3 / 100</t>
  </si>
  <si>
    <t>ФЕР01-02-063-02</t>
  </si>
  <si>
    <t>38</t>
  </si>
  <si>
    <t>Объем=14,54 / 100</t>
  </si>
  <si>
    <t>37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</si>
  <si>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</si>
  <si>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</si>
  <si>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ФЕР01-02-055-08</t>
  </si>
  <si>
    <t>36</t>
  </si>
  <si>
    <t>Объем=(765,74-8,53-14,54-94,3) / 1000</t>
  </si>
  <si>
    <t>35</t>
  </si>
  <si>
    <t>Земляные работы под траншеи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</si>
  <si>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</si>
  <si>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</si>
  <si>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ФЕР01-02-067-05</t>
  </si>
  <si>
    <t>34</t>
  </si>
  <si>
    <t>33</t>
  </si>
  <si>
    <t>Объем=(179,79*0,03) / 100</t>
  </si>
  <si>
    <t>32</t>
  </si>
  <si>
    <t>Объем=(179,79*0,97) / 1000</t>
  </si>
  <si>
    <t>31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</si>
  <si>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</si>
  <si>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Объем=25,23 / 100</t>
  </si>
  <si>
    <t>ФЕР01-02-056-08</t>
  </si>
  <si>
    <t>30</t>
  </si>
  <si>
    <t>Объем=5,1 / 100</t>
  </si>
  <si>
    <t>29</t>
  </si>
  <si>
    <t>Объем=0,96 / 100</t>
  </si>
  <si>
    <t>28</t>
  </si>
  <si>
    <t>Объем=49,27 / 1000</t>
  </si>
  <si>
    <t>27</t>
  </si>
  <si>
    <t>Объем=(197,77-0,96-5,1-25,23-49,27) / 1000</t>
  </si>
  <si>
    <t>26</t>
  </si>
  <si>
    <t>Земляные работы под колодцы</t>
  </si>
  <si>
    <t>Вынос сетей от колодца 15 до колодца 17А(нов.)</t>
  </si>
  <si>
    <t>Раздел 2. Ливневая канализация (уч.15-15А-15Б-15В-15Г-16-17-17А-18-19-20-22, подключение дождеприемников Д-1 -22 и Д2-12А новый)</t>
  </si>
  <si>
    <t>25</t>
  </si>
  <si>
    <t>24</t>
  </si>
  <si>
    <t>Объем=7,76 / 100</t>
  </si>
  <si>
    <t>23</t>
  </si>
  <si>
    <t>22</t>
  </si>
  <si>
    <t>Заделка сальников при проходе труб через фундаменты или стены подвала диаметром: до 400 мм/ прим. 600</t>
  </si>
  <si>
    <t>ФЕР16-07-006-04</t>
  </si>
  <si>
    <t>21</t>
  </si>
  <si>
    <t>20</t>
  </si>
  <si>
    <t>Лестница-стремянка. Конструкции сварные индивидуальные прочие, масса сборочной единицы до 0,1 т</t>
  </si>
  <si>
    <t>ФССЦ-07.2.07.04-0011</t>
  </si>
  <si>
    <t>19</t>
  </si>
  <si>
    <t>18</t>
  </si>
  <si>
    <t>17</t>
  </si>
  <si>
    <t>16</t>
  </si>
  <si>
    <t>Объем=(0,18+0,1+0,24+0,16+0,02+0,05+0,55) / 10</t>
  </si>
  <si>
    <t>Устройство колодцев канализационных  д.1000</t>
  </si>
  <si>
    <t>Объем=(120+16,2)/1000</t>
  </si>
  <si>
    <t>Объем=(0,45+0,25+0,6+0,4+0,2+0,492)*0,2+16,2/1000</t>
  </si>
  <si>
    <t>Объем=(0,45+0,25+0,6+0,4+0,2+0,492)*0,8+0,12</t>
  </si>
  <si>
    <t>Объем=1,46 / 10</t>
  </si>
  <si>
    <t>Объем=(9,49*0,03) / 100</t>
  </si>
  <si>
    <t>Объем=(21,59-9,49*0,03) / 1000</t>
  </si>
  <si>
    <t>Объем=9,49 / 100</t>
  </si>
  <si>
    <t>Объем=0,48 / 100</t>
  </si>
  <si>
    <t>Объем=(21,59-0,48-9,49) / 1000</t>
  </si>
  <si>
    <t>Раздел 1. Ливневая канализация (перенос колодца 14)</t>
  </si>
  <si>
    <t>Примечания</t>
  </si>
  <si>
    <t>Сумма по КС</t>
  </si>
  <si>
    <t>Кол-во в КС</t>
  </si>
  <si>
    <t>Кол-во по ИД</t>
  </si>
  <si>
    <t>Сумма по смете</t>
  </si>
  <si>
    <t>Цена за ед.</t>
  </si>
  <si>
    <t>Кол-во по смете</t>
  </si>
  <si>
    <t>Ед. изм.</t>
  </si>
  <si>
    <t>Вид работ</t>
  </si>
  <si>
    <t>Объем</t>
  </si>
  <si>
    <t>Расценка</t>
  </si>
  <si>
    <t>№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</si>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</sst>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color rgb="FF0070C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1" fillId="0" borderId="0" xfId="1" applyFont="1"/>
    <xf numFmtId="4" fontId="1" fillId="0" borderId="0" xfId="1" applyNumberFormat="1" applyFont="1"/>
    <xf numFmtId="49" fontId="1" fillId="0" borderId="0" xfId="1" applyNumberFormat="1" applyFont="1"/>
    <xf numFmtId="4" fontId="1" fillId="0" borderId="1" xfId="1" applyNumberFormat="1" applyFont="1" applyBorder="1" applyAlignment="1">
      <alignment horizontal="right"/>
    </xf>
    <xf numFmtId="4" fontId="4" fillId="0" borderId="1" xfId="1" applyNumberFormat="1" applyFont="1" applyBorder="1" applyAlignment="1">
      <alignment horizontal="right"/>
    </xf>
    <xf numFmtId="0" fontId="1" fillId="0" borderId="0" xfId="1" applyFont="1" applyAlignment="1">
      <alignment vertical="top"/>
    </xf>
    <xf numFmtId="0" fontId="1" fillId="0" borderId="1" xfId="1" applyFont="1" applyBorder="1"/>
    <xf numFmtId="2" fontId="1" fillId="0" borderId="1" xfId="1" applyNumberFormat="1" applyFont="1" applyBorder="1"/>
    <xf numFmtId="4" fontId="1" fillId="0" borderId="1" xfId="1" applyNumberFormat="1" applyFont="1" applyBorder="1"/>
    <xf numFmtId="0" fontId="1" fillId="0" borderId="1" xfId="1" applyFont="1" applyBorder="1" applyAlignment="1">
      <alignment vertical="top"/>
    </xf>
    <xf numFmtId="0" fontId="1" fillId="0" borderId="1" xfId="1" applyFont="1" applyBorder="1" applyAlignment="1">
      <alignment horizontal="center" vertical="top"/>
    </xf>
    <xf numFmtId="49" fontId="1" fillId="0" borderId="1" xfId="1" applyNumberFormat="1" applyFont="1" applyBorder="1" applyAlignment="1">
      <alignment horizontal="center" vertical="top"/>
    </xf>
    <xf numFmtId="49" fontId="1" fillId="0" borderId="1" xfId="1" applyNumberFormat="1" applyFont="1" applyBorder="1" applyAlignment="1">
      <alignment vertical="top"/>
    </xf>
    <xf numFmtId="49" fontId="1" fillId="0" borderId="1" xfId="1" applyNumberFormat="1" applyFont="1" applyBorder="1"/>
    <xf numFmtId="49" fontId="1" fillId="0" borderId="1" xfId="1" applyNumberFormat="1" applyFont="1" applyBorder="1" applyAlignment="1">
      <alignment horizontal="left" vertical="top"/>
    </xf>
    <xf numFmtId="4" fontId="1" fillId="0" borderId="1" xfId="1" applyNumberFormat="1" applyFont="1" applyBorder="1" applyAlignment="1">
      <alignment horizontal="right" vertical="top"/>
    </xf>
    <xf numFmtId="49" fontId="1" fillId="0" borderId="1" xfId="1" applyNumberFormat="1" applyFont="1" applyBorder="1" applyAlignment="1">
      <alignment vertical="center"/>
    </xf>
    <xf numFmtId="2" fontId="1" fillId="2" borderId="1" xfId="1" applyNumberFormat="1" applyFont="1" applyFill="1" applyBorder="1"/>
    <xf numFmtId="0" fontId="4" fillId="0" borderId="0" xfId="1" applyFont="1"/>
    <xf numFmtId="0" fontId="4" fillId="0" borderId="1" xfId="1" applyFont="1" applyBorder="1"/>
    <xf numFmtId="2" fontId="4" fillId="0" borderId="1" xfId="1" applyNumberFormat="1" applyFont="1" applyBorder="1"/>
    <xf numFmtId="4" fontId="4" fillId="0" borderId="1" xfId="1" applyNumberFormat="1" applyFont="1" applyBorder="1"/>
    <xf numFmtId="49" fontId="4" fillId="0" borderId="1" xfId="1" applyNumberFormat="1" applyFont="1" applyBorder="1" applyAlignment="1">
      <alignment vertical="center"/>
    </xf>
    <xf numFmtId="49" fontId="4" fillId="0" borderId="1" xfId="1" applyNumberFormat="1" applyFont="1" applyBorder="1"/>
    <xf numFmtId="4" fontId="1" fillId="3" borderId="1" xfId="1" applyNumberFormat="1" applyFont="1" applyFill="1" applyBorder="1"/>
    <xf numFmtId="0" fontId="4" fillId="0" borderId="0" xfId="1" applyFont="1" applyAlignment="1">
      <alignment wrapText="1"/>
    </xf>
    <xf numFmtId="4" fontId="3" fillId="4" borderId="1" xfId="1" applyNumberFormat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/>
    </xf>
    <xf numFmtId="4" fontId="4" fillId="0" borderId="2" xfId="1" applyNumberFormat="1" applyFont="1" applyBorder="1"/>
    <xf numFmtId="49" fontId="4" fillId="0" borderId="2" xfId="1" applyNumberFormat="1" applyFont="1" applyBorder="1"/>
    <xf numFmtId="4" fontId="4" fillId="0" borderId="1" xfId="1" applyNumberFormat="1" applyFont="1" applyBorder="1" applyAlignment="1">
      <alignment vertical="center"/>
    </xf>
    <xf numFmtId="4" fontId="1" fillId="0" borderId="1" xfId="1" applyNumberFormat="1" applyFont="1" applyBorder="1" applyAlignment="1">
      <alignment vertical="top"/>
    </xf>
    <xf numFmtId="4" fontId="4" fillId="0" borderId="1" xfId="1" applyNumberFormat="1" applyFont="1" applyBorder="1" applyAlignment="1">
      <alignment vertical="top"/>
    </xf>
    <xf numFmtId="4" fontId="1" fillId="0" borderId="1" xfId="1" applyNumberFormat="1" applyFont="1" applyBorder="1" applyAlignment="1">
      <alignment vertical="center"/>
    </xf>
    <xf numFmtId="0" fontId="1" fillId="0" borderId="0" xfId="0" applyFont="1" applyFill="1" applyAlignment="1"/>
    <xf numFmtId="49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0" fontId="4" fillId="0" borderId="0" xfId="0" applyFont="1" applyFill="1" applyAlignment="1"/>
    <xf numFmtId="49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4" fontId="4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/>
    <xf numFmtId="49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" fontId="1" fillId="0" borderId="0" xfId="1" applyNumberFormat="1" applyFont="1" applyFill="1"/>
    <xf numFmtId="4" fontId="4" fillId="0" borderId="1" xfId="1" applyNumberFormat="1" applyFont="1" applyFill="1" applyBorder="1"/>
    <xf numFmtId="49" fontId="1" fillId="0" borderId="0" xfId="0" applyNumberFormat="1" applyFont="1" applyFill="1" applyAlignment="1">
      <alignment vertical="top"/>
    </xf>
    <xf numFmtId="4" fontId="4" fillId="0" borderId="1" xfId="1" applyNumberFormat="1" applyFont="1" applyFill="1" applyBorder="1" applyAlignment="1">
      <alignment horizontal="right"/>
    </xf>
    <xf numFmtId="49" fontId="1" fillId="0" borderId="0" xfId="0" applyNumberFormat="1" applyFont="1" applyFill="1" applyAlignment="1"/>
    <xf numFmtId="4" fontId="2" fillId="0" borderId="1" xfId="1" applyNumberFormat="1" applyFont="1" applyFill="1" applyBorder="1" applyAlignment="1">
      <alignment horizontal="right"/>
    </xf>
    <xf numFmtId="4" fontId="1" fillId="0" borderId="0" xfId="0" applyNumberFormat="1" applyFont="1" applyFill="1" applyAlignment="1"/>
    <xf numFmtId="49" fontId="6" fillId="0" borderId="1" xfId="0" applyNumberFormat="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right" vertical="top"/>
    </xf>
    <xf numFmtId="4" fontId="6" fillId="0" borderId="1" xfId="0" applyNumberFormat="1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Alignment="1"/>
    <xf numFmtId="4" fontId="7" fillId="0" borderId="1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1354030B-02F5-44D5-949B-3D5EAA198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93BF-ECD8-470B-9ADD-E51CFD8EB81E}">
  <sheetPr>
    <pageSetUpPr fitToPage="1"/>
  </sheetPr>
  <dimension ref="A1:L381"/>
  <sheetViews>
    <sheetView zoomScaleNormal="100" workbookViewId="0">
      <pane ySplit="1" topLeftCell="A191" activePane="bottomLeft" state="frozen"/>
      <selection activeCell="R89" sqref="R89"/>
      <selection pane="bottomLeft" activeCell="G230" sqref="G230:H235"/>
    </sheetView>
  </sheetViews>
  <sheetFormatPr defaultColWidth="9.109375" defaultRowHeight="10.199999999999999" x14ac:dyDescent="0.2"/>
  <cols>
    <col min="1" max="1" width="8.77734375" style="3" customWidth="1"/>
    <col min="2" max="2" width="15.6640625" style="1" customWidth="1"/>
    <col min="3" max="3" width="9.77734375" style="1" customWidth="1"/>
    <col min="4" max="4" width="30.77734375" style="1" customWidth="1"/>
    <col min="5" max="6" width="8.77734375" style="1" customWidth="1"/>
    <col min="7" max="8" width="12.77734375" style="2" customWidth="1"/>
    <col min="9" max="9" width="8.77734375" style="2" customWidth="1"/>
    <col min="10" max="10" width="8.77734375" style="1" customWidth="1"/>
    <col min="11" max="11" width="12.77734375" style="2" customWidth="1"/>
    <col min="12" max="12" width="16.5546875" style="1" customWidth="1"/>
    <col min="13" max="16384" width="9.109375" style="1"/>
  </cols>
  <sheetData>
    <row r="1" spans="1:12" s="26" customFormat="1" ht="24" x14ac:dyDescent="0.2">
      <c r="A1" s="28" t="s">
        <v>565</v>
      </c>
      <c r="B1" s="28" t="s">
        <v>564</v>
      </c>
      <c r="C1" s="28" t="s">
        <v>563</v>
      </c>
      <c r="D1" s="28" t="s">
        <v>562</v>
      </c>
      <c r="E1" s="28" t="s">
        <v>561</v>
      </c>
      <c r="F1" s="28" t="s">
        <v>560</v>
      </c>
      <c r="G1" s="27" t="s">
        <v>559</v>
      </c>
      <c r="H1" s="27" t="s">
        <v>558</v>
      </c>
      <c r="I1" s="27" t="s">
        <v>557</v>
      </c>
      <c r="J1" s="27" t="s">
        <v>556</v>
      </c>
      <c r="K1" s="27" t="s">
        <v>555</v>
      </c>
      <c r="L1" s="27" t="s">
        <v>554</v>
      </c>
    </row>
    <row r="2" spans="1:12" s="19" customFormat="1" x14ac:dyDescent="0.2">
      <c r="A2" s="23" t="s">
        <v>553</v>
      </c>
      <c r="B2" s="23"/>
      <c r="C2" s="20"/>
      <c r="D2" s="23"/>
      <c r="E2" s="23"/>
      <c r="F2" s="23"/>
      <c r="G2" s="32"/>
      <c r="H2" s="32"/>
      <c r="I2" s="22"/>
      <c r="J2" s="20"/>
      <c r="K2" s="22"/>
      <c r="L2" s="20"/>
    </row>
    <row r="3" spans="1:12" s="19" customFormat="1" x14ac:dyDescent="0.2">
      <c r="A3" s="23" t="s">
        <v>176</v>
      </c>
      <c r="B3" s="23"/>
      <c r="C3" s="20"/>
      <c r="D3" s="23"/>
      <c r="E3" s="23"/>
      <c r="F3" s="23"/>
      <c r="G3" s="32"/>
      <c r="H3" s="32"/>
      <c r="I3" s="30"/>
      <c r="J3" s="31"/>
      <c r="K3" s="22"/>
      <c r="L3" s="20"/>
    </row>
    <row r="4" spans="1:12" x14ac:dyDescent="0.2">
      <c r="A4" s="13" t="s">
        <v>2</v>
      </c>
      <c r="B4" s="13" t="s">
        <v>174</v>
      </c>
      <c r="C4" s="14" t="s">
        <v>552</v>
      </c>
      <c r="D4" s="13" t="s">
        <v>172</v>
      </c>
      <c r="E4" s="13" t="s">
        <v>159</v>
      </c>
      <c r="F4" s="10">
        <v>1.2E-2</v>
      </c>
      <c r="G4" s="33">
        <f>H4/F4</f>
        <v>77589.166666666672</v>
      </c>
      <c r="H4" s="33">
        <v>931.07</v>
      </c>
      <c r="I4" s="9"/>
      <c r="J4" s="8"/>
      <c r="K4" s="9">
        <f>G4*J4</f>
        <v>0</v>
      </c>
      <c r="L4" s="7"/>
    </row>
    <row r="5" spans="1:12" x14ac:dyDescent="0.2">
      <c r="A5" s="12" t="s">
        <v>6</v>
      </c>
      <c r="B5" s="15" t="s">
        <v>514</v>
      </c>
      <c r="C5" s="14" t="s">
        <v>551</v>
      </c>
      <c r="D5" s="13" t="s">
        <v>512</v>
      </c>
      <c r="E5" s="12" t="s">
        <v>164</v>
      </c>
      <c r="F5" s="11">
        <v>4.7999999999999996E-3</v>
      </c>
      <c r="G5" s="33">
        <f>H5/F5</f>
        <v>393106.25000000006</v>
      </c>
      <c r="H5" s="16">
        <v>1886.91</v>
      </c>
      <c r="I5" s="9"/>
      <c r="J5" s="8"/>
      <c r="K5" s="9">
        <f t="shared" ref="K5:K68" si="0">G5*J5</f>
        <v>0</v>
      </c>
      <c r="L5" s="7"/>
    </row>
    <row r="6" spans="1:12" x14ac:dyDescent="0.2">
      <c r="A6" s="12" t="s">
        <v>7</v>
      </c>
      <c r="B6" s="15" t="s">
        <v>514</v>
      </c>
      <c r="C6" s="14" t="s">
        <v>550</v>
      </c>
      <c r="D6" s="13" t="s">
        <v>512</v>
      </c>
      <c r="E6" s="12" t="s">
        <v>164</v>
      </c>
      <c r="F6" s="11">
        <v>9.4899999999999998E-2</v>
      </c>
      <c r="G6" s="33">
        <f>H6/F6</f>
        <v>376635.30031612224</v>
      </c>
      <c r="H6" s="16">
        <v>35742.69</v>
      </c>
      <c r="I6" s="9"/>
      <c r="J6" s="8"/>
      <c r="K6" s="9">
        <f t="shared" si="0"/>
        <v>0</v>
      </c>
      <c r="L6" s="7"/>
    </row>
    <row r="7" spans="1:12" x14ac:dyDescent="0.2">
      <c r="A7" s="12" t="s">
        <v>8</v>
      </c>
      <c r="B7" s="15" t="s">
        <v>161</v>
      </c>
      <c r="C7" s="14" t="s">
        <v>549</v>
      </c>
      <c r="D7" s="13" t="s">
        <v>158</v>
      </c>
      <c r="E7" s="12" t="s">
        <v>159</v>
      </c>
      <c r="F7" s="11">
        <v>2.1000000000000001E-2</v>
      </c>
      <c r="G7" s="33">
        <f>H7/F7</f>
        <v>17004.285714285714</v>
      </c>
      <c r="H7" s="16">
        <v>357.09</v>
      </c>
      <c r="I7" s="9"/>
      <c r="J7" s="8"/>
      <c r="K7" s="9">
        <f t="shared" si="0"/>
        <v>0</v>
      </c>
      <c r="L7" s="7"/>
    </row>
    <row r="8" spans="1:12" x14ac:dyDescent="0.2">
      <c r="A8" s="12" t="s">
        <v>19</v>
      </c>
      <c r="B8" s="15" t="s">
        <v>485</v>
      </c>
      <c r="C8" s="14" t="s">
        <v>548</v>
      </c>
      <c r="D8" s="13" t="s">
        <v>483</v>
      </c>
      <c r="E8" s="12" t="s">
        <v>164</v>
      </c>
      <c r="F8" s="11">
        <v>3.0000000000000001E-3</v>
      </c>
      <c r="G8" s="33">
        <f>H8/F8</f>
        <v>96180</v>
      </c>
      <c r="H8" s="16">
        <v>288.54000000000002</v>
      </c>
      <c r="I8" s="9"/>
      <c r="J8" s="8"/>
      <c r="K8" s="9">
        <f t="shared" si="0"/>
        <v>0</v>
      </c>
      <c r="L8" s="7"/>
    </row>
    <row r="9" spans="1:12" s="19" customFormat="1" x14ac:dyDescent="0.2">
      <c r="A9" s="23" t="s">
        <v>279</v>
      </c>
      <c r="B9" s="23"/>
      <c r="C9" s="24"/>
      <c r="D9" s="23"/>
      <c r="E9" s="23"/>
      <c r="F9" s="23"/>
      <c r="G9" s="34"/>
      <c r="H9" s="32"/>
      <c r="I9" s="22"/>
      <c r="J9" s="21"/>
      <c r="K9" s="22"/>
      <c r="L9" s="20"/>
    </row>
    <row r="10" spans="1:12" x14ac:dyDescent="0.2">
      <c r="A10" s="12" t="s">
        <v>22</v>
      </c>
      <c r="B10" s="15" t="s">
        <v>417</v>
      </c>
      <c r="C10" s="14" t="s">
        <v>547</v>
      </c>
      <c r="D10" s="13" t="s">
        <v>464</v>
      </c>
      <c r="E10" s="12" t="s">
        <v>124</v>
      </c>
      <c r="F10" s="11">
        <v>0.14599999999999999</v>
      </c>
      <c r="G10" s="33">
        <f>H10/F10</f>
        <v>145670.13698630137</v>
      </c>
      <c r="H10" s="16">
        <v>21267.84</v>
      </c>
      <c r="I10" s="9"/>
      <c r="J10" s="8"/>
      <c r="K10" s="9">
        <f t="shared" si="0"/>
        <v>0</v>
      </c>
      <c r="L10" s="7"/>
    </row>
    <row r="11" spans="1:12" x14ac:dyDescent="0.2">
      <c r="A11" s="12" t="s">
        <v>26</v>
      </c>
      <c r="B11" s="15" t="s">
        <v>267</v>
      </c>
      <c r="C11" s="14" t="s">
        <v>546</v>
      </c>
      <c r="D11" s="13" t="s">
        <v>265</v>
      </c>
      <c r="E11" s="12" t="s">
        <v>261</v>
      </c>
      <c r="F11" s="11">
        <v>2.0339999999999998</v>
      </c>
      <c r="G11" s="33">
        <f>H11/F11</f>
        <v>43.416912487708956</v>
      </c>
      <c r="H11" s="16">
        <v>88.31</v>
      </c>
      <c r="I11" s="9"/>
      <c r="J11" s="8"/>
      <c r="K11" s="9">
        <f t="shared" si="0"/>
        <v>0</v>
      </c>
      <c r="L11" s="7"/>
    </row>
    <row r="12" spans="1:12" x14ac:dyDescent="0.2">
      <c r="A12" s="12" t="s">
        <v>30</v>
      </c>
      <c r="B12" s="15" t="s">
        <v>263</v>
      </c>
      <c r="C12" s="14" t="s">
        <v>545</v>
      </c>
      <c r="D12" s="13" t="s">
        <v>260</v>
      </c>
      <c r="E12" s="12" t="s">
        <v>261</v>
      </c>
      <c r="F12" s="11">
        <v>0.495</v>
      </c>
      <c r="G12" s="33">
        <f>H12/F12</f>
        <v>569.19191919191917</v>
      </c>
      <c r="H12" s="16">
        <v>281.75</v>
      </c>
      <c r="I12" s="9"/>
      <c r="J12" s="8"/>
      <c r="K12" s="9">
        <f t="shared" si="0"/>
        <v>0</v>
      </c>
      <c r="L12" s="7"/>
    </row>
    <row r="13" spans="1:12" x14ac:dyDescent="0.2">
      <c r="A13" s="12" t="s">
        <v>34</v>
      </c>
      <c r="B13" s="15" t="s">
        <v>270</v>
      </c>
      <c r="C13" s="14" t="s">
        <v>544</v>
      </c>
      <c r="D13" s="13" t="s">
        <v>269</v>
      </c>
      <c r="E13" s="12" t="s">
        <v>261</v>
      </c>
      <c r="F13" s="11">
        <v>0.13619999999999999</v>
      </c>
      <c r="G13" s="33">
        <f>H13/F13</f>
        <v>40.014684287812045</v>
      </c>
      <c r="H13" s="16">
        <v>5.45</v>
      </c>
      <c r="I13" s="9"/>
      <c r="J13" s="8"/>
      <c r="K13" s="9">
        <f t="shared" si="0"/>
        <v>0</v>
      </c>
      <c r="L13" s="7"/>
    </row>
    <row r="14" spans="1:12" x14ac:dyDescent="0.2">
      <c r="A14" s="12" t="s">
        <v>38</v>
      </c>
      <c r="B14" s="15" t="s">
        <v>155</v>
      </c>
      <c r="C14" s="14"/>
      <c r="D14" s="13" t="s">
        <v>154</v>
      </c>
      <c r="E14" s="12" t="s">
        <v>14</v>
      </c>
      <c r="F14" s="11">
        <v>1.46</v>
      </c>
      <c r="G14" s="33">
        <f>H14/F14</f>
        <v>162.37671232876713</v>
      </c>
      <c r="H14" s="16">
        <v>237.07</v>
      </c>
      <c r="I14" s="9"/>
      <c r="J14" s="8"/>
      <c r="K14" s="9">
        <f t="shared" si="0"/>
        <v>0</v>
      </c>
      <c r="L14" s="7"/>
    </row>
    <row r="15" spans="1:12" s="19" customFormat="1" x14ac:dyDescent="0.2">
      <c r="A15" s="23" t="s">
        <v>543</v>
      </c>
      <c r="B15" s="23"/>
      <c r="C15" s="24"/>
      <c r="D15" s="23"/>
      <c r="E15" s="23"/>
      <c r="F15" s="23"/>
      <c r="G15" s="34"/>
      <c r="H15" s="32"/>
      <c r="I15" s="22"/>
      <c r="J15" s="21"/>
      <c r="K15" s="22"/>
      <c r="L15" s="20"/>
    </row>
    <row r="16" spans="1:12" x14ac:dyDescent="0.2">
      <c r="A16" s="12" t="s">
        <v>42</v>
      </c>
      <c r="B16" s="15" t="s">
        <v>417</v>
      </c>
      <c r="C16" s="14" t="s">
        <v>542</v>
      </c>
      <c r="D16" s="13" t="s">
        <v>415</v>
      </c>
      <c r="E16" s="12" t="s">
        <v>124</v>
      </c>
      <c r="F16" s="11">
        <v>0.13</v>
      </c>
      <c r="G16" s="33">
        <f t="shared" ref="G16:G30" si="1">H16/F16</f>
        <v>309982</v>
      </c>
      <c r="H16" s="16">
        <v>40297.660000000003</v>
      </c>
      <c r="I16" s="9"/>
      <c r="J16" s="8"/>
      <c r="K16" s="9">
        <f t="shared" si="0"/>
        <v>0</v>
      </c>
      <c r="L16" s="7"/>
    </row>
    <row r="17" spans="1:12" x14ac:dyDescent="0.2">
      <c r="A17" s="12" t="s">
        <v>45</v>
      </c>
      <c r="B17" s="15" t="s">
        <v>413</v>
      </c>
      <c r="C17" s="14"/>
      <c r="D17" s="13" t="s">
        <v>412</v>
      </c>
      <c r="E17" s="12" t="s">
        <v>33</v>
      </c>
      <c r="F17" s="11">
        <v>1</v>
      </c>
      <c r="G17" s="33">
        <f t="shared" si="1"/>
        <v>1758.32</v>
      </c>
      <c r="H17" s="16">
        <v>1758.32</v>
      </c>
      <c r="I17" s="9"/>
      <c r="J17" s="8"/>
      <c r="K17" s="9">
        <f t="shared" si="0"/>
        <v>0</v>
      </c>
      <c r="L17" s="7"/>
    </row>
    <row r="18" spans="1:12" x14ac:dyDescent="0.2">
      <c r="A18" s="12" t="s">
        <v>49</v>
      </c>
      <c r="B18" s="15" t="s">
        <v>410</v>
      </c>
      <c r="C18" s="14"/>
      <c r="D18" s="13" t="s">
        <v>409</v>
      </c>
      <c r="E18" s="12" t="s">
        <v>33</v>
      </c>
      <c r="F18" s="11">
        <v>1</v>
      </c>
      <c r="G18" s="33">
        <f t="shared" si="1"/>
        <v>1432.65</v>
      </c>
      <c r="H18" s="16">
        <v>1432.65</v>
      </c>
      <c r="I18" s="9"/>
      <c r="J18" s="8"/>
      <c r="K18" s="9">
        <f t="shared" si="0"/>
        <v>0</v>
      </c>
      <c r="L18" s="7"/>
    </row>
    <row r="19" spans="1:12" x14ac:dyDescent="0.2">
      <c r="A19" s="12" t="s">
        <v>52</v>
      </c>
      <c r="B19" s="15" t="s">
        <v>320</v>
      </c>
      <c r="C19" s="14"/>
      <c r="D19" s="13" t="s">
        <v>319</v>
      </c>
      <c r="E19" s="12" t="s">
        <v>33</v>
      </c>
      <c r="F19" s="11">
        <v>1</v>
      </c>
      <c r="G19" s="33">
        <f t="shared" si="1"/>
        <v>2954.74</v>
      </c>
      <c r="H19" s="16">
        <v>2954.74</v>
      </c>
      <c r="I19" s="9"/>
      <c r="J19" s="8"/>
      <c r="K19" s="9">
        <f t="shared" si="0"/>
        <v>0</v>
      </c>
      <c r="L19" s="7"/>
    </row>
    <row r="20" spans="1:12" x14ac:dyDescent="0.2">
      <c r="A20" s="12" t="s">
        <v>55</v>
      </c>
      <c r="B20" s="15" t="s">
        <v>323</v>
      </c>
      <c r="C20" s="14"/>
      <c r="D20" s="13" t="s">
        <v>322</v>
      </c>
      <c r="E20" s="12" t="s">
        <v>33</v>
      </c>
      <c r="F20" s="11">
        <v>1</v>
      </c>
      <c r="G20" s="33">
        <f t="shared" si="1"/>
        <v>1982.39</v>
      </c>
      <c r="H20" s="16">
        <v>1982.39</v>
      </c>
      <c r="I20" s="9"/>
      <c r="J20" s="8"/>
      <c r="K20" s="9">
        <f t="shared" si="0"/>
        <v>0</v>
      </c>
      <c r="L20" s="7"/>
    </row>
    <row r="21" spans="1:12" x14ac:dyDescent="0.2">
      <c r="A21" s="12" t="s">
        <v>541</v>
      </c>
      <c r="B21" s="15" t="s">
        <v>101</v>
      </c>
      <c r="C21" s="14"/>
      <c r="D21" s="13" t="s">
        <v>100</v>
      </c>
      <c r="E21" s="12" t="s">
        <v>33</v>
      </c>
      <c r="F21" s="11">
        <v>1</v>
      </c>
      <c r="G21" s="33">
        <f t="shared" si="1"/>
        <v>256.47000000000003</v>
      </c>
      <c r="H21" s="16">
        <v>256.47000000000003</v>
      </c>
      <c r="I21" s="9"/>
      <c r="J21" s="8"/>
      <c r="K21" s="9">
        <f t="shared" si="0"/>
        <v>0</v>
      </c>
      <c r="L21" s="7"/>
    </row>
    <row r="22" spans="1:12" x14ac:dyDescent="0.2">
      <c r="A22" s="12" t="s">
        <v>540</v>
      </c>
      <c r="B22" s="15" t="s">
        <v>405</v>
      </c>
      <c r="C22" s="14"/>
      <c r="D22" s="13" t="s">
        <v>404</v>
      </c>
      <c r="E22" s="12" t="s">
        <v>33</v>
      </c>
      <c r="F22" s="11">
        <v>1</v>
      </c>
      <c r="G22" s="33">
        <f t="shared" si="1"/>
        <v>641.04999999999995</v>
      </c>
      <c r="H22" s="16">
        <v>641.04999999999995</v>
      </c>
      <c r="I22" s="9"/>
      <c r="J22" s="8"/>
      <c r="K22" s="9">
        <f t="shared" si="0"/>
        <v>0</v>
      </c>
      <c r="L22" s="7"/>
    </row>
    <row r="23" spans="1:12" x14ac:dyDescent="0.2">
      <c r="A23" s="12" t="s">
        <v>539</v>
      </c>
      <c r="B23" s="15" t="s">
        <v>383</v>
      </c>
      <c r="C23" s="14"/>
      <c r="D23" s="13" t="s">
        <v>382</v>
      </c>
      <c r="E23" s="12" t="s">
        <v>33</v>
      </c>
      <c r="F23" s="11">
        <v>1</v>
      </c>
      <c r="G23" s="33">
        <f t="shared" si="1"/>
        <v>4863.6899999999996</v>
      </c>
      <c r="H23" s="16">
        <v>4863.6899999999996</v>
      </c>
      <c r="I23" s="9"/>
      <c r="J23" s="8"/>
      <c r="K23" s="9">
        <f t="shared" si="0"/>
        <v>0</v>
      </c>
      <c r="L23" s="7"/>
    </row>
    <row r="24" spans="1:12" x14ac:dyDescent="0.2">
      <c r="A24" s="12" t="s">
        <v>538</v>
      </c>
      <c r="B24" s="15" t="s">
        <v>537</v>
      </c>
      <c r="C24" s="14"/>
      <c r="D24" s="13" t="s">
        <v>536</v>
      </c>
      <c r="E24" s="12" t="s">
        <v>48</v>
      </c>
      <c r="F24" s="11">
        <v>1.6199999999999999E-2</v>
      </c>
      <c r="G24" s="33">
        <f t="shared" si="1"/>
        <v>85745.679012345674</v>
      </c>
      <c r="H24" s="16">
        <v>1389.08</v>
      </c>
      <c r="I24" s="9"/>
      <c r="J24" s="8"/>
      <c r="K24" s="9">
        <f t="shared" si="0"/>
        <v>0</v>
      </c>
      <c r="L24" s="7"/>
    </row>
    <row r="25" spans="1:12" x14ac:dyDescent="0.2">
      <c r="A25" s="12" t="s">
        <v>535</v>
      </c>
      <c r="B25" s="15" t="s">
        <v>82</v>
      </c>
      <c r="C25" s="14" t="s">
        <v>81</v>
      </c>
      <c r="D25" s="13" t="s">
        <v>80</v>
      </c>
      <c r="E25" s="12" t="s">
        <v>37</v>
      </c>
      <c r="F25" s="11">
        <v>4.2</v>
      </c>
      <c r="G25" s="33">
        <f t="shared" si="1"/>
        <v>12624.65</v>
      </c>
      <c r="H25" s="16">
        <v>53023.53</v>
      </c>
      <c r="I25" s="9"/>
      <c r="J25" s="8"/>
      <c r="K25" s="9">
        <f t="shared" si="0"/>
        <v>0</v>
      </c>
      <c r="L25" s="7"/>
    </row>
    <row r="26" spans="1:12" x14ac:dyDescent="0.2">
      <c r="A26" s="12" t="s">
        <v>534</v>
      </c>
      <c r="B26" s="15" t="s">
        <v>533</v>
      </c>
      <c r="C26" s="14"/>
      <c r="D26" s="13" t="s">
        <v>532</v>
      </c>
      <c r="E26" s="12" t="s">
        <v>33</v>
      </c>
      <c r="F26" s="11">
        <v>2</v>
      </c>
      <c r="G26" s="33">
        <f t="shared" si="1"/>
        <v>6428.7049999999999</v>
      </c>
      <c r="H26" s="16">
        <v>12857.41</v>
      </c>
      <c r="I26" s="9"/>
      <c r="J26" s="8"/>
      <c r="K26" s="9">
        <f t="shared" si="0"/>
        <v>0</v>
      </c>
      <c r="L26" s="7"/>
    </row>
    <row r="27" spans="1:12" x14ac:dyDescent="0.2">
      <c r="A27" s="12" t="s">
        <v>531</v>
      </c>
      <c r="B27" s="15" t="s">
        <v>74</v>
      </c>
      <c r="C27" s="14"/>
      <c r="D27" s="13" t="s">
        <v>73</v>
      </c>
      <c r="E27" s="12" t="s">
        <v>33</v>
      </c>
      <c r="F27" s="11">
        <v>2</v>
      </c>
      <c r="G27" s="33">
        <f t="shared" si="1"/>
        <v>11705.844999999999</v>
      </c>
      <c r="H27" s="16">
        <v>23411.69</v>
      </c>
      <c r="I27" s="9"/>
      <c r="J27" s="8"/>
      <c r="K27" s="9">
        <f t="shared" si="0"/>
        <v>0</v>
      </c>
      <c r="L27" s="7"/>
    </row>
    <row r="28" spans="1:12" x14ac:dyDescent="0.2">
      <c r="A28" s="12" t="s">
        <v>530</v>
      </c>
      <c r="B28" s="15" t="s">
        <v>71</v>
      </c>
      <c r="C28" s="14" t="s">
        <v>529</v>
      </c>
      <c r="D28" s="13" t="s">
        <v>69</v>
      </c>
      <c r="E28" s="12" t="s">
        <v>17</v>
      </c>
      <c r="F28" s="11">
        <v>7.7600000000000002E-2</v>
      </c>
      <c r="G28" s="33">
        <f t="shared" si="1"/>
        <v>34196.391752577314</v>
      </c>
      <c r="H28" s="16">
        <v>2653.64</v>
      </c>
      <c r="I28" s="9"/>
      <c r="J28" s="8"/>
      <c r="K28" s="9">
        <f t="shared" si="0"/>
        <v>0</v>
      </c>
      <c r="L28" s="7"/>
    </row>
    <row r="29" spans="1:12" x14ac:dyDescent="0.2">
      <c r="A29" s="12" t="s">
        <v>528</v>
      </c>
      <c r="B29" s="15" t="s">
        <v>67</v>
      </c>
      <c r="C29" s="14"/>
      <c r="D29" s="13" t="s">
        <v>66</v>
      </c>
      <c r="E29" s="12" t="s">
        <v>48</v>
      </c>
      <c r="F29" s="11">
        <v>1.8624000000000002E-2</v>
      </c>
      <c r="G29" s="33">
        <f t="shared" si="1"/>
        <v>176239.26116838487</v>
      </c>
      <c r="H29" s="16">
        <v>3282.28</v>
      </c>
      <c r="I29" s="9"/>
      <c r="J29" s="8"/>
      <c r="K29" s="9">
        <f t="shared" si="0"/>
        <v>0</v>
      </c>
      <c r="L29" s="7"/>
    </row>
    <row r="30" spans="1:12" x14ac:dyDescent="0.2">
      <c r="A30" s="12" t="s">
        <v>527</v>
      </c>
      <c r="B30" s="15" t="s">
        <v>64</v>
      </c>
      <c r="C30" s="14"/>
      <c r="D30" s="13" t="s">
        <v>63</v>
      </c>
      <c r="E30" s="12" t="s">
        <v>48</v>
      </c>
      <c r="F30" s="11">
        <v>2.7000000000000001E-3</v>
      </c>
      <c r="G30" s="33">
        <f t="shared" si="1"/>
        <v>96981.481481481489</v>
      </c>
      <c r="H30" s="16">
        <v>261.85000000000002</v>
      </c>
      <c r="I30" s="9"/>
      <c r="J30" s="8"/>
      <c r="K30" s="9">
        <f t="shared" si="0"/>
        <v>0</v>
      </c>
      <c r="L30" s="7"/>
    </row>
    <row r="31" spans="1:12" x14ac:dyDescent="0.2">
      <c r="A31" s="23" t="s">
        <v>526</v>
      </c>
      <c r="B31" s="17"/>
      <c r="C31" s="14"/>
      <c r="D31" s="17"/>
      <c r="E31" s="17"/>
      <c r="F31" s="17"/>
      <c r="G31" s="33"/>
      <c r="H31" s="35"/>
      <c r="I31" s="9"/>
      <c r="J31" s="8"/>
      <c r="K31" s="9"/>
      <c r="L31" s="7"/>
    </row>
    <row r="32" spans="1:12" x14ac:dyDescent="0.2">
      <c r="A32" s="23" t="s">
        <v>525</v>
      </c>
      <c r="B32" s="17"/>
      <c r="C32" s="14"/>
      <c r="D32" s="17"/>
      <c r="E32" s="17"/>
      <c r="F32" s="17"/>
      <c r="G32" s="33"/>
      <c r="H32" s="35"/>
      <c r="I32" s="9"/>
      <c r="J32" s="8"/>
      <c r="K32" s="9"/>
      <c r="L32" s="7"/>
    </row>
    <row r="33" spans="1:12" x14ac:dyDescent="0.2">
      <c r="A33" s="23" t="s">
        <v>524</v>
      </c>
      <c r="B33" s="17"/>
      <c r="C33" s="14"/>
      <c r="D33" s="17"/>
      <c r="E33" s="17"/>
      <c r="F33" s="17"/>
      <c r="G33" s="33"/>
      <c r="H33" s="35"/>
      <c r="I33" s="9"/>
      <c r="J33" s="8"/>
      <c r="K33" s="9"/>
      <c r="L33" s="7"/>
    </row>
    <row r="34" spans="1:12" x14ac:dyDescent="0.2">
      <c r="A34" s="12" t="s">
        <v>523</v>
      </c>
      <c r="B34" s="15" t="s">
        <v>290</v>
      </c>
      <c r="C34" s="14" t="s">
        <v>522</v>
      </c>
      <c r="D34" s="13" t="s">
        <v>288</v>
      </c>
      <c r="E34" s="12" t="s">
        <v>159</v>
      </c>
      <c r="F34" s="11">
        <v>0.11720999999999999</v>
      </c>
      <c r="G34" s="33">
        <f t="shared" ref="G34:G42" si="2">H34/F34</f>
        <v>80740.721781417975</v>
      </c>
      <c r="H34" s="16">
        <v>9463.6200000000008</v>
      </c>
      <c r="I34" s="9"/>
      <c r="J34" s="8"/>
      <c r="K34" s="9">
        <f t="shared" si="0"/>
        <v>0</v>
      </c>
      <c r="L34" s="7"/>
    </row>
    <row r="35" spans="1:12" x14ac:dyDescent="0.2">
      <c r="A35" s="12" t="s">
        <v>521</v>
      </c>
      <c r="B35" s="15" t="s">
        <v>366</v>
      </c>
      <c r="C35" s="14" t="s">
        <v>520</v>
      </c>
      <c r="D35" s="13" t="s">
        <v>364</v>
      </c>
      <c r="E35" s="12" t="s">
        <v>159</v>
      </c>
      <c r="F35" s="11">
        <v>4.9270000000000001E-2</v>
      </c>
      <c r="G35" s="33">
        <f t="shared" si="2"/>
        <v>99284.554495636286</v>
      </c>
      <c r="H35" s="16">
        <v>4891.75</v>
      </c>
      <c r="I35" s="9"/>
      <c r="J35" s="8"/>
      <c r="K35" s="9">
        <f t="shared" si="0"/>
        <v>0</v>
      </c>
      <c r="L35" s="7"/>
    </row>
    <row r="36" spans="1:12" x14ac:dyDescent="0.2">
      <c r="A36" s="12" t="s">
        <v>519</v>
      </c>
      <c r="B36" s="15" t="s">
        <v>514</v>
      </c>
      <c r="C36" s="14" t="s">
        <v>518</v>
      </c>
      <c r="D36" s="13" t="s">
        <v>512</v>
      </c>
      <c r="E36" s="12" t="s">
        <v>164</v>
      </c>
      <c r="F36" s="11">
        <v>9.5999999999999992E-3</v>
      </c>
      <c r="G36" s="33">
        <f t="shared" si="2"/>
        <v>393005.20833333337</v>
      </c>
      <c r="H36" s="16">
        <v>3772.85</v>
      </c>
      <c r="I36" s="9"/>
      <c r="J36" s="8"/>
      <c r="K36" s="9">
        <f t="shared" si="0"/>
        <v>0</v>
      </c>
      <c r="L36" s="7"/>
    </row>
    <row r="37" spans="1:12" x14ac:dyDescent="0.2">
      <c r="A37" s="12" t="s">
        <v>517</v>
      </c>
      <c r="B37" s="15" t="s">
        <v>492</v>
      </c>
      <c r="C37" s="14" t="s">
        <v>516</v>
      </c>
      <c r="D37" s="13" t="s">
        <v>490</v>
      </c>
      <c r="E37" s="12" t="s">
        <v>164</v>
      </c>
      <c r="F37" s="11">
        <v>5.0999999999999997E-2</v>
      </c>
      <c r="G37" s="33">
        <f t="shared" si="2"/>
        <v>383313.13725490199</v>
      </c>
      <c r="H37" s="16">
        <v>19548.97</v>
      </c>
      <c r="I37" s="9"/>
      <c r="J37" s="8"/>
      <c r="K37" s="9">
        <f t="shared" si="0"/>
        <v>0</v>
      </c>
      <c r="L37" s="7"/>
    </row>
    <row r="38" spans="1:12" x14ac:dyDescent="0.2">
      <c r="A38" s="12" t="s">
        <v>515</v>
      </c>
      <c r="B38" s="15" t="s">
        <v>514</v>
      </c>
      <c r="C38" s="14" t="s">
        <v>513</v>
      </c>
      <c r="D38" s="13" t="s">
        <v>512</v>
      </c>
      <c r="E38" s="12" t="s">
        <v>164</v>
      </c>
      <c r="F38" s="11">
        <v>0.25230000000000002</v>
      </c>
      <c r="G38" s="33">
        <f t="shared" si="2"/>
        <v>376634.79984145856</v>
      </c>
      <c r="H38" s="16">
        <v>95024.960000000006</v>
      </c>
      <c r="I38" s="9"/>
      <c r="J38" s="8"/>
      <c r="K38" s="9">
        <f t="shared" si="0"/>
        <v>0</v>
      </c>
      <c r="L38" s="7"/>
    </row>
    <row r="39" spans="1:12" x14ac:dyDescent="0.2">
      <c r="A39" s="12" t="s">
        <v>511</v>
      </c>
      <c r="B39" s="15" t="s">
        <v>161</v>
      </c>
      <c r="C39" s="14" t="s">
        <v>510</v>
      </c>
      <c r="D39" s="13" t="s">
        <v>158</v>
      </c>
      <c r="E39" s="12" t="s">
        <v>159</v>
      </c>
      <c r="F39" s="11">
        <v>0.17399999999999999</v>
      </c>
      <c r="G39" s="33">
        <f t="shared" si="2"/>
        <v>17012.528735632182</v>
      </c>
      <c r="H39" s="16">
        <v>2960.18</v>
      </c>
      <c r="I39" s="9"/>
      <c r="J39" s="8"/>
      <c r="K39" s="9">
        <f t="shared" si="0"/>
        <v>0</v>
      </c>
      <c r="L39" s="7"/>
    </row>
    <row r="40" spans="1:12" x14ac:dyDescent="0.2">
      <c r="A40" s="12" t="s">
        <v>509</v>
      </c>
      <c r="B40" s="15" t="s">
        <v>485</v>
      </c>
      <c r="C40" s="14" t="s">
        <v>508</v>
      </c>
      <c r="D40" s="13" t="s">
        <v>483</v>
      </c>
      <c r="E40" s="12" t="s">
        <v>164</v>
      </c>
      <c r="F40" s="11">
        <v>5.3999999999999999E-2</v>
      </c>
      <c r="G40" s="33">
        <f t="shared" si="2"/>
        <v>96250.555555555547</v>
      </c>
      <c r="H40" s="16">
        <v>5197.53</v>
      </c>
      <c r="I40" s="9"/>
      <c r="J40" s="8"/>
      <c r="K40" s="9">
        <f t="shared" si="0"/>
        <v>0</v>
      </c>
      <c r="L40" s="7"/>
    </row>
    <row r="41" spans="1:12" x14ac:dyDescent="0.2">
      <c r="A41" s="12" t="s">
        <v>507</v>
      </c>
      <c r="B41" s="15" t="s">
        <v>155</v>
      </c>
      <c r="C41" s="14"/>
      <c r="D41" s="13" t="s">
        <v>154</v>
      </c>
      <c r="E41" s="12" t="s">
        <v>14</v>
      </c>
      <c r="F41" s="11">
        <v>49.27</v>
      </c>
      <c r="G41" s="33">
        <f t="shared" si="2"/>
        <v>1325.0202963263648</v>
      </c>
      <c r="H41" s="16">
        <v>65283.75</v>
      </c>
      <c r="I41" s="9"/>
      <c r="J41" s="8"/>
      <c r="K41" s="9">
        <f t="shared" si="0"/>
        <v>0</v>
      </c>
      <c r="L41" s="7"/>
    </row>
    <row r="42" spans="1:12" x14ac:dyDescent="0.2">
      <c r="A42" s="12" t="s">
        <v>506</v>
      </c>
      <c r="B42" s="15" t="s">
        <v>505</v>
      </c>
      <c r="C42" s="14" t="s">
        <v>504</v>
      </c>
      <c r="D42" s="13" t="s">
        <v>503</v>
      </c>
      <c r="E42" s="12" t="s">
        <v>17</v>
      </c>
      <c r="F42" s="11">
        <v>3.01</v>
      </c>
      <c r="G42" s="33">
        <f t="shared" si="2"/>
        <v>68955.046511627908</v>
      </c>
      <c r="H42" s="16">
        <v>207554.69</v>
      </c>
      <c r="I42" s="9"/>
      <c r="J42" s="8"/>
      <c r="K42" s="9">
        <f t="shared" si="0"/>
        <v>0</v>
      </c>
      <c r="L42" s="7"/>
    </row>
    <row r="43" spans="1:12" s="19" customFormat="1" x14ac:dyDescent="0.2">
      <c r="A43" s="23" t="s">
        <v>502</v>
      </c>
      <c r="B43" s="23"/>
      <c r="C43" s="24"/>
      <c r="D43" s="23"/>
      <c r="E43" s="23"/>
      <c r="F43" s="23"/>
      <c r="G43" s="34"/>
      <c r="H43" s="32"/>
      <c r="I43" s="22"/>
      <c r="J43" s="21"/>
      <c r="K43" s="22"/>
      <c r="L43" s="20"/>
    </row>
    <row r="44" spans="1:12" x14ac:dyDescent="0.2">
      <c r="A44" s="12" t="s">
        <v>501</v>
      </c>
      <c r="B44" s="15" t="s">
        <v>170</v>
      </c>
      <c r="C44" s="14" t="s">
        <v>500</v>
      </c>
      <c r="D44" s="13" t="s">
        <v>168</v>
      </c>
      <c r="E44" s="12" t="s">
        <v>159</v>
      </c>
      <c r="F44" s="11">
        <v>0.64837</v>
      </c>
      <c r="G44" s="33">
        <f t="shared" ref="G44:G55" si="3">H44/F44</f>
        <v>124555.315637676</v>
      </c>
      <c r="H44" s="16">
        <v>80757.929999999993</v>
      </c>
      <c r="I44" s="9"/>
      <c r="J44" s="8"/>
      <c r="K44" s="9">
        <f t="shared" si="0"/>
        <v>0</v>
      </c>
      <c r="L44" s="7"/>
    </row>
    <row r="45" spans="1:12" x14ac:dyDescent="0.2">
      <c r="A45" s="12" t="s">
        <v>499</v>
      </c>
      <c r="B45" s="15" t="s">
        <v>498</v>
      </c>
      <c r="C45" s="14" t="s">
        <v>497</v>
      </c>
      <c r="D45" s="13" t="s">
        <v>496</v>
      </c>
      <c r="E45" s="12" t="s">
        <v>164</v>
      </c>
      <c r="F45" s="11">
        <v>8.5300000000000001E-2</v>
      </c>
      <c r="G45" s="33">
        <f t="shared" si="3"/>
        <v>350518.28839390387</v>
      </c>
      <c r="H45" s="16">
        <v>29899.21</v>
      </c>
      <c r="I45" s="9"/>
      <c r="J45" s="8"/>
      <c r="K45" s="9">
        <f t="shared" si="0"/>
        <v>0</v>
      </c>
      <c r="L45" s="7"/>
    </row>
    <row r="46" spans="1:12" x14ac:dyDescent="0.2">
      <c r="A46" s="12" t="s">
        <v>495</v>
      </c>
      <c r="B46" s="15" t="s">
        <v>492</v>
      </c>
      <c r="C46" s="14" t="s">
        <v>494</v>
      </c>
      <c r="D46" s="13" t="s">
        <v>490</v>
      </c>
      <c r="E46" s="12" t="s">
        <v>164</v>
      </c>
      <c r="F46" s="11">
        <v>0.1454</v>
      </c>
      <c r="G46" s="33">
        <f t="shared" si="3"/>
        <v>383304.8143053645</v>
      </c>
      <c r="H46" s="16">
        <v>55732.52</v>
      </c>
      <c r="I46" s="9"/>
      <c r="J46" s="8"/>
      <c r="K46" s="9">
        <f t="shared" si="0"/>
        <v>0</v>
      </c>
      <c r="L46" s="7"/>
    </row>
    <row r="47" spans="1:12" x14ac:dyDescent="0.2">
      <c r="A47" s="12" t="s">
        <v>493</v>
      </c>
      <c r="B47" s="15" t="s">
        <v>492</v>
      </c>
      <c r="C47" s="14" t="s">
        <v>491</v>
      </c>
      <c r="D47" s="13" t="s">
        <v>490</v>
      </c>
      <c r="E47" s="12" t="s">
        <v>164</v>
      </c>
      <c r="F47" s="11">
        <v>0.94299999999999995</v>
      </c>
      <c r="G47" s="33">
        <f t="shared" si="3"/>
        <v>383306.4687168611</v>
      </c>
      <c r="H47" s="16">
        <v>361458</v>
      </c>
      <c r="I47" s="9"/>
      <c r="J47" s="8"/>
      <c r="K47" s="9">
        <f t="shared" si="0"/>
        <v>0</v>
      </c>
      <c r="L47" s="7"/>
    </row>
    <row r="48" spans="1:12" x14ac:dyDescent="0.2">
      <c r="A48" s="12" t="s">
        <v>489</v>
      </c>
      <c r="B48" s="15" t="s">
        <v>155</v>
      </c>
      <c r="C48" s="14"/>
      <c r="D48" s="13" t="s">
        <v>154</v>
      </c>
      <c r="E48" s="12" t="s">
        <v>14</v>
      </c>
      <c r="F48" s="11">
        <v>648.37</v>
      </c>
      <c r="G48" s="33">
        <f t="shared" si="3"/>
        <v>1325.020790597961</v>
      </c>
      <c r="H48" s="16">
        <v>859103.73</v>
      </c>
      <c r="I48" s="9"/>
      <c r="J48" s="8"/>
      <c r="K48" s="9">
        <f t="shared" si="0"/>
        <v>0</v>
      </c>
      <c r="L48" s="7"/>
    </row>
    <row r="49" spans="1:12" x14ac:dyDescent="0.2">
      <c r="A49" s="12" t="s">
        <v>488</v>
      </c>
      <c r="B49" s="15" t="s">
        <v>126</v>
      </c>
      <c r="C49" s="14" t="s">
        <v>487</v>
      </c>
      <c r="D49" s="13" t="s">
        <v>123</v>
      </c>
      <c r="E49" s="12" t="s">
        <v>124</v>
      </c>
      <c r="F49" s="11">
        <v>3.5960000000000001</v>
      </c>
      <c r="G49" s="33">
        <f t="shared" si="3"/>
        <v>14730.483870967742</v>
      </c>
      <c r="H49" s="16">
        <v>52970.82</v>
      </c>
      <c r="I49" s="9"/>
      <c r="J49" s="8"/>
      <c r="K49" s="9">
        <f t="shared" si="0"/>
        <v>0</v>
      </c>
      <c r="L49" s="7"/>
    </row>
    <row r="50" spans="1:12" x14ac:dyDescent="0.2">
      <c r="A50" s="12" t="s">
        <v>486</v>
      </c>
      <c r="B50" s="15" t="s">
        <v>485</v>
      </c>
      <c r="C50" s="14" t="s">
        <v>484</v>
      </c>
      <c r="D50" s="13" t="s">
        <v>483</v>
      </c>
      <c r="E50" s="12" t="s">
        <v>164</v>
      </c>
      <c r="F50" s="11">
        <v>0.995</v>
      </c>
      <c r="G50" s="33">
        <f t="shared" si="3"/>
        <v>96253.005025125633</v>
      </c>
      <c r="H50" s="16">
        <v>95771.74</v>
      </c>
      <c r="I50" s="9"/>
      <c r="J50" s="8"/>
      <c r="K50" s="9">
        <f t="shared" si="0"/>
        <v>0</v>
      </c>
      <c r="L50" s="7"/>
    </row>
    <row r="51" spans="1:12" x14ac:dyDescent="0.2">
      <c r="A51" s="12" t="s">
        <v>482</v>
      </c>
      <c r="B51" s="15" t="s">
        <v>161</v>
      </c>
      <c r="C51" s="14" t="s">
        <v>481</v>
      </c>
      <c r="D51" s="13" t="s">
        <v>158</v>
      </c>
      <c r="E51" s="12" t="s">
        <v>159</v>
      </c>
      <c r="F51" s="11">
        <v>0.111</v>
      </c>
      <c r="G51" s="33">
        <f t="shared" si="3"/>
        <v>17011.801801801801</v>
      </c>
      <c r="H51" s="16">
        <v>1888.31</v>
      </c>
      <c r="I51" s="9"/>
      <c r="J51" s="8"/>
      <c r="K51" s="9">
        <f t="shared" si="0"/>
        <v>0</v>
      </c>
      <c r="L51" s="7"/>
    </row>
    <row r="52" spans="1:12" x14ac:dyDescent="0.2">
      <c r="A52" s="12" t="s">
        <v>480</v>
      </c>
      <c r="B52" s="15" t="s">
        <v>353</v>
      </c>
      <c r="C52" s="14" t="s">
        <v>479</v>
      </c>
      <c r="D52" s="13" t="s">
        <v>352</v>
      </c>
      <c r="E52" s="12" t="s">
        <v>164</v>
      </c>
      <c r="F52" s="11">
        <v>4.9823000000000004</v>
      </c>
      <c r="G52" s="33">
        <f t="shared" si="3"/>
        <v>21446.28384481063</v>
      </c>
      <c r="H52" s="16">
        <v>106851.82</v>
      </c>
      <c r="I52" s="9"/>
      <c r="J52" s="8"/>
      <c r="K52" s="9">
        <f t="shared" si="0"/>
        <v>0</v>
      </c>
      <c r="L52" s="7"/>
    </row>
    <row r="53" spans="1:12" x14ac:dyDescent="0.2">
      <c r="A53" s="12" t="s">
        <v>478</v>
      </c>
      <c r="B53" s="15" t="s">
        <v>121</v>
      </c>
      <c r="C53" s="14"/>
      <c r="D53" s="13" t="s">
        <v>120</v>
      </c>
      <c r="E53" s="12" t="s">
        <v>14</v>
      </c>
      <c r="F53" s="11">
        <v>697.06</v>
      </c>
      <c r="G53" s="33">
        <f t="shared" si="3"/>
        <v>825.62680400539421</v>
      </c>
      <c r="H53" s="16">
        <v>575511.42000000004</v>
      </c>
      <c r="I53" s="9"/>
      <c r="J53" s="8"/>
      <c r="K53" s="9">
        <f t="shared" si="0"/>
        <v>0</v>
      </c>
      <c r="L53" s="7"/>
    </row>
    <row r="54" spans="1:12" x14ac:dyDescent="0.2">
      <c r="A54" s="12" t="s">
        <v>477</v>
      </c>
      <c r="B54" s="15" t="s">
        <v>476</v>
      </c>
      <c r="C54" s="14" t="s">
        <v>475</v>
      </c>
      <c r="D54" s="13" t="s">
        <v>474</v>
      </c>
      <c r="E54" s="12" t="s">
        <v>17</v>
      </c>
      <c r="F54" s="11">
        <v>12.145</v>
      </c>
      <c r="G54" s="33">
        <f t="shared" si="3"/>
        <v>25351.665706051874</v>
      </c>
      <c r="H54" s="16">
        <v>307895.98</v>
      </c>
      <c r="I54" s="9"/>
      <c r="J54" s="8"/>
      <c r="K54" s="9">
        <f t="shared" si="0"/>
        <v>0</v>
      </c>
      <c r="L54" s="7"/>
    </row>
    <row r="55" spans="1:12" x14ac:dyDescent="0.2">
      <c r="A55" s="12" t="s">
        <v>473</v>
      </c>
      <c r="B55" s="15" t="s">
        <v>472</v>
      </c>
      <c r="C55" s="14"/>
      <c r="D55" s="13" t="s">
        <v>471</v>
      </c>
      <c r="E55" s="12" t="s">
        <v>439</v>
      </c>
      <c r="F55" s="11">
        <v>267.19</v>
      </c>
      <c r="G55" s="33">
        <f t="shared" si="3"/>
        <v>289.92477263370637</v>
      </c>
      <c r="H55" s="16">
        <v>77465</v>
      </c>
      <c r="I55" s="9"/>
      <c r="J55" s="8"/>
      <c r="K55" s="9">
        <f t="shared" si="0"/>
        <v>0</v>
      </c>
      <c r="L55" s="7"/>
    </row>
    <row r="56" spans="1:12" s="19" customFormat="1" x14ac:dyDescent="0.2">
      <c r="A56" s="23" t="s">
        <v>279</v>
      </c>
      <c r="B56" s="23"/>
      <c r="C56" s="24"/>
      <c r="D56" s="23"/>
      <c r="E56" s="23"/>
      <c r="F56" s="23"/>
      <c r="G56" s="34"/>
      <c r="H56" s="32"/>
      <c r="I56" s="22"/>
      <c r="J56" s="21"/>
      <c r="K56" s="22"/>
      <c r="L56" s="20"/>
    </row>
    <row r="57" spans="1:12" x14ac:dyDescent="0.2">
      <c r="A57" s="12" t="s">
        <v>470</v>
      </c>
      <c r="B57" s="15" t="s">
        <v>469</v>
      </c>
      <c r="C57" s="14" t="s">
        <v>468</v>
      </c>
      <c r="D57" s="13" t="s">
        <v>467</v>
      </c>
      <c r="E57" s="12" t="s">
        <v>116</v>
      </c>
      <c r="F57" s="11">
        <v>2.2999999999999998</v>
      </c>
      <c r="G57" s="33">
        <f t="shared" ref="G57:G62" si="4">H57/F57</f>
        <v>165487.51739130434</v>
      </c>
      <c r="H57" s="16">
        <v>380621.29</v>
      </c>
      <c r="I57" s="9"/>
      <c r="J57" s="8"/>
      <c r="K57" s="9">
        <f t="shared" si="0"/>
        <v>0</v>
      </c>
      <c r="L57" s="7"/>
    </row>
    <row r="58" spans="1:12" x14ac:dyDescent="0.2">
      <c r="A58" s="12" t="s">
        <v>466</v>
      </c>
      <c r="B58" s="15" t="s">
        <v>417</v>
      </c>
      <c r="C58" s="14" t="s">
        <v>465</v>
      </c>
      <c r="D58" s="13" t="s">
        <v>464</v>
      </c>
      <c r="E58" s="12" t="s">
        <v>124</v>
      </c>
      <c r="F58" s="11">
        <v>1.0940000000000001</v>
      </c>
      <c r="G58" s="33">
        <f t="shared" si="4"/>
        <v>194227.26691042047</v>
      </c>
      <c r="H58" s="16">
        <v>212484.63</v>
      </c>
      <c r="I58" s="9"/>
      <c r="J58" s="8"/>
      <c r="K58" s="9">
        <f t="shared" si="0"/>
        <v>0</v>
      </c>
      <c r="L58" s="7"/>
    </row>
    <row r="59" spans="1:12" x14ac:dyDescent="0.2">
      <c r="A59" s="12" t="s">
        <v>463</v>
      </c>
      <c r="B59" s="15" t="s">
        <v>267</v>
      </c>
      <c r="C59" s="14" t="s">
        <v>462</v>
      </c>
      <c r="D59" s="13" t="s">
        <v>265</v>
      </c>
      <c r="E59" s="12" t="s">
        <v>261</v>
      </c>
      <c r="F59" s="11">
        <v>40.030999999999999</v>
      </c>
      <c r="G59" s="33">
        <f t="shared" si="4"/>
        <v>43.42659438934826</v>
      </c>
      <c r="H59" s="16">
        <v>1738.41</v>
      </c>
      <c r="I59" s="9"/>
      <c r="J59" s="8"/>
      <c r="K59" s="9">
        <f t="shared" si="0"/>
        <v>0</v>
      </c>
      <c r="L59" s="7"/>
    </row>
    <row r="60" spans="1:12" x14ac:dyDescent="0.2">
      <c r="A60" s="12" t="s">
        <v>461</v>
      </c>
      <c r="B60" s="15" t="s">
        <v>263</v>
      </c>
      <c r="C60" s="14" t="s">
        <v>460</v>
      </c>
      <c r="D60" s="13" t="s">
        <v>260</v>
      </c>
      <c r="E60" s="12" t="s">
        <v>261</v>
      </c>
      <c r="F60" s="11">
        <v>10.007999999999999</v>
      </c>
      <c r="G60" s="33">
        <f t="shared" si="4"/>
        <v>569.04976019184664</v>
      </c>
      <c r="H60" s="16">
        <v>5695.05</v>
      </c>
      <c r="I60" s="9"/>
      <c r="J60" s="8"/>
      <c r="K60" s="9">
        <f t="shared" si="0"/>
        <v>0</v>
      </c>
      <c r="L60" s="7"/>
    </row>
    <row r="61" spans="1:12" x14ac:dyDescent="0.2">
      <c r="A61" s="12" t="s">
        <v>459</v>
      </c>
      <c r="B61" s="15" t="s">
        <v>270</v>
      </c>
      <c r="C61" s="14" t="s">
        <v>458</v>
      </c>
      <c r="D61" s="13" t="s">
        <v>269</v>
      </c>
      <c r="E61" s="12" t="s">
        <v>261</v>
      </c>
      <c r="F61" s="11">
        <v>22.689</v>
      </c>
      <c r="G61" s="33">
        <f t="shared" si="4"/>
        <v>39.631098770329238</v>
      </c>
      <c r="H61" s="16">
        <v>899.19</v>
      </c>
      <c r="I61" s="9"/>
      <c r="J61" s="8"/>
      <c r="K61" s="9">
        <f t="shared" si="0"/>
        <v>0</v>
      </c>
      <c r="L61" s="7"/>
    </row>
    <row r="62" spans="1:12" x14ac:dyDescent="0.2">
      <c r="A62" s="12" t="s">
        <v>457</v>
      </c>
      <c r="B62" s="15" t="s">
        <v>155</v>
      </c>
      <c r="C62" s="14"/>
      <c r="D62" s="13" t="s">
        <v>154</v>
      </c>
      <c r="E62" s="12" t="s">
        <v>14</v>
      </c>
      <c r="F62" s="11">
        <v>10.94</v>
      </c>
      <c r="G62" s="33">
        <f t="shared" si="4"/>
        <v>1325.0228519195614</v>
      </c>
      <c r="H62" s="16">
        <v>14495.75</v>
      </c>
      <c r="I62" s="9"/>
      <c r="J62" s="8"/>
      <c r="K62" s="9">
        <f t="shared" si="0"/>
        <v>0</v>
      </c>
      <c r="L62" s="7"/>
    </row>
    <row r="63" spans="1:12" x14ac:dyDescent="0.2">
      <c r="A63" s="23" t="s">
        <v>153</v>
      </c>
      <c r="B63" s="17"/>
      <c r="C63" s="14"/>
      <c r="D63" s="17"/>
      <c r="E63" s="17"/>
      <c r="F63" s="17"/>
      <c r="G63" s="33"/>
      <c r="H63" s="35"/>
      <c r="I63" s="9"/>
      <c r="J63" s="8"/>
      <c r="K63" s="9"/>
      <c r="L63" s="7"/>
    </row>
    <row r="64" spans="1:12" x14ac:dyDescent="0.2">
      <c r="A64" s="12" t="s">
        <v>456</v>
      </c>
      <c r="B64" s="15" t="s">
        <v>455</v>
      </c>
      <c r="C64" s="14" t="s">
        <v>454</v>
      </c>
      <c r="D64" s="13" t="s">
        <v>453</v>
      </c>
      <c r="E64" s="12" t="s">
        <v>116</v>
      </c>
      <c r="F64" s="11">
        <v>0.31</v>
      </c>
      <c r="G64" s="33">
        <f t="shared" ref="G64:G75" si="5">H64/F64</f>
        <v>166709.54838709676</v>
      </c>
      <c r="H64" s="16">
        <v>51679.96</v>
      </c>
      <c r="I64" s="9"/>
      <c r="J64" s="8"/>
      <c r="K64" s="9">
        <f t="shared" si="0"/>
        <v>0</v>
      </c>
      <c r="L64" s="7"/>
    </row>
    <row r="65" spans="1:12" x14ac:dyDescent="0.2">
      <c r="A65" s="12" t="s">
        <v>452</v>
      </c>
      <c r="B65" s="15" t="s">
        <v>451</v>
      </c>
      <c r="C65" s="14"/>
      <c r="D65" s="13" t="s">
        <v>450</v>
      </c>
      <c r="E65" s="12" t="s">
        <v>37</v>
      </c>
      <c r="F65" s="11">
        <v>31.31</v>
      </c>
      <c r="G65" s="33">
        <f t="shared" si="5"/>
        <v>7522.704247844139</v>
      </c>
      <c r="H65" s="16">
        <v>235535.87</v>
      </c>
      <c r="I65" s="9"/>
      <c r="J65" s="8"/>
      <c r="K65" s="9">
        <f t="shared" si="0"/>
        <v>0</v>
      </c>
      <c r="L65" s="7"/>
    </row>
    <row r="66" spans="1:12" x14ac:dyDescent="0.2">
      <c r="A66" s="12" t="s">
        <v>449</v>
      </c>
      <c r="B66" s="15" t="s">
        <v>448</v>
      </c>
      <c r="C66" s="14" t="s">
        <v>444</v>
      </c>
      <c r="D66" s="13" t="s">
        <v>447</v>
      </c>
      <c r="E66" s="12" t="s">
        <v>29</v>
      </c>
      <c r="F66" s="11">
        <v>3.1E-2</v>
      </c>
      <c r="G66" s="33">
        <f t="shared" si="5"/>
        <v>324795.48387096776</v>
      </c>
      <c r="H66" s="16">
        <v>10068.66</v>
      </c>
      <c r="I66" s="9"/>
      <c r="J66" s="8"/>
      <c r="K66" s="9">
        <f t="shared" si="0"/>
        <v>0</v>
      </c>
      <c r="L66" s="7"/>
    </row>
    <row r="67" spans="1:12" x14ac:dyDescent="0.2">
      <c r="A67" s="12" t="s">
        <v>446</v>
      </c>
      <c r="B67" s="15" t="s">
        <v>445</v>
      </c>
      <c r="C67" s="14" t="s">
        <v>444</v>
      </c>
      <c r="D67" s="13" t="s">
        <v>443</v>
      </c>
      <c r="E67" s="12" t="s">
        <v>29</v>
      </c>
      <c r="F67" s="11">
        <v>3.1E-2</v>
      </c>
      <c r="G67" s="33">
        <f t="shared" si="5"/>
        <v>270553.22580645158</v>
      </c>
      <c r="H67" s="16">
        <v>8387.15</v>
      </c>
      <c r="I67" s="9"/>
      <c r="J67" s="8"/>
      <c r="K67" s="9">
        <f t="shared" si="0"/>
        <v>0</v>
      </c>
      <c r="L67" s="7"/>
    </row>
    <row r="68" spans="1:12" x14ac:dyDescent="0.2">
      <c r="A68" s="12" t="s">
        <v>442</v>
      </c>
      <c r="B68" s="15" t="s">
        <v>141</v>
      </c>
      <c r="C68" s="14"/>
      <c r="D68" s="13" t="s">
        <v>140</v>
      </c>
      <c r="E68" s="12" t="s">
        <v>48</v>
      </c>
      <c r="F68" s="11">
        <v>7.5999999999999998E-2</v>
      </c>
      <c r="G68" s="33">
        <f t="shared" si="5"/>
        <v>358896.18421052635</v>
      </c>
      <c r="H68" s="16">
        <v>27276.11</v>
      </c>
      <c r="I68" s="9"/>
      <c r="J68" s="8"/>
      <c r="K68" s="9">
        <f t="shared" si="0"/>
        <v>0</v>
      </c>
      <c r="L68" s="7"/>
    </row>
    <row r="69" spans="1:12" x14ac:dyDescent="0.2">
      <c r="A69" s="12" t="s">
        <v>441</v>
      </c>
      <c r="B69" s="15" t="s">
        <v>440</v>
      </c>
      <c r="C69" s="14"/>
      <c r="D69" s="13" t="s">
        <v>438</v>
      </c>
      <c r="E69" s="12" t="s">
        <v>439</v>
      </c>
      <c r="F69" s="11">
        <v>5.89</v>
      </c>
      <c r="G69" s="33">
        <f t="shared" si="5"/>
        <v>100.94057724957555</v>
      </c>
      <c r="H69" s="16">
        <v>594.54</v>
      </c>
      <c r="I69" s="9"/>
      <c r="J69" s="8"/>
      <c r="K69" s="9">
        <f t="shared" ref="K69:K132" si="6">G69*J69</f>
        <v>0</v>
      </c>
      <c r="L69" s="7"/>
    </row>
    <row r="70" spans="1:12" x14ac:dyDescent="0.2">
      <c r="A70" s="12" t="s">
        <v>437</v>
      </c>
      <c r="B70" s="15" t="s">
        <v>245</v>
      </c>
      <c r="C70" s="14"/>
      <c r="D70" s="13" t="s">
        <v>244</v>
      </c>
      <c r="E70" s="12" t="s">
        <v>14</v>
      </c>
      <c r="F70" s="11">
        <v>4.62</v>
      </c>
      <c r="G70" s="33">
        <f t="shared" si="5"/>
        <v>9007.3419913419912</v>
      </c>
      <c r="H70" s="16">
        <v>41613.919999999998</v>
      </c>
      <c r="I70" s="9"/>
      <c r="J70" s="8"/>
      <c r="K70" s="9">
        <f t="shared" si="6"/>
        <v>0</v>
      </c>
      <c r="L70" s="7"/>
    </row>
    <row r="71" spans="1:12" x14ac:dyDescent="0.2">
      <c r="A71" s="12" t="s">
        <v>436</v>
      </c>
      <c r="B71" s="15" t="s">
        <v>242</v>
      </c>
      <c r="C71" s="14"/>
      <c r="D71" s="13" t="s">
        <v>241</v>
      </c>
      <c r="E71" s="12" t="s">
        <v>14</v>
      </c>
      <c r="F71" s="11">
        <v>-4.6893000000000002</v>
      </c>
      <c r="G71" s="33">
        <f t="shared" si="5"/>
        <v>3780.5237455483757</v>
      </c>
      <c r="H71" s="16">
        <v>-17728.009999999998</v>
      </c>
      <c r="I71" s="9"/>
      <c r="J71" s="8"/>
      <c r="K71" s="9">
        <f t="shared" si="6"/>
        <v>0</v>
      </c>
      <c r="L71" s="7"/>
    </row>
    <row r="72" spans="1:12" x14ac:dyDescent="0.2">
      <c r="A72" s="12" t="s">
        <v>435</v>
      </c>
      <c r="B72" s="15" t="s">
        <v>239</v>
      </c>
      <c r="C72" s="14"/>
      <c r="D72" s="13" t="s">
        <v>238</v>
      </c>
      <c r="E72" s="12" t="s">
        <v>14</v>
      </c>
      <c r="F72" s="11">
        <v>4.6900000000000004</v>
      </c>
      <c r="G72" s="33">
        <f t="shared" si="5"/>
        <v>4241.5650319829419</v>
      </c>
      <c r="H72" s="16">
        <v>19892.939999999999</v>
      </c>
      <c r="I72" s="9"/>
      <c r="J72" s="8"/>
      <c r="K72" s="9">
        <f t="shared" si="6"/>
        <v>0</v>
      </c>
      <c r="L72" s="7"/>
    </row>
    <row r="73" spans="1:12" x14ac:dyDescent="0.2">
      <c r="A73" s="12" t="s">
        <v>434</v>
      </c>
      <c r="B73" s="15" t="s">
        <v>433</v>
      </c>
      <c r="C73" s="14" t="s">
        <v>117</v>
      </c>
      <c r="D73" s="13" t="s">
        <v>432</v>
      </c>
      <c r="E73" s="12" t="s">
        <v>136</v>
      </c>
      <c r="F73" s="11">
        <v>0.31</v>
      </c>
      <c r="G73" s="33">
        <f t="shared" si="5"/>
        <v>154313.74193548388</v>
      </c>
      <c r="H73" s="16">
        <v>47837.26</v>
      </c>
      <c r="I73" s="9"/>
      <c r="J73" s="8"/>
      <c r="K73" s="9">
        <f t="shared" si="6"/>
        <v>0</v>
      </c>
      <c r="L73" s="7"/>
    </row>
    <row r="74" spans="1:12" x14ac:dyDescent="0.2">
      <c r="A74" s="12" t="s">
        <v>431</v>
      </c>
      <c r="B74" s="15" t="s">
        <v>430</v>
      </c>
      <c r="C74" s="14"/>
      <c r="D74" s="13" t="s">
        <v>429</v>
      </c>
      <c r="E74" s="12" t="s">
        <v>33</v>
      </c>
      <c r="F74" s="11">
        <v>10</v>
      </c>
      <c r="G74" s="33">
        <f t="shared" si="5"/>
        <v>87.149000000000001</v>
      </c>
      <c r="H74" s="16">
        <v>871.49</v>
      </c>
      <c r="I74" s="9"/>
      <c r="J74" s="8"/>
      <c r="K74" s="9">
        <f t="shared" si="6"/>
        <v>0</v>
      </c>
      <c r="L74" s="7"/>
    </row>
    <row r="75" spans="1:12" x14ac:dyDescent="0.2">
      <c r="A75" s="12" t="s">
        <v>428</v>
      </c>
      <c r="B75" s="15" t="s">
        <v>427</v>
      </c>
      <c r="C75" s="14"/>
      <c r="D75" s="13" t="s">
        <v>426</v>
      </c>
      <c r="E75" s="12" t="s">
        <v>77</v>
      </c>
      <c r="F75" s="11">
        <v>2</v>
      </c>
      <c r="G75" s="33">
        <f t="shared" si="5"/>
        <v>9266.4500000000007</v>
      </c>
      <c r="H75" s="16">
        <v>18532.900000000001</v>
      </c>
      <c r="I75" s="9"/>
      <c r="J75" s="8"/>
      <c r="K75" s="9">
        <f t="shared" si="6"/>
        <v>0</v>
      </c>
      <c r="L75" s="7"/>
    </row>
    <row r="76" spans="1:12" x14ac:dyDescent="0.2">
      <c r="A76" s="23" t="s">
        <v>128</v>
      </c>
      <c r="B76" s="17"/>
      <c r="C76" s="14"/>
      <c r="D76" s="17"/>
      <c r="E76" s="17"/>
      <c r="F76" s="17"/>
      <c r="G76" s="33"/>
      <c r="H76" s="35"/>
      <c r="I76" s="9"/>
      <c r="J76" s="8"/>
      <c r="K76" s="9"/>
      <c r="L76" s="7"/>
    </row>
    <row r="77" spans="1:12" x14ac:dyDescent="0.2">
      <c r="A77" s="12" t="s">
        <v>425</v>
      </c>
      <c r="B77" s="15" t="s">
        <v>224</v>
      </c>
      <c r="C77" s="14" t="s">
        <v>424</v>
      </c>
      <c r="D77" s="13" t="s">
        <v>222</v>
      </c>
      <c r="E77" s="12" t="s">
        <v>124</v>
      </c>
      <c r="F77" s="11">
        <v>0.47299999999999998</v>
      </c>
      <c r="G77" s="33">
        <f>H77/F77</f>
        <v>15164.038054968289</v>
      </c>
      <c r="H77" s="16">
        <v>7172.59</v>
      </c>
      <c r="I77" s="9"/>
      <c r="J77" s="8"/>
      <c r="K77" s="9">
        <f t="shared" si="6"/>
        <v>0</v>
      </c>
      <c r="L77" s="7"/>
    </row>
    <row r="78" spans="1:12" x14ac:dyDescent="0.2">
      <c r="A78" s="12" t="s">
        <v>423</v>
      </c>
      <c r="B78" s="15" t="s">
        <v>347</v>
      </c>
      <c r="C78" s="14"/>
      <c r="D78" s="13" t="s">
        <v>220</v>
      </c>
      <c r="E78" s="12" t="s">
        <v>14</v>
      </c>
      <c r="F78" s="11">
        <v>5.9124999999999996</v>
      </c>
      <c r="G78" s="33">
        <f>H78/F78</f>
        <v>2685.5610993657506</v>
      </c>
      <c r="H78" s="16">
        <v>15878.38</v>
      </c>
      <c r="I78" s="9"/>
      <c r="J78" s="8"/>
      <c r="K78" s="9">
        <f t="shared" si="6"/>
        <v>0</v>
      </c>
      <c r="L78" s="7"/>
    </row>
    <row r="79" spans="1:12" x14ac:dyDescent="0.2">
      <c r="A79" s="12" t="s">
        <v>422</v>
      </c>
      <c r="B79" s="15" t="s">
        <v>345</v>
      </c>
      <c r="C79" s="14" t="s">
        <v>421</v>
      </c>
      <c r="D79" s="13" t="s">
        <v>343</v>
      </c>
      <c r="E79" s="12" t="s">
        <v>116</v>
      </c>
      <c r="F79" s="11">
        <v>2.15</v>
      </c>
      <c r="G79" s="33">
        <f>H79/F79</f>
        <v>62433.2046511628</v>
      </c>
      <c r="H79" s="16">
        <v>134231.39000000001</v>
      </c>
      <c r="I79" s="9"/>
      <c r="J79" s="8"/>
      <c r="K79" s="9">
        <f t="shared" si="6"/>
        <v>0</v>
      </c>
      <c r="L79" s="7"/>
    </row>
    <row r="80" spans="1:12" x14ac:dyDescent="0.2">
      <c r="A80" s="12" t="s">
        <v>420</v>
      </c>
      <c r="B80" s="15" t="s">
        <v>341</v>
      </c>
      <c r="C80" s="14"/>
      <c r="D80" s="13" t="s">
        <v>340</v>
      </c>
      <c r="E80" s="12" t="s">
        <v>37</v>
      </c>
      <c r="F80" s="11">
        <v>215</v>
      </c>
      <c r="G80" s="33">
        <f>H80/F80</f>
        <v>2877.297581395349</v>
      </c>
      <c r="H80" s="16">
        <v>618618.98</v>
      </c>
      <c r="I80" s="9"/>
      <c r="J80" s="8"/>
      <c r="K80" s="9">
        <f t="shared" si="6"/>
        <v>0</v>
      </c>
      <c r="L80" s="7"/>
    </row>
    <row r="81" spans="1:12" x14ac:dyDescent="0.2">
      <c r="A81" s="23" t="s">
        <v>419</v>
      </c>
      <c r="B81" s="17"/>
      <c r="C81" s="14"/>
      <c r="D81" s="17"/>
      <c r="E81" s="17"/>
      <c r="F81" s="17"/>
      <c r="G81" s="33"/>
      <c r="H81" s="35"/>
      <c r="I81" s="9"/>
      <c r="J81" s="8"/>
      <c r="K81" s="9"/>
      <c r="L81" s="7"/>
    </row>
    <row r="82" spans="1:12" x14ac:dyDescent="0.2">
      <c r="A82" s="12" t="s">
        <v>418</v>
      </c>
      <c r="B82" s="15" t="s">
        <v>417</v>
      </c>
      <c r="C82" s="14" t="s">
        <v>416</v>
      </c>
      <c r="D82" s="13" t="s">
        <v>415</v>
      </c>
      <c r="E82" s="12" t="s">
        <v>124</v>
      </c>
      <c r="F82" s="11">
        <v>0.61780000000000002</v>
      </c>
      <c r="G82" s="33">
        <f t="shared" ref="G82:G103" si="7">H82/F82</f>
        <v>309978.92521851731</v>
      </c>
      <c r="H82" s="16">
        <v>191504.98</v>
      </c>
      <c r="I82" s="9"/>
      <c r="J82" s="8"/>
      <c r="K82" s="9">
        <f t="shared" si="6"/>
        <v>0</v>
      </c>
      <c r="L82" s="7"/>
    </row>
    <row r="83" spans="1:12" x14ac:dyDescent="0.2">
      <c r="A83" s="12" t="s">
        <v>414</v>
      </c>
      <c r="B83" s="15" t="s">
        <v>413</v>
      </c>
      <c r="C83" s="14"/>
      <c r="D83" s="13" t="s">
        <v>412</v>
      </c>
      <c r="E83" s="12" t="s">
        <v>33</v>
      </c>
      <c r="F83" s="11">
        <v>4</v>
      </c>
      <c r="G83" s="33">
        <f t="shared" si="7"/>
        <v>1758.3175000000001</v>
      </c>
      <c r="H83" s="16">
        <v>7033.27</v>
      </c>
      <c r="I83" s="9"/>
      <c r="J83" s="8"/>
      <c r="K83" s="9">
        <f t="shared" si="6"/>
        <v>0</v>
      </c>
      <c r="L83" s="7"/>
    </row>
    <row r="84" spans="1:12" x14ac:dyDescent="0.2">
      <c r="A84" s="12" t="s">
        <v>411</v>
      </c>
      <c r="B84" s="15" t="s">
        <v>410</v>
      </c>
      <c r="C84" s="14"/>
      <c r="D84" s="13" t="s">
        <v>409</v>
      </c>
      <c r="E84" s="12" t="s">
        <v>33</v>
      </c>
      <c r="F84" s="11">
        <v>5</v>
      </c>
      <c r="G84" s="33">
        <f t="shared" si="7"/>
        <v>1432.652</v>
      </c>
      <c r="H84" s="16">
        <v>7163.26</v>
      </c>
      <c r="I84" s="9"/>
      <c r="J84" s="8"/>
      <c r="K84" s="9">
        <f t="shared" si="6"/>
        <v>0</v>
      </c>
      <c r="L84" s="7"/>
    </row>
    <row r="85" spans="1:12" x14ac:dyDescent="0.2">
      <c r="A85" s="12" t="s">
        <v>408</v>
      </c>
      <c r="B85" s="15" t="s">
        <v>320</v>
      </c>
      <c r="C85" s="14"/>
      <c r="D85" s="13" t="s">
        <v>319</v>
      </c>
      <c r="E85" s="12" t="s">
        <v>33</v>
      </c>
      <c r="F85" s="11">
        <v>7</v>
      </c>
      <c r="G85" s="33">
        <f t="shared" si="7"/>
        <v>2954.7357142857145</v>
      </c>
      <c r="H85" s="16">
        <v>20683.150000000001</v>
      </c>
      <c r="I85" s="9"/>
      <c r="J85" s="8"/>
      <c r="K85" s="9">
        <f t="shared" si="6"/>
        <v>0</v>
      </c>
      <c r="L85" s="7"/>
    </row>
    <row r="86" spans="1:12" x14ac:dyDescent="0.2">
      <c r="A86" s="12" t="s">
        <v>407</v>
      </c>
      <c r="B86" s="15" t="s">
        <v>323</v>
      </c>
      <c r="C86" s="14"/>
      <c r="D86" s="13" t="s">
        <v>322</v>
      </c>
      <c r="E86" s="12" t="s">
        <v>33</v>
      </c>
      <c r="F86" s="11">
        <v>1</v>
      </c>
      <c r="G86" s="33">
        <f t="shared" si="7"/>
        <v>1982.39</v>
      </c>
      <c r="H86" s="16">
        <v>1982.39</v>
      </c>
      <c r="I86" s="9"/>
      <c r="J86" s="8"/>
      <c r="K86" s="9">
        <f t="shared" si="6"/>
        <v>0</v>
      </c>
      <c r="L86" s="7"/>
    </row>
    <row r="87" spans="1:12" x14ac:dyDescent="0.2">
      <c r="A87" s="12" t="s">
        <v>406</v>
      </c>
      <c r="B87" s="15" t="s">
        <v>405</v>
      </c>
      <c r="C87" s="14"/>
      <c r="D87" s="13" t="s">
        <v>404</v>
      </c>
      <c r="E87" s="12" t="s">
        <v>33</v>
      </c>
      <c r="F87" s="11">
        <v>1</v>
      </c>
      <c r="G87" s="33">
        <f t="shared" si="7"/>
        <v>641.04999999999995</v>
      </c>
      <c r="H87" s="16">
        <v>641.04999999999995</v>
      </c>
      <c r="I87" s="9"/>
      <c r="J87" s="8"/>
      <c r="K87" s="9">
        <f t="shared" si="6"/>
        <v>0</v>
      </c>
      <c r="L87" s="7"/>
    </row>
    <row r="88" spans="1:12" x14ac:dyDescent="0.2">
      <c r="A88" s="12" t="s">
        <v>403</v>
      </c>
      <c r="B88" s="15" t="s">
        <v>383</v>
      </c>
      <c r="C88" s="14"/>
      <c r="D88" s="13" t="s">
        <v>382</v>
      </c>
      <c r="E88" s="12" t="s">
        <v>33</v>
      </c>
      <c r="F88" s="11">
        <v>4</v>
      </c>
      <c r="G88" s="33">
        <f t="shared" si="7"/>
        <v>4863.6875</v>
      </c>
      <c r="H88" s="16">
        <v>19454.75</v>
      </c>
      <c r="I88" s="9"/>
      <c r="J88" s="8"/>
      <c r="K88" s="9">
        <f t="shared" si="6"/>
        <v>0</v>
      </c>
      <c r="L88" s="7"/>
    </row>
    <row r="89" spans="1:12" x14ac:dyDescent="0.2">
      <c r="A89" s="12" t="s">
        <v>402</v>
      </c>
      <c r="B89" s="15" t="s">
        <v>106</v>
      </c>
      <c r="C89" s="14"/>
      <c r="D89" s="13" t="s">
        <v>105</v>
      </c>
      <c r="E89" s="12" t="s">
        <v>48</v>
      </c>
      <c r="F89" s="11">
        <v>7.1400000000000005E-2</v>
      </c>
      <c r="G89" s="33">
        <f t="shared" si="7"/>
        <v>101755.46218487395</v>
      </c>
      <c r="H89" s="16">
        <v>7265.34</v>
      </c>
      <c r="I89" s="9"/>
      <c r="J89" s="8"/>
      <c r="K89" s="9">
        <f t="shared" si="6"/>
        <v>0</v>
      </c>
      <c r="L89" s="7"/>
    </row>
    <row r="90" spans="1:12" x14ac:dyDescent="0.2">
      <c r="A90" s="12" t="s">
        <v>401</v>
      </c>
      <c r="B90" s="15" t="s">
        <v>400</v>
      </c>
      <c r="C90" s="14" t="s">
        <v>399</v>
      </c>
      <c r="D90" s="13" t="s">
        <v>398</v>
      </c>
      <c r="E90" s="12" t="s">
        <v>124</v>
      </c>
      <c r="F90" s="11">
        <v>1.6120000000000001</v>
      </c>
      <c r="G90" s="33">
        <f t="shared" si="7"/>
        <v>227872.99627791563</v>
      </c>
      <c r="H90" s="16">
        <v>367331.27</v>
      </c>
      <c r="I90" s="9"/>
      <c r="J90" s="8"/>
      <c r="K90" s="9">
        <f t="shared" si="6"/>
        <v>0</v>
      </c>
      <c r="L90" s="7"/>
    </row>
    <row r="91" spans="1:12" x14ac:dyDescent="0.2">
      <c r="A91" s="12" t="s">
        <v>397</v>
      </c>
      <c r="B91" s="15" t="s">
        <v>396</v>
      </c>
      <c r="C91" s="14"/>
      <c r="D91" s="13" t="s">
        <v>395</v>
      </c>
      <c r="E91" s="12" t="s">
        <v>33</v>
      </c>
      <c r="F91" s="11">
        <v>5</v>
      </c>
      <c r="G91" s="33">
        <f t="shared" si="7"/>
        <v>3776.692</v>
      </c>
      <c r="H91" s="16">
        <v>18883.46</v>
      </c>
      <c r="I91" s="9"/>
      <c r="J91" s="8"/>
      <c r="K91" s="9">
        <f t="shared" si="6"/>
        <v>0</v>
      </c>
      <c r="L91" s="7"/>
    </row>
    <row r="92" spans="1:12" x14ac:dyDescent="0.2">
      <c r="A92" s="12" t="s">
        <v>394</v>
      </c>
      <c r="B92" s="15" t="s">
        <v>393</v>
      </c>
      <c r="C92" s="14"/>
      <c r="D92" s="13" t="s">
        <v>392</v>
      </c>
      <c r="E92" s="12" t="s">
        <v>33</v>
      </c>
      <c r="F92" s="11">
        <v>5</v>
      </c>
      <c r="G92" s="33">
        <f t="shared" si="7"/>
        <v>3190.7240000000002</v>
      </c>
      <c r="H92" s="16">
        <v>15953.62</v>
      </c>
      <c r="I92" s="9"/>
      <c r="J92" s="8"/>
      <c r="K92" s="9">
        <f t="shared" si="6"/>
        <v>0</v>
      </c>
      <c r="L92" s="7"/>
    </row>
    <row r="93" spans="1:12" x14ac:dyDescent="0.2">
      <c r="A93" s="12" t="s">
        <v>391</v>
      </c>
      <c r="B93" s="15" t="s">
        <v>390</v>
      </c>
      <c r="C93" s="14"/>
      <c r="D93" s="13" t="s">
        <v>389</v>
      </c>
      <c r="E93" s="12" t="s">
        <v>33</v>
      </c>
      <c r="F93" s="11">
        <v>15</v>
      </c>
      <c r="G93" s="33">
        <f t="shared" si="7"/>
        <v>5285.8033333333333</v>
      </c>
      <c r="H93" s="16">
        <v>79287.05</v>
      </c>
      <c r="I93" s="9"/>
      <c r="J93" s="8"/>
      <c r="K93" s="9">
        <f t="shared" si="6"/>
        <v>0</v>
      </c>
      <c r="L93" s="7"/>
    </row>
    <row r="94" spans="1:12" x14ac:dyDescent="0.2">
      <c r="A94" s="12" t="s">
        <v>388</v>
      </c>
      <c r="B94" s="15" t="s">
        <v>387</v>
      </c>
      <c r="C94" s="14"/>
      <c r="D94" s="13" t="s">
        <v>386</v>
      </c>
      <c r="E94" s="12" t="s">
        <v>33</v>
      </c>
      <c r="F94" s="11">
        <v>2</v>
      </c>
      <c r="G94" s="33">
        <f t="shared" si="7"/>
        <v>3508.4749999999999</v>
      </c>
      <c r="H94" s="16">
        <v>7016.95</v>
      </c>
      <c r="I94" s="9"/>
      <c r="J94" s="8"/>
      <c r="K94" s="9">
        <f t="shared" si="6"/>
        <v>0</v>
      </c>
      <c r="L94" s="7"/>
    </row>
    <row r="95" spans="1:12" x14ac:dyDescent="0.2">
      <c r="A95" s="12" t="s">
        <v>385</v>
      </c>
      <c r="B95" s="15" t="s">
        <v>101</v>
      </c>
      <c r="C95" s="14"/>
      <c r="D95" s="13" t="s">
        <v>100</v>
      </c>
      <c r="E95" s="12" t="s">
        <v>33</v>
      </c>
      <c r="F95" s="11">
        <v>19</v>
      </c>
      <c r="G95" s="33">
        <f t="shared" si="7"/>
        <v>256.46894736842103</v>
      </c>
      <c r="H95" s="16">
        <v>4872.91</v>
      </c>
      <c r="I95" s="9"/>
      <c r="J95" s="8"/>
      <c r="K95" s="9">
        <f t="shared" si="6"/>
        <v>0</v>
      </c>
      <c r="L95" s="7"/>
    </row>
    <row r="96" spans="1:12" x14ac:dyDescent="0.2">
      <c r="A96" s="12" t="s">
        <v>384</v>
      </c>
      <c r="B96" s="15" t="s">
        <v>383</v>
      </c>
      <c r="C96" s="14"/>
      <c r="D96" s="13" t="s">
        <v>382</v>
      </c>
      <c r="E96" s="12" t="s">
        <v>33</v>
      </c>
      <c r="F96" s="11">
        <v>5</v>
      </c>
      <c r="G96" s="33">
        <f t="shared" si="7"/>
        <v>4863.6859999999997</v>
      </c>
      <c r="H96" s="16">
        <v>24318.43</v>
      </c>
      <c r="I96" s="9"/>
      <c r="J96" s="8"/>
      <c r="K96" s="9">
        <f t="shared" si="6"/>
        <v>0</v>
      </c>
      <c r="L96" s="7"/>
    </row>
    <row r="97" spans="1:12" x14ac:dyDescent="0.2">
      <c r="A97" s="12" t="s">
        <v>381</v>
      </c>
      <c r="B97" s="15" t="s">
        <v>106</v>
      </c>
      <c r="C97" s="14"/>
      <c r="D97" s="13" t="s">
        <v>105</v>
      </c>
      <c r="E97" s="12" t="s">
        <v>48</v>
      </c>
      <c r="F97" s="11">
        <v>0.12479999999999999</v>
      </c>
      <c r="G97" s="33">
        <f t="shared" si="7"/>
        <v>101755.44871794872</v>
      </c>
      <c r="H97" s="16">
        <v>12699.08</v>
      </c>
      <c r="I97" s="9"/>
      <c r="J97" s="8"/>
      <c r="K97" s="9">
        <f t="shared" si="6"/>
        <v>0</v>
      </c>
      <c r="L97" s="7"/>
    </row>
    <row r="98" spans="1:12" x14ac:dyDescent="0.2">
      <c r="A98" s="12" t="s">
        <v>380</v>
      </c>
      <c r="B98" s="15" t="s">
        <v>82</v>
      </c>
      <c r="C98" s="14" t="s">
        <v>379</v>
      </c>
      <c r="D98" s="13" t="s">
        <v>307</v>
      </c>
      <c r="E98" s="12" t="s">
        <v>37</v>
      </c>
      <c r="F98" s="11">
        <v>17.2</v>
      </c>
      <c r="G98" s="33">
        <f t="shared" si="7"/>
        <v>12624.484883720932</v>
      </c>
      <c r="H98" s="16">
        <v>217141.14</v>
      </c>
      <c r="I98" s="9"/>
      <c r="J98" s="8"/>
      <c r="K98" s="9">
        <f t="shared" si="6"/>
        <v>0</v>
      </c>
      <c r="L98" s="7"/>
    </row>
    <row r="99" spans="1:12" x14ac:dyDescent="0.2">
      <c r="A99" s="12" t="s">
        <v>378</v>
      </c>
      <c r="B99" s="15" t="s">
        <v>305</v>
      </c>
      <c r="C99" s="14"/>
      <c r="D99" s="13" t="s">
        <v>304</v>
      </c>
      <c r="E99" s="12" t="s">
        <v>33</v>
      </c>
      <c r="F99" s="11">
        <v>15</v>
      </c>
      <c r="G99" s="33">
        <f t="shared" si="7"/>
        <v>5344.12</v>
      </c>
      <c r="H99" s="16">
        <v>80161.8</v>
      </c>
      <c r="I99" s="9"/>
      <c r="J99" s="8"/>
      <c r="K99" s="9">
        <f t="shared" si="6"/>
        <v>0</v>
      </c>
      <c r="L99" s="7"/>
    </row>
    <row r="100" spans="1:12" x14ac:dyDescent="0.2">
      <c r="A100" s="12" t="s">
        <v>377</v>
      </c>
      <c r="B100" s="15" t="s">
        <v>302</v>
      </c>
      <c r="C100" s="14"/>
      <c r="D100" s="13" t="s">
        <v>301</v>
      </c>
      <c r="E100" s="12" t="s">
        <v>33</v>
      </c>
      <c r="F100" s="11">
        <v>15</v>
      </c>
      <c r="G100" s="33">
        <f t="shared" si="7"/>
        <v>2876.0733333333333</v>
      </c>
      <c r="H100" s="16">
        <v>43141.1</v>
      </c>
      <c r="I100" s="9"/>
      <c r="J100" s="8"/>
      <c r="K100" s="9">
        <f t="shared" si="6"/>
        <v>0</v>
      </c>
      <c r="L100" s="7"/>
    </row>
    <row r="101" spans="1:12" x14ac:dyDescent="0.2">
      <c r="A101" s="12" t="s">
        <v>376</v>
      </c>
      <c r="B101" s="15" t="s">
        <v>71</v>
      </c>
      <c r="C101" s="14" t="s">
        <v>375</v>
      </c>
      <c r="D101" s="13" t="s">
        <v>69</v>
      </c>
      <c r="E101" s="12" t="s">
        <v>17</v>
      </c>
      <c r="F101" s="11">
        <v>1.24</v>
      </c>
      <c r="G101" s="33">
        <f t="shared" si="7"/>
        <v>34196.346774193553</v>
      </c>
      <c r="H101" s="16">
        <v>42403.47</v>
      </c>
      <c r="I101" s="9"/>
      <c r="J101" s="8"/>
      <c r="K101" s="9">
        <f t="shared" si="6"/>
        <v>0</v>
      </c>
      <c r="L101" s="7"/>
    </row>
    <row r="102" spans="1:12" x14ac:dyDescent="0.2">
      <c r="A102" s="12" t="s">
        <v>374</v>
      </c>
      <c r="B102" s="15" t="s">
        <v>67</v>
      </c>
      <c r="C102" s="14"/>
      <c r="D102" s="13" t="s">
        <v>66</v>
      </c>
      <c r="E102" s="12" t="s">
        <v>48</v>
      </c>
      <c r="F102" s="11">
        <v>0.29759999999999998</v>
      </c>
      <c r="G102" s="33">
        <f t="shared" si="7"/>
        <v>176237.09677419357</v>
      </c>
      <c r="H102" s="16">
        <v>52448.160000000003</v>
      </c>
      <c r="I102" s="9"/>
      <c r="J102" s="8"/>
      <c r="K102" s="9">
        <f t="shared" si="6"/>
        <v>0</v>
      </c>
      <c r="L102" s="7"/>
    </row>
    <row r="103" spans="1:12" x14ac:dyDescent="0.2">
      <c r="A103" s="12" t="s">
        <v>373</v>
      </c>
      <c r="B103" s="15" t="s">
        <v>64</v>
      </c>
      <c r="C103" s="14"/>
      <c r="D103" s="13" t="s">
        <v>63</v>
      </c>
      <c r="E103" s="12" t="s">
        <v>48</v>
      </c>
      <c r="F103" s="11">
        <v>5.0999999999999997E-2</v>
      </c>
      <c r="G103" s="33">
        <f t="shared" si="7"/>
        <v>96985.686274509819</v>
      </c>
      <c r="H103" s="16">
        <v>4946.2700000000004</v>
      </c>
      <c r="I103" s="9"/>
      <c r="J103" s="8"/>
      <c r="K103" s="9">
        <f t="shared" si="6"/>
        <v>0</v>
      </c>
      <c r="L103" s="7"/>
    </row>
    <row r="104" spans="1:12" x14ac:dyDescent="0.2">
      <c r="A104" s="23" t="s">
        <v>372</v>
      </c>
      <c r="B104" s="17"/>
      <c r="C104" s="14"/>
      <c r="D104" s="17"/>
      <c r="E104" s="17"/>
      <c r="F104" s="17"/>
      <c r="G104" s="33"/>
      <c r="H104" s="35"/>
      <c r="I104" s="9"/>
      <c r="J104" s="8"/>
      <c r="K104" s="9"/>
      <c r="L104" s="7"/>
    </row>
    <row r="105" spans="1:12" x14ac:dyDescent="0.2">
      <c r="A105" s="23" t="s">
        <v>371</v>
      </c>
      <c r="B105" s="17"/>
      <c r="C105" s="14"/>
      <c r="D105" s="17"/>
      <c r="E105" s="17"/>
      <c r="F105" s="17"/>
      <c r="G105" s="33"/>
      <c r="H105" s="35"/>
      <c r="I105" s="9"/>
      <c r="J105" s="8"/>
      <c r="K105" s="9"/>
      <c r="L105" s="7"/>
    </row>
    <row r="106" spans="1:12" x14ac:dyDescent="0.2">
      <c r="A106" s="23" t="s">
        <v>370</v>
      </c>
      <c r="B106" s="17"/>
      <c r="C106" s="14"/>
      <c r="D106" s="17"/>
      <c r="E106" s="17"/>
      <c r="F106" s="17"/>
      <c r="G106" s="33"/>
      <c r="H106" s="35"/>
      <c r="I106" s="9"/>
      <c r="J106" s="8"/>
      <c r="K106" s="9"/>
      <c r="L106" s="7"/>
    </row>
    <row r="107" spans="1:12" x14ac:dyDescent="0.2">
      <c r="A107" s="12" t="s">
        <v>369</v>
      </c>
      <c r="B107" s="15" t="s">
        <v>290</v>
      </c>
      <c r="C107" s="14" t="s">
        <v>368</v>
      </c>
      <c r="D107" s="13" t="s">
        <v>288</v>
      </c>
      <c r="E107" s="12" t="s">
        <v>159</v>
      </c>
      <c r="F107" s="11">
        <v>7.9000000000000001E-2</v>
      </c>
      <c r="G107" s="33">
        <f t="shared" ref="G107:G114" si="8">H107/F107</f>
        <v>96889.493670886077</v>
      </c>
      <c r="H107" s="16">
        <v>7654.27</v>
      </c>
      <c r="I107" s="9"/>
      <c r="J107" s="8"/>
      <c r="K107" s="9">
        <f t="shared" si="6"/>
        <v>0</v>
      </c>
      <c r="L107" s="7"/>
    </row>
    <row r="108" spans="1:12" x14ac:dyDescent="0.2">
      <c r="A108" s="12" t="s">
        <v>367</v>
      </c>
      <c r="B108" s="15" t="s">
        <v>366</v>
      </c>
      <c r="C108" s="14" t="s">
        <v>365</v>
      </c>
      <c r="D108" s="13" t="s">
        <v>364</v>
      </c>
      <c r="E108" s="12" t="s">
        <v>159</v>
      </c>
      <c r="F108" s="11">
        <v>3.1899999999999998E-2</v>
      </c>
      <c r="G108" s="33">
        <f t="shared" si="8"/>
        <v>99295.611285266466</v>
      </c>
      <c r="H108" s="16">
        <v>3167.53</v>
      </c>
      <c r="I108" s="9"/>
      <c r="J108" s="8"/>
      <c r="K108" s="9">
        <f t="shared" si="6"/>
        <v>0</v>
      </c>
      <c r="L108" s="7"/>
    </row>
    <row r="109" spans="1:12" x14ac:dyDescent="0.2">
      <c r="A109" s="12" t="s">
        <v>363</v>
      </c>
      <c r="B109" s="15" t="s">
        <v>155</v>
      </c>
      <c r="C109" s="14"/>
      <c r="D109" s="13" t="s">
        <v>154</v>
      </c>
      <c r="E109" s="12" t="s">
        <v>14</v>
      </c>
      <c r="F109" s="11">
        <v>31.94</v>
      </c>
      <c r="G109" s="33">
        <f t="shared" si="8"/>
        <v>1325.0216030056356</v>
      </c>
      <c r="H109" s="16">
        <v>42321.19</v>
      </c>
      <c r="I109" s="9"/>
      <c r="J109" s="8"/>
      <c r="K109" s="9">
        <f t="shared" si="6"/>
        <v>0</v>
      </c>
      <c r="L109" s="7"/>
    </row>
    <row r="110" spans="1:12" x14ac:dyDescent="0.2">
      <c r="A110" s="12" t="s">
        <v>362</v>
      </c>
      <c r="B110" s="15" t="s">
        <v>126</v>
      </c>
      <c r="C110" s="14" t="s">
        <v>361</v>
      </c>
      <c r="D110" s="13" t="s">
        <v>123</v>
      </c>
      <c r="E110" s="12" t="s">
        <v>124</v>
      </c>
      <c r="F110" s="11">
        <v>0.44500000000000001</v>
      </c>
      <c r="G110" s="33">
        <f t="shared" si="8"/>
        <v>14730.471910112361</v>
      </c>
      <c r="H110" s="16">
        <v>6555.06</v>
      </c>
      <c r="I110" s="9"/>
      <c r="J110" s="8"/>
      <c r="K110" s="9">
        <f t="shared" si="6"/>
        <v>0</v>
      </c>
      <c r="L110" s="7"/>
    </row>
    <row r="111" spans="1:12" x14ac:dyDescent="0.2">
      <c r="A111" s="12" t="s">
        <v>360</v>
      </c>
      <c r="B111" s="15" t="s">
        <v>359</v>
      </c>
      <c r="C111" s="14" t="s">
        <v>358</v>
      </c>
      <c r="D111" s="13" t="s">
        <v>357</v>
      </c>
      <c r="E111" s="12" t="s">
        <v>164</v>
      </c>
      <c r="F111" s="11">
        <v>0.16400000000000001</v>
      </c>
      <c r="G111" s="33">
        <f t="shared" si="8"/>
        <v>87637.499999999985</v>
      </c>
      <c r="H111" s="16">
        <v>14372.55</v>
      </c>
      <c r="I111" s="9"/>
      <c r="J111" s="8"/>
      <c r="K111" s="9">
        <f t="shared" si="6"/>
        <v>0</v>
      </c>
      <c r="L111" s="7"/>
    </row>
    <row r="112" spans="1:12" x14ac:dyDescent="0.2">
      <c r="A112" s="12" t="s">
        <v>356</v>
      </c>
      <c r="B112" s="15" t="s">
        <v>161</v>
      </c>
      <c r="C112" s="14" t="s">
        <v>355</v>
      </c>
      <c r="D112" s="13" t="s">
        <v>158</v>
      </c>
      <c r="E112" s="12" t="s">
        <v>159</v>
      </c>
      <c r="F112" s="11">
        <v>5.2999999999999999E-2</v>
      </c>
      <c r="G112" s="33">
        <f t="shared" si="8"/>
        <v>17007.924528301886</v>
      </c>
      <c r="H112" s="16">
        <v>901.42</v>
      </c>
      <c r="I112" s="9"/>
      <c r="J112" s="8"/>
      <c r="K112" s="9">
        <f t="shared" si="6"/>
        <v>0</v>
      </c>
      <c r="L112" s="7"/>
    </row>
    <row r="113" spans="1:12" x14ac:dyDescent="0.2">
      <c r="A113" s="12" t="s">
        <v>354</v>
      </c>
      <c r="B113" s="15" t="s">
        <v>353</v>
      </c>
      <c r="C113" s="14"/>
      <c r="D113" s="13" t="s">
        <v>352</v>
      </c>
      <c r="E113" s="12" t="s">
        <v>164</v>
      </c>
      <c r="F113" s="11">
        <v>0.16400000000000001</v>
      </c>
      <c r="G113" s="33">
        <f t="shared" si="8"/>
        <v>21443.841463414632</v>
      </c>
      <c r="H113" s="16">
        <v>3516.79</v>
      </c>
      <c r="I113" s="9"/>
      <c r="J113" s="8"/>
      <c r="K113" s="9">
        <f t="shared" si="6"/>
        <v>0</v>
      </c>
      <c r="L113" s="7"/>
    </row>
    <row r="114" spans="1:12" x14ac:dyDescent="0.2">
      <c r="A114" s="12" t="s">
        <v>351</v>
      </c>
      <c r="B114" s="15" t="s">
        <v>121</v>
      </c>
      <c r="C114" s="14"/>
      <c r="D114" s="13" t="s">
        <v>120</v>
      </c>
      <c r="E114" s="12" t="s">
        <v>14</v>
      </c>
      <c r="F114" s="11">
        <v>22.98</v>
      </c>
      <c r="G114" s="33">
        <f t="shared" si="8"/>
        <v>825.62663185378597</v>
      </c>
      <c r="H114" s="16">
        <v>18972.900000000001</v>
      </c>
      <c r="I114" s="9"/>
      <c r="J114" s="8"/>
      <c r="K114" s="9">
        <f t="shared" si="6"/>
        <v>0</v>
      </c>
      <c r="L114" s="7"/>
    </row>
    <row r="115" spans="1:12" x14ac:dyDescent="0.2">
      <c r="A115" s="23" t="s">
        <v>128</v>
      </c>
      <c r="B115" s="17"/>
      <c r="C115" s="14"/>
      <c r="D115" s="17"/>
      <c r="E115" s="17"/>
      <c r="F115" s="17"/>
      <c r="G115" s="33"/>
      <c r="H115" s="35"/>
      <c r="I115" s="9"/>
      <c r="J115" s="8"/>
      <c r="K115" s="9"/>
      <c r="L115" s="7"/>
    </row>
    <row r="116" spans="1:12" x14ac:dyDescent="0.2">
      <c r="A116" s="12" t="s">
        <v>350</v>
      </c>
      <c r="B116" s="15" t="s">
        <v>224</v>
      </c>
      <c r="C116" s="14" t="s">
        <v>349</v>
      </c>
      <c r="D116" s="13" t="s">
        <v>222</v>
      </c>
      <c r="E116" s="12" t="s">
        <v>124</v>
      </c>
      <c r="F116" s="11">
        <v>0.08</v>
      </c>
      <c r="G116" s="33">
        <f>H116/F116</f>
        <v>15163.624999999998</v>
      </c>
      <c r="H116" s="16">
        <v>1213.0899999999999</v>
      </c>
      <c r="I116" s="9"/>
      <c r="J116" s="8"/>
      <c r="K116" s="9">
        <f t="shared" si="6"/>
        <v>0</v>
      </c>
      <c r="L116" s="7"/>
    </row>
    <row r="117" spans="1:12" x14ac:dyDescent="0.2">
      <c r="A117" s="12" t="s">
        <v>348</v>
      </c>
      <c r="B117" s="15" t="s">
        <v>347</v>
      </c>
      <c r="C117" s="14"/>
      <c r="D117" s="13" t="s">
        <v>220</v>
      </c>
      <c r="E117" s="12" t="s">
        <v>14</v>
      </c>
      <c r="F117" s="11">
        <v>1</v>
      </c>
      <c r="G117" s="33">
        <f>H117/F117</f>
        <v>2685.54</v>
      </c>
      <c r="H117" s="16">
        <v>2685.54</v>
      </c>
      <c r="I117" s="9"/>
      <c r="J117" s="8"/>
      <c r="K117" s="9">
        <f t="shared" si="6"/>
        <v>0</v>
      </c>
      <c r="L117" s="7"/>
    </row>
    <row r="118" spans="1:12" x14ac:dyDescent="0.2">
      <c r="A118" s="12" t="s">
        <v>346</v>
      </c>
      <c r="B118" s="15" t="s">
        <v>345</v>
      </c>
      <c r="C118" s="14" t="s">
        <v>344</v>
      </c>
      <c r="D118" s="13" t="s">
        <v>343</v>
      </c>
      <c r="E118" s="12" t="s">
        <v>116</v>
      </c>
      <c r="F118" s="11">
        <v>0.27</v>
      </c>
      <c r="G118" s="33">
        <f>H118/F118</f>
        <v>62434.888888888876</v>
      </c>
      <c r="H118" s="16">
        <v>16857.419999999998</v>
      </c>
      <c r="I118" s="9"/>
      <c r="J118" s="8"/>
      <c r="K118" s="9">
        <f t="shared" si="6"/>
        <v>0</v>
      </c>
      <c r="L118" s="7"/>
    </row>
    <row r="119" spans="1:12" x14ac:dyDescent="0.2">
      <c r="A119" s="12" t="s">
        <v>342</v>
      </c>
      <c r="B119" s="15" t="s">
        <v>341</v>
      </c>
      <c r="C119" s="14"/>
      <c r="D119" s="13" t="s">
        <v>340</v>
      </c>
      <c r="E119" s="12" t="s">
        <v>37</v>
      </c>
      <c r="F119" s="11">
        <v>27</v>
      </c>
      <c r="G119" s="33">
        <f>H119/F119</f>
        <v>2877.2977777777774</v>
      </c>
      <c r="H119" s="16">
        <v>77687.039999999994</v>
      </c>
      <c r="I119" s="9"/>
      <c r="J119" s="8"/>
      <c r="K119" s="9">
        <f t="shared" si="6"/>
        <v>0</v>
      </c>
      <c r="L119" s="7"/>
    </row>
    <row r="120" spans="1:12" x14ac:dyDescent="0.2">
      <c r="A120" s="23" t="s">
        <v>339</v>
      </c>
      <c r="B120" s="17"/>
      <c r="C120" s="14"/>
      <c r="D120" s="17"/>
      <c r="E120" s="17"/>
      <c r="F120" s="17"/>
      <c r="G120" s="33"/>
      <c r="H120" s="35"/>
      <c r="I120" s="9"/>
      <c r="J120" s="8"/>
      <c r="K120" s="9"/>
      <c r="L120" s="7"/>
    </row>
    <row r="121" spans="1:12" x14ac:dyDescent="0.2">
      <c r="A121" s="12" t="s">
        <v>338</v>
      </c>
      <c r="B121" s="15" t="s">
        <v>337</v>
      </c>
      <c r="C121" s="14" t="s">
        <v>336</v>
      </c>
      <c r="D121" s="13" t="s">
        <v>335</v>
      </c>
      <c r="E121" s="12" t="s">
        <v>124</v>
      </c>
      <c r="F121" s="11">
        <v>0.193</v>
      </c>
      <c r="G121" s="33">
        <f t="shared" ref="G121:G136" si="9">H121/F121</f>
        <v>328406.16580310877</v>
      </c>
      <c r="H121" s="16">
        <v>63382.39</v>
      </c>
      <c r="I121" s="9"/>
      <c r="J121" s="8"/>
      <c r="K121" s="9">
        <f t="shared" si="6"/>
        <v>0</v>
      </c>
      <c r="L121" s="7"/>
    </row>
    <row r="122" spans="1:12" x14ac:dyDescent="0.2">
      <c r="A122" s="12" t="s">
        <v>334</v>
      </c>
      <c r="B122" s="15" t="s">
        <v>332</v>
      </c>
      <c r="C122" s="14"/>
      <c r="D122" s="13" t="s">
        <v>331</v>
      </c>
      <c r="E122" s="12" t="s">
        <v>33</v>
      </c>
      <c r="F122" s="11">
        <v>-8.6463999999999999</v>
      </c>
      <c r="G122" s="33">
        <f t="shared" si="9"/>
        <v>53.444207994078461</v>
      </c>
      <c r="H122" s="16">
        <v>-462.1</v>
      </c>
      <c r="I122" s="9"/>
      <c r="J122" s="8"/>
      <c r="K122" s="9">
        <f t="shared" si="6"/>
        <v>0</v>
      </c>
      <c r="L122" s="7"/>
    </row>
    <row r="123" spans="1:12" x14ac:dyDescent="0.2">
      <c r="A123" s="12" t="s">
        <v>333</v>
      </c>
      <c r="B123" s="15" t="s">
        <v>332</v>
      </c>
      <c r="C123" s="14"/>
      <c r="D123" s="13" t="s">
        <v>331</v>
      </c>
      <c r="E123" s="12" t="s">
        <v>33</v>
      </c>
      <c r="F123" s="11">
        <v>22</v>
      </c>
      <c r="G123" s="33">
        <f t="shared" si="9"/>
        <v>53.448181818181816</v>
      </c>
      <c r="H123" s="16">
        <v>1175.8599999999999</v>
      </c>
      <c r="I123" s="9"/>
      <c r="J123" s="8"/>
      <c r="K123" s="9">
        <f t="shared" si="6"/>
        <v>0</v>
      </c>
      <c r="L123" s="7"/>
    </row>
    <row r="124" spans="1:12" x14ac:dyDescent="0.2">
      <c r="A124" s="12" t="s">
        <v>330</v>
      </c>
      <c r="B124" s="15" t="s">
        <v>329</v>
      </c>
      <c r="C124" s="14"/>
      <c r="D124" s="13" t="s">
        <v>328</v>
      </c>
      <c r="E124" s="12" t="s">
        <v>14</v>
      </c>
      <c r="F124" s="11">
        <v>0.33</v>
      </c>
      <c r="G124" s="33">
        <f t="shared" si="9"/>
        <v>14661.060606060604</v>
      </c>
      <c r="H124" s="16">
        <v>4838.1499999999996</v>
      </c>
      <c r="I124" s="9"/>
      <c r="J124" s="8"/>
      <c r="K124" s="9">
        <f t="shared" si="6"/>
        <v>0</v>
      </c>
      <c r="L124" s="7"/>
    </row>
    <row r="125" spans="1:12" x14ac:dyDescent="0.2">
      <c r="A125" s="12" t="s">
        <v>327</v>
      </c>
      <c r="B125" s="15" t="s">
        <v>326</v>
      </c>
      <c r="C125" s="14"/>
      <c r="D125" s="13" t="s">
        <v>325</v>
      </c>
      <c r="E125" s="12" t="s">
        <v>33</v>
      </c>
      <c r="F125" s="11">
        <v>1</v>
      </c>
      <c r="G125" s="33">
        <f t="shared" si="9"/>
        <v>988.99</v>
      </c>
      <c r="H125" s="16">
        <v>988.99</v>
      </c>
      <c r="I125" s="9"/>
      <c r="J125" s="8"/>
      <c r="K125" s="9">
        <f t="shared" si="6"/>
        <v>0</v>
      </c>
      <c r="L125" s="7"/>
    </row>
    <row r="126" spans="1:12" x14ac:dyDescent="0.2">
      <c r="A126" s="12" t="s">
        <v>324</v>
      </c>
      <c r="B126" s="15" t="s">
        <v>323</v>
      </c>
      <c r="C126" s="14"/>
      <c r="D126" s="13" t="s">
        <v>322</v>
      </c>
      <c r="E126" s="12" t="s">
        <v>33</v>
      </c>
      <c r="F126" s="11">
        <v>1</v>
      </c>
      <c r="G126" s="33">
        <f t="shared" si="9"/>
        <v>1982.39</v>
      </c>
      <c r="H126" s="16">
        <v>1982.39</v>
      </c>
      <c r="I126" s="9"/>
      <c r="J126" s="8"/>
      <c r="K126" s="9">
        <f t="shared" si="6"/>
        <v>0</v>
      </c>
      <c r="L126" s="7"/>
    </row>
    <row r="127" spans="1:12" x14ac:dyDescent="0.2">
      <c r="A127" s="12" t="s">
        <v>321</v>
      </c>
      <c r="B127" s="15" t="s">
        <v>320</v>
      </c>
      <c r="C127" s="14"/>
      <c r="D127" s="13" t="s">
        <v>319</v>
      </c>
      <c r="E127" s="12" t="s">
        <v>33</v>
      </c>
      <c r="F127" s="11">
        <v>2</v>
      </c>
      <c r="G127" s="33">
        <f t="shared" si="9"/>
        <v>2954.7350000000001</v>
      </c>
      <c r="H127" s="16">
        <v>5909.47</v>
      </c>
      <c r="I127" s="9"/>
      <c r="J127" s="8"/>
      <c r="K127" s="9">
        <f t="shared" si="6"/>
        <v>0</v>
      </c>
      <c r="L127" s="7"/>
    </row>
    <row r="128" spans="1:12" x14ac:dyDescent="0.2">
      <c r="A128" s="12" t="s">
        <v>318</v>
      </c>
      <c r="B128" s="15" t="s">
        <v>317</v>
      </c>
      <c r="C128" s="14"/>
      <c r="D128" s="13" t="s">
        <v>316</v>
      </c>
      <c r="E128" s="12" t="s">
        <v>33</v>
      </c>
      <c r="F128" s="11">
        <v>2</v>
      </c>
      <c r="G128" s="33">
        <f t="shared" si="9"/>
        <v>3238.05</v>
      </c>
      <c r="H128" s="16">
        <v>6476.1</v>
      </c>
      <c r="I128" s="9"/>
      <c r="J128" s="8"/>
      <c r="K128" s="9">
        <f t="shared" si="6"/>
        <v>0</v>
      </c>
      <c r="L128" s="7"/>
    </row>
    <row r="129" spans="1:12" x14ac:dyDescent="0.2">
      <c r="A129" s="12" t="s">
        <v>315</v>
      </c>
      <c r="B129" s="15" t="s">
        <v>314</v>
      </c>
      <c r="C129" s="14"/>
      <c r="D129" s="13" t="s">
        <v>313</v>
      </c>
      <c r="E129" s="12" t="s">
        <v>33</v>
      </c>
      <c r="F129" s="11">
        <v>3</v>
      </c>
      <c r="G129" s="33">
        <f t="shared" si="9"/>
        <v>1539.63</v>
      </c>
      <c r="H129" s="16">
        <v>4618.8900000000003</v>
      </c>
      <c r="I129" s="9"/>
      <c r="J129" s="8"/>
      <c r="K129" s="9">
        <f t="shared" si="6"/>
        <v>0</v>
      </c>
      <c r="L129" s="7"/>
    </row>
    <row r="130" spans="1:12" x14ac:dyDescent="0.2">
      <c r="A130" s="12" t="s">
        <v>312</v>
      </c>
      <c r="B130" s="15" t="s">
        <v>311</v>
      </c>
      <c r="C130" s="14"/>
      <c r="D130" s="13" t="s">
        <v>310</v>
      </c>
      <c r="E130" s="12" t="s">
        <v>33</v>
      </c>
      <c r="F130" s="11">
        <v>3</v>
      </c>
      <c r="G130" s="33">
        <f t="shared" si="9"/>
        <v>2389.1666666666665</v>
      </c>
      <c r="H130" s="16">
        <v>7167.5</v>
      </c>
      <c r="I130" s="9"/>
      <c r="J130" s="8"/>
      <c r="K130" s="9">
        <f t="shared" si="6"/>
        <v>0</v>
      </c>
      <c r="L130" s="7"/>
    </row>
    <row r="131" spans="1:12" x14ac:dyDescent="0.2">
      <c r="A131" s="12" t="s">
        <v>309</v>
      </c>
      <c r="B131" s="15" t="s">
        <v>82</v>
      </c>
      <c r="C131" s="14" t="s">
        <v>308</v>
      </c>
      <c r="D131" s="13" t="s">
        <v>307</v>
      </c>
      <c r="E131" s="12" t="s">
        <v>37</v>
      </c>
      <c r="F131" s="11">
        <v>3.44</v>
      </c>
      <c r="G131" s="33">
        <f t="shared" si="9"/>
        <v>12624.377906976744</v>
      </c>
      <c r="H131" s="16">
        <v>43427.86</v>
      </c>
      <c r="I131" s="9"/>
      <c r="J131" s="8"/>
      <c r="K131" s="9">
        <f t="shared" si="6"/>
        <v>0</v>
      </c>
      <c r="L131" s="7"/>
    </row>
    <row r="132" spans="1:12" x14ac:dyDescent="0.2">
      <c r="A132" s="12" t="s">
        <v>306</v>
      </c>
      <c r="B132" s="15" t="s">
        <v>305</v>
      </c>
      <c r="C132" s="14"/>
      <c r="D132" s="13" t="s">
        <v>304</v>
      </c>
      <c r="E132" s="12" t="s">
        <v>33</v>
      </c>
      <c r="F132" s="11">
        <v>3</v>
      </c>
      <c r="G132" s="33">
        <f t="shared" si="9"/>
        <v>5344.0366666666669</v>
      </c>
      <c r="H132" s="16">
        <v>16032.11</v>
      </c>
      <c r="I132" s="9"/>
      <c r="J132" s="8"/>
      <c r="K132" s="9">
        <f t="shared" si="6"/>
        <v>0</v>
      </c>
      <c r="L132" s="7"/>
    </row>
    <row r="133" spans="1:12" x14ac:dyDescent="0.2">
      <c r="A133" s="12" t="s">
        <v>303</v>
      </c>
      <c r="B133" s="15" t="s">
        <v>302</v>
      </c>
      <c r="C133" s="14"/>
      <c r="D133" s="13" t="s">
        <v>301</v>
      </c>
      <c r="E133" s="12" t="s">
        <v>33</v>
      </c>
      <c r="F133" s="11">
        <v>3</v>
      </c>
      <c r="G133" s="33">
        <f t="shared" si="9"/>
        <v>2876.0733333333333</v>
      </c>
      <c r="H133" s="16">
        <v>8628.2199999999993</v>
      </c>
      <c r="I133" s="9"/>
      <c r="J133" s="8"/>
      <c r="K133" s="9">
        <f t="shared" ref="K133:K196" si="10">G133*J133</f>
        <v>0</v>
      </c>
      <c r="L133" s="7"/>
    </row>
    <row r="134" spans="1:12" x14ac:dyDescent="0.2">
      <c r="A134" s="12" t="s">
        <v>300</v>
      </c>
      <c r="B134" s="15" t="s">
        <v>71</v>
      </c>
      <c r="C134" s="14" t="s">
        <v>299</v>
      </c>
      <c r="D134" s="13" t="s">
        <v>69</v>
      </c>
      <c r="E134" s="12" t="s">
        <v>17</v>
      </c>
      <c r="F134" s="11">
        <v>0.2</v>
      </c>
      <c r="G134" s="33">
        <f t="shared" si="9"/>
        <v>34199.899999999994</v>
      </c>
      <c r="H134" s="16">
        <v>6839.98</v>
      </c>
      <c r="I134" s="9"/>
      <c r="J134" s="8"/>
      <c r="K134" s="9">
        <f t="shared" si="10"/>
        <v>0</v>
      </c>
      <c r="L134" s="7"/>
    </row>
    <row r="135" spans="1:12" x14ac:dyDescent="0.2">
      <c r="A135" s="12" t="s">
        <v>298</v>
      </c>
      <c r="B135" s="15" t="s">
        <v>67</v>
      </c>
      <c r="C135" s="14"/>
      <c r="D135" s="13" t="s">
        <v>66</v>
      </c>
      <c r="E135" s="12" t="s">
        <v>48</v>
      </c>
      <c r="F135" s="11">
        <v>4.8000000000000001E-2</v>
      </c>
      <c r="G135" s="33">
        <f t="shared" si="9"/>
        <v>176237.29166666666</v>
      </c>
      <c r="H135" s="16">
        <v>8459.39</v>
      </c>
      <c r="I135" s="9"/>
      <c r="J135" s="8"/>
      <c r="K135" s="9">
        <f t="shared" si="10"/>
        <v>0</v>
      </c>
      <c r="L135" s="7"/>
    </row>
    <row r="136" spans="1:12" x14ac:dyDescent="0.2">
      <c r="A136" s="12" t="s">
        <v>297</v>
      </c>
      <c r="B136" s="15" t="s">
        <v>64</v>
      </c>
      <c r="C136" s="14"/>
      <c r="D136" s="13" t="s">
        <v>63</v>
      </c>
      <c r="E136" s="12" t="s">
        <v>48</v>
      </c>
      <c r="F136" s="11">
        <v>6.0000000000000001E-3</v>
      </c>
      <c r="G136" s="33">
        <f t="shared" si="9"/>
        <v>96981.666666666657</v>
      </c>
      <c r="H136" s="16">
        <v>581.89</v>
      </c>
      <c r="I136" s="9"/>
      <c r="J136" s="8"/>
      <c r="K136" s="9">
        <f t="shared" si="10"/>
        <v>0</v>
      </c>
      <c r="L136" s="7"/>
    </row>
    <row r="137" spans="1:12" x14ac:dyDescent="0.2">
      <c r="A137" s="23" t="s">
        <v>296</v>
      </c>
      <c r="B137" s="17"/>
      <c r="C137" s="14"/>
      <c r="D137" s="17"/>
      <c r="E137" s="17"/>
      <c r="F137" s="17"/>
      <c r="G137" s="33"/>
      <c r="H137" s="35"/>
      <c r="I137" s="9"/>
      <c r="J137" s="8"/>
      <c r="K137" s="9"/>
      <c r="L137" s="7"/>
    </row>
    <row r="138" spans="1:12" x14ac:dyDescent="0.2">
      <c r="A138" s="23" t="s">
        <v>176</v>
      </c>
      <c r="B138" s="17"/>
      <c r="C138" s="14"/>
      <c r="D138" s="17"/>
      <c r="E138" s="17"/>
      <c r="F138" s="17"/>
      <c r="G138" s="33"/>
      <c r="H138" s="35"/>
      <c r="I138" s="9"/>
      <c r="J138" s="8"/>
      <c r="K138" s="9"/>
      <c r="L138" s="7"/>
    </row>
    <row r="139" spans="1:12" x14ac:dyDescent="0.2">
      <c r="A139" s="12" t="s">
        <v>295</v>
      </c>
      <c r="B139" s="15" t="s">
        <v>294</v>
      </c>
      <c r="C139" s="14" t="s">
        <v>293</v>
      </c>
      <c r="D139" s="13" t="s">
        <v>292</v>
      </c>
      <c r="E139" s="12" t="s">
        <v>159</v>
      </c>
      <c r="F139" s="11">
        <v>1.6341399999999999</v>
      </c>
      <c r="G139" s="33">
        <f t="shared" ref="G139:G145" si="11">H139/F139</f>
        <v>78956.760130710958</v>
      </c>
      <c r="H139" s="16">
        <v>129026.4</v>
      </c>
      <c r="I139" s="9"/>
      <c r="J139" s="8"/>
      <c r="K139" s="9">
        <f t="shared" si="10"/>
        <v>0</v>
      </c>
      <c r="L139" s="7"/>
    </row>
    <row r="140" spans="1:12" x14ac:dyDescent="0.2">
      <c r="A140" s="12" t="s">
        <v>291</v>
      </c>
      <c r="B140" s="15" t="s">
        <v>290</v>
      </c>
      <c r="C140" s="14" t="s">
        <v>289</v>
      </c>
      <c r="D140" s="13" t="s">
        <v>288</v>
      </c>
      <c r="E140" s="12" t="s">
        <v>159</v>
      </c>
      <c r="F140" s="11">
        <v>6.2190000000000002E-2</v>
      </c>
      <c r="G140" s="33">
        <f t="shared" si="11"/>
        <v>116265.63756230906</v>
      </c>
      <c r="H140" s="16">
        <v>7230.56</v>
      </c>
      <c r="I140" s="9"/>
      <c r="J140" s="8"/>
      <c r="K140" s="9">
        <f t="shared" si="10"/>
        <v>0</v>
      </c>
      <c r="L140" s="7"/>
    </row>
    <row r="141" spans="1:12" x14ac:dyDescent="0.2">
      <c r="A141" s="12" t="s">
        <v>287</v>
      </c>
      <c r="B141" s="15" t="s">
        <v>170</v>
      </c>
      <c r="C141" s="14" t="s">
        <v>286</v>
      </c>
      <c r="D141" s="13" t="s">
        <v>168</v>
      </c>
      <c r="E141" s="12" t="s">
        <v>159</v>
      </c>
      <c r="F141" s="11">
        <v>1.23366</v>
      </c>
      <c r="G141" s="33">
        <f t="shared" si="11"/>
        <v>149458.76497576316</v>
      </c>
      <c r="H141" s="16">
        <v>184381.3</v>
      </c>
      <c r="I141" s="9"/>
      <c r="J141" s="8"/>
      <c r="K141" s="9">
        <f t="shared" si="10"/>
        <v>0</v>
      </c>
      <c r="L141" s="7"/>
    </row>
    <row r="142" spans="1:12" x14ac:dyDescent="0.2">
      <c r="A142" s="12" t="s">
        <v>285</v>
      </c>
      <c r="B142" s="15" t="s">
        <v>166</v>
      </c>
      <c r="C142" s="14" t="s">
        <v>284</v>
      </c>
      <c r="D142" s="13" t="s">
        <v>163</v>
      </c>
      <c r="E142" s="12" t="s">
        <v>164</v>
      </c>
      <c r="F142" s="11">
        <v>0.52410000000000001</v>
      </c>
      <c r="G142" s="33">
        <f t="shared" si="11"/>
        <v>190319.11848883799</v>
      </c>
      <c r="H142" s="16">
        <v>99746.25</v>
      </c>
      <c r="I142" s="9"/>
      <c r="J142" s="8"/>
      <c r="K142" s="9">
        <f t="shared" si="10"/>
        <v>0</v>
      </c>
      <c r="L142" s="7"/>
    </row>
    <row r="143" spans="1:12" x14ac:dyDescent="0.2">
      <c r="A143" s="12" t="s">
        <v>283</v>
      </c>
      <c r="B143" s="15" t="s">
        <v>161</v>
      </c>
      <c r="C143" s="14" t="s">
        <v>282</v>
      </c>
      <c r="D143" s="13" t="s">
        <v>158</v>
      </c>
      <c r="E143" s="12" t="s">
        <v>159</v>
      </c>
      <c r="F143" s="11">
        <v>1.56196</v>
      </c>
      <c r="G143" s="33">
        <f t="shared" si="11"/>
        <v>17011.735255704371</v>
      </c>
      <c r="H143" s="16">
        <v>26571.65</v>
      </c>
      <c r="I143" s="9"/>
      <c r="J143" s="8"/>
      <c r="K143" s="9">
        <f t="shared" si="10"/>
        <v>0</v>
      </c>
      <c r="L143" s="7"/>
    </row>
    <row r="144" spans="1:12" x14ac:dyDescent="0.2">
      <c r="A144" s="12" t="s">
        <v>281</v>
      </c>
      <c r="B144" s="15" t="s">
        <v>121</v>
      </c>
      <c r="C144" s="14"/>
      <c r="D144" s="13" t="s">
        <v>120</v>
      </c>
      <c r="E144" s="12" t="s">
        <v>14</v>
      </c>
      <c r="F144" s="11">
        <v>1153.4159999999999</v>
      </c>
      <c r="G144" s="33">
        <f t="shared" si="11"/>
        <v>825.62681634379976</v>
      </c>
      <c r="H144" s="16">
        <v>952291.18</v>
      </c>
      <c r="I144" s="9"/>
      <c r="J144" s="8"/>
      <c r="K144" s="9">
        <f t="shared" si="10"/>
        <v>0</v>
      </c>
      <c r="L144" s="7"/>
    </row>
    <row r="145" spans="1:12" x14ac:dyDescent="0.2">
      <c r="A145" s="12" t="s">
        <v>280</v>
      </c>
      <c r="B145" s="15" t="s">
        <v>155</v>
      </c>
      <c r="C145" s="14"/>
      <c r="D145" s="13" t="s">
        <v>154</v>
      </c>
      <c r="E145" s="12" t="s">
        <v>14</v>
      </c>
      <c r="F145" s="11">
        <v>1233.6600000000001</v>
      </c>
      <c r="G145" s="33">
        <f t="shared" si="11"/>
        <v>1325.0207917902824</v>
      </c>
      <c r="H145" s="16">
        <v>1634625.15</v>
      </c>
      <c r="I145" s="9"/>
      <c r="J145" s="8"/>
      <c r="K145" s="9">
        <f t="shared" si="10"/>
        <v>0</v>
      </c>
      <c r="L145" s="7"/>
    </row>
    <row r="146" spans="1:12" x14ac:dyDescent="0.2">
      <c r="A146" s="23" t="s">
        <v>279</v>
      </c>
      <c r="B146" s="17"/>
      <c r="C146" s="14"/>
      <c r="D146" s="17"/>
      <c r="E146" s="17"/>
      <c r="F146" s="17"/>
      <c r="G146" s="33"/>
      <c r="H146" s="35"/>
      <c r="I146" s="9"/>
      <c r="J146" s="8"/>
      <c r="K146" s="9"/>
      <c r="L146" s="7"/>
    </row>
    <row r="147" spans="1:12" x14ac:dyDescent="0.2">
      <c r="A147" s="12" t="s">
        <v>278</v>
      </c>
      <c r="B147" s="15" t="s">
        <v>277</v>
      </c>
      <c r="C147" s="14" t="s">
        <v>217</v>
      </c>
      <c r="D147" s="13" t="s">
        <v>276</v>
      </c>
      <c r="E147" s="12" t="s">
        <v>116</v>
      </c>
      <c r="F147" s="11">
        <v>1.32</v>
      </c>
      <c r="G147" s="33">
        <f t="shared" ref="G147:G153" si="12">H147/F147</f>
        <v>186428.90151515149</v>
      </c>
      <c r="H147" s="16">
        <v>246086.15</v>
      </c>
      <c r="I147" s="9"/>
      <c r="J147" s="8"/>
      <c r="K147" s="9">
        <f t="shared" si="10"/>
        <v>0</v>
      </c>
      <c r="L147" s="7"/>
    </row>
    <row r="148" spans="1:12" x14ac:dyDescent="0.2">
      <c r="A148" s="12" t="s">
        <v>275</v>
      </c>
      <c r="B148" s="15" t="s">
        <v>211</v>
      </c>
      <c r="C148" s="14" t="s">
        <v>274</v>
      </c>
      <c r="D148" s="13" t="s">
        <v>273</v>
      </c>
      <c r="E148" s="12" t="s">
        <v>124</v>
      </c>
      <c r="F148" s="11">
        <v>0.1</v>
      </c>
      <c r="G148" s="33">
        <f t="shared" si="12"/>
        <v>88282</v>
      </c>
      <c r="H148" s="16">
        <v>8828.2000000000007</v>
      </c>
      <c r="I148" s="9"/>
      <c r="J148" s="8"/>
      <c r="K148" s="9">
        <f t="shared" si="10"/>
        <v>0</v>
      </c>
      <c r="L148" s="7"/>
    </row>
    <row r="149" spans="1:12" x14ac:dyDescent="0.2">
      <c r="A149" s="12" t="s">
        <v>272</v>
      </c>
      <c r="B149" s="15" t="s">
        <v>263</v>
      </c>
      <c r="C149" s="14"/>
      <c r="D149" s="13" t="s">
        <v>260</v>
      </c>
      <c r="E149" s="12" t="s">
        <v>261</v>
      </c>
      <c r="F149" s="11">
        <v>0.12</v>
      </c>
      <c r="G149" s="33">
        <f t="shared" si="12"/>
        <v>569.33333333333326</v>
      </c>
      <c r="H149" s="16">
        <v>68.319999999999993</v>
      </c>
      <c r="I149" s="9"/>
      <c r="J149" s="8"/>
      <c r="K149" s="9">
        <f t="shared" si="10"/>
        <v>0</v>
      </c>
      <c r="L149" s="7"/>
    </row>
    <row r="150" spans="1:12" x14ac:dyDescent="0.2">
      <c r="A150" s="12" t="s">
        <v>271</v>
      </c>
      <c r="B150" s="15" t="s">
        <v>270</v>
      </c>
      <c r="C150" s="14"/>
      <c r="D150" s="13" t="s">
        <v>269</v>
      </c>
      <c r="E150" s="12" t="s">
        <v>261</v>
      </c>
      <c r="F150" s="11">
        <v>0.12</v>
      </c>
      <c r="G150" s="33">
        <f t="shared" si="12"/>
        <v>39.75</v>
      </c>
      <c r="H150" s="16">
        <v>4.7699999999999996</v>
      </c>
      <c r="I150" s="9"/>
      <c r="J150" s="8"/>
      <c r="K150" s="9">
        <f t="shared" si="10"/>
        <v>0</v>
      </c>
      <c r="L150" s="7"/>
    </row>
    <row r="151" spans="1:12" x14ac:dyDescent="0.2">
      <c r="A151" s="12" t="s">
        <v>268</v>
      </c>
      <c r="B151" s="15" t="s">
        <v>267</v>
      </c>
      <c r="C151" s="14" t="s">
        <v>266</v>
      </c>
      <c r="D151" s="13" t="s">
        <v>265</v>
      </c>
      <c r="E151" s="12" t="s">
        <v>261</v>
      </c>
      <c r="F151" s="11">
        <v>103.28</v>
      </c>
      <c r="G151" s="33">
        <f t="shared" si="12"/>
        <v>43.427381874515881</v>
      </c>
      <c r="H151" s="16">
        <v>4485.18</v>
      </c>
      <c r="I151" s="9"/>
      <c r="J151" s="8"/>
      <c r="K151" s="9">
        <f t="shared" si="10"/>
        <v>0</v>
      </c>
      <c r="L151" s="7"/>
    </row>
    <row r="152" spans="1:12" x14ac:dyDescent="0.2">
      <c r="A152" s="12" t="s">
        <v>264</v>
      </c>
      <c r="B152" s="15" t="s">
        <v>263</v>
      </c>
      <c r="C152" s="14" t="s">
        <v>262</v>
      </c>
      <c r="D152" s="13" t="s">
        <v>260</v>
      </c>
      <c r="E152" s="12" t="s">
        <v>261</v>
      </c>
      <c r="F152" s="11">
        <v>25.82</v>
      </c>
      <c r="G152" s="33">
        <f t="shared" si="12"/>
        <v>569.05344694035625</v>
      </c>
      <c r="H152" s="16">
        <v>14692.96</v>
      </c>
      <c r="I152" s="9"/>
      <c r="J152" s="8"/>
      <c r="K152" s="9">
        <f t="shared" si="10"/>
        <v>0</v>
      </c>
      <c r="L152" s="7"/>
    </row>
    <row r="153" spans="1:12" x14ac:dyDescent="0.2">
      <c r="A153" s="12" t="s">
        <v>259</v>
      </c>
      <c r="B153" s="15" t="s">
        <v>155</v>
      </c>
      <c r="C153" s="14"/>
      <c r="D153" s="13" t="s">
        <v>154</v>
      </c>
      <c r="E153" s="12" t="s">
        <v>14</v>
      </c>
      <c r="F153" s="11">
        <v>134.32</v>
      </c>
      <c r="G153" s="33">
        <f t="shared" si="12"/>
        <v>1325.0206968433592</v>
      </c>
      <c r="H153" s="16">
        <v>177976.78</v>
      </c>
      <c r="I153" s="9"/>
      <c r="J153" s="8"/>
      <c r="K153" s="9">
        <f t="shared" si="10"/>
        <v>0</v>
      </c>
      <c r="L153" s="7"/>
    </row>
    <row r="154" spans="1:12" x14ac:dyDescent="0.2">
      <c r="A154" s="23" t="s">
        <v>153</v>
      </c>
      <c r="B154" s="17"/>
      <c r="C154" s="14"/>
      <c r="D154" s="17"/>
      <c r="E154" s="17"/>
      <c r="F154" s="17"/>
      <c r="G154" s="33"/>
      <c r="H154" s="35"/>
      <c r="I154" s="9"/>
      <c r="J154" s="8"/>
      <c r="K154" s="9"/>
      <c r="L154" s="7"/>
    </row>
    <row r="155" spans="1:12" x14ac:dyDescent="0.2">
      <c r="A155" s="12" t="s">
        <v>258</v>
      </c>
      <c r="B155" s="15" t="s">
        <v>257</v>
      </c>
      <c r="C155" s="14" t="s">
        <v>256</v>
      </c>
      <c r="D155" s="13" t="s">
        <v>255</v>
      </c>
      <c r="E155" s="12" t="s">
        <v>116</v>
      </c>
      <c r="F155" s="11">
        <v>0.14000000000000001</v>
      </c>
      <c r="G155" s="33">
        <f t="shared" ref="G155:G164" si="13">H155/F155</f>
        <v>1118972.9285714284</v>
      </c>
      <c r="H155" s="16">
        <v>156656.21</v>
      </c>
      <c r="I155" s="9"/>
      <c r="J155" s="8"/>
      <c r="K155" s="9">
        <f t="shared" si="10"/>
        <v>0</v>
      </c>
      <c r="L155" s="7"/>
    </row>
    <row r="156" spans="1:12" x14ac:dyDescent="0.2">
      <c r="A156" s="12" t="s">
        <v>254</v>
      </c>
      <c r="B156" s="15" t="s">
        <v>253</v>
      </c>
      <c r="C156" s="14"/>
      <c r="D156" s="13" t="s">
        <v>252</v>
      </c>
      <c r="E156" s="12" t="s">
        <v>37</v>
      </c>
      <c r="F156" s="11">
        <v>14.14</v>
      </c>
      <c r="G156" s="33">
        <f t="shared" si="13"/>
        <v>40834.024752475249</v>
      </c>
      <c r="H156" s="16">
        <v>577393.11</v>
      </c>
      <c r="I156" s="9"/>
      <c r="J156" s="8"/>
      <c r="K156" s="9">
        <f t="shared" si="10"/>
        <v>0</v>
      </c>
      <c r="L156" s="7"/>
    </row>
    <row r="157" spans="1:12" x14ac:dyDescent="0.2">
      <c r="A157" s="12" t="s">
        <v>251</v>
      </c>
      <c r="B157" s="15" t="s">
        <v>250</v>
      </c>
      <c r="C157" s="14" t="s">
        <v>249</v>
      </c>
      <c r="D157" s="13" t="s">
        <v>248</v>
      </c>
      <c r="E157" s="12" t="s">
        <v>17</v>
      </c>
      <c r="F157" s="11">
        <v>0.62</v>
      </c>
      <c r="G157" s="33">
        <f t="shared" si="13"/>
        <v>163574.74193548388</v>
      </c>
      <c r="H157" s="16">
        <v>101416.34</v>
      </c>
      <c r="I157" s="9"/>
      <c r="J157" s="8"/>
      <c r="K157" s="9">
        <f t="shared" si="10"/>
        <v>0</v>
      </c>
      <c r="L157" s="7"/>
    </row>
    <row r="158" spans="1:12" x14ac:dyDescent="0.2">
      <c r="A158" s="12" t="s">
        <v>247</v>
      </c>
      <c r="B158" s="15" t="s">
        <v>141</v>
      </c>
      <c r="C158" s="14"/>
      <c r="D158" s="13" t="s">
        <v>140</v>
      </c>
      <c r="E158" s="12" t="s">
        <v>48</v>
      </c>
      <c r="F158" s="11">
        <v>0.60760000000000003</v>
      </c>
      <c r="G158" s="33">
        <f t="shared" si="13"/>
        <v>358896.42857142858</v>
      </c>
      <c r="H158" s="16">
        <v>218065.47</v>
      </c>
      <c r="I158" s="9"/>
      <c r="J158" s="8"/>
      <c r="K158" s="9">
        <f t="shared" si="10"/>
        <v>0</v>
      </c>
      <c r="L158" s="7"/>
    </row>
    <row r="159" spans="1:12" x14ac:dyDescent="0.2">
      <c r="A159" s="12" t="s">
        <v>246</v>
      </c>
      <c r="B159" s="15" t="s">
        <v>245</v>
      </c>
      <c r="C159" s="14"/>
      <c r="D159" s="13" t="s">
        <v>244</v>
      </c>
      <c r="E159" s="12" t="s">
        <v>14</v>
      </c>
      <c r="F159" s="11">
        <v>5.03</v>
      </c>
      <c r="G159" s="33">
        <f t="shared" si="13"/>
        <v>9007.3021868787273</v>
      </c>
      <c r="H159" s="16">
        <v>45306.73</v>
      </c>
      <c r="I159" s="9"/>
      <c r="J159" s="8"/>
      <c r="K159" s="9">
        <f t="shared" si="10"/>
        <v>0</v>
      </c>
      <c r="L159" s="7"/>
    </row>
    <row r="160" spans="1:12" x14ac:dyDescent="0.2">
      <c r="A160" s="12" t="s">
        <v>243</v>
      </c>
      <c r="B160" s="15" t="s">
        <v>242</v>
      </c>
      <c r="C160" s="14"/>
      <c r="D160" s="13" t="s">
        <v>241</v>
      </c>
      <c r="E160" s="12" t="s">
        <v>14</v>
      </c>
      <c r="F160" s="11">
        <v>-5.1054500000000003</v>
      </c>
      <c r="G160" s="33">
        <f t="shared" si="13"/>
        <v>3780.5208159907543</v>
      </c>
      <c r="H160" s="16">
        <v>-19301.259999999998</v>
      </c>
      <c r="I160" s="9"/>
      <c r="J160" s="8"/>
      <c r="K160" s="9">
        <f t="shared" si="10"/>
        <v>0</v>
      </c>
      <c r="L160" s="7"/>
    </row>
    <row r="161" spans="1:12" x14ac:dyDescent="0.2">
      <c r="A161" s="12" t="s">
        <v>240</v>
      </c>
      <c r="B161" s="15" t="s">
        <v>239</v>
      </c>
      <c r="C161" s="14"/>
      <c r="D161" s="13" t="s">
        <v>238</v>
      </c>
      <c r="E161" s="12" t="s">
        <v>14</v>
      </c>
      <c r="F161" s="11">
        <v>5.1054500000000003</v>
      </c>
      <c r="G161" s="33">
        <f t="shared" si="13"/>
        <v>4241.5634273178657</v>
      </c>
      <c r="H161" s="16">
        <v>21655.09</v>
      </c>
      <c r="I161" s="9"/>
      <c r="J161" s="8"/>
      <c r="K161" s="9">
        <f t="shared" si="10"/>
        <v>0</v>
      </c>
      <c r="L161" s="7"/>
    </row>
    <row r="162" spans="1:12" x14ac:dyDescent="0.2">
      <c r="A162" s="12" t="s">
        <v>237</v>
      </c>
      <c r="B162" s="15" t="s">
        <v>236</v>
      </c>
      <c r="C162" s="14" t="s">
        <v>235</v>
      </c>
      <c r="D162" s="13" t="s">
        <v>234</v>
      </c>
      <c r="E162" s="12" t="s">
        <v>136</v>
      </c>
      <c r="F162" s="11">
        <v>0.14000000000000001</v>
      </c>
      <c r="G162" s="33">
        <f t="shared" si="13"/>
        <v>299556.71428571426</v>
      </c>
      <c r="H162" s="16">
        <v>41937.94</v>
      </c>
      <c r="I162" s="9"/>
      <c r="J162" s="8"/>
      <c r="K162" s="9">
        <f t="shared" si="10"/>
        <v>0</v>
      </c>
      <c r="L162" s="7"/>
    </row>
    <row r="163" spans="1:12" x14ac:dyDescent="0.2">
      <c r="A163" s="12" t="s">
        <v>233</v>
      </c>
      <c r="B163" s="15" t="s">
        <v>232</v>
      </c>
      <c r="C163" s="14"/>
      <c r="D163" s="13" t="s">
        <v>231</v>
      </c>
      <c r="E163" s="12" t="s">
        <v>33</v>
      </c>
      <c r="F163" s="11">
        <v>4</v>
      </c>
      <c r="G163" s="33">
        <f t="shared" si="13"/>
        <v>613.14250000000004</v>
      </c>
      <c r="H163" s="16">
        <v>2452.5700000000002</v>
      </c>
      <c r="I163" s="9"/>
      <c r="J163" s="8"/>
      <c r="K163" s="9">
        <f t="shared" si="10"/>
        <v>0</v>
      </c>
      <c r="L163" s="7"/>
    </row>
    <row r="164" spans="1:12" x14ac:dyDescent="0.2">
      <c r="A164" s="12" t="s">
        <v>230</v>
      </c>
      <c r="B164" s="15" t="s">
        <v>186</v>
      </c>
      <c r="C164" s="14"/>
      <c r="D164" s="13" t="s">
        <v>229</v>
      </c>
      <c r="E164" s="12" t="s">
        <v>77</v>
      </c>
      <c r="F164" s="11">
        <v>2</v>
      </c>
      <c r="G164" s="33">
        <f t="shared" si="13"/>
        <v>28180.82</v>
      </c>
      <c r="H164" s="16">
        <v>56361.64</v>
      </c>
      <c r="I164" s="9"/>
      <c r="J164" s="8"/>
      <c r="K164" s="9">
        <f t="shared" si="10"/>
        <v>0</v>
      </c>
      <c r="L164" s="7"/>
    </row>
    <row r="165" spans="1:12" x14ac:dyDescent="0.2">
      <c r="A165" s="23" t="s">
        <v>128</v>
      </c>
      <c r="B165" s="17"/>
      <c r="C165" s="14"/>
      <c r="D165" s="17"/>
      <c r="E165" s="17"/>
      <c r="F165" s="17"/>
      <c r="G165" s="33"/>
      <c r="H165" s="35"/>
      <c r="I165" s="9"/>
      <c r="J165" s="8"/>
      <c r="K165" s="9"/>
      <c r="L165" s="7"/>
    </row>
    <row r="166" spans="1:12" x14ac:dyDescent="0.2">
      <c r="A166" s="12" t="s">
        <v>228</v>
      </c>
      <c r="B166" s="15" t="s">
        <v>126</v>
      </c>
      <c r="C166" s="14" t="s">
        <v>227</v>
      </c>
      <c r="D166" s="13" t="s">
        <v>123</v>
      </c>
      <c r="E166" s="12" t="s">
        <v>124</v>
      </c>
      <c r="F166" s="11">
        <v>6.13</v>
      </c>
      <c r="G166" s="33">
        <f t="shared" ref="G166:G171" si="14">H166/F166</f>
        <v>14730.665579119086</v>
      </c>
      <c r="H166" s="16">
        <v>90298.98</v>
      </c>
      <c r="I166" s="9"/>
      <c r="J166" s="8"/>
      <c r="K166" s="9">
        <f t="shared" si="10"/>
        <v>0</v>
      </c>
      <c r="L166" s="7"/>
    </row>
    <row r="167" spans="1:12" x14ac:dyDescent="0.2">
      <c r="A167" s="12" t="s">
        <v>226</v>
      </c>
      <c r="B167" s="15" t="s">
        <v>121</v>
      </c>
      <c r="C167" s="14"/>
      <c r="D167" s="13" t="s">
        <v>120</v>
      </c>
      <c r="E167" s="12" t="s">
        <v>14</v>
      </c>
      <c r="F167" s="11">
        <v>67.451999999999998</v>
      </c>
      <c r="G167" s="33">
        <f t="shared" si="14"/>
        <v>825.62711261341394</v>
      </c>
      <c r="H167" s="16">
        <v>55690.2</v>
      </c>
      <c r="I167" s="9"/>
      <c r="J167" s="8"/>
      <c r="K167" s="9">
        <f t="shared" si="10"/>
        <v>0</v>
      </c>
      <c r="L167" s="7"/>
    </row>
    <row r="168" spans="1:12" x14ac:dyDescent="0.2">
      <c r="A168" s="12" t="s">
        <v>225</v>
      </c>
      <c r="B168" s="15" t="s">
        <v>224</v>
      </c>
      <c r="C168" s="14" t="s">
        <v>223</v>
      </c>
      <c r="D168" s="13" t="s">
        <v>222</v>
      </c>
      <c r="E168" s="12" t="s">
        <v>124</v>
      </c>
      <c r="F168" s="11">
        <v>0.18</v>
      </c>
      <c r="G168" s="33">
        <f t="shared" si="14"/>
        <v>15163.5</v>
      </c>
      <c r="H168" s="16">
        <v>2729.43</v>
      </c>
      <c r="I168" s="9"/>
      <c r="J168" s="8"/>
      <c r="K168" s="9">
        <f t="shared" si="10"/>
        <v>0</v>
      </c>
      <c r="L168" s="7"/>
    </row>
    <row r="169" spans="1:12" x14ac:dyDescent="0.2">
      <c r="A169" s="12" t="s">
        <v>221</v>
      </c>
      <c r="B169" s="15" t="s">
        <v>121</v>
      </c>
      <c r="C169" s="14"/>
      <c r="D169" s="13" t="s">
        <v>220</v>
      </c>
      <c r="E169" s="12" t="s">
        <v>14</v>
      </c>
      <c r="F169" s="11">
        <v>2.25</v>
      </c>
      <c r="G169" s="33">
        <f t="shared" si="14"/>
        <v>2685.5466666666666</v>
      </c>
      <c r="H169" s="16">
        <v>6042.48</v>
      </c>
      <c r="I169" s="9"/>
      <c r="J169" s="8"/>
      <c r="K169" s="9">
        <f t="shared" si="10"/>
        <v>0</v>
      </c>
      <c r="L169" s="7"/>
    </row>
    <row r="170" spans="1:12" x14ac:dyDescent="0.2">
      <c r="A170" s="12" t="s">
        <v>219</v>
      </c>
      <c r="B170" s="15" t="s">
        <v>218</v>
      </c>
      <c r="C170" s="14" t="s">
        <v>217</v>
      </c>
      <c r="D170" s="13" t="s">
        <v>216</v>
      </c>
      <c r="E170" s="12" t="s">
        <v>116</v>
      </c>
      <c r="F170" s="11">
        <v>1.32</v>
      </c>
      <c r="G170" s="33">
        <f t="shared" si="14"/>
        <v>736667.59848484839</v>
      </c>
      <c r="H170" s="16">
        <v>972401.23</v>
      </c>
      <c r="I170" s="9"/>
      <c r="J170" s="8"/>
      <c r="K170" s="9">
        <f t="shared" si="10"/>
        <v>0</v>
      </c>
      <c r="L170" s="7"/>
    </row>
    <row r="171" spans="1:12" x14ac:dyDescent="0.2">
      <c r="A171" s="12" t="s">
        <v>215</v>
      </c>
      <c r="B171" s="15" t="s">
        <v>214</v>
      </c>
      <c r="C171" s="14"/>
      <c r="D171" s="13" t="s">
        <v>213</v>
      </c>
      <c r="E171" s="12" t="s">
        <v>37</v>
      </c>
      <c r="F171" s="11">
        <v>133.32</v>
      </c>
      <c r="G171" s="33">
        <f t="shared" si="14"/>
        <v>54361.018451845193</v>
      </c>
      <c r="H171" s="16">
        <v>7247410.9800000004</v>
      </c>
      <c r="I171" s="9"/>
      <c r="J171" s="8"/>
      <c r="K171" s="9">
        <f t="shared" si="10"/>
        <v>0</v>
      </c>
      <c r="L171" s="7"/>
    </row>
    <row r="172" spans="1:12" x14ac:dyDescent="0.2">
      <c r="A172" s="23" t="s">
        <v>111</v>
      </c>
      <c r="B172" s="17"/>
      <c r="C172" s="14"/>
      <c r="D172" s="17"/>
      <c r="E172" s="17"/>
      <c r="F172" s="17"/>
      <c r="G172" s="33"/>
      <c r="H172" s="35"/>
      <c r="I172" s="9"/>
      <c r="J172" s="8"/>
      <c r="K172" s="9"/>
      <c r="L172" s="7"/>
    </row>
    <row r="173" spans="1:12" x14ac:dyDescent="0.2">
      <c r="A173" s="12" t="s">
        <v>212</v>
      </c>
      <c r="B173" s="15" t="s">
        <v>211</v>
      </c>
      <c r="C173" s="14" t="s">
        <v>210</v>
      </c>
      <c r="D173" s="13" t="s">
        <v>209</v>
      </c>
      <c r="E173" s="12" t="s">
        <v>124</v>
      </c>
      <c r="F173" s="11">
        <v>1.1259999999999999</v>
      </c>
      <c r="G173" s="33">
        <f t="shared" ref="G173:G192" si="15">H173/F173</f>
        <v>205544.37833037303</v>
      </c>
      <c r="H173" s="16">
        <v>231442.97</v>
      </c>
      <c r="I173" s="9"/>
      <c r="J173" s="8"/>
      <c r="K173" s="9">
        <f t="shared" si="10"/>
        <v>0</v>
      </c>
      <c r="L173" s="7"/>
    </row>
    <row r="174" spans="1:12" x14ac:dyDescent="0.2">
      <c r="A174" s="12" t="s">
        <v>208</v>
      </c>
      <c r="B174" s="15" t="s">
        <v>207</v>
      </c>
      <c r="C174" s="14"/>
      <c r="D174" s="13" t="s">
        <v>206</v>
      </c>
      <c r="E174" s="12" t="s">
        <v>33</v>
      </c>
      <c r="F174" s="11">
        <v>2</v>
      </c>
      <c r="G174" s="33">
        <f t="shared" si="15"/>
        <v>7412.87</v>
      </c>
      <c r="H174" s="16">
        <v>14825.74</v>
      </c>
      <c r="I174" s="9"/>
      <c r="J174" s="8"/>
      <c r="K174" s="9">
        <f t="shared" si="10"/>
        <v>0</v>
      </c>
      <c r="L174" s="7"/>
    </row>
    <row r="175" spans="1:12" x14ac:dyDescent="0.2">
      <c r="A175" s="12" t="s">
        <v>205</v>
      </c>
      <c r="B175" s="15" t="s">
        <v>94</v>
      </c>
      <c r="C175" s="14"/>
      <c r="D175" s="13" t="s">
        <v>93</v>
      </c>
      <c r="E175" s="12" t="s">
        <v>33</v>
      </c>
      <c r="F175" s="11">
        <v>3</v>
      </c>
      <c r="G175" s="33">
        <f t="shared" si="15"/>
        <v>7129.5566666666664</v>
      </c>
      <c r="H175" s="16">
        <v>21388.67</v>
      </c>
      <c r="I175" s="9"/>
      <c r="J175" s="8"/>
      <c r="K175" s="9">
        <f t="shared" si="10"/>
        <v>0</v>
      </c>
      <c r="L175" s="7"/>
    </row>
    <row r="176" spans="1:12" x14ac:dyDescent="0.2">
      <c r="A176" s="12" t="s">
        <v>204</v>
      </c>
      <c r="B176" s="15" t="s">
        <v>203</v>
      </c>
      <c r="C176" s="14"/>
      <c r="D176" s="13" t="s">
        <v>202</v>
      </c>
      <c r="E176" s="12" t="s">
        <v>33</v>
      </c>
      <c r="F176" s="11">
        <v>3</v>
      </c>
      <c r="G176" s="33">
        <f t="shared" si="15"/>
        <v>7353.4666666666672</v>
      </c>
      <c r="H176" s="16">
        <v>22060.400000000001</v>
      </c>
      <c r="I176" s="9"/>
      <c r="J176" s="8"/>
      <c r="K176" s="9">
        <f t="shared" si="10"/>
        <v>0</v>
      </c>
      <c r="L176" s="7"/>
    </row>
    <row r="177" spans="1:12" x14ac:dyDescent="0.2">
      <c r="A177" s="12" t="s">
        <v>201</v>
      </c>
      <c r="B177" s="15" t="s">
        <v>200</v>
      </c>
      <c r="C177" s="14"/>
      <c r="D177" s="13" t="s">
        <v>199</v>
      </c>
      <c r="E177" s="12" t="s">
        <v>33</v>
      </c>
      <c r="F177" s="11">
        <v>1</v>
      </c>
      <c r="G177" s="33">
        <f t="shared" si="15"/>
        <v>4845.82</v>
      </c>
      <c r="H177" s="16">
        <v>4845.82</v>
      </c>
      <c r="I177" s="9"/>
      <c r="J177" s="8"/>
      <c r="K177" s="9">
        <f t="shared" si="10"/>
        <v>0</v>
      </c>
      <c r="L177" s="7"/>
    </row>
    <row r="178" spans="1:12" x14ac:dyDescent="0.2">
      <c r="A178" s="12" t="s">
        <v>198</v>
      </c>
      <c r="B178" s="15" t="s">
        <v>101</v>
      </c>
      <c r="C178" s="14"/>
      <c r="D178" s="13" t="s">
        <v>100</v>
      </c>
      <c r="E178" s="12" t="s">
        <v>33</v>
      </c>
      <c r="F178" s="11">
        <v>3</v>
      </c>
      <c r="G178" s="33">
        <f t="shared" si="15"/>
        <v>256.46999999999997</v>
      </c>
      <c r="H178" s="16">
        <v>769.41</v>
      </c>
      <c r="I178" s="9"/>
      <c r="J178" s="8"/>
      <c r="K178" s="9">
        <f t="shared" si="10"/>
        <v>0</v>
      </c>
      <c r="L178" s="7"/>
    </row>
    <row r="179" spans="1:12" x14ac:dyDescent="0.2">
      <c r="A179" s="12" t="s">
        <v>197</v>
      </c>
      <c r="B179" s="15" t="s">
        <v>85</v>
      </c>
      <c r="C179" s="14"/>
      <c r="D179" s="13" t="s">
        <v>84</v>
      </c>
      <c r="E179" s="12" t="s">
        <v>33</v>
      </c>
      <c r="F179" s="11">
        <v>3</v>
      </c>
      <c r="G179" s="33">
        <f t="shared" si="15"/>
        <v>4863.6866666666665</v>
      </c>
      <c r="H179" s="16">
        <v>14591.06</v>
      </c>
      <c r="I179" s="9"/>
      <c r="J179" s="8"/>
      <c r="K179" s="9">
        <f t="shared" si="10"/>
        <v>0</v>
      </c>
      <c r="L179" s="7"/>
    </row>
    <row r="180" spans="1:12" x14ac:dyDescent="0.2">
      <c r="A180" s="12" t="s">
        <v>196</v>
      </c>
      <c r="B180" s="15" t="s">
        <v>106</v>
      </c>
      <c r="C180" s="14"/>
      <c r="D180" s="13" t="s">
        <v>105</v>
      </c>
      <c r="E180" s="12" t="s">
        <v>48</v>
      </c>
      <c r="F180" s="11">
        <v>3.9E-2</v>
      </c>
      <c r="G180" s="33">
        <f t="shared" si="15"/>
        <v>101755.1282051282</v>
      </c>
      <c r="H180" s="16">
        <v>3968.45</v>
      </c>
      <c r="I180" s="9"/>
      <c r="J180" s="8"/>
      <c r="K180" s="9">
        <f t="shared" si="10"/>
        <v>0</v>
      </c>
      <c r="L180" s="7"/>
    </row>
    <row r="181" spans="1:12" x14ac:dyDescent="0.2">
      <c r="A181" s="12" t="s">
        <v>195</v>
      </c>
      <c r="B181" s="15" t="s">
        <v>109</v>
      </c>
      <c r="C181" s="14"/>
      <c r="D181" s="13" t="s">
        <v>108</v>
      </c>
      <c r="E181" s="12" t="s">
        <v>48</v>
      </c>
      <c r="F181" s="11">
        <v>2.92E-2</v>
      </c>
      <c r="G181" s="33">
        <f t="shared" si="15"/>
        <v>118369.5205479452</v>
      </c>
      <c r="H181" s="16">
        <v>3456.39</v>
      </c>
      <c r="I181" s="9"/>
      <c r="J181" s="8"/>
      <c r="K181" s="9">
        <f t="shared" si="10"/>
        <v>0</v>
      </c>
      <c r="L181" s="7"/>
    </row>
    <row r="182" spans="1:12" x14ac:dyDescent="0.2">
      <c r="A182" s="12" t="s">
        <v>194</v>
      </c>
      <c r="B182" s="15" t="s">
        <v>106</v>
      </c>
      <c r="C182" s="14"/>
      <c r="D182" s="13" t="s">
        <v>105</v>
      </c>
      <c r="E182" s="12" t="s">
        <v>48</v>
      </c>
      <c r="F182" s="11">
        <v>2.92E-2</v>
      </c>
      <c r="G182" s="33">
        <f t="shared" si="15"/>
        <v>101754.10958904109</v>
      </c>
      <c r="H182" s="16">
        <v>2971.22</v>
      </c>
      <c r="I182" s="9"/>
      <c r="J182" s="8"/>
      <c r="K182" s="9">
        <f t="shared" si="10"/>
        <v>0</v>
      </c>
      <c r="L182" s="7"/>
    </row>
    <row r="183" spans="1:12" x14ac:dyDescent="0.2">
      <c r="A183" s="12" t="s">
        <v>193</v>
      </c>
      <c r="B183" s="15" t="s">
        <v>98</v>
      </c>
      <c r="C183" s="14" t="s">
        <v>97</v>
      </c>
      <c r="D183" s="13" t="s">
        <v>103</v>
      </c>
      <c r="E183" s="12" t="s">
        <v>5</v>
      </c>
      <c r="F183" s="11">
        <v>0.02</v>
      </c>
      <c r="G183" s="33">
        <f t="shared" si="15"/>
        <v>404422.5</v>
      </c>
      <c r="H183" s="16">
        <v>8088.45</v>
      </c>
      <c r="I183" s="9"/>
      <c r="J183" s="8"/>
      <c r="K183" s="9">
        <f t="shared" si="10"/>
        <v>0</v>
      </c>
      <c r="L183" s="7"/>
    </row>
    <row r="184" spans="1:12" x14ac:dyDescent="0.2">
      <c r="A184" s="12" t="s">
        <v>192</v>
      </c>
      <c r="B184" s="15" t="s">
        <v>101</v>
      </c>
      <c r="C184" s="14"/>
      <c r="D184" s="13" t="s">
        <v>100</v>
      </c>
      <c r="E184" s="12" t="s">
        <v>33</v>
      </c>
      <c r="F184" s="11">
        <v>2</v>
      </c>
      <c r="G184" s="33">
        <f t="shared" si="15"/>
        <v>256.47000000000003</v>
      </c>
      <c r="H184" s="16">
        <v>512.94000000000005</v>
      </c>
      <c r="I184" s="9"/>
      <c r="J184" s="8"/>
      <c r="K184" s="9">
        <f t="shared" si="10"/>
        <v>0</v>
      </c>
      <c r="L184" s="7"/>
    </row>
    <row r="185" spans="1:12" x14ac:dyDescent="0.2">
      <c r="A185" s="12" t="s">
        <v>191</v>
      </c>
      <c r="B185" s="15" t="s">
        <v>88</v>
      </c>
      <c r="C185" s="14"/>
      <c r="D185" s="13" t="s">
        <v>87</v>
      </c>
      <c r="E185" s="12" t="s">
        <v>33</v>
      </c>
      <c r="F185" s="11">
        <v>2</v>
      </c>
      <c r="G185" s="33">
        <f t="shared" si="15"/>
        <v>2036.18</v>
      </c>
      <c r="H185" s="16">
        <v>4072.36</v>
      </c>
      <c r="I185" s="9"/>
      <c r="J185" s="8"/>
      <c r="K185" s="9">
        <f t="shared" si="10"/>
        <v>0</v>
      </c>
      <c r="L185" s="7"/>
    </row>
    <row r="186" spans="1:12" x14ac:dyDescent="0.2">
      <c r="A186" s="12" t="s">
        <v>190</v>
      </c>
      <c r="B186" s="15" t="s">
        <v>85</v>
      </c>
      <c r="C186" s="14"/>
      <c r="D186" s="13" t="s">
        <v>84</v>
      </c>
      <c r="E186" s="12" t="s">
        <v>33</v>
      </c>
      <c r="F186" s="11">
        <v>2</v>
      </c>
      <c r="G186" s="33">
        <f t="shared" si="15"/>
        <v>4863.6850000000004</v>
      </c>
      <c r="H186" s="16">
        <v>9727.3700000000008</v>
      </c>
      <c r="I186" s="9"/>
      <c r="J186" s="8"/>
      <c r="K186" s="9">
        <f t="shared" si="10"/>
        <v>0</v>
      </c>
      <c r="L186" s="7"/>
    </row>
    <row r="187" spans="1:12" x14ac:dyDescent="0.2">
      <c r="A187" s="12" t="s">
        <v>189</v>
      </c>
      <c r="B187" s="15" t="s">
        <v>82</v>
      </c>
      <c r="C187" s="14" t="s">
        <v>188</v>
      </c>
      <c r="D187" s="13" t="s">
        <v>80</v>
      </c>
      <c r="E187" s="12" t="s">
        <v>37</v>
      </c>
      <c r="F187" s="11">
        <v>24.5</v>
      </c>
      <c r="G187" s="33">
        <f t="shared" si="15"/>
        <v>12624.484897959184</v>
      </c>
      <c r="H187" s="16">
        <v>309299.88</v>
      </c>
      <c r="I187" s="9"/>
      <c r="J187" s="8"/>
      <c r="K187" s="9">
        <f t="shared" si="10"/>
        <v>0</v>
      </c>
      <c r="L187" s="7"/>
    </row>
    <row r="188" spans="1:12" x14ac:dyDescent="0.2">
      <c r="A188" s="12" t="s">
        <v>187</v>
      </c>
      <c r="B188" s="15" t="s">
        <v>186</v>
      </c>
      <c r="C188" s="14"/>
      <c r="D188" s="13" t="s">
        <v>185</v>
      </c>
      <c r="E188" s="12" t="s">
        <v>77</v>
      </c>
      <c r="F188" s="11">
        <v>3</v>
      </c>
      <c r="G188" s="33">
        <f t="shared" si="15"/>
        <v>28181.179999999997</v>
      </c>
      <c r="H188" s="16">
        <v>84543.54</v>
      </c>
      <c r="I188" s="9"/>
      <c r="J188" s="8"/>
      <c r="K188" s="9">
        <f t="shared" si="10"/>
        <v>0</v>
      </c>
      <c r="L188" s="7"/>
    </row>
    <row r="189" spans="1:12" x14ac:dyDescent="0.2">
      <c r="A189" s="12" t="s">
        <v>184</v>
      </c>
      <c r="B189" s="15" t="s">
        <v>183</v>
      </c>
      <c r="C189" s="14"/>
      <c r="D189" s="13" t="s">
        <v>182</v>
      </c>
      <c r="E189" s="12" t="s">
        <v>33</v>
      </c>
      <c r="F189" s="11">
        <v>6</v>
      </c>
      <c r="G189" s="33">
        <f t="shared" si="15"/>
        <v>44288.4</v>
      </c>
      <c r="H189" s="16">
        <v>265730.40000000002</v>
      </c>
      <c r="I189" s="9"/>
      <c r="J189" s="8"/>
      <c r="K189" s="9">
        <f t="shared" si="10"/>
        <v>0</v>
      </c>
      <c r="L189" s="7"/>
    </row>
    <row r="190" spans="1:12" x14ac:dyDescent="0.2">
      <c r="A190" s="12" t="s">
        <v>181</v>
      </c>
      <c r="B190" s="15" t="s">
        <v>71</v>
      </c>
      <c r="C190" s="14" t="s">
        <v>180</v>
      </c>
      <c r="D190" s="13" t="s">
        <v>69</v>
      </c>
      <c r="E190" s="12" t="s">
        <v>17</v>
      </c>
      <c r="F190" s="11">
        <v>0.73</v>
      </c>
      <c r="G190" s="33">
        <f t="shared" si="15"/>
        <v>34195.753424657538</v>
      </c>
      <c r="H190" s="16">
        <v>24962.9</v>
      </c>
      <c r="I190" s="9"/>
      <c r="J190" s="8"/>
      <c r="K190" s="9">
        <f t="shared" si="10"/>
        <v>0</v>
      </c>
      <c r="L190" s="7"/>
    </row>
    <row r="191" spans="1:12" x14ac:dyDescent="0.2">
      <c r="A191" s="12" t="s">
        <v>179</v>
      </c>
      <c r="B191" s="15" t="s">
        <v>67</v>
      </c>
      <c r="C191" s="14"/>
      <c r="D191" s="13" t="s">
        <v>66</v>
      </c>
      <c r="E191" s="12" t="s">
        <v>48</v>
      </c>
      <c r="F191" s="11">
        <v>0.17519999999999999</v>
      </c>
      <c r="G191" s="33">
        <f t="shared" si="15"/>
        <v>176237.38584474887</v>
      </c>
      <c r="H191" s="16">
        <v>30876.79</v>
      </c>
      <c r="I191" s="9"/>
      <c r="J191" s="8"/>
      <c r="K191" s="9">
        <f t="shared" si="10"/>
        <v>0</v>
      </c>
      <c r="L191" s="7"/>
    </row>
    <row r="192" spans="1:12" x14ac:dyDescent="0.2">
      <c r="A192" s="12" t="s">
        <v>178</v>
      </c>
      <c r="B192" s="15" t="s">
        <v>64</v>
      </c>
      <c r="C192" s="14"/>
      <c r="D192" s="13" t="s">
        <v>63</v>
      </c>
      <c r="E192" s="12" t="s">
        <v>48</v>
      </c>
      <c r="F192" s="11">
        <v>2.5499999999999998E-2</v>
      </c>
      <c r="G192" s="33">
        <f t="shared" si="15"/>
        <v>96985.490196078448</v>
      </c>
      <c r="H192" s="16">
        <v>2473.13</v>
      </c>
      <c r="I192" s="9"/>
      <c r="J192" s="8"/>
      <c r="K192" s="9">
        <f t="shared" si="10"/>
        <v>0</v>
      </c>
      <c r="L192" s="7"/>
    </row>
    <row r="193" spans="1:12" s="19" customFormat="1" x14ac:dyDescent="0.2">
      <c r="A193" s="23" t="s">
        <v>177</v>
      </c>
      <c r="B193" s="23"/>
      <c r="C193" s="24"/>
      <c r="D193" s="23"/>
      <c r="E193" s="23"/>
      <c r="F193" s="23"/>
      <c r="G193" s="34"/>
      <c r="H193" s="32"/>
      <c r="I193" s="22"/>
      <c r="J193" s="21"/>
      <c r="K193" s="9"/>
      <c r="L193" s="20"/>
    </row>
    <row r="194" spans="1:12" s="19" customFormat="1" x14ac:dyDescent="0.2">
      <c r="A194" s="23" t="s">
        <v>176</v>
      </c>
      <c r="B194" s="23"/>
      <c r="C194" s="24"/>
      <c r="D194" s="23"/>
      <c r="E194" s="23"/>
      <c r="F194" s="23"/>
      <c r="G194" s="34"/>
      <c r="H194" s="32"/>
      <c r="I194" s="22"/>
      <c r="J194" s="21"/>
      <c r="K194" s="9"/>
      <c r="L194" s="20"/>
    </row>
    <row r="195" spans="1:12" x14ac:dyDescent="0.2">
      <c r="A195" s="12" t="s">
        <v>175</v>
      </c>
      <c r="B195" s="15" t="s">
        <v>174</v>
      </c>
      <c r="C195" s="14" t="s">
        <v>173</v>
      </c>
      <c r="D195" s="13" t="s">
        <v>172</v>
      </c>
      <c r="E195" s="12" t="s">
        <v>159</v>
      </c>
      <c r="F195" s="11">
        <v>4.4159999999999998E-2</v>
      </c>
      <c r="G195" s="33">
        <f t="shared" ref="G195:G200" si="16">H195/F195</f>
        <v>93088.994565217406</v>
      </c>
      <c r="H195" s="16">
        <v>4110.8100000000004</v>
      </c>
      <c r="I195" s="9"/>
      <c r="J195" s="8"/>
      <c r="K195" s="9">
        <f t="shared" si="10"/>
        <v>0</v>
      </c>
      <c r="L195" s="7"/>
    </row>
    <row r="196" spans="1:12" x14ac:dyDescent="0.2">
      <c r="A196" s="12" t="s">
        <v>171</v>
      </c>
      <c r="B196" s="15" t="s">
        <v>170</v>
      </c>
      <c r="C196" s="14" t="s">
        <v>169</v>
      </c>
      <c r="D196" s="13" t="s">
        <v>168</v>
      </c>
      <c r="E196" s="12" t="s">
        <v>159</v>
      </c>
      <c r="F196" s="11">
        <v>0.17244000000000001</v>
      </c>
      <c r="G196" s="33">
        <f t="shared" si="16"/>
        <v>149458.9422407794</v>
      </c>
      <c r="H196" s="16">
        <v>25772.7</v>
      </c>
      <c r="I196" s="9">
        <f>157.73/1000</f>
        <v>0.15772999999999998</v>
      </c>
      <c r="J196" s="18">
        <f>I196</f>
        <v>0.15772999999999998</v>
      </c>
      <c r="K196" s="9">
        <f t="shared" si="10"/>
        <v>23574.158959638131</v>
      </c>
      <c r="L196" s="7"/>
    </row>
    <row r="197" spans="1:12" x14ac:dyDescent="0.2">
      <c r="A197" s="12" t="s">
        <v>167</v>
      </c>
      <c r="B197" s="15" t="s">
        <v>166</v>
      </c>
      <c r="C197" s="14" t="s">
        <v>165</v>
      </c>
      <c r="D197" s="13" t="s">
        <v>163</v>
      </c>
      <c r="E197" s="12" t="s">
        <v>164</v>
      </c>
      <c r="F197" s="11">
        <v>6.7000000000000004E-2</v>
      </c>
      <c r="G197" s="33">
        <f t="shared" si="16"/>
        <v>190316.26865671642</v>
      </c>
      <c r="H197" s="16">
        <v>12751.19</v>
      </c>
      <c r="I197" s="9">
        <f>4.88/100</f>
        <v>4.8799999999999996E-2</v>
      </c>
      <c r="J197" s="18">
        <f>I197</f>
        <v>4.8799999999999996E-2</v>
      </c>
      <c r="K197" s="9">
        <f t="shared" ref="K197:K229" si="17">G197*J197</f>
        <v>9287.4339104477604</v>
      </c>
      <c r="L197" s="7"/>
    </row>
    <row r="198" spans="1:12" x14ac:dyDescent="0.2">
      <c r="A198" s="12" t="s">
        <v>162</v>
      </c>
      <c r="B198" s="15" t="s">
        <v>161</v>
      </c>
      <c r="C198" s="14" t="s">
        <v>160</v>
      </c>
      <c r="D198" s="13" t="s">
        <v>158</v>
      </c>
      <c r="E198" s="12" t="s">
        <v>159</v>
      </c>
      <c r="F198" s="11">
        <v>0.20601</v>
      </c>
      <c r="G198" s="33">
        <f t="shared" si="16"/>
        <v>17011.989709237416</v>
      </c>
      <c r="H198" s="16">
        <v>3504.64</v>
      </c>
      <c r="I198" s="9">
        <f>141.34/1000</f>
        <v>0.14133999999999999</v>
      </c>
      <c r="J198" s="18">
        <f>I198</f>
        <v>0.14133999999999999</v>
      </c>
      <c r="K198" s="9">
        <f t="shared" si="17"/>
        <v>2404.4746255036162</v>
      </c>
      <c r="L198" s="7"/>
    </row>
    <row r="199" spans="1:12" x14ac:dyDescent="0.2">
      <c r="A199" s="12" t="s">
        <v>157</v>
      </c>
      <c r="B199" s="15" t="s">
        <v>121</v>
      </c>
      <c r="C199" s="14"/>
      <c r="D199" s="13" t="s">
        <v>120</v>
      </c>
      <c r="E199" s="12" t="s">
        <v>14</v>
      </c>
      <c r="F199" s="11">
        <v>170.72</v>
      </c>
      <c r="G199" s="33">
        <f t="shared" si="16"/>
        <v>825.62693298969077</v>
      </c>
      <c r="H199" s="16">
        <v>140951.03</v>
      </c>
      <c r="I199" s="9">
        <f>141.34*1.1</f>
        <v>155.47400000000002</v>
      </c>
      <c r="J199" s="18">
        <f>I199</f>
        <v>155.47400000000002</v>
      </c>
      <c r="K199" s="9">
        <f t="shared" si="17"/>
        <v>128363.5217796392</v>
      </c>
      <c r="L199" s="7"/>
    </row>
    <row r="200" spans="1:12" x14ac:dyDescent="0.2">
      <c r="A200" s="12" t="s">
        <v>156</v>
      </c>
      <c r="B200" s="15" t="s">
        <v>155</v>
      </c>
      <c r="C200" s="14"/>
      <c r="D200" s="13" t="s">
        <v>154</v>
      </c>
      <c r="E200" s="12" t="s">
        <v>14</v>
      </c>
      <c r="F200" s="11">
        <v>172.44</v>
      </c>
      <c r="G200" s="33">
        <f t="shared" si="16"/>
        <v>1325.0209348179076</v>
      </c>
      <c r="H200" s="16">
        <v>228486.61</v>
      </c>
      <c r="I200" s="9"/>
      <c r="J200" s="8">
        <f>J196*1000+J197*100</f>
        <v>162.60999999999999</v>
      </c>
      <c r="K200" s="9">
        <f t="shared" si="17"/>
        <v>215461.65421073994</v>
      </c>
      <c r="L200" s="7"/>
    </row>
    <row r="201" spans="1:12" s="19" customFormat="1" x14ac:dyDescent="0.2">
      <c r="A201" s="23" t="s">
        <v>153</v>
      </c>
      <c r="B201" s="23"/>
      <c r="C201" s="24"/>
      <c r="D201" s="23"/>
      <c r="E201" s="23"/>
      <c r="F201" s="23"/>
      <c r="G201" s="34"/>
      <c r="H201" s="32"/>
      <c r="I201" s="22"/>
      <c r="J201" s="21"/>
      <c r="K201" s="9"/>
      <c r="L201" s="20"/>
    </row>
    <row r="202" spans="1:12" x14ac:dyDescent="0.2">
      <c r="A202" s="12" t="s">
        <v>152</v>
      </c>
      <c r="B202" s="15" t="s">
        <v>151</v>
      </c>
      <c r="C202" s="14" t="s">
        <v>137</v>
      </c>
      <c r="D202" s="13" t="s">
        <v>150</v>
      </c>
      <c r="E202" s="12" t="s">
        <v>116</v>
      </c>
      <c r="F202" s="11">
        <v>0.06</v>
      </c>
      <c r="G202" s="33">
        <f t="shared" ref="G202:G208" si="18">H202/F202</f>
        <v>346451.83333333337</v>
      </c>
      <c r="H202" s="16">
        <v>20787.11</v>
      </c>
      <c r="I202" s="25">
        <f>8/100</f>
        <v>0.08</v>
      </c>
      <c r="J202" s="18">
        <f t="shared" ref="J202:J208" si="19">F202</f>
        <v>0.06</v>
      </c>
      <c r="K202" s="9">
        <f t="shared" si="17"/>
        <v>20787.11</v>
      </c>
      <c r="L202" s="7"/>
    </row>
    <row r="203" spans="1:12" x14ac:dyDescent="0.2">
      <c r="A203" s="12" t="s">
        <v>149</v>
      </c>
      <c r="B203" s="15" t="s">
        <v>148</v>
      </c>
      <c r="C203" s="14"/>
      <c r="D203" s="13" t="s">
        <v>147</v>
      </c>
      <c r="E203" s="12" t="s">
        <v>37</v>
      </c>
      <c r="F203" s="11">
        <v>6.06</v>
      </c>
      <c r="G203" s="33">
        <f t="shared" si="18"/>
        <v>15398.74092409241</v>
      </c>
      <c r="H203" s="16">
        <v>93316.37</v>
      </c>
      <c r="I203" s="25">
        <v>8</v>
      </c>
      <c r="J203" s="18">
        <f t="shared" si="19"/>
        <v>6.06</v>
      </c>
      <c r="K203" s="9">
        <f t="shared" si="17"/>
        <v>93316.37</v>
      </c>
      <c r="L203" s="7"/>
    </row>
    <row r="204" spans="1:12" x14ac:dyDescent="0.2">
      <c r="A204" s="12" t="s">
        <v>146</v>
      </c>
      <c r="B204" s="15" t="s">
        <v>145</v>
      </c>
      <c r="C204" s="14" t="s">
        <v>144</v>
      </c>
      <c r="D204" s="13" t="s">
        <v>143</v>
      </c>
      <c r="E204" s="12" t="s">
        <v>29</v>
      </c>
      <c r="F204" s="11">
        <v>6.0000000000000001E-3</v>
      </c>
      <c r="G204" s="33">
        <f t="shared" si="18"/>
        <v>2391221.6666666665</v>
      </c>
      <c r="H204" s="16">
        <v>14347.33</v>
      </c>
      <c r="I204" s="9"/>
      <c r="J204" s="18">
        <f t="shared" si="19"/>
        <v>6.0000000000000001E-3</v>
      </c>
      <c r="K204" s="9">
        <f t="shared" si="17"/>
        <v>14347.33</v>
      </c>
      <c r="L204" s="7"/>
    </row>
    <row r="205" spans="1:12" x14ac:dyDescent="0.2">
      <c r="A205" s="12" t="s">
        <v>142</v>
      </c>
      <c r="B205" s="15" t="s">
        <v>141</v>
      </c>
      <c r="C205" s="14"/>
      <c r="D205" s="13" t="s">
        <v>140</v>
      </c>
      <c r="E205" s="12" t="s">
        <v>48</v>
      </c>
      <c r="F205" s="11">
        <v>0.1464</v>
      </c>
      <c r="G205" s="33">
        <f t="shared" si="18"/>
        <v>358896.17486338801</v>
      </c>
      <c r="H205" s="16">
        <v>52542.400000000001</v>
      </c>
      <c r="I205" s="9"/>
      <c r="J205" s="18">
        <f t="shared" si="19"/>
        <v>0.1464</v>
      </c>
      <c r="K205" s="9">
        <f t="shared" si="17"/>
        <v>52542.400000000001</v>
      </c>
      <c r="L205" s="7"/>
    </row>
    <row r="206" spans="1:12" x14ac:dyDescent="0.2">
      <c r="A206" s="12" t="s">
        <v>139</v>
      </c>
      <c r="B206" s="15" t="s">
        <v>138</v>
      </c>
      <c r="C206" s="14" t="s">
        <v>137</v>
      </c>
      <c r="D206" s="13" t="s">
        <v>135</v>
      </c>
      <c r="E206" s="12" t="s">
        <v>136</v>
      </c>
      <c r="F206" s="11">
        <v>0.06</v>
      </c>
      <c r="G206" s="33">
        <f t="shared" si="18"/>
        <v>209697</v>
      </c>
      <c r="H206" s="16">
        <v>12581.82</v>
      </c>
      <c r="I206" s="9"/>
      <c r="J206" s="18">
        <f t="shared" si="19"/>
        <v>0.06</v>
      </c>
      <c r="K206" s="9">
        <f t="shared" si="17"/>
        <v>12581.82</v>
      </c>
      <c r="L206" s="7"/>
    </row>
    <row r="207" spans="1:12" x14ac:dyDescent="0.2">
      <c r="A207" s="12" t="s">
        <v>134</v>
      </c>
      <c r="B207" s="15" t="s">
        <v>133</v>
      </c>
      <c r="C207" s="14"/>
      <c r="D207" s="13" t="s">
        <v>132</v>
      </c>
      <c r="E207" s="12" t="s">
        <v>33</v>
      </c>
      <c r="F207" s="11">
        <v>2</v>
      </c>
      <c r="G207" s="33">
        <f t="shared" si="18"/>
        <v>230.44</v>
      </c>
      <c r="H207" s="16">
        <v>460.88</v>
      </c>
      <c r="I207" s="25">
        <v>4</v>
      </c>
      <c r="J207" s="18">
        <f t="shared" si="19"/>
        <v>2</v>
      </c>
      <c r="K207" s="9">
        <f t="shared" si="17"/>
        <v>460.88</v>
      </c>
      <c r="L207" s="7"/>
    </row>
    <row r="208" spans="1:12" x14ac:dyDescent="0.2">
      <c r="A208" s="12" t="s">
        <v>131</v>
      </c>
      <c r="B208" s="15" t="s">
        <v>130</v>
      </c>
      <c r="C208" s="14"/>
      <c r="D208" s="13" t="s">
        <v>129</v>
      </c>
      <c r="E208" s="12" t="s">
        <v>77</v>
      </c>
      <c r="F208" s="11">
        <v>1</v>
      </c>
      <c r="G208" s="33">
        <f t="shared" si="18"/>
        <v>17293.810000000001</v>
      </c>
      <c r="H208" s="16">
        <v>17293.810000000001</v>
      </c>
      <c r="I208" s="9"/>
      <c r="J208" s="18">
        <f t="shared" si="19"/>
        <v>1</v>
      </c>
      <c r="K208" s="9">
        <f t="shared" si="17"/>
        <v>17293.810000000001</v>
      </c>
      <c r="L208" s="7"/>
    </row>
    <row r="209" spans="1:12" s="19" customFormat="1" x14ac:dyDescent="0.2">
      <c r="A209" s="23" t="s">
        <v>128</v>
      </c>
      <c r="B209" s="23"/>
      <c r="C209" s="24"/>
      <c r="D209" s="23"/>
      <c r="E209" s="23"/>
      <c r="F209" s="23"/>
      <c r="G209" s="34"/>
      <c r="H209" s="32"/>
      <c r="I209" s="22"/>
      <c r="J209" s="21"/>
      <c r="K209" s="9"/>
      <c r="L209" s="20"/>
    </row>
    <row r="210" spans="1:12" x14ac:dyDescent="0.2">
      <c r="A210" s="12" t="s">
        <v>127</v>
      </c>
      <c r="B210" s="15" t="s">
        <v>126</v>
      </c>
      <c r="C210" s="14" t="s">
        <v>125</v>
      </c>
      <c r="D210" s="13" t="s">
        <v>123</v>
      </c>
      <c r="E210" s="12" t="s">
        <v>124</v>
      </c>
      <c r="F210" s="11">
        <v>0.75800000000000001</v>
      </c>
      <c r="G210" s="33">
        <f>H210/F210</f>
        <v>14730.092348284959</v>
      </c>
      <c r="H210" s="16">
        <v>11165.41</v>
      </c>
      <c r="I210" s="9">
        <v>0.52</v>
      </c>
      <c r="J210" s="18">
        <f>I210</f>
        <v>0.52</v>
      </c>
      <c r="K210" s="9">
        <f t="shared" si="17"/>
        <v>7659.6480211081789</v>
      </c>
      <c r="L210" s="7"/>
    </row>
    <row r="211" spans="1:12" x14ac:dyDescent="0.2">
      <c r="A211" s="12" t="s">
        <v>122</v>
      </c>
      <c r="B211" s="15" t="s">
        <v>121</v>
      </c>
      <c r="C211" s="14"/>
      <c r="D211" s="13" t="s">
        <v>120</v>
      </c>
      <c r="E211" s="12" t="s">
        <v>14</v>
      </c>
      <c r="F211" s="11">
        <v>8.34</v>
      </c>
      <c r="G211" s="33">
        <f>H211/F211</f>
        <v>825.62709832134294</v>
      </c>
      <c r="H211" s="16">
        <v>6885.73</v>
      </c>
      <c r="I211" s="9">
        <f>I210*10*1.1</f>
        <v>5.7200000000000006</v>
      </c>
      <c r="J211" s="18">
        <f>I211</f>
        <v>5.7200000000000006</v>
      </c>
      <c r="K211" s="9">
        <f t="shared" si="17"/>
        <v>4722.5870023980824</v>
      </c>
      <c r="L211" s="7"/>
    </row>
    <row r="212" spans="1:12" x14ac:dyDescent="0.2">
      <c r="A212" s="12" t="s">
        <v>119</v>
      </c>
      <c r="B212" s="15" t="s">
        <v>118</v>
      </c>
      <c r="C212" s="14" t="s">
        <v>117</v>
      </c>
      <c r="D212" s="13" t="s">
        <v>115</v>
      </c>
      <c r="E212" s="12" t="s">
        <v>116</v>
      </c>
      <c r="F212" s="11">
        <v>0.31</v>
      </c>
      <c r="G212" s="33">
        <f>H212/F212</f>
        <v>303888.58064516133</v>
      </c>
      <c r="H212" s="16">
        <v>94205.46</v>
      </c>
      <c r="I212" s="9">
        <f>30.3/100</f>
        <v>0.30299999999999999</v>
      </c>
      <c r="J212" s="18">
        <f>I212</f>
        <v>0.30299999999999999</v>
      </c>
      <c r="K212" s="9">
        <f t="shared" si="17"/>
        <v>92078.239935483885</v>
      </c>
      <c r="L212" s="7"/>
    </row>
    <row r="213" spans="1:12" x14ac:dyDescent="0.2">
      <c r="A213" s="12" t="s">
        <v>114</v>
      </c>
      <c r="B213" s="15" t="s">
        <v>113</v>
      </c>
      <c r="C213" s="14"/>
      <c r="D213" s="13" t="s">
        <v>112</v>
      </c>
      <c r="E213" s="12" t="s">
        <v>37</v>
      </c>
      <c r="F213" s="11">
        <v>31.31</v>
      </c>
      <c r="G213" s="33">
        <f>H213/F213</f>
        <v>10177.784733312041</v>
      </c>
      <c r="H213" s="16">
        <v>318666.44</v>
      </c>
      <c r="I213" s="9">
        <v>30.3</v>
      </c>
      <c r="J213" s="18">
        <f>I213</f>
        <v>30.3</v>
      </c>
      <c r="K213" s="9">
        <f t="shared" si="17"/>
        <v>308386.87741935486</v>
      </c>
      <c r="L213" s="7"/>
    </row>
    <row r="214" spans="1:12" x14ac:dyDescent="0.2">
      <c r="A214" s="23" t="s">
        <v>111</v>
      </c>
      <c r="B214" s="17"/>
      <c r="C214" s="14"/>
      <c r="D214" s="17"/>
      <c r="E214" s="17"/>
      <c r="F214" s="17"/>
      <c r="G214" s="33"/>
      <c r="H214" s="35"/>
      <c r="I214" s="9"/>
      <c r="J214" s="8"/>
      <c r="K214" s="9"/>
      <c r="L214" s="7"/>
    </row>
    <row r="215" spans="1:12" x14ac:dyDescent="0.2">
      <c r="A215" s="12" t="s">
        <v>110</v>
      </c>
      <c r="B215" s="15" t="s">
        <v>109</v>
      </c>
      <c r="C215" s="14"/>
      <c r="D215" s="13" t="s">
        <v>108</v>
      </c>
      <c r="E215" s="12" t="s">
        <v>48</v>
      </c>
      <c r="F215" s="11">
        <v>1.95E-2</v>
      </c>
      <c r="G215" s="33">
        <f t="shared" ref="G215:G229" si="20">H215/F215</f>
        <v>118360</v>
      </c>
      <c r="H215" s="16">
        <v>2308.02</v>
      </c>
      <c r="I215" s="9"/>
      <c r="J215" s="8"/>
      <c r="K215" s="9">
        <f t="shared" si="17"/>
        <v>0</v>
      </c>
      <c r="L215" s="7"/>
    </row>
    <row r="216" spans="1:12" x14ac:dyDescent="0.2">
      <c r="A216" s="12" t="s">
        <v>107</v>
      </c>
      <c r="B216" s="15" t="s">
        <v>106</v>
      </c>
      <c r="C216" s="14"/>
      <c r="D216" s="13" t="s">
        <v>105</v>
      </c>
      <c r="E216" s="12" t="s">
        <v>48</v>
      </c>
      <c r="F216" s="11">
        <v>1.95E-2</v>
      </c>
      <c r="G216" s="33">
        <f t="shared" si="20"/>
        <v>101757.43589743589</v>
      </c>
      <c r="H216" s="16">
        <v>1984.27</v>
      </c>
      <c r="I216" s="9"/>
      <c r="J216" s="8"/>
      <c r="K216" s="9">
        <f t="shared" si="17"/>
        <v>0</v>
      </c>
      <c r="L216" s="7"/>
    </row>
    <row r="217" spans="1:12" x14ac:dyDescent="0.2">
      <c r="A217" s="12" t="s">
        <v>104</v>
      </c>
      <c r="B217" s="15" t="s">
        <v>98</v>
      </c>
      <c r="C217" s="14" t="s">
        <v>97</v>
      </c>
      <c r="D217" s="13" t="s">
        <v>103</v>
      </c>
      <c r="E217" s="12" t="s">
        <v>5</v>
      </c>
      <c r="F217" s="11">
        <v>0.02</v>
      </c>
      <c r="G217" s="33">
        <f t="shared" si="20"/>
        <v>404422.5</v>
      </c>
      <c r="H217" s="16">
        <v>8088.45</v>
      </c>
      <c r="I217" s="9"/>
      <c r="J217" s="8"/>
      <c r="K217" s="9">
        <f t="shared" si="17"/>
        <v>0</v>
      </c>
      <c r="L217" s="7"/>
    </row>
    <row r="218" spans="1:12" x14ac:dyDescent="0.2">
      <c r="A218" s="12" t="s">
        <v>102</v>
      </c>
      <c r="B218" s="15" t="s">
        <v>101</v>
      </c>
      <c r="C218" s="14"/>
      <c r="D218" s="13" t="s">
        <v>100</v>
      </c>
      <c r="E218" s="12" t="s">
        <v>33</v>
      </c>
      <c r="F218" s="11">
        <v>2</v>
      </c>
      <c r="G218" s="33">
        <f t="shared" si="20"/>
        <v>256.47000000000003</v>
      </c>
      <c r="H218" s="16">
        <v>512.94000000000005</v>
      </c>
      <c r="I218" s="9"/>
      <c r="J218" s="8"/>
      <c r="K218" s="9">
        <f t="shared" si="17"/>
        <v>0</v>
      </c>
      <c r="L218" s="7"/>
    </row>
    <row r="219" spans="1:12" x14ac:dyDescent="0.2">
      <c r="A219" s="12" t="s">
        <v>99</v>
      </c>
      <c r="B219" s="15" t="s">
        <v>98</v>
      </c>
      <c r="C219" s="14" t="s">
        <v>97</v>
      </c>
      <c r="D219" s="13" t="s">
        <v>96</v>
      </c>
      <c r="E219" s="12" t="s">
        <v>5</v>
      </c>
      <c r="F219" s="11">
        <v>0.02</v>
      </c>
      <c r="G219" s="33">
        <f t="shared" si="20"/>
        <v>404422.5</v>
      </c>
      <c r="H219" s="16">
        <v>8088.45</v>
      </c>
      <c r="I219" s="9"/>
      <c r="J219" s="8"/>
      <c r="K219" s="9">
        <f t="shared" si="17"/>
        <v>0</v>
      </c>
      <c r="L219" s="7"/>
    </row>
    <row r="220" spans="1:12" x14ac:dyDescent="0.2">
      <c r="A220" s="12" t="s">
        <v>95</v>
      </c>
      <c r="B220" s="15" t="s">
        <v>94</v>
      </c>
      <c r="C220" s="14"/>
      <c r="D220" s="13" t="s">
        <v>93</v>
      </c>
      <c r="E220" s="12" t="s">
        <v>33</v>
      </c>
      <c r="F220" s="11">
        <v>1</v>
      </c>
      <c r="G220" s="33">
        <f t="shared" si="20"/>
        <v>7129.56</v>
      </c>
      <c r="H220" s="16">
        <v>7129.56</v>
      </c>
      <c r="I220" s="9"/>
      <c r="J220" s="8"/>
      <c r="K220" s="9">
        <f t="shared" si="17"/>
        <v>0</v>
      </c>
      <c r="L220" s="7"/>
    </row>
    <row r="221" spans="1:12" x14ac:dyDescent="0.2">
      <c r="A221" s="12" t="s">
        <v>92</v>
      </c>
      <c r="B221" s="15" t="s">
        <v>91</v>
      </c>
      <c r="C221" s="14"/>
      <c r="D221" s="13" t="s">
        <v>90</v>
      </c>
      <c r="E221" s="12" t="s">
        <v>33</v>
      </c>
      <c r="F221" s="11">
        <v>1</v>
      </c>
      <c r="G221" s="33">
        <f t="shared" si="20"/>
        <v>975.12</v>
      </c>
      <c r="H221" s="16">
        <v>975.12</v>
      </c>
      <c r="I221" s="9"/>
      <c r="J221" s="8"/>
      <c r="K221" s="9">
        <f t="shared" si="17"/>
        <v>0</v>
      </c>
      <c r="L221" s="7"/>
    </row>
    <row r="222" spans="1:12" x14ac:dyDescent="0.2">
      <c r="A222" s="12" t="s">
        <v>89</v>
      </c>
      <c r="B222" s="15" t="s">
        <v>88</v>
      </c>
      <c r="C222" s="14"/>
      <c r="D222" s="13" t="s">
        <v>87</v>
      </c>
      <c r="E222" s="12" t="s">
        <v>33</v>
      </c>
      <c r="F222" s="11">
        <v>2</v>
      </c>
      <c r="G222" s="33">
        <f t="shared" si="20"/>
        <v>2036.18</v>
      </c>
      <c r="H222" s="16">
        <v>4072.36</v>
      </c>
      <c r="I222" s="9"/>
      <c r="J222" s="8"/>
      <c r="K222" s="9">
        <f t="shared" si="17"/>
        <v>0</v>
      </c>
      <c r="L222" s="7"/>
    </row>
    <row r="223" spans="1:12" x14ac:dyDescent="0.2">
      <c r="A223" s="12" t="s">
        <v>86</v>
      </c>
      <c r="B223" s="15" t="s">
        <v>85</v>
      </c>
      <c r="C223" s="14"/>
      <c r="D223" s="13" t="s">
        <v>84</v>
      </c>
      <c r="E223" s="12" t="s">
        <v>33</v>
      </c>
      <c r="F223" s="11">
        <v>2</v>
      </c>
      <c r="G223" s="33">
        <f t="shared" si="20"/>
        <v>4863.6850000000004</v>
      </c>
      <c r="H223" s="16">
        <v>9727.3700000000008</v>
      </c>
      <c r="I223" s="9"/>
      <c r="J223" s="8"/>
      <c r="K223" s="9">
        <f t="shared" si="17"/>
        <v>0</v>
      </c>
      <c r="L223" s="7"/>
    </row>
    <row r="224" spans="1:12" x14ac:dyDescent="0.2">
      <c r="A224" s="12" t="s">
        <v>83</v>
      </c>
      <c r="B224" s="15" t="s">
        <v>82</v>
      </c>
      <c r="C224" s="14" t="s">
        <v>81</v>
      </c>
      <c r="D224" s="13" t="s">
        <v>80</v>
      </c>
      <c r="E224" s="12" t="s">
        <v>37</v>
      </c>
      <c r="F224" s="11">
        <v>4.2</v>
      </c>
      <c r="G224" s="33">
        <f t="shared" si="20"/>
        <v>12624.65</v>
      </c>
      <c r="H224" s="16">
        <v>53023.53</v>
      </c>
      <c r="I224" s="9"/>
      <c r="J224" s="8"/>
      <c r="K224" s="9">
        <f t="shared" si="17"/>
        <v>0</v>
      </c>
      <c r="L224" s="7"/>
    </row>
    <row r="225" spans="1:12" x14ac:dyDescent="0.2">
      <c r="A225" s="12" t="s">
        <v>79</v>
      </c>
      <c r="B225" s="15" t="s">
        <v>78</v>
      </c>
      <c r="C225" s="14"/>
      <c r="D225" s="13" t="s">
        <v>76</v>
      </c>
      <c r="E225" s="12" t="s">
        <v>77</v>
      </c>
      <c r="F225" s="11">
        <v>1</v>
      </c>
      <c r="G225" s="33">
        <f t="shared" si="20"/>
        <v>12209.45</v>
      </c>
      <c r="H225" s="16">
        <v>12209.45</v>
      </c>
      <c r="I225" s="9"/>
      <c r="J225" s="8"/>
      <c r="K225" s="9">
        <f t="shared" si="17"/>
        <v>0</v>
      </c>
      <c r="L225" s="7"/>
    </row>
    <row r="226" spans="1:12" x14ac:dyDescent="0.2">
      <c r="A226" s="12" t="s">
        <v>75</v>
      </c>
      <c r="B226" s="15" t="s">
        <v>74</v>
      </c>
      <c r="C226" s="14"/>
      <c r="D226" s="13" t="s">
        <v>73</v>
      </c>
      <c r="E226" s="12" t="s">
        <v>33</v>
      </c>
      <c r="F226" s="11">
        <v>2</v>
      </c>
      <c r="G226" s="33">
        <f t="shared" si="20"/>
        <v>11705.844999999999</v>
      </c>
      <c r="H226" s="16">
        <v>23411.69</v>
      </c>
      <c r="I226" s="9"/>
      <c r="J226" s="8"/>
      <c r="K226" s="9">
        <f t="shared" si="17"/>
        <v>0</v>
      </c>
      <c r="L226" s="7"/>
    </row>
    <row r="227" spans="1:12" x14ac:dyDescent="0.2">
      <c r="A227" s="12" t="s">
        <v>72</v>
      </c>
      <c r="B227" s="15" t="s">
        <v>71</v>
      </c>
      <c r="C227" s="14" t="s">
        <v>70</v>
      </c>
      <c r="D227" s="13" t="s">
        <v>69</v>
      </c>
      <c r="E227" s="12" t="s">
        <v>17</v>
      </c>
      <c r="F227" s="11">
        <v>0.18</v>
      </c>
      <c r="G227" s="33">
        <f t="shared" si="20"/>
        <v>34194.166666666664</v>
      </c>
      <c r="H227" s="16">
        <v>6154.95</v>
      </c>
      <c r="I227" s="9"/>
      <c r="J227" s="8"/>
      <c r="K227" s="9">
        <f t="shared" si="17"/>
        <v>0</v>
      </c>
      <c r="L227" s="7"/>
    </row>
    <row r="228" spans="1:12" x14ac:dyDescent="0.2">
      <c r="A228" s="12" t="s">
        <v>68</v>
      </c>
      <c r="B228" s="15" t="s">
        <v>67</v>
      </c>
      <c r="C228" s="14"/>
      <c r="D228" s="13" t="s">
        <v>66</v>
      </c>
      <c r="E228" s="12" t="s">
        <v>48</v>
      </c>
      <c r="F228" s="11">
        <v>4.3200000000000002E-2</v>
      </c>
      <c r="G228" s="33">
        <f t="shared" si="20"/>
        <v>176237.03703703702</v>
      </c>
      <c r="H228" s="16">
        <v>7613.44</v>
      </c>
      <c r="I228" s="9"/>
      <c r="J228" s="8"/>
      <c r="K228" s="9">
        <f t="shared" si="17"/>
        <v>0</v>
      </c>
      <c r="L228" s="7"/>
    </row>
    <row r="229" spans="1:12" x14ac:dyDescent="0.2">
      <c r="A229" s="12" t="s">
        <v>65</v>
      </c>
      <c r="B229" s="15" t="s">
        <v>64</v>
      </c>
      <c r="C229" s="14"/>
      <c r="D229" s="13" t="s">
        <v>63</v>
      </c>
      <c r="E229" s="12" t="s">
        <v>48</v>
      </c>
      <c r="F229" s="11">
        <v>6.3800000000000003E-3</v>
      </c>
      <c r="G229" s="33">
        <f t="shared" si="20"/>
        <v>96985.893416927895</v>
      </c>
      <c r="H229" s="16">
        <v>618.77</v>
      </c>
      <c r="I229" s="9"/>
      <c r="J229" s="8"/>
      <c r="K229" s="9">
        <f t="shared" si="17"/>
        <v>0</v>
      </c>
      <c r="L229" s="7"/>
    </row>
    <row r="230" spans="1:12" x14ac:dyDescent="0.2">
      <c r="A230" s="1"/>
      <c r="F230" s="2"/>
      <c r="H230" s="22">
        <f>SUM(H4:H229)</f>
        <v>21996729.179999989</v>
      </c>
      <c r="K230" s="22">
        <f>SUM(K4:K229)</f>
        <v>1003268.3158643136</v>
      </c>
    </row>
    <row r="231" spans="1:12" x14ac:dyDescent="0.2">
      <c r="A231" s="1"/>
      <c r="B231" s="6"/>
      <c r="E231" s="6"/>
      <c r="G231" s="5" t="s">
        <v>62</v>
      </c>
      <c r="H231" s="5">
        <f>H230*0.082+H230</f>
        <v>23800460.972759988</v>
      </c>
      <c r="K231" s="5">
        <f>K230*0.082+K230</f>
        <v>1085536.3177651872</v>
      </c>
    </row>
    <row r="232" spans="1:12" x14ac:dyDescent="0.2">
      <c r="G232" s="5" t="s">
        <v>61</v>
      </c>
      <c r="H232" s="5">
        <f>H231*0.024+H231</f>
        <v>24371672.036106229</v>
      </c>
      <c r="K232" s="5">
        <f>K231*0.024+K231</f>
        <v>1111589.1893915518</v>
      </c>
    </row>
    <row r="233" spans="1:12" x14ac:dyDescent="0.2">
      <c r="G233" s="5" t="s">
        <v>60</v>
      </c>
      <c r="H233" s="5">
        <f>H232*1.05136042</f>
        <v>25623411.347982898</v>
      </c>
      <c r="K233" s="5">
        <f>K232*1.05136042</f>
        <v>1168680.8770261614</v>
      </c>
    </row>
    <row r="234" spans="1:12" x14ac:dyDescent="0.2">
      <c r="G234" s="5" t="s">
        <v>59</v>
      </c>
      <c r="H234" s="5">
        <f>H233*0.2</f>
        <v>5124682.2695965804</v>
      </c>
      <c r="K234" s="5">
        <f>K233*0.2</f>
        <v>233736.17540523229</v>
      </c>
    </row>
    <row r="235" spans="1:12" x14ac:dyDescent="0.2">
      <c r="G235" s="29" t="s">
        <v>58</v>
      </c>
      <c r="H235" s="5">
        <f>H233+H234</f>
        <v>30748093.617579479</v>
      </c>
      <c r="K235" s="5">
        <f>K233+K234</f>
        <v>1402417.0524313936</v>
      </c>
    </row>
    <row r="376" spans="10:10" x14ac:dyDescent="0.2">
      <c r="J376" s="2">
        <f>SUBTOTAL(9,J4:J229)</f>
        <v>364.60727000000003</v>
      </c>
    </row>
    <row r="377" spans="10:10" x14ac:dyDescent="0.2">
      <c r="J377" s="4">
        <f>J376*0.082+J376</f>
        <v>394.50506614000005</v>
      </c>
    </row>
    <row r="378" spans="10:10" x14ac:dyDescent="0.2">
      <c r="J378" s="4">
        <f>J377*0.024+J377</f>
        <v>403.97318772736003</v>
      </c>
    </row>
    <row r="379" spans="10:10" x14ac:dyDescent="0.2">
      <c r="J379" s="4">
        <f>J378*1.05136042</f>
        <v>424.72142031777605</v>
      </c>
    </row>
    <row r="380" spans="10:10" x14ac:dyDescent="0.2">
      <c r="J380" s="4">
        <f>J379*0.2</f>
        <v>84.944284063555216</v>
      </c>
    </row>
    <row r="381" spans="10:10" x14ac:dyDescent="0.2">
      <c r="J381" s="4">
        <f>J379+J380</f>
        <v>509.66570438133124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2"/>
  <sheetViews>
    <sheetView tabSelected="1" zoomScale="130" zoomScaleNormal="130" workbookViewId="0">
      <pane ySplit="1" topLeftCell="A2" activePane="bottomLeft" state="frozen"/>
      <selection pane="bottomLeft" activeCell="H25" sqref="H25"/>
    </sheetView>
  </sheetViews>
  <sheetFormatPr defaultColWidth="9.109375" defaultRowHeight="10.199999999999999" x14ac:dyDescent="0.2"/>
  <cols>
    <col min="1" max="1" width="5" style="57" customWidth="1"/>
    <col min="2" max="2" width="16" style="36" customWidth="1"/>
    <col min="3" max="3" width="53.44140625" style="36" customWidth="1"/>
    <col min="4" max="5" width="8.77734375" style="36" customWidth="1"/>
    <col min="6" max="6" width="10.6640625" style="59" customWidth="1"/>
    <col min="7" max="7" width="12.77734375" style="59" customWidth="1"/>
    <col min="8" max="9" width="8.77734375" style="36" customWidth="1"/>
    <col min="10" max="10" width="12.77734375" style="59" customWidth="1"/>
    <col min="11" max="11" width="11.109375" style="36" customWidth="1"/>
    <col min="12" max="16384" width="9.109375" style="36"/>
  </cols>
  <sheetData>
    <row r="1" spans="1:11" ht="24" x14ac:dyDescent="0.2">
      <c r="A1" s="28" t="s">
        <v>565</v>
      </c>
      <c r="B1" s="28" t="s">
        <v>564</v>
      </c>
      <c r="C1" s="28" t="s">
        <v>562</v>
      </c>
      <c r="D1" s="28" t="s">
        <v>561</v>
      </c>
      <c r="E1" s="28" t="s">
        <v>560</v>
      </c>
      <c r="F1" s="27" t="s">
        <v>559</v>
      </c>
      <c r="G1" s="27" t="s">
        <v>558</v>
      </c>
      <c r="H1" s="27" t="s">
        <v>557</v>
      </c>
      <c r="I1" s="27" t="s">
        <v>556</v>
      </c>
      <c r="J1" s="27" t="s">
        <v>555</v>
      </c>
      <c r="K1" s="27" t="s">
        <v>566</v>
      </c>
    </row>
    <row r="2" spans="1:11" s="40" customFormat="1" x14ac:dyDescent="0.2">
      <c r="A2" s="37" t="s">
        <v>0</v>
      </c>
      <c r="B2" s="37"/>
      <c r="C2" s="37"/>
      <c r="D2" s="37"/>
      <c r="E2" s="37"/>
      <c r="F2" s="38"/>
      <c r="G2" s="38"/>
      <c r="H2" s="39"/>
      <c r="I2" s="39"/>
      <c r="J2" s="49"/>
      <c r="K2" s="39"/>
    </row>
    <row r="3" spans="1:11" s="40" customFormat="1" x14ac:dyDescent="0.2">
      <c r="A3" s="37" t="s">
        <v>1</v>
      </c>
      <c r="B3" s="37"/>
      <c r="C3" s="37"/>
      <c r="D3" s="37"/>
      <c r="E3" s="37"/>
      <c r="F3" s="38"/>
      <c r="G3" s="38"/>
      <c r="H3" s="39"/>
      <c r="I3" s="39"/>
      <c r="J3" s="49"/>
      <c r="K3" s="39"/>
    </row>
    <row r="4" spans="1:11" x14ac:dyDescent="0.2">
      <c r="A4" s="41" t="s">
        <v>2</v>
      </c>
      <c r="B4" s="42" t="s">
        <v>3</v>
      </c>
      <c r="C4" s="43" t="s">
        <v>4</v>
      </c>
      <c r="D4" s="41" t="s">
        <v>5</v>
      </c>
      <c r="E4" s="44">
        <v>0.12</v>
      </c>
      <c r="F4" s="45">
        <f>G4/E4</f>
        <v>100359</v>
      </c>
      <c r="G4" s="45">
        <v>12043.08</v>
      </c>
      <c r="H4" s="46">
        <f>6/100</f>
        <v>0.06</v>
      </c>
      <c r="I4" s="46">
        <f>H4</f>
        <v>0.06</v>
      </c>
      <c r="J4" s="46">
        <f>F4*I4</f>
        <v>6021.54</v>
      </c>
      <c r="K4" s="46">
        <f>J4-G4</f>
        <v>-6021.54</v>
      </c>
    </row>
    <row r="5" spans="1:11" s="67" customFormat="1" x14ac:dyDescent="0.2">
      <c r="A5" s="60" t="s">
        <v>6</v>
      </c>
      <c r="B5" s="61" t="s">
        <v>9</v>
      </c>
      <c r="C5" s="62" t="s">
        <v>10</v>
      </c>
      <c r="D5" s="60" t="s">
        <v>11</v>
      </c>
      <c r="E5" s="63">
        <v>2256.1799999999998</v>
      </c>
      <c r="F5" s="64">
        <f t="shared" ref="F5:F20" si="0">G5/E5</f>
        <v>98.662203370298471</v>
      </c>
      <c r="G5" s="64">
        <v>222599.69</v>
      </c>
      <c r="H5" s="65">
        <f>31.5*20.7</f>
        <v>652.04999999999995</v>
      </c>
      <c r="I5" s="66">
        <f>E5/2</f>
        <v>1128.0899999999999</v>
      </c>
      <c r="J5" s="65">
        <f t="shared" ref="J5:J20" si="1">F5*I5</f>
        <v>111299.845</v>
      </c>
      <c r="K5" s="46">
        <f t="shared" ref="K5:K20" si="2">J5-G5</f>
        <v>-111299.845</v>
      </c>
    </row>
    <row r="6" spans="1:11" s="67" customFormat="1" x14ac:dyDescent="0.2">
      <c r="A6" s="60" t="s">
        <v>7</v>
      </c>
      <c r="B6" s="61" t="s">
        <v>12</v>
      </c>
      <c r="C6" s="62" t="s">
        <v>13</v>
      </c>
      <c r="D6" s="60" t="s">
        <v>14</v>
      </c>
      <c r="E6" s="63">
        <v>0.76080000000000003</v>
      </c>
      <c r="F6" s="64">
        <f t="shared" si="0"/>
        <v>5837.9994742376448</v>
      </c>
      <c r="G6" s="64">
        <v>4441.55</v>
      </c>
      <c r="H6" s="65">
        <v>1.46</v>
      </c>
      <c r="I6" s="66">
        <f>E6</f>
        <v>0.76080000000000003</v>
      </c>
      <c r="J6" s="65">
        <f t="shared" si="1"/>
        <v>4441.55</v>
      </c>
      <c r="K6" s="46">
        <f t="shared" si="2"/>
        <v>0</v>
      </c>
    </row>
    <row r="7" spans="1:11" x14ac:dyDescent="0.2">
      <c r="A7" s="41" t="s">
        <v>8</v>
      </c>
      <c r="B7" s="42" t="s">
        <v>15</v>
      </c>
      <c r="C7" s="43" t="s">
        <v>16</v>
      </c>
      <c r="D7" s="41" t="s">
        <v>17</v>
      </c>
      <c r="E7" s="44">
        <v>0.60560000000000003</v>
      </c>
      <c r="F7" s="45">
        <f t="shared" si="0"/>
        <v>7067.3216644649938</v>
      </c>
      <c r="G7" s="45">
        <v>4279.97</v>
      </c>
      <c r="H7" s="46"/>
      <c r="I7" s="47">
        <f>E7</f>
        <v>0.60560000000000003</v>
      </c>
      <c r="J7" s="46">
        <f t="shared" si="1"/>
        <v>4279.97</v>
      </c>
      <c r="K7" s="46">
        <f t="shared" si="2"/>
        <v>0</v>
      </c>
    </row>
    <row r="8" spans="1:11" s="40" customFormat="1" x14ac:dyDescent="0.2">
      <c r="A8" s="37" t="s">
        <v>18</v>
      </c>
      <c r="B8" s="37"/>
      <c r="C8" s="37"/>
      <c r="D8" s="37"/>
      <c r="E8" s="37"/>
      <c r="F8" s="48"/>
      <c r="G8" s="38"/>
      <c r="H8" s="49"/>
      <c r="I8" s="47"/>
      <c r="J8" s="46"/>
      <c r="K8" s="46"/>
    </row>
    <row r="9" spans="1:11" x14ac:dyDescent="0.2">
      <c r="A9" s="41" t="s">
        <v>19</v>
      </c>
      <c r="B9" s="42" t="s">
        <v>20</v>
      </c>
      <c r="C9" s="43" t="s">
        <v>21</v>
      </c>
      <c r="D9" s="41" t="s">
        <v>5</v>
      </c>
      <c r="E9" s="44">
        <v>0.22</v>
      </c>
      <c r="F9" s="45">
        <f t="shared" si="0"/>
        <v>145799.09090909091</v>
      </c>
      <c r="G9" s="45">
        <v>32075.8</v>
      </c>
      <c r="H9" s="46">
        <f>(20+6)/100</f>
        <v>0.26</v>
      </c>
      <c r="I9" s="46">
        <f>E9</f>
        <v>0.22</v>
      </c>
      <c r="J9" s="46">
        <f t="shared" si="1"/>
        <v>32075.8</v>
      </c>
      <c r="K9" s="46">
        <f t="shared" si="2"/>
        <v>0</v>
      </c>
    </row>
    <row r="10" spans="1:11" s="67" customFormat="1" x14ac:dyDescent="0.2">
      <c r="A10" s="60" t="s">
        <v>22</v>
      </c>
      <c r="B10" s="61" t="s">
        <v>23</v>
      </c>
      <c r="C10" s="62" t="s">
        <v>24</v>
      </c>
      <c r="D10" s="60" t="s">
        <v>14</v>
      </c>
      <c r="E10" s="63">
        <v>4.774</v>
      </c>
      <c r="F10" s="64">
        <f t="shared" si="0"/>
        <v>6785.4294093003773</v>
      </c>
      <c r="G10" s="64">
        <v>32393.64</v>
      </c>
      <c r="H10" s="65">
        <f>20*(0.8*0.5*0.6)</f>
        <v>4.8</v>
      </c>
      <c r="I10" s="66">
        <f>E10</f>
        <v>4.774</v>
      </c>
      <c r="J10" s="65">
        <f t="shared" si="1"/>
        <v>32393.640000000003</v>
      </c>
      <c r="K10" s="46">
        <f t="shared" si="2"/>
        <v>0</v>
      </c>
    </row>
    <row r="11" spans="1:11" s="40" customFormat="1" x14ac:dyDescent="0.2">
      <c r="A11" s="37" t="s">
        <v>25</v>
      </c>
      <c r="B11" s="37"/>
      <c r="C11" s="37"/>
      <c r="D11" s="37"/>
      <c r="E11" s="37"/>
      <c r="F11" s="48"/>
      <c r="G11" s="38"/>
      <c r="H11" s="49"/>
      <c r="I11" s="47"/>
      <c r="J11" s="46"/>
      <c r="K11" s="46"/>
    </row>
    <row r="12" spans="1:11" x14ac:dyDescent="0.2">
      <c r="A12" s="41" t="s">
        <v>26</v>
      </c>
      <c r="B12" s="42" t="s">
        <v>27</v>
      </c>
      <c r="C12" s="43" t="s">
        <v>28</v>
      </c>
      <c r="D12" s="41" t="s">
        <v>29</v>
      </c>
      <c r="E12" s="44">
        <v>0.48</v>
      </c>
      <c r="F12" s="45">
        <f t="shared" si="0"/>
        <v>1085800.6666666667</v>
      </c>
      <c r="G12" s="45">
        <v>521184.32</v>
      </c>
      <c r="H12" s="46">
        <f>467.6/1000</f>
        <v>0.46760000000000002</v>
      </c>
      <c r="I12" s="46">
        <f>H12</f>
        <v>0.46760000000000002</v>
      </c>
      <c r="J12" s="46">
        <f t="shared" si="1"/>
        <v>507720.39173333341</v>
      </c>
      <c r="K12" s="46">
        <f t="shared" si="2"/>
        <v>-13463.928266666597</v>
      </c>
    </row>
    <row r="13" spans="1:11" s="67" customFormat="1" x14ac:dyDescent="0.2">
      <c r="A13" s="60" t="s">
        <v>30</v>
      </c>
      <c r="B13" s="61" t="s">
        <v>31</v>
      </c>
      <c r="C13" s="62" t="s">
        <v>32</v>
      </c>
      <c r="D13" s="60" t="s">
        <v>33</v>
      </c>
      <c r="E13" s="63">
        <v>32</v>
      </c>
      <c r="F13" s="64">
        <f t="shared" si="0"/>
        <v>1248.8315625</v>
      </c>
      <c r="G13" s="64">
        <v>39962.61</v>
      </c>
      <c r="H13" s="65">
        <v>28</v>
      </c>
      <c r="I13" s="66">
        <v>28</v>
      </c>
      <c r="J13" s="65">
        <f t="shared" si="1"/>
        <v>34967.283750000002</v>
      </c>
      <c r="K13" s="46">
        <f t="shared" si="2"/>
        <v>-4995.3262499999983</v>
      </c>
    </row>
    <row r="14" spans="1:11" s="67" customFormat="1" x14ac:dyDescent="0.2">
      <c r="A14" s="60" t="s">
        <v>34</v>
      </c>
      <c r="B14" s="61" t="s">
        <v>35</v>
      </c>
      <c r="C14" s="62" t="s">
        <v>36</v>
      </c>
      <c r="D14" s="60" t="s">
        <v>37</v>
      </c>
      <c r="E14" s="63">
        <v>480</v>
      </c>
      <c r="F14" s="64">
        <f t="shared" si="0"/>
        <v>1079.1126041666666</v>
      </c>
      <c r="G14" s="64">
        <v>517974.05</v>
      </c>
      <c r="H14" s="65">
        <f>H12*1000</f>
        <v>467.6</v>
      </c>
      <c r="I14" s="65">
        <f>H14</f>
        <v>467.6</v>
      </c>
      <c r="J14" s="65">
        <f t="shared" si="1"/>
        <v>504593.05370833335</v>
      </c>
      <c r="K14" s="46">
        <f t="shared" si="2"/>
        <v>-13380.996291666641</v>
      </c>
    </row>
    <row r="15" spans="1:11" x14ac:dyDescent="0.2">
      <c r="A15" s="41" t="s">
        <v>38</v>
      </c>
      <c r="B15" s="42" t="s">
        <v>39</v>
      </c>
      <c r="C15" s="43" t="s">
        <v>40</v>
      </c>
      <c r="D15" s="41" t="s">
        <v>41</v>
      </c>
      <c r="E15" s="44">
        <v>60</v>
      </c>
      <c r="F15" s="45">
        <f t="shared" si="0"/>
        <v>188.12299999999999</v>
      </c>
      <c r="G15" s="45">
        <v>11287.38</v>
      </c>
      <c r="H15" s="46">
        <v>90</v>
      </c>
      <c r="I15" s="47">
        <f>E15</f>
        <v>60</v>
      </c>
      <c r="J15" s="46">
        <f t="shared" si="1"/>
        <v>11287.38</v>
      </c>
      <c r="K15" s="46">
        <f t="shared" si="2"/>
        <v>0</v>
      </c>
    </row>
    <row r="16" spans="1:11" x14ac:dyDescent="0.2">
      <c r="A16" s="41" t="s">
        <v>42</v>
      </c>
      <c r="B16" s="42" t="s">
        <v>43</v>
      </c>
      <c r="C16" s="43" t="s">
        <v>44</v>
      </c>
      <c r="D16" s="41" t="s">
        <v>17</v>
      </c>
      <c r="E16" s="44">
        <v>2.4529999999999998</v>
      </c>
      <c r="F16" s="45">
        <f t="shared" si="0"/>
        <v>811373.04525071348</v>
      </c>
      <c r="G16" s="45">
        <v>1990298.08</v>
      </c>
      <c r="H16" s="46">
        <f>233.45/100</f>
        <v>2.3344999999999998</v>
      </c>
      <c r="I16" s="46">
        <f>H16</f>
        <v>2.3344999999999998</v>
      </c>
      <c r="J16" s="46">
        <f t="shared" si="1"/>
        <v>1894150.3741377904</v>
      </c>
      <c r="K16" s="46">
        <f t="shared" si="2"/>
        <v>-96147.705862209667</v>
      </c>
    </row>
    <row r="17" spans="1:11" s="67" customFormat="1" x14ac:dyDescent="0.2">
      <c r="A17" s="60" t="s">
        <v>45</v>
      </c>
      <c r="B17" s="61" t="s">
        <v>46</v>
      </c>
      <c r="C17" s="62" t="s">
        <v>47</v>
      </c>
      <c r="D17" s="60" t="s">
        <v>48</v>
      </c>
      <c r="E17" s="63">
        <v>3.9E-2</v>
      </c>
      <c r="F17" s="64">
        <f t="shared" si="0"/>
        <v>145107.43589743588</v>
      </c>
      <c r="G17" s="64">
        <v>5659.19</v>
      </c>
      <c r="H17" s="65">
        <f>117/1000</f>
        <v>0.11700000000000001</v>
      </c>
      <c r="I17" s="66">
        <f>E17</f>
        <v>3.9E-2</v>
      </c>
      <c r="J17" s="65">
        <f t="shared" si="1"/>
        <v>5659.19</v>
      </c>
      <c r="K17" s="46">
        <f t="shared" si="2"/>
        <v>0</v>
      </c>
    </row>
    <row r="18" spans="1:11" s="67" customFormat="1" x14ac:dyDescent="0.2">
      <c r="A18" s="60" t="s">
        <v>49</v>
      </c>
      <c r="B18" s="61" t="s">
        <v>50</v>
      </c>
      <c r="C18" s="62" t="s">
        <v>51</v>
      </c>
      <c r="D18" s="60" t="s">
        <v>11</v>
      </c>
      <c r="E18" s="63">
        <v>98.12</v>
      </c>
      <c r="F18" s="64">
        <f t="shared" si="0"/>
        <v>1163.5132490827557</v>
      </c>
      <c r="G18" s="64">
        <v>114163.92</v>
      </c>
      <c r="H18" s="65"/>
      <c r="I18" s="66">
        <f>E18</f>
        <v>98.12</v>
      </c>
      <c r="J18" s="65">
        <f t="shared" si="1"/>
        <v>114163.92</v>
      </c>
      <c r="K18" s="46">
        <f t="shared" si="2"/>
        <v>0</v>
      </c>
    </row>
    <row r="19" spans="1:11" x14ac:dyDescent="0.2">
      <c r="A19" s="41" t="s">
        <v>52</v>
      </c>
      <c r="B19" s="42" t="s">
        <v>53</v>
      </c>
      <c r="C19" s="43" t="s">
        <v>54</v>
      </c>
      <c r="D19" s="41" t="s">
        <v>14</v>
      </c>
      <c r="E19" s="44">
        <v>14</v>
      </c>
      <c r="F19" s="45">
        <f t="shared" si="0"/>
        <v>21596.82</v>
      </c>
      <c r="G19" s="45">
        <v>302355.48</v>
      </c>
      <c r="H19" s="46">
        <f>12.5*1.2*0.05*16</f>
        <v>12</v>
      </c>
      <c r="I19" s="46">
        <f>H19</f>
        <v>12</v>
      </c>
      <c r="J19" s="46">
        <f t="shared" si="1"/>
        <v>259161.84</v>
      </c>
      <c r="K19" s="46">
        <f t="shared" si="2"/>
        <v>-43193.639999999985</v>
      </c>
    </row>
    <row r="20" spans="1:11" s="67" customFormat="1" x14ac:dyDescent="0.2">
      <c r="A20" s="60" t="s">
        <v>55</v>
      </c>
      <c r="B20" s="61" t="s">
        <v>56</v>
      </c>
      <c r="C20" s="62" t="s">
        <v>57</v>
      </c>
      <c r="D20" s="60" t="s">
        <v>14</v>
      </c>
      <c r="E20" s="63">
        <v>15.12</v>
      </c>
      <c r="F20" s="64">
        <f t="shared" si="0"/>
        <v>1977.7493386243386</v>
      </c>
      <c r="G20" s="64">
        <v>29903.57</v>
      </c>
      <c r="H20" s="65"/>
      <c r="I20" s="66">
        <f>I19*1.08</f>
        <v>12.96</v>
      </c>
      <c r="J20" s="65">
        <f t="shared" si="1"/>
        <v>25631.631428571429</v>
      </c>
      <c r="K20" s="46">
        <f t="shared" si="2"/>
        <v>-4271.9385714285709</v>
      </c>
    </row>
    <row r="21" spans="1:11" x14ac:dyDescent="0.2">
      <c r="A21" s="50"/>
      <c r="B21" s="51"/>
      <c r="C21" s="51"/>
      <c r="D21" s="52"/>
      <c r="E21" s="52"/>
      <c r="F21" s="53"/>
      <c r="G21" s="54">
        <f>SUM(G4:G20)</f>
        <v>3840622.3299999996</v>
      </c>
      <c r="J21" s="54">
        <f>SUM(J4:J20)</f>
        <v>3547847.4097580281</v>
      </c>
      <c r="K21" s="54">
        <f>SUM(K4:K20)</f>
        <v>-292774.92024197144</v>
      </c>
    </row>
    <row r="22" spans="1:11" x14ac:dyDescent="0.2">
      <c r="A22" s="36"/>
      <c r="B22" s="55"/>
      <c r="C22" s="55"/>
      <c r="D22" s="55"/>
      <c r="E22" s="55"/>
      <c r="F22" s="58" t="s">
        <v>58</v>
      </c>
      <c r="G22" s="56">
        <f>G21*1.2</f>
        <v>4608746.7959999992</v>
      </c>
      <c r="J22" s="56">
        <f>J21*1.2</f>
        <v>4257416.8917096332</v>
      </c>
      <c r="K22" s="68">
        <f>K21*1.2</f>
        <v>-351329.9042903657</v>
      </c>
    </row>
  </sheetData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НВК5</vt:lpstr>
      <vt:lpstr>ТС доп</vt:lpstr>
      <vt:lpstr>НВК5!Заголовки_для_печати</vt:lpstr>
      <vt:lpstr>'ТС доп'!Заголовки_для_печати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Admin</cp:lastModifiedBy>
  <cp:lastPrinted>2023-03-02T07:11:12Z</cp:lastPrinted>
  <dcterms:created xsi:type="dcterms:W3CDTF">2020-09-30T08:50:27Z</dcterms:created>
  <dcterms:modified xsi:type="dcterms:W3CDTF">2023-12-12T11:24:16Z</dcterms:modified>
</cp:coreProperties>
</file>