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Закрытия\2 выполнение\"/>
    </mc:Choice>
  </mc:AlternateContent>
  <xr:revisionPtr revIDLastSave="0" documentId="13_ncr:1_{628CA52E-BD4D-4B5C-AA69-0E67E277B59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ТС доп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'ТС доп'!$C$1:$C$139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0">'ТС доп'!$1:$1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" i="1" l="1"/>
  <c r="O6" i="1"/>
  <c r="O5" i="1"/>
  <c r="D53" i="1" l="1"/>
  <c r="D52" i="1"/>
  <c r="D54" i="1"/>
  <c r="D51" i="1"/>
  <c r="K52" i="1"/>
  <c r="L42" i="1" l="1"/>
  <c r="L41" i="1"/>
  <c r="L37" i="1"/>
  <c r="M15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4" i="1"/>
  <c r="I5" i="1"/>
  <c r="H5" i="1"/>
  <c r="H32" i="1"/>
  <c r="H31" i="1"/>
  <c r="H29" i="1"/>
  <c r="H30" i="1"/>
  <c r="H28" i="1"/>
  <c r="F28" i="1"/>
  <c r="I13" i="1"/>
  <c r="K6" i="1"/>
  <c r="K7" i="1"/>
  <c r="K9" i="1"/>
  <c r="K10" i="1"/>
  <c r="K12" i="1"/>
  <c r="K14" i="1"/>
  <c r="K15" i="1"/>
  <c r="K16" i="1"/>
  <c r="K17" i="1"/>
  <c r="K18" i="1"/>
  <c r="K19" i="1"/>
  <c r="K20" i="1"/>
  <c r="K4" i="1"/>
  <c r="I7" i="1"/>
  <c r="I9" i="1"/>
  <c r="H9" i="1"/>
  <c r="I20" i="1"/>
  <c r="I19" i="1"/>
  <c r="H19" i="1"/>
  <c r="I18" i="1"/>
  <c r="I17" i="1"/>
  <c r="H17" i="1"/>
  <c r="I16" i="1"/>
  <c r="H16" i="1"/>
  <c r="I15" i="1"/>
  <c r="I14" i="1"/>
  <c r="H14" i="1"/>
  <c r="I12" i="1"/>
  <c r="H12" i="1"/>
  <c r="I10" i="1"/>
  <c r="H10" i="1"/>
  <c r="I6" i="1"/>
  <c r="I4" i="1"/>
  <c r="H4" i="1"/>
  <c r="G21" i="1" l="1"/>
  <c r="G22" i="1" s="1"/>
  <c r="F5" i="1"/>
  <c r="J5" i="1" s="1"/>
  <c r="K5" i="1" s="1"/>
  <c r="F6" i="1"/>
  <c r="J6" i="1" s="1"/>
  <c r="F7" i="1"/>
  <c r="J7" i="1" s="1"/>
  <c r="F9" i="1"/>
  <c r="F10" i="1"/>
  <c r="J10" i="1" s="1"/>
  <c r="F12" i="1"/>
  <c r="J12" i="1" s="1"/>
  <c r="F13" i="1"/>
  <c r="J13" i="1" s="1"/>
  <c r="K13" i="1" s="1"/>
  <c r="F14" i="1"/>
  <c r="J14" i="1" s="1"/>
  <c r="F15" i="1"/>
  <c r="J15" i="1" s="1"/>
  <c r="F16" i="1"/>
  <c r="J16" i="1" s="1"/>
  <c r="F17" i="1"/>
  <c r="J17" i="1" s="1"/>
  <c r="F18" i="1"/>
  <c r="J18" i="1" s="1"/>
  <c r="F19" i="1"/>
  <c r="J19" i="1" s="1"/>
  <c r="F20" i="1"/>
  <c r="J20" i="1" s="1"/>
  <c r="F4" i="1"/>
  <c r="J4" i="1" s="1"/>
  <c r="K21" i="1" l="1"/>
  <c r="K22" i="1" s="1"/>
  <c r="J9" i="1"/>
  <c r="J21" i="1" s="1"/>
  <c r="J22" i="1" s="1"/>
</calcChain>
</file>

<file path=xl/sharedStrings.xml><?xml version="1.0" encoding="utf-8"?>
<sst xmlns="http://schemas.openxmlformats.org/spreadsheetml/2006/main" count="88" uniqueCount="82">
  <si>
    <t>Раздел 1. Прокладка временного участка теплосети Т1, Т2</t>
  </si>
  <si>
    <t>Установка опор под проезды высотой 3 м</t>
  </si>
  <si>
    <t>1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</si>
  <si>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</si>
  <si>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</si>
  <si>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</si>
  <si>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2</t>
  </si>
  <si>
    <t>3</t>
  </si>
  <si>
    <t>4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</si>
  <si>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</si>
  <si>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</si>
  <si>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кг</t>
  </si>
  <si>
    <t>ФССЦ-04.1.02.05-0008</t>
  </si>
  <si>
    <t>Смеси бетонные тяжелого бетона (БСТ), класс B22,5 (М300)</t>
  </si>
  <si>
    <t>м3</t>
  </si>
  <si>
    <t>ФЕР13-03-004-26</t>
  </si>
  <si>
    <t>Окраска металлических огрунтованных поверхностей: эмалью ПФ-115</t>
  </si>
  <si>
    <t>100 м2</t>
  </si>
  <si>
    <t>Установка опор из ФБС блоков</t>
  </si>
  <si>
    <t>5</t>
  </si>
  <si>
    <t>ФЕР07-05-001-02</t>
  </si>
  <si>
    <t>Установка блоков стен подвалов массой: до 1 т</t>
  </si>
  <si>
    <t>6</t>
  </si>
  <si>
    <t>ФССЦ-05.2.02.01-0013</t>
  </si>
  <si>
    <t>Блоки бетонные для стен подвалов на цементном вяжущем полнотелые с вырезом М100, объем менее 0,3 м3</t>
  </si>
  <si>
    <t>Тепловая сеть</t>
  </si>
  <si>
    <t>7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</si>
  <si>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</si>
  <si>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</t>
  </si>
  <si>
    <t>км</t>
  </si>
  <si>
    <t>8</t>
  </si>
  <si>
    <t>ФССЦ-23.8.04.06-0085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</si>
  <si>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5 мм</t>
  </si>
  <si>
    <t>шт</t>
  </si>
  <si>
    <t>9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</si>
  <si>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</si>
  <si>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</si>
  <si>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м</t>
  </si>
  <si>
    <t>10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</si>
  <si>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</si>
  <si>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</si>
  <si>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</si>
  <si>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11</t>
  </si>
  <si>
    <t>ФЕР09-07-031-01</t>
  </si>
  <si>
    <t>Антикоррозийная защита металлических поверхностей</t>
  </si>
  <si>
    <t>12</t>
  </si>
  <si>
    <t>ФССЦ-14.4.02.09-0306</t>
  </si>
  <si>
    <t>Краска антикоррозийная</t>
  </si>
  <si>
    <t>т</t>
  </si>
  <si>
    <t>13</t>
  </si>
  <si>
    <t>ФССЦ-14.4.01.09-0427</t>
  </si>
  <si>
    <t>Грунтовка антикоррозионная цинкнаполненная на основе эпоксидной смолы</t>
  </si>
  <si>
    <t>14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</si>
  <si>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</si>
  <si>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</si>
  <si>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15</t>
  </si>
  <si>
    <t>ФССЦ-12.2.04.11-0010</t>
  </si>
  <si>
    <t>Маты теплоизоляционные из стекловолокна URSA, марки: М-15-18000-1200-50</t>
  </si>
  <si>
    <t>Всего с НДС</t>
  </si>
  <si>
    <t>Сумма по КС</t>
  </si>
  <si>
    <t>Кол-во в КС</t>
  </si>
  <si>
    <t>Кол-во по ИД</t>
  </si>
  <si>
    <t>Сумма по смете</t>
  </si>
  <si>
    <t>Цена за ед.</t>
  </si>
  <si>
    <t>Кол-во по смете</t>
  </si>
  <si>
    <t>Ед. изм.</t>
  </si>
  <si>
    <t>Вид работ</t>
  </si>
  <si>
    <t>Расценка</t>
  </si>
  <si>
    <t>№</t>
  </si>
  <si>
    <t>Разница</t>
  </si>
  <si>
    <t>труба</t>
  </si>
  <si>
    <t>арматура</t>
  </si>
  <si>
    <t>уголок</t>
  </si>
  <si>
    <t>швеллер</t>
  </si>
  <si>
    <t>итого</t>
  </si>
  <si>
    <t>в ид</t>
  </si>
  <si>
    <t>вес, 1шт</t>
  </si>
  <si>
    <t>сумма</t>
  </si>
  <si>
    <t>Итого, 100м2</t>
  </si>
  <si>
    <t>Труба S=3,14х0,219х21м</t>
  </si>
  <si>
    <t>Уголок 50х50х5 S=0,05*4*28,8м</t>
  </si>
  <si>
    <t>Швеллер 100х50х3 S=(0,05*4+0,1*2)*28,8м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</si>
</sst>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color rgb="FF0070C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6"/>
      <color rgb="FF000000"/>
      <name val="Arial"/>
      <family val="2"/>
      <charset val="204"/>
    </font>
    <font>
      <sz val="8"/>
      <name val="Calibri"/>
      <family val="2"/>
      <charset val="204"/>
    </font>
    <font>
      <b/>
      <sz val="16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4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49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/>
    <xf numFmtId="0" fontId="4" fillId="0" borderId="0" xfId="0" applyFont="1" applyFill="1" applyAlignment="1"/>
    <xf numFmtId="49" fontId="1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 vertical="top"/>
    </xf>
    <xf numFmtId="49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4" fontId="1" fillId="0" borderId="1" xfId="0" applyNumberFormat="1" applyFont="1" applyFill="1" applyBorder="1" applyAlignment="1">
      <alignment horizontal="right" vertical="top"/>
    </xf>
    <xf numFmtId="4" fontId="1" fillId="0" borderId="1" xfId="0" applyNumberFormat="1" applyFont="1" applyFill="1" applyBorder="1" applyAlignment="1"/>
    <xf numFmtId="4" fontId="4" fillId="0" borderId="1" xfId="0" applyNumberFormat="1" applyFont="1" applyFill="1" applyBorder="1" applyAlignment="1">
      <alignment horizontal="right" vertical="top"/>
    </xf>
    <xf numFmtId="4" fontId="4" fillId="0" borderId="1" xfId="0" applyNumberFormat="1" applyFont="1" applyFill="1" applyBorder="1" applyAlignment="1"/>
    <xf numFmtId="49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" fontId="1" fillId="0" borderId="0" xfId="1" applyNumberFormat="1" applyFont="1" applyFill="1"/>
    <xf numFmtId="4" fontId="4" fillId="0" borderId="1" xfId="1" applyNumberFormat="1" applyFont="1" applyFill="1" applyBorder="1"/>
    <xf numFmtId="49" fontId="1" fillId="0" borderId="0" xfId="0" applyNumberFormat="1" applyFont="1" applyFill="1" applyAlignment="1">
      <alignment vertical="top"/>
    </xf>
    <xf numFmtId="4" fontId="4" fillId="0" borderId="1" xfId="1" applyNumberFormat="1" applyFont="1" applyFill="1" applyBorder="1" applyAlignment="1">
      <alignment horizontal="right"/>
    </xf>
    <xf numFmtId="49" fontId="1" fillId="0" borderId="0" xfId="0" applyNumberFormat="1" applyFont="1" applyFill="1" applyAlignment="1"/>
    <xf numFmtId="4" fontId="2" fillId="0" borderId="1" xfId="1" applyNumberFormat="1" applyFont="1" applyFill="1" applyBorder="1" applyAlignment="1">
      <alignment horizontal="right"/>
    </xf>
    <xf numFmtId="4" fontId="1" fillId="0" borderId="0" xfId="0" applyNumberFormat="1" applyFont="1" applyFill="1" applyAlignment="1"/>
    <xf numFmtId="49" fontId="6" fillId="0" borderId="1" xfId="0" applyNumberFormat="1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right" vertical="top"/>
    </xf>
    <xf numFmtId="4" fontId="6" fillId="0" borderId="1" xfId="0" applyNumberFormat="1" applyFont="1" applyFill="1" applyBorder="1" applyAlignment="1"/>
    <xf numFmtId="0" fontId="6" fillId="0" borderId="0" xfId="0" applyFont="1" applyFill="1" applyAlignment="1"/>
    <xf numFmtId="4" fontId="7" fillId="0" borderId="1" xfId="1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/>
    <xf numFmtId="164" fontId="6" fillId="0" borderId="1" xfId="0" applyNumberFormat="1" applyFont="1" applyFill="1" applyBorder="1" applyAlignment="1"/>
    <xf numFmtId="164" fontId="4" fillId="0" borderId="1" xfId="0" applyNumberFormat="1" applyFont="1" applyFill="1" applyBorder="1" applyAlignment="1"/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/>
    <xf numFmtId="164" fontId="1" fillId="0" borderId="0" xfId="0" applyNumberFormat="1" applyFont="1" applyFill="1" applyAlignment="1"/>
    <xf numFmtId="0" fontId="9" fillId="0" borderId="0" xfId="0" applyFont="1" applyFill="1" applyAlignment="1"/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right"/>
    </xf>
    <xf numFmtId="165" fontId="11" fillId="0" borderId="1" xfId="0" applyNumberFormat="1" applyFont="1" applyFill="1" applyBorder="1" applyAlignment="1"/>
    <xf numFmtId="164" fontId="6" fillId="0" borderId="0" xfId="0" applyNumberFormat="1" applyFont="1" applyFill="1" applyAlignment="1"/>
  </cellXfs>
  <cellStyles count="2">
    <cellStyle name="Обычный" xfId="0" builtinId="0"/>
    <cellStyle name="Обычный 2" xfId="1" xr:uid="{1354030B-02F5-44D5-949B-3D5EAA198A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2358544</xdr:colOff>
      <xdr:row>36</xdr:row>
      <xdr:rowOff>111574</xdr:rowOff>
    </xdr:from>
    <xdr:to>
      <xdr:col>7</xdr:col>
      <xdr:colOff>86202</xdr:colOff>
      <xdr:row>43</xdr:row>
      <xdr:rowOff>132851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B9484DA-3882-4F30-9F3F-4BE0B8431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8305" y="5346183"/>
          <a:ext cx="5264832" cy="10069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62"/>
  <sheetViews>
    <sheetView tabSelected="1" zoomScale="115" zoomScaleNormal="115" workbookViewId="0">
      <pane ySplit="1" topLeftCell="A2" activePane="bottomLeft" state="frozen"/>
      <selection pane="bottomLeft" activeCell="P6" sqref="P6"/>
    </sheetView>
  </sheetViews>
  <sheetFormatPr defaultColWidth="9.140625" defaultRowHeight="11.25" x14ac:dyDescent="0.2"/>
  <cols>
    <col min="1" max="1" width="5" style="23" customWidth="1"/>
    <col min="2" max="2" width="16" style="3" customWidth="1"/>
    <col min="3" max="3" width="64.5703125" style="3" customWidth="1"/>
    <col min="4" max="4" width="13.140625" style="3" customWidth="1"/>
    <col min="5" max="5" width="8.7109375" style="3" customWidth="1"/>
    <col min="6" max="6" width="13.85546875" style="25" customWidth="1"/>
    <col min="7" max="7" width="12.7109375" style="25" customWidth="1"/>
    <col min="8" max="9" width="8.7109375" style="3" customWidth="1"/>
    <col min="10" max="10" width="12.7109375" style="25" customWidth="1"/>
    <col min="11" max="11" width="11.140625" style="3" customWidth="1"/>
    <col min="12" max="12" width="14.7109375" style="3" customWidth="1"/>
    <col min="13" max="16384" width="9.140625" style="3"/>
  </cols>
  <sheetData>
    <row r="1" spans="1:16" ht="24" x14ac:dyDescent="0.2">
      <c r="A1" s="2" t="s">
        <v>68</v>
      </c>
      <c r="B1" s="2" t="s">
        <v>67</v>
      </c>
      <c r="C1" s="2" t="s">
        <v>66</v>
      </c>
      <c r="D1" s="2" t="s">
        <v>65</v>
      </c>
      <c r="E1" s="2" t="s">
        <v>64</v>
      </c>
      <c r="F1" s="1" t="s">
        <v>63</v>
      </c>
      <c r="G1" s="1" t="s">
        <v>62</v>
      </c>
      <c r="H1" s="1" t="s">
        <v>61</v>
      </c>
      <c r="I1" s="1" t="s">
        <v>60</v>
      </c>
      <c r="J1" s="1" t="s">
        <v>59</v>
      </c>
      <c r="K1" s="1" t="s">
        <v>69</v>
      </c>
    </row>
    <row r="2" spans="1:16" s="7" customFormat="1" x14ac:dyDescent="0.2">
      <c r="A2" s="4" t="s">
        <v>0</v>
      </c>
      <c r="B2" s="4"/>
      <c r="C2" s="4"/>
      <c r="D2" s="4"/>
      <c r="E2" s="4"/>
      <c r="F2" s="5"/>
      <c r="G2" s="5"/>
      <c r="H2" s="6"/>
      <c r="I2" s="6"/>
      <c r="J2" s="15"/>
      <c r="K2" s="6"/>
    </row>
    <row r="3" spans="1:16" s="7" customFormat="1" x14ac:dyDescent="0.2">
      <c r="A3" s="4" t="s">
        <v>1</v>
      </c>
      <c r="B3" s="4"/>
      <c r="C3" s="4"/>
      <c r="D3" s="4"/>
      <c r="E3" s="4"/>
      <c r="F3" s="5"/>
      <c r="G3" s="5"/>
      <c r="H3" s="6"/>
      <c r="I3" s="6"/>
      <c r="J3" s="15"/>
      <c r="K3" s="6"/>
    </row>
    <row r="4" spans="1:16" x14ac:dyDescent="0.2">
      <c r="A4" s="8" t="s">
        <v>2</v>
      </c>
      <c r="B4" s="9" t="s">
        <v>3</v>
      </c>
      <c r="C4" s="10" t="s">
        <v>4</v>
      </c>
      <c r="D4" s="8" t="s">
        <v>5</v>
      </c>
      <c r="E4" s="11">
        <v>0.12</v>
      </c>
      <c r="F4" s="12">
        <f>G4/E4</f>
        <v>100359</v>
      </c>
      <c r="G4" s="12">
        <v>12043.08</v>
      </c>
      <c r="H4" s="34">
        <f>6/100</f>
        <v>0.06</v>
      </c>
      <c r="I4" s="34">
        <f>H4</f>
        <v>0.06</v>
      </c>
      <c r="J4" s="13">
        <f>F4*I4</f>
        <v>6021.54</v>
      </c>
      <c r="K4" s="13">
        <f>J4-G4</f>
        <v>-6021.54</v>
      </c>
      <c r="L4" s="43">
        <f>H4-I4</f>
        <v>0</v>
      </c>
    </row>
    <row r="5" spans="1:16" s="32" customFormat="1" x14ac:dyDescent="0.2">
      <c r="A5" s="26" t="s">
        <v>6</v>
      </c>
      <c r="B5" s="27" t="s">
        <v>9</v>
      </c>
      <c r="C5" s="28" t="s">
        <v>10</v>
      </c>
      <c r="D5" s="26" t="s">
        <v>11</v>
      </c>
      <c r="E5" s="29">
        <v>2256.1799999999998</v>
      </c>
      <c r="F5" s="30">
        <f t="shared" ref="F5:F20" si="0">G5/E5</f>
        <v>98.662203370298471</v>
      </c>
      <c r="G5" s="30">
        <v>222599.69</v>
      </c>
      <c r="H5" s="35">
        <f>H32</f>
        <v>901.50929166666674</v>
      </c>
      <c r="I5" s="35">
        <f>H5</f>
        <v>901.50929166666674</v>
      </c>
      <c r="J5" s="31">
        <f t="shared" ref="J5:J20" si="1">F5*I5</f>
        <v>88944.893074630396</v>
      </c>
      <c r="K5" s="42">
        <f t="shared" ref="K5:K20" si="2">J5-G5</f>
        <v>-133654.79692536959</v>
      </c>
      <c r="L5" s="43">
        <f t="shared" ref="L5:L20" si="3">H5-I5</f>
        <v>0</v>
      </c>
      <c r="O5" s="32">
        <f>E5</f>
        <v>2256.1799999999998</v>
      </c>
      <c r="P5" s="32">
        <v>0.60599999999999998</v>
      </c>
    </row>
    <row r="6" spans="1:16" s="32" customFormat="1" x14ac:dyDescent="0.2">
      <c r="A6" s="26" t="s">
        <v>7</v>
      </c>
      <c r="B6" s="27" t="s">
        <v>12</v>
      </c>
      <c r="C6" s="28" t="s">
        <v>13</v>
      </c>
      <c r="D6" s="26" t="s">
        <v>14</v>
      </c>
      <c r="E6" s="29">
        <v>0.76080000000000003</v>
      </c>
      <c r="F6" s="30">
        <f t="shared" si="0"/>
        <v>5837.9994742376448</v>
      </c>
      <c r="G6" s="30">
        <v>4441.55</v>
      </c>
      <c r="H6" s="35">
        <v>1.46</v>
      </c>
      <c r="I6" s="35">
        <f>E6</f>
        <v>0.76080000000000003</v>
      </c>
      <c r="J6" s="31">
        <f t="shared" si="1"/>
        <v>4441.55</v>
      </c>
      <c r="K6" s="13">
        <f t="shared" si="2"/>
        <v>0</v>
      </c>
      <c r="L6" s="43">
        <f t="shared" si="3"/>
        <v>0.69919999999999993</v>
      </c>
      <c r="O6" s="48">
        <f>I5</f>
        <v>901.50929166666674</v>
      </c>
      <c r="P6" s="32">
        <f>O6*P5/O5</f>
        <v>0.24214142078646209</v>
      </c>
    </row>
    <row r="7" spans="1:16" x14ac:dyDescent="0.2">
      <c r="A7" s="8" t="s">
        <v>8</v>
      </c>
      <c r="B7" s="9" t="s">
        <v>15</v>
      </c>
      <c r="C7" s="10" t="s">
        <v>16</v>
      </c>
      <c r="D7" s="8" t="s">
        <v>17</v>
      </c>
      <c r="E7" s="11">
        <v>0.60560000000000003</v>
      </c>
      <c r="F7" s="12">
        <f t="shared" si="0"/>
        <v>7067.3216644649938</v>
      </c>
      <c r="G7" s="12">
        <v>4279.97</v>
      </c>
      <c r="H7" s="34"/>
      <c r="I7" s="34">
        <f>E7</f>
        <v>0.60560000000000003</v>
      </c>
      <c r="J7" s="13">
        <f t="shared" si="1"/>
        <v>4279.97</v>
      </c>
      <c r="K7" s="13">
        <f t="shared" si="2"/>
        <v>0</v>
      </c>
      <c r="L7" s="43">
        <f t="shared" si="3"/>
        <v>-0.60560000000000003</v>
      </c>
    </row>
    <row r="8" spans="1:16" s="7" customFormat="1" x14ac:dyDescent="0.2">
      <c r="A8" s="4" t="s">
        <v>18</v>
      </c>
      <c r="B8" s="4"/>
      <c r="C8" s="4"/>
      <c r="D8" s="4"/>
      <c r="E8" s="4"/>
      <c r="F8" s="14"/>
      <c r="G8" s="5"/>
      <c r="H8" s="36"/>
      <c r="I8" s="34"/>
      <c r="J8" s="13"/>
      <c r="K8" s="13"/>
      <c r="L8" s="43">
        <f t="shared" si="3"/>
        <v>0</v>
      </c>
    </row>
    <row r="9" spans="1:16" x14ac:dyDescent="0.2">
      <c r="A9" s="8" t="s">
        <v>19</v>
      </c>
      <c r="B9" s="9" t="s">
        <v>20</v>
      </c>
      <c r="C9" s="10" t="s">
        <v>21</v>
      </c>
      <c r="D9" s="8" t="s">
        <v>5</v>
      </c>
      <c r="E9" s="11">
        <v>0.22</v>
      </c>
      <c r="F9" s="12">
        <f t="shared" si="0"/>
        <v>145799.09090909091</v>
      </c>
      <c r="G9" s="12">
        <v>32075.8</v>
      </c>
      <c r="H9" s="34">
        <f>(20+6)/100</f>
        <v>0.26</v>
      </c>
      <c r="I9" s="34">
        <f>E9</f>
        <v>0.22</v>
      </c>
      <c r="J9" s="13">
        <f t="shared" si="1"/>
        <v>32075.8</v>
      </c>
      <c r="K9" s="13">
        <f t="shared" si="2"/>
        <v>0</v>
      </c>
      <c r="L9" s="43">
        <f t="shared" si="3"/>
        <v>4.0000000000000008E-2</v>
      </c>
    </row>
    <row r="10" spans="1:16" s="32" customFormat="1" x14ac:dyDescent="0.2">
      <c r="A10" s="26" t="s">
        <v>22</v>
      </c>
      <c r="B10" s="27" t="s">
        <v>23</v>
      </c>
      <c r="C10" s="28" t="s">
        <v>24</v>
      </c>
      <c r="D10" s="26" t="s">
        <v>14</v>
      </c>
      <c r="E10" s="29">
        <v>4.774</v>
      </c>
      <c r="F10" s="30">
        <f t="shared" si="0"/>
        <v>6785.4294093003773</v>
      </c>
      <c r="G10" s="30">
        <v>32393.64</v>
      </c>
      <c r="H10" s="35">
        <f>20*(0.8*0.5*0.6)</f>
        <v>4.8</v>
      </c>
      <c r="I10" s="35">
        <f>E10</f>
        <v>4.774</v>
      </c>
      <c r="J10" s="31">
        <f t="shared" si="1"/>
        <v>32393.640000000003</v>
      </c>
      <c r="K10" s="13">
        <f t="shared" si="2"/>
        <v>0</v>
      </c>
      <c r="L10" s="43">
        <f t="shared" si="3"/>
        <v>2.5999999999999801E-2</v>
      </c>
    </row>
    <row r="11" spans="1:16" s="7" customFormat="1" x14ac:dyDescent="0.2">
      <c r="A11" s="4" t="s">
        <v>25</v>
      </c>
      <c r="B11" s="4"/>
      <c r="C11" s="4"/>
      <c r="D11" s="4"/>
      <c r="E11" s="4"/>
      <c r="F11" s="14"/>
      <c r="G11" s="5"/>
      <c r="H11" s="36"/>
      <c r="I11" s="34"/>
      <c r="J11" s="13"/>
      <c r="K11" s="13"/>
      <c r="L11" s="43">
        <f t="shared" si="3"/>
        <v>0</v>
      </c>
    </row>
    <row r="12" spans="1:16" x14ac:dyDescent="0.2">
      <c r="A12" s="8" t="s">
        <v>26</v>
      </c>
      <c r="B12" s="9" t="s">
        <v>27</v>
      </c>
      <c r="C12" s="10" t="s">
        <v>28</v>
      </c>
      <c r="D12" s="8" t="s">
        <v>29</v>
      </c>
      <c r="E12" s="11">
        <v>0.48</v>
      </c>
      <c r="F12" s="12">
        <f t="shared" si="0"/>
        <v>1085800.6666666667</v>
      </c>
      <c r="G12" s="12">
        <v>521184.32</v>
      </c>
      <c r="H12" s="34">
        <f>467.6/1000</f>
        <v>0.46760000000000002</v>
      </c>
      <c r="I12" s="34">
        <f>H12</f>
        <v>0.46760000000000002</v>
      </c>
      <c r="J12" s="13">
        <f t="shared" si="1"/>
        <v>507720.39173333341</v>
      </c>
      <c r="K12" s="13">
        <f t="shared" si="2"/>
        <v>-13463.928266666597</v>
      </c>
      <c r="L12" s="43">
        <f t="shared" si="3"/>
        <v>0</v>
      </c>
    </row>
    <row r="13" spans="1:16" s="32" customFormat="1" x14ac:dyDescent="0.2">
      <c r="A13" s="26" t="s">
        <v>30</v>
      </c>
      <c r="B13" s="27" t="s">
        <v>31</v>
      </c>
      <c r="C13" s="28" t="s">
        <v>32</v>
      </c>
      <c r="D13" s="26" t="s">
        <v>33</v>
      </c>
      <c r="E13" s="29">
        <v>32</v>
      </c>
      <c r="F13" s="30">
        <f t="shared" si="0"/>
        <v>1248.8315625</v>
      </c>
      <c r="G13" s="30">
        <v>39962.61</v>
      </c>
      <c r="H13" s="35">
        <v>26</v>
      </c>
      <c r="I13" s="35">
        <f>H13</f>
        <v>26</v>
      </c>
      <c r="J13" s="31">
        <f t="shared" si="1"/>
        <v>32469.620625</v>
      </c>
      <c r="K13" s="13">
        <f t="shared" si="2"/>
        <v>-7492.989375000001</v>
      </c>
      <c r="L13" s="43">
        <f t="shared" si="3"/>
        <v>0</v>
      </c>
    </row>
    <row r="14" spans="1:16" s="32" customFormat="1" x14ac:dyDescent="0.2">
      <c r="A14" s="26" t="s">
        <v>34</v>
      </c>
      <c r="B14" s="27" t="s">
        <v>35</v>
      </c>
      <c r="C14" s="28" t="s">
        <v>36</v>
      </c>
      <c r="D14" s="26" t="s">
        <v>37</v>
      </c>
      <c r="E14" s="29">
        <v>480</v>
      </c>
      <c r="F14" s="30">
        <f t="shared" si="0"/>
        <v>1079.1126041666666</v>
      </c>
      <c r="G14" s="30">
        <v>517974.05</v>
      </c>
      <c r="H14" s="35">
        <f>H12*1000</f>
        <v>467.6</v>
      </c>
      <c r="I14" s="35">
        <f>H14</f>
        <v>467.6</v>
      </c>
      <c r="J14" s="31">
        <f t="shared" si="1"/>
        <v>504593.05370833335</v>
      </c>
      <c r="K14" s="13">
        <f t="shared" si="2"/>
        <v>-13380.996291666641</v>
      </c>
      <c r="L14" s="43">
        <f t="shared" si="3"/>
        <v>0</v>
      </c>
    </row>
    <row r="15" spans="1:16" x14ac:dyDescent="0.2">
      <c r="A15" s="8" t="s">
        <v>38</v>
      </c>
      <c r="B15" s="9" t="s">
        <v>39</v>
      </c>
      <c r="C15" s="10" t="s">
        <v>40</v>
      </c>
      <c r="D15" s="8" t="s">
        <v>41</v>
      </c>
      <c r="E15" s="11">
        <v>60</v>
      </c>
      <c r="F15" s="12">
        <f t="shared" si="0"/>
        <v>188.12299999999999</v>
      </c>
      <c r="G15" s="12">
        <v>11287.38</v>
      </c>
      <c r="H15" s="34">
        <v>90</v>
      </c>
      <c r="I15" s="34">
        <f>E15</f>
        <v>60</v>
      </c>
      <c r="J15" s="13">
        <f t="shared" si="1"/>
        <v>11287.38</v>
      </c>
      <c r="K15" s="13">
        <f t="shared" si="2"/>
        <v>0</v>
      </c>
      <c r="L15" s="43">
        <f t="shared" si="3"/>
        <v>30</v>
      </c>
      <c r="M15" s="3">
        <f>L15*F15</f>
        <v>5643.69</v>
      </c>
    </row>
    <row r="16" spans="1:16" x14ac:dyDescent="0.2">
      <c r="A16" s="8" t="s">
        <v>42</v>
      </c>
      <c r="B16" s="9" t="s">
        <v>43</v>
      </c>
      <c r="C16" s="10" t="s">
        <v>44</v>
      </c>
      <c r="D16" s="8" t="s">
        <v>17</v>
      </c>
      <c r="E16" s="11">
        <v>2.4529999999999998</v>
      </c>
      <c r="F16" s="12">
        <f t="shared" si="0"/>
        <v>811373.04525071348</v>
      </c>
      <c r="G16" s="12">
        <v>1990298.08</v>
      </c>
      <c r="H16" s="34">
        <f>233.45/100</f>
        <v>2.3344999999999998</v>
      </c>
      <c r="I16" s="34">
        <f>H16</f>
        <v>2.3344999999999998</v>
      </c>
      <c r="J16" s="13">
        <f t="shared" si="1"/>
        <v>1894150.3741377904</v>
      </c>
      <c r="K16" s="42">
        <f t="shared" si="2"/>
        <v>-96147.705862209667</v>
      </c>
      <c r="L16" s="43">
        <f t="shared" si="3"/>
        <v>0</v>
      </c>
    </row>
    <row r="17" spans="1:12" s="32" customFormat="1" x14ac:dyDescent="0.2">
      <c r="A17" s="26" t="s">
        <v>45</v>
      </c>
      <c r="B17" s="27" t="s">
        <v>46</v>
      </c>
      <c r="C17" s="28" t="s">
        <v>47</v>
      </c>
      <c r="D17" s="26" t="s">
        <v>48</v>
      </c>
      <c r="E17" s="29">
        <v>3.9E-2</v>
      </c>
      <c r="F17" s="30">
        <f t="shared" si="0"/>
        <v>145107.43589743588</v>
      </c>
      <c r="G17" s="30">
        <v>5659.19</v>
      </c>
      <c r="H17" s="35">
        <f>117/1000</f>
        <v>0.11700000000000001</v>
      </c>
      <c r="I17" s="35">
        <f>E17</f>
        <v>3.9E-2</v>
      </c>
      <c r="J17" s="31">
        <f t="shared" si="1"/>
        <v>5659.19</v>
      </c>
      <c r="K17" s="13">
        <f t="shared" si="2"/>
        <v>0</v>
      </c>
      <c r="L17" s="43">
        <f t="shared" si="3"/>
        <v>7.8000000000000014E-2</v>
      </c>
    </row>
    <row r="18" spans="1:12" s="32" customFormat="1" x14ac:dyDescent="0.2">
      <c r="A18" s="26" t="s">
        <v>49</v>
      </c>
      <c r="B18" s="27" t="s">
        <v>50</v>
      </c>
      <c r="C18" s="28" t="s">
        <v>51</v>
      </c>
      <c r="D18" s="26" t="s">
        <v>11</v>
      </c>
      <c r="E18" s="29">
        <v>98.12</v>
      </c>
      <c r="F18" s="30">
        <f t="shared" si="0"/>
        <v>1163.5132490827557</v>
      </c>
      <c r="G18" s="30">
        <v>114163.92</v>
      </c>
      <c r="H18" s="35"/>
      <c r="I18" s="35">
        <f>E18</f>
        <v>98.12</v>
      </c>
      <c r="J18" s="31">
        <f t="shared" si="1"/>
        <v>114163.92</v>
      </c>
      <c r="K18" s="13">
        <f t="shared" si="2"/>
        <v>0</v>
      </c>
      <c r="L18" s="43">
        <f t="shared" si="3"/>
        <v>-98.12</v>
      </c>
    </row>
    <row r="19" spans="1:12" x14ac:dyDescent="0.2">
      <c r="A19" s="8" t="s">
        <v>52</v>
      </c>
      <c r="B19" s="9" t="s">
        <v>53</v>
      </c>
      <c r="C19" s="10" t="s">
        <v>54</v>
      </c>
      <c r="D19" s="8" t="s">
        <v>14</v>
      </c>
      <c r="E19" s="11">
        <v>14</v>
      </c>
      <c r="F19" s="12">
        <f t="shared" si="0"/>
        <v>21596.82</v>
      </c>
      <c r="G19" s="12">
        <v>302355.48</v>
      </c>
      <c r="H19" s="34">
        <f>12.5*1.2*0.05*16</f>
        <v>12</v>
      </c>
      <c r="I19" s="34">
        <f>H19</f>
        <v>12</v>
      </c>
      <c r="J19" s="13">
        <f t="shared" si="1"/>
        <v>259161.84</v>
      </c>
      <c r="K19" s="42">
        <f t="shared" si="2"/>
        <v>-43193.639999999985</v>
      </c>
      <c r="L19" s="43">
        <f t="shared" si="3"/>
        <v>0</v>
      </c>
    </row>
    <row r="20" spans="1:12" s="32" customFormat="1" x14ac:dyDescent="0.2">
      <c r="A20" s="26" t="s">
        <v>55</v>
      </c>
      <c r="B20" s="27" t="s">
        <v>56</v>
      </c>
      <c r="C20" s="28" t="s">
        <v>57</v>
      </c>
      <c r="D20" s="26" t="s">
        <v>14</v>
      </c>
      <c r="E20" s="29">
        <v>15.12</v>
      </c>
      <c r="F20" s="30">
        <f t="shared" si="0"/>
        <v>1977.7493386243386</v>
      </c>
      <c r="G20" s="30">
        <v>29903.57</v>
      </c>
      <c r="H20" s="35"/>
      <c r="I20" s="35">
        <f>I19*1.08</f>
        <v>12.96</v>
      </c>
      <c r="J20" s="31">
        <f t="shared" si="1"/>
        <v>25631.631428571429</v>
      </c>
      <c r="K20" s="13">
        <f t="shared" si="2"/>
        <v>-4271.9385714285709</v>
      </c>
      <c r="L20" s="43">
        <f t="shared" si="3"/>
        <v>-12.96</v>
      </c>
    </row>
    <row r="21" spans="1:12" x14ac:dyDescent="0.2">
      <c r="A21" s="16"/>
      <c r="B21" s="17"/>
      <c r="C21" s="17"/>
      <c r="D21" s="18"/>
      <c r="E21" s="18"/>
      <c r="F21" s="19"/>
      <c r="G21" s="20">
        <f>SUM(G4:G20)</f>
        <v>3840622.3299999996</v>
      </c>
      <c r="J21" s="20">
        <f>SUM(J4:J20)</f>
        <v>3522994.7947076582</v>
      </c>
      <c r="K21" s="20">
        <f>SUM(K4:K20)</f>
        <v>-317627.53529234108</v>
      </c>
    </row>
    <row r="22" spans="1:12" x14ac:dyDescent="0.2">
      <c r="A22" s="3"/>
      <c r="B22" s="21"/>
      <c r="C22" s="21"/>
      <c r="D22" s="21"/>
      <c r="E22" s="21"/>
      <c r="F22" s="24" t="s">
        <v>58</v>
      </c>
      <c r="G22" s="22">
        <f>G21*1.2</f>
        <v>4608746.7959999992</v>
      </c>
      <c r="J22" s="22">
        <f>J21*1.2</f>
        <v>4227593.7536491901</v>
      </c>
      <c r="K22" s="33">
        <f>K21*1.2</f>
        <v>-381153.04235080926</v>
      </c>
    </row>
    <row r="24" spans="1:12" x14ac:dyDescent="0.2">
      <c r="K24" s="25"/>
    </row>
    <row r="27" spans="1:12" x14ac:dyDescent="0.2">
      <c r="E27" s="38" t="s">
        <v>75</v>
      </c>
      <c r="F27" s="37" t="s">
        <v>76</v>
      </c>
      <c r="G27" s="37"/>
      <c r="H27" s="38" t="s">
        <v>77</v>
      </c>
    </row>
    <row r="28" spans="1:12" x14ac:dyDescent="0.2">
      <c r="E28" s="38">
        <v>21</v>
      </c>
      <c r="F28" s="41">
        <f>1815.38/57.6</f>
        <v>31.51701388888889</v>
      </c>
      <c r="G28" s="37" t="s">
        <v>70</v>
      </c>
      <c r="H28" s="38">
        <f>E28*F28</f>
        <v>661.8572916666667</v>
      </c>
    </row>
    <row r="29" spans="1:12" x14ac:dyDescent="0.2">
      <c r="E29" s="38">
        <v>28.8</v>
      </c>
      <c r="F29" s="41">
        <v>3.05</v>
      </c>
      <c r="G29" s="37" t="s">
        <v>72</v>
      </c>
      <c r="H29" s="38">
        <f t="shared" ref="H29:H31" si="4">E29*F29</f>
        <v>87.84</v>
      </c>
    </row>
    <row r="30" spans="1:12" x14ac:dyDescent="0.2">
      <c r="E30" s="38">
        <v>28.4</v>
      </c>
      <c r="F30" s="41">
        <v>4.47</v>
      </c>
      <c r="G30" s="37" t="s">
        <v>73</v>
      </c>
      <c r="H30" s="38">
        <f t="shared" si="4"/>
        <v>126.94799999999999</v>
      </c>
    </row>
    <row r="31" spans="1:12" x14ac:dyDescent="0.2">
      <c r="E31" s="38">
        <v>28</v>
      </c>
      <c r="F31" s="41">
        <v>0.88800000000000001</v>
      </c>
      <c r="G31" s="37" t="s">
        <v>71</v>
      </c>
      <c r="H31" s="38">
        <f t="shared" si="4"/>
        <v>24.864000000000001</v>
      </c>
    </row>
    <row r="32" spans="1:12" x14ac:dyDescent="0.2">
      <c r="E32" s="38"/>
      <c r="F32" s="37"/>
      <c r="G32" s="39" t="s">
        <v>74</v>
      </c>
      <c r="H32" s="40">
        <f>SUM(H28:H31)</f>
        <v>901.50929166666674</v>
      </c>
    </row>
    <row r="37" spans="12:12" x14ac:dyDescent="0.2">
      <c r="L37" s="3">
        <f>21/6</f>
        <v>3.5</v>
      </c>
    </row>
    <row r="41" spans="12:12" x14ac:dyDescent="0.2">
      <c r="L41" s="3">
        <f>3.14*0.219*21</f>
        <v>14.440860000000001</v>
      </c>
    </row>
    <row r="42" spans="12:12" x14ac:dyDescent="0.2">
      <c r="L42" s="3">
        <f>0.05*0.05*60</f>
        <v>0.15000000000000002</v>
      </c>
    </row>
    <row r="51" spans="3:11" ht="20.25" x14ac:dyDescent="0.3">
      <c r="C51" s="45" t="s">
        <v>79</v>
      </c>
      <c r="D51" s="45">
        <f>3.14*0.219*21</f>
        <v>14.440860000000001</v>
      </c>
    </row>
    <row r="52" spans="3:11" ht="20.25" x14ac:dyDescent="0.3">
      <c r="C52" s="45" t="s">
        <v>80</v>
      </c>
      <c r="D52" s="45">
        <f>0.05*4*28.8</f>
        <v>5.7600000000000007</v>
      </c>
      <c r="K52" s="3">
        <f>39.6/100</f>
        <v>0.39600000000000002</v>
      </c>
    </row>
    <row r="53" spans="3:11" ht="20.25" x14ac:dyDescent="0.3">
      <c r="C53" s="45" t="s">
        <v>81</v>
      </c>
      <c r="D53" s="45">
        <f>(0.05*4+0.1*2)*28.8</f>
        <v>11.520000000000001</v>
      </c>
    </row>
    <row r="54" spans="3:11" ht="20.25" x14ac:dyDescent="0.3">
      <c r="C54" s="46" t="s">
        <v>78</v>
      </c>
      <c r="D54" s="47">
        <f>SUM(D51:D53)/100</f>
        <v>0.31720860000000001</v>
      </c>
    </row>
    <row r="55" spans="3:11" ht="20.25" x14ac:dyDescent="0.3">
      <c r="C55" s="44"/>
      <c r="D55" s="44"/>
    </row>
    <row r="56" spans="3:11" ht="20.25" x14ac:dyDescent="0.3">
      <c r="C56" s="44"/>
      <c r="D56" s="44"/>
    </row>
    <row r="57" spans="3:11" ht="20.25" x14ac:dyDescent="0.3">
      <c r="C57" s="44"/>
      <c r="D57" s="44"/>
    </row>
    <row r="58" spans="3:11" ht="20.25" x14ac:dyDescent="0.3">
      <c r="C58" s="44"/>
      <c r="D58" s="44"/>
    </row>
    <row r="59" spans="3:11" ht="20.25" x14ac:dyDescent="0.3">
      <c r="C59" s="44"/>
      <c r="D59" s="44"/>
    </row>
    <row r="60" spans="3:11" ht="20.25" x14ac:dyDescent="0.3">
      <c r="C60" s="44"/>
      <c r="D60" s="44"/>
    </row>
    <row r="61" spans="3:11" ht="20.25" x14ac:dyDescent="0.3">
      <c r="C61" s="44"/>
      <c r="D61" s="44"/>
    </row>
    <row r="62" spans="3:11" ht="20.25" x14ac:dyDescent="0.3">
      <c r="C62" s="44"/>
      <c r="D62" s="44"/>
    </row>
  </sheetData>
  <phoneticPr fontId="10" type="noConversion"/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ТС доп</vt:lpstr>
      <vt:lpstr>'ТС доп'!Заголовки_для_печати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Admin</cp:lastModifiedBy>
  <cp:lastPrinted>2023-03-02T07:11:12Z</cp:lastPrinted>
  <dcterms:created xsi:type="dcterms:W3CDTF">2020-09-30T08:50:27Z</dcterms:created>
  <dcterms:modified xsi:type="dcterms:W3CDTF">2023-12-18T09:49:50Z</dcterms:modified>
</cp:coreProperties>
</file>