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WORK\Мое\Закрытия\3 выполнение\"/>
    </mc:Choice>
  </mc:AlternateContent>
  <xr:revisionPtr revIDLastSave="0" documentId="13_ncr:1_{1D8C57BE-FC09-46A3-98BA-46411C30371B}" xr6:coauthVersionLast="47" xr6:coauthVersionMax="47" xr10:uidLastSave="{00000000-0000-0000-0000-000000000000}"/>
  <bookViews>
    <workbookView xWindow="-120" yWindow="-120" windowWidth="51840" windowHeight="21240" activeTab="1" xr2:uid="{00000000-000D-0000-FFFF-FFFF00000000}"/>
  </bookViews>
  <sheets>
    <sheet name="СВОД-К" sheetId="17" r:id="rId1"/>
    <sheet name="СВОД" sheetId="2" r:id="rId2"/>
    <sheet name="АС2" sheetId="15" r:id="rId3"/>
    <sheet name="НВК-5" sheetId="7" r:id="rId4"/>
    <sheet name="Дем3" sheetId="10" r:id="rId5"/>
    <sheet name="Мазутопровод" sheetId="16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_xlnm._FilterDatabase" localSheetId="2" hidden="1">АС2!$C$1:$C$341</definedName>
    <definedName name="_xlnm._FilterDatabase" localSheetId="4" hidden="1">Дем3!$C$1:$C$271</definedName>
    <definedName name="_xlnm._FilterDatabase" localSheetId="3" hidden="1">'НВК-5'!$I$1:$I$581</definedName>
    <definedName name="Excel_BuiltIn__FilterDatabase_4" localSheetId="2">#REF!</definedName>
    <definedName name="Excel_BuiltIn__FilterDatabase_4" localSheetId="4">#REF!</definedName>
    <definedName name="Excel_BuiltIn__FilterDatabase_4" localSheetId="0">#REF!</definedName>
    <definedName name="Excel_BuiltIn__FilterDatabase_4">#REF!</definedName>
    <definedName name="Excel_BuiltIn_Print_Area" localSheetId="2">#REF!</definedName>
    <definedName name="Excel_BuiltIn_Print_Area" localSheetId="4">#REF!</definedName>
    <definedName name="Excel_BuiltIn_Print_Area" localSheetId="0">#REF!</definedName>
    <definedName name="Excel_BuiltIn_Print_Area">#REF!</definedName>
    <definedName name="Excel_BuiltIn_Print_Area_1" localSheetId="2">#REF!</definedName>
    <definedName name="Excel_BuiltIn_Print_Area_1" localSheetId="4">#REF!</definedName>
    <definedName name="Excel_BuiltIn_Print_Area_1" localSheetId="0">#REF!</definedName>
    <definedName name="Excel_BuiltIn_Print_Area_1">#REF!</definedName>
    <definedName name="Excel_BuiltIn_Print_Area_13" localSheetId="2">#REF!</definedName>
    <definedName name="Excel_BuiltIn_Print_Area_13" localSheetId="4">#REF!</definedName>
    <definedName name="Excel_BuiltIn_Print_Area_13" localSheetId="0">#REF!</definedName>
    <definedName name="Excel_BuiltIn_Print_Area_13">#REF!</definedName>
    <definedName name="Excel_BuiltIn_Print_Area_2" localSheetId="2">#REF!</definedName>
    <definedName name="Excel_BuiltIn_Print_Area_2" localSheetId="4">#REF!</definedName>
    <definedName name="Excel_BuiltIn_Print_Area_2" localSheetId="0">#REF!</definedName>
    <definedName name="Excel_BuiltIn_Print_Area_2">#REF!</definedName>
    <definedName name="Excel_BuiltIn_Print_Area_3" localSheetId="2">#REF!</definedName>
    <definedName name="Excel_BuiltIn_Print_Area_3" localSheetId="4">#REF!</definedName>
    <definedName name="Excel_BuiltIn_Print_Area_3" localSheetId="0">#REF!</definedName>
    <definedName name="Excel_BuiltIn_Print_Area_3">#REF!</definedName>
    <definedName name="Excel_BuiltIn_Print_Area_4" localSheetId="2">#REF!</definedName>
    <definedName name="Excel_BuiltIn_Print_Area_4" localSheetId="4">#REF!</definedName>
    <definedName name="Excel_BuiltIn_Print_Area_4" localSheetId="0">#REF!</definedName>
    <definedName name="Excel_BuiltIn_Print_Area_4">#REF!</definedName>
    <definedName name="Excel_BuiltIn_Print_Area_5" localSheetId="2">#REF!</definedName>
    <definedName name="Excel_BuiltIn_Print_Area_5" localSheetId="4">#REF!</definedName>
    <definedName name="Excel_BuiltIn_Print_Area_5" localSheetId="0">#REF!</definedName>
    <definedName name="Excel_BuiltIn_Print_Area_5">#REF!</definedName>
    <definedName name="Excel_BuiltIn_Print_Area_6" localSheetId="2">#REF!</definedName>
    <definedName name="Excel_BuiltIn_Print_Area_6" localSheetId="4">#REF!</definedName>
    <definedName name="Excel_BuiltIn_Print_Area_6" localSheetId="0">#REF!</definedName>
    <definedName name="Excel_BuiltIn_Print_Area_6">#REF!</definedName>
    <definedName name="Excel_BuiltIn_Print_Area_7" localSheetId="2">#REF!</definedName>
    <definedName name="Excel_BuiltIn_Print_Area_7" localSheetId="4">#REF!</definedName>
    <definedName name="Excel_BuiltIn_Print_Area_7" localSheetId="0">#REF!</definedName>
    <definedName name="Excel_BuiltIn_Print_Area_7">#REF!</definedName>
    <definedName name="Excel_BuiltIn_Print_Area_8" localSheetId="2">#REF!</definedName>
    <definedName name="Excel_BuiltIn_Print_Area_8" localSheetId="4">#REF!</definedName>
    <definedName name="Excel_BuiltIn_Print_Area_8" localSheetId="0">#REF!</definedName>
    <definedName name="Excel_BuiltIn_Print_Area_8">#REF!</definedName>
    <definedName name="Excel_BuiltIn_Print_Titles" localSheetId="2">#REF!</definedName>
    <definedName name="Excel_BuiltIn_Print_Titles" localSheetId="4">#REF!</definedName>
    <definedName name="Excel_BuiltIn_Print_Titles" localSheetId="0">#REF!</definedName>
    <definedName name="Excel_BuiltIn_Print_Titles">#REF!</definedName>
    <definedName name="Fuck" localSheetId="2">#REF!</definedName>
    <definedName name="Fuck" localSheetId="4">#REF!</definedName>
    <definedName name="Fuck" localSheetId="0">#REF!</definedName>
    <definedName name="Fuck">#REF!</definedName>
    <definedName name="k">'[1]Текущие показатели'!$A$2</definedName>
    <definedName name="VES" localSheetId="2">#REF!</definedName>
    <definedName name="VES" localSheetId="4">#REF!</definedName>
    <definedName name="VES" localSheetId="0">#REF!</definedName>
    <definedName name="VES">#REF!</definedName>
    <definedName name="Z_32BE0561_3E43_11D1_AA21_0080C83F6713_.wvu.FilterData" localSheetId="2" hidden="1">#REF!</definedName>
    <definedName name="Z_32BE0561_3E43_11D1_AA21_0080C83F6713_.wvu.FilterData" localSheetId="4" hidden="1">#REF!</definedName>
    <definedName name="Z_32BE0561_3E43_11D1_AA21_0080C83F6713_.wvu.FilterData" localSheetId="0" hidden="1">#REF!</definedName>
    <definedName name="Z_32BE0561_3E43_11D1_AA21_0080C83F6713_.wvu.FilterData" hidden="1">#REF!</definedName>
    <definedName name="Z_32BE0561_3E43_11D1_AA21_0080C83F6713_.wvu.Rows" localSheetId="2" hidden="1">#REF!</definedName>
    <definedName name="Z_32BE0561_3E43_11D1_AA21_0080C83F6713_.wvu.Rows" localSheetId="4" hidden="1">#REF!</definedName>
    <definedName name="Z_32BE0561_3E43_11D1_AA21_0080C83F6713_.wvu.Rows" localSheetId="0" hidden="1">#REF!</definedName>
    <definedName name="Z_32BE0561_3E43_11D1_AA21_0080C83F6713_.wvu.Rows" hidden="1">#REF!</definedName>
    <definedName name="Z_361DAB21_3E43_11D1_9921_000021579852_.wvu.FilterData" localSheetId="2" hidden="1">#REF!</definedName>
    <definedName name="Z_361DAB21_3E43_11D1_9921_000021579852_.wvu.FilterData" localSheetId="4" hidden="1">#REF!</definedName>
    <definedName name="Z_361DAB21_3E43_11D1_9921_000021579852_.wvu.FilterData" localSheetId="0" hidden="1">#REF!</definedName>
    <definedName name="Z_361DAB21_3E43_11D1_9921_000021579852_.wvu.FilterData" hidden="1">#REF!</definedName>
    <definedName name="Z_6DAEFF01_3E3C_11D1_9921_000021579852_.wvu.FilterData" localSheetId="2" hidden="1">#REF!</definedName>
    <definedName name="Z_6DAEFF01_3E3C_11D1_9921_000021579852_.wvu.FilterData" localSheetId="4" hidden="1">#REF!</definedName>
    <definedName name="Z_6DAEFF01_3E3C_11D1_9921_000021579852_.wvu.FilterData" localSheetId="0" hidden="1">#REF!</definedName>
    <definedName name="Z_6DAEFF01_3E3C_11D1_9921_000021579852_.wvu.FilterData" hidden="1">#REF!</definedName>
    <definedName name="Z_6DAEFF01_3E3C_11D1_9921_000021579852_.wvu.Rows" localSheetId="2" hidden="1">#REF!</definedName>
    <definedName name="Z_6DAEFF01_3E3C_11D1_9921_000021579852_.wvu.Rows" localSheetId="4" hidden="1">#REF!</definedName>
    <definedName name="Z_6DAEFF01_3E3C_11D1_9921_000021579852_.wvu.Rows" localSheetId="0" hidden="1">#REF!</definedName>
    <definedName name="Z_6DAEFF01_3E3C_11D1_9921_000021579852_.wvu.Rows" hidden="1">#REF!</definedName>
    <definedName name="Z_7F3F38C1_B38F_11D1_B73A_0080C83F5DB9_.wvu.FilterData" localSheetId="2" hidden="1">#REF!</definedName>
    <definedName name="Z_7F3F38C1_B38F_11D1_B73A_0080C83F5DB9_.wvu.FilterData" localSheetId="4" hidden="1">#REF!</definedName>
    <definedName name="Z_7F3F38C1_B38F_11D1_B73A_0080C83F5DB9_.wvu.FilterData" localSheetId="0" hidden="1">#REF!</definedName>
    <definedName name="Z_7F3F38C1_B38F_11D1_B73A_0080C83F5DB9_.wvu.FilterData" hidden="1">#REF!</definedName>
    <definedName name="_xlnm.Database" localSheetId="2">#REF!</definedName>
    <definedName name="_xlnm.Database" localSheetId="4">#REF!</definedName>
    <definedName name="_xlnm.Database" localSheetId="0">#REF!</definedName>
    <definedName name="_xlnm.Database">#REF!</definedName>
    <definedName name="БИРЖА">'[2]исх дан'!$B$4</definedName>
    <definedName name="БИРЖА2">'[2]исх дан'!#REF!</definedName>
    <definedName name="вид_сметы">[3]база!$G$1:$G$65536</definedName>
    <definedName name="выдал">[3]база!$E$1:$E$65536</definedName>
    <definedName name="граница">'[2]исх дан'!$B$6</definedName>
    <definedName name="д" localSheetId="2">#REF!</definedName>
    <definedName name="д" localSheetId="4">#REF!</definedName>
    <definedName name="д" localSheetId="0">#REF!</definedName>
    <definedName name="д">#REF!</definedName>
    <definedName name="Дополнение01">[4]Смета!$I$1:$Q$65536,[4]Смета!$AA$1:$CK$65536</definedName>
    <definedName name="Дополнение02">[4]Смета!$I$1:$Z$65536,[4]Смета!$AJ$1:$CK$65536</definedName>
    <definedName name="Дополнение03">[4]Смета!$I$1:$AI$65536,[4]Смета!$AS$1:$AS$65536,[4]Смета!$AT$1:$CK$65536</definedName>
    <definedName name="Дополнение04">[4]Смета!$I$1:$AR$65536,[4]Смета!$BB$1:$CK$65536</definedName>
    <definedName name="Дополнение05">[4]Смета!$I$1:$BA$65536,[4]Смета!$BK$1:$CK$65536</definedName>
    <definedName name="Дополнение06">[4]Смета!$I$1:$BJ$65536,[4]Смета!$BT$1:$CK$65536</definedName>
    <definedName name="Дополнение07">[4]Смета!$I$1:$BS$65536,[4]Смета!$CC$1:$CK$65536</definedName>
    <definedName name="Дост_Кавказ" localSheetId="2">[5]Кабель!#REF!</definedName>
    <definedName name="Дост_Кавказ">[5]Кабель!#REF!</definedName>
    <definedName name="Дост_Промсервис">[5]Кабель!$BR$9</definedName>
    <definedName name="Доставка_Алюр" localSheetId="2">#REF!</definedName>
    <definedName name="Доставка_Алюр" localSheetId="4">#REF!</definedName>
    <definedName name="Доставка_Алюр" localSheetId="0">#REF!</definedName>
    <definedName name="Доставка_Алюр">#REF!</definedName>
    <definedName name="доставка_андромеда" localSheetId="2">#REF!</definedName>
    <definedName name="доставка_андромеда" localSheetId="4">#REF!</definedName>
    <definedName name="доставка_андромеда" localSheetId="0">#REF!</definedName>
    <definedName name="доставка_андромеда">#REF!</definedName>
    <definedName name="доставка_ВИМкабель" localSheetId="2">#REF!</definedName>
    <definedName name="доставка_ВИМкабель" localSheetId="4">#REF!</definedName>
    <definedName name="доставка_ВИМкабель" localSheetId="0">#REF!</definedName>
    <definedName name="доставка_ВИМкабель">#REF!</definedName>
    <definedName name="Доставка_Дилявер" localSheetId="2">#REF!</definedName>
    <definedName name="Доставка_Дилявер" localSheetId="4">#REF!</definedName>
    <definedName name="Доставка_Дилявер" localSheetId="0">#REF!</definedName>
    <definedName name="Доставка_Дилявер">#REF!</definedName>
    <definedName name="доставка_кавказ" localSheetId="2">#REF!</definedName>
    <definedName name="доставка_кавказ" localSheetId="4">#REF!</definedName>
    <definedName name="доставка_кавказ" localSheetId="0">#REF!</definedName>
    <definedName name="доставка_кавказ">#REF!</definedName>
    <definedName name="_xlnm.Print_Titles" localSheetId="2">АС2!$1:$1</definedName>
    <definedName name="_xlnm.Print_Titles" localSheetId="4">Дем3!$1:$1</definedName>
    <definedName name="_xlnm.Print_Titles" localSheetId="5">Мазутопровод!$34:$34</definedName>
    <definedName name="_xlnm.Print_Titles" localSheetId="3">'НВК-5'!$1:$1</definedName>
    <definedName name="заказчики">[3]база!$A$1:$A$65536</definedName>
    <definedName name="Заключение">[6]Списки!$I$2:$I$4</definedName>
    <definedName name="к1" localSheetId="2">#REF!</definedName>
    <definedName name="к1" localSheetId="4">#REF!</definedName>
    <definedName name="к1" localSheetId="0">#REF!</definedName>
    <definedName name="к1">#REF!</definedName>
    <definedName name="к2" localSheetId="2">#REF!</definedName>
    <definedName name="к2" localSheetId="4">#REF!</definedName>
    <definedName name="к2" localSheetId="0">#REF!</definedName>
    <definedName name="к2">#REF!</definedName>
    <definedName name="к3" localSheetId="2">#REF!</definedName>
    <definedName name="к3" localSheetId="4">#REF!</definedName>
    <definedName name="к3" localSheetId="0">#REF!</definedName>
    <definedName name="к3">#REF!</definedName>
    <definedName name="Код_1" localSheetId="2">[4]Смета!#REF!</definedName>
    <definedName name="Код_1" localSheetId="4">[4]Смета!#REF!</definedName>
    <definedName name="Код_1" localSheetId="0">[4]Смета!#REF!</definedName>
    <definedName name="Код_1">[4]Смета!#REF!</definedName>
    <definedName name="Кольч">'[2]исх дан'!$B$12</definedName>
    <definedName name="КОЛЬЧ_АВББШВ">'[2]исх дан'!#REF!</definedName>
    <definedName name="Конец" localSheetId="2">#REF!</definedName>
    <definedName name="Конец" localSheetId="4">#REF!</definedName>
    <definedName name="Конец" localSheetId="0">#REF!</definedName>
    <definedName name="Конец">#REF!</definedName>
    <definedName name="конкр150" localSheetId="2">'[2]исх дан'!#REF!</definedName>
    <definedName name="конкр150" localSheetId="4">'[2]исх дан'!#REF!</definedName>
    <definedName name="конкр150" localSheetId="0">'[2]исх дан'!#REF!</definedName>
    <definedName name="конкр150">'[2]исх дан'!#REF!</definedName>
    <definedName name="конкр230" localSheetId="2">'[2]исх дан'!#REF!</definedName>
    <definedName name="конкр230">'[2]исх дан'!#REF!</definedName>
    <definedName name="конкр240" localSheetId="2">'[2]исх дан'!#REF!</definedName>
    <definedName name="конкр240">'[2]исх дан'!#REF!</definedName>
    <definedName name="КОНТРОЛЬНИК" localSheetId="2">'[2]исх дан'!#REF!</definedName>
    <definedName name="КОНТРОЛЬНИК">'[2]исх дан'!#REF!</definedName>
    <definedName name="Копилка_объем" localSheetId="2">[4]Материалы!#REF!</definedName>
    <definedName name="Копилка_объем">[4]Материалы!#REF!</definedName>
    <definedName name="Копилка_сумма">[4]Материалы!#REF!</definedName>
    <definedName name="КОРОБ_ДОБ_РОЗН">'[2]исх дан'!#REF!</definedName>
    <definedName name="КОРОБ_РФ">'[2]исх дан'!#REF!</definedName>
    <definedName name="_xlnm.Criteria" localSheetId="2">#REF!</definedName>
    <definedName name="_xlnm.Criteria" localSheetId="4">#REF!</definedName>
    <definedName name="_xlnm.Criteria" localSheetId="0">#REF!</definedName>
    <definedName name="_xlnm.Criteria">#REF!</definedName>
    <definedName name="КУРС" localSheetId="4">'[2]исх дан'!#REF!</definedName>
    <definedName name="КУРС" localSheetId="0">'[2]исх дан'!#REF!</definedName>
    <definedName name="КУРС">'[2]исх дан'!#REF!</definedName>
    <definedName name="КУРС_2Й_ЛИСТ" localSheetId="0">'[2]исх дан'!#REF!</definedName>
    <definedName name="КУРС_2Й_ЛИСТ">'[2]исх дан'!#REF!</definedName>
    <definedName name="Курс_Диалин">'[7]Эл-доп'!$U$4</definedName>
    <definedName name="КУРС_ЗАПАЗД">'[2]исх дан'!#REF!</definedName>
    <definedName name="Курс_ИЭК">'[7]Эл-доп'!$Z$4</definedName>
    <definedName name="КУРС_КОЛЬЧ">'[2]исх дан'!#REF!</definedName>
    <definedName name="КУРС_ЛУК">'[2]исх дан'!#REF!</definedName>
    <definedName name="КУРС_ЛУКИ">'[2]исх дан'!#REF!</definedName>
    <definedName name="КУРС_РК">'[2]исх дан'!#REF!</definedName>
    <definedName name="левон_опт" localSheetId="2">#REF!</definedName>
    <definedName name="левон_опт" localSheetId="4">#REF!</definedName>
    <definedName name="левон_опт" localSheetId="0">#REF!</definedName>
    <definedName name="левон_опт">#REF!</definedName>
    <definedName name="левон_розн" localSheetId="2">#REF!</definedName>
    <definedName name="левон_розн" localSheetId="4">#REF!</definedName>
    <definedName name="левон_розн" localSheetId="0">#REF!</definedName>
    <definedName name="левон_розн">#REF!</definedName>
    <definedName name="лист1" localSheetId="2">[8]Кабель!$A$1:$A$123,[8]Кабель!$GF$1:$GG$123,#REF!,#REF!,[8]Кабель!$A$423:$A$1102,[8]Кабель!$GF$423:$GG$1102</definedName>
    <definedName name="лист1" localSheetId="4">[8]Кабель!$A$1:$A$123,[8]Кабель!$GF$1:$GG$123,#REF!,#REF!,[8]Кабель!$A$423:$A$1102,[8]Кабель!$GF$423:$GG$1102</definedName>
    <definedName name="лист1" localSheetId="0">[8]Кабель!$A$1:$A$123,[8]Кабель!$GF$1:$GG$123,#REF!,#REF!,[8]Кабель!$A$423:$A$1102,[8]Кабель!$GF$423:$GG$1102</definedName>
    <definedName name="лист1">[8]Кабель!$A$1:$A$123,[8]Кабель!$GF$1:$GG$123,#REF!,#REF!,[8]Кабель!$A$423:$A$1102,[8]Кабель!$GF$423:$GG$1102</definedName>
    <definedName name="лист1_txt" localSheetId="2">[8]Кабель!$A$10:$A$123,[8]Кабель!$GF$10:$GG$123,#REF!,[8]Кабель!$GF$438:$GG$850</definedName>
    <definedName name="лист1_txt" localSheetId="4">[8]Кабель!$A$10:$A$123,[8]Кабель!$GF$10:$GG$123,#REF!,[8]Кабель!$GF$438:$GG$850</definedName>
    <definedName name="лист1_txt" localSheetId="0">[8]Кабель!$A$10:$A$123,[8]Кабель!$GF$10:$GG$123,#REF!,[8]Кабель!$GF$438:$GG$850</definedName>
    <definedName name="лист1_txt">[8]Кабель!$A$10:$A$123,[8]Кабель!$GF$10:$GG$123,#REF!,[8]Кабель!$GF$438:$GG$850</definedName>
    <definedName name="лист10" localSheetId="2">#REF!,#REF!</definedName>
    <definedName name="лист10" localSheetId="4">#REF!,#REF!</definedName>
    <definedName name="лист10" localSheetId="0">#REF!,#REF!</definedName>
    <definedName name="лист10">#REF!,#REF!</definedName>
    <definedName name="лист2" localSheetId="2">[7]Электрика!#REF!,[7]Электрика!#REF!,[7]Электрика!$B$1:$B$24,[7]Электрика!$AY$1:$AZ$24,[7]Электрика!#REF!,[7]Электрика!#REF!</definedName>
    <definedName name="лист2" localSheetId="4">[7]Электрика!#REF!,[7]Электрика!#REF!,[7]Электрика!$B$1:$B$24,[7]Электрика!$AY$1:$AZ$24,[7]Электрика!#REF!,[7]Электрика!#REF!</definedName>
    <definedName name="лист2" localSheetId="0">[7]Электрика!#REF!,[7]Электрика!#REF!,[7]Электрика!$B$1:$B$24,[7]Электрика!$AY$1:$AZ$24,[7]Электрика!#REF!,[7]Электрика!#REF!</definedName>
    <definedName name="лист2">[7]Электрика!#REF!,[7]Электрика!#REF!,[7]Электрика!$B$1:$B$24,[7]Электрика!$AY$1:$AZ$24,[7]Электрика!#REF!,[7]Электрика!#REF!</definedName>
    <definedName name="лист2_txt" localSheetId="2">#REF!,[7]Электрика!$A$3:$B$24,[7]Электрика!$AY$3:$AZ$24,[7]Электрика!$AY$69:$AZ$129</definedName>
    <definedName name="лист2_txt" localSheetId="4">#REF!,[7]Электрика!$A$3:$B$24,[7]Электрика!$AY$3:$AZ$24,[7]Электрика!$AY$69:$AZ$129</definedName>
    <definedName name="лист2_txt" localSheetId="0">#REF!,[7]Электрика!$A$3:$B$24,[7]Электрика!$AY$3:$AZ$24,[7]Электрика!$AY$69:$AZ$129</definedName>
    <definedName name="лист2_txt">#REF!,[7]Электрика!$A$3:$B$24,[7]Электрика!$AY$3:$AZ$24,[7]Электрика!$AY$69:$AZ$129</definedName>
    <definedName name="лист3" localSheetId="2">#REF!,#REF!,#REF!,#REF!,#REF!,#REF!</definedName>
    <definedName name="лист3" localSheetId="4">#REF!,#REF!,#REF!,#REF!,#REF!,#REF!</definedName>
    <definedName name="лист3" localSheetId="0">#REF!,#REF!,#REF!,#REF!,#REF!,#REF!</definedName>
    <definedName name="лист3">#REF!,#REF!,#REF!,#REF!,#REF!,#REF!</definedName>
    <definedName name="лист3_txt" localSheetId="2">#REF!,#REF!,#REF!,#REF!</definedName>
    <definedName name="лист3_txt" localSheetId="4">#REF!,#REF!,#REF!,#REF!</definedName>
    <definedName name="лист3_txt" localSheetId="0">#REF!,#REF!,#REF!,#REF!</definedName>
    <definedName name="лист3_txt">#REF!,#REF!,#REF!,#REF!</definedName>
    <definedName name="лист4" localSheetId="2">#REF!,#REF!,#REF!,#REF!,#REF!,#REF!</definedName>
    <definedName name="лист4" localSheetId="4">#REF!,#REF!,#REF!,#REF!,#REF!,#REF!</definedName>
    <definedName name="лист4" localSheetId="0">#REF!,#REF!,#REF!,#REF!,#REF!,#REF!</definedName>
    <definedName name="лист4">#REF!,#REF!,#REF!,#REF!,#REF!,#REF!</definedName>
    <definedName name="лист4_txt" localSheetId="2">#REF!,#REF!,#REF!,#REF!</definedName>
    <definedName name="лист4_txt" localSheetId="4">#REF!,#REF!,#REF!,#REF!</definedName>
    <definedName name="лист4_txt" localSheetId="0">#REF!,#REF!,#REF!,#REF!</definedName>
    <definedName name="лист4_txt">#REF!,#REF!,#REF!,#REF!</definedName>
    <definedName name="лист8" localSheetId="2">#REF!,#REF!</definedName>
    <definedName name="лист8" localSheetId="4">#REF!,#REF!</definedName>
    <definedName name="лист8" localSheetId="0">#REF!,#REF!</definedName>
    <definedName name="лист8">#REF!,#REF!</definedName>
    <definedName name="ЛУКИ" localSheetId="2">#REF!</definedName>
    <definedName name="ЛУКИ" localSheetId="4">#REF!</definedName>
    <definedName name="ЛУКИ" localSheetId="0">#REF!</definedName>
    <definedName name="ЛУКИ">#REF!</definedName>
    <definedName name="ЛУКИ_МЕДЬ" localSheetId="2">'[2]исх дан'!#REF!</definedName>
    <definedName name="ЛУКИ_МЕДЬ" localSheetId="4">'[2]исх дан'!#REF!</definedName>
    <definedName name="ЛУКИ_МЕДЬ" localSheetId="0">'[2]исх дан'!#REF!</definedName>
    <definedName name="ЛУКИ_МЕДЬ">'[2]исх дан'!#REF!</definedName>
    <definedName name="Материалы01">[4]Материалы!$G$1:$O$65536,[4]Материалы!$Y$1:$CI$65536</definedName>
    <definedName name="Материалы02">[4]Материалы!$G$1:$X$65536,[4]Материалы!$AH$1:$CI$65536</definedName>
    <definedName name="Материалы03">[4]Материалы!$G$1:$AG$65536,[4]Материалы!$AQ$1:$CI$65536</definedName>
    <definedName name="Материалы04">[4]Материалы!$G$1:$AP$65536,[4]Материалы!$AZ$1:$CI$65536</definedName>
    <definedName name="Материалы05">[4]Материалы!$G$1:$AY$65536,[4]Материалы!$BI$1:$CI$65536</definedName>
    <definedName name="Материалы06">[4]Материалы!$G$1:$BH$65536,[4]Материалы!$BR$1:$CI$65536</definedName>
    <definedName name="Материалы07">[4]Материалы!$G$1:$BQ$65536,[4]Материалы!$CA$1:$CI$65536</definedName>
    <definedName name="Мин.нац." localSheetId="2">[5]Кабель!#REF!</definedName>
    <definedName name="Мин.нац.">[5]Кабель!#REF!</definedName>
    <definedName name="Мин_Нац">'[2]исх дан'!$B$9</definedName>
    <definedName name="ммм">'[2]исх дан'!#REF!</definedName>
    <definedName name="НаименованиеПород">[6]Списки!$B$2:$B$80</definedName>
    <definedName name="НАЦ_ГОФР">'[2]исх дан'!#REF!</definedName>
    <definedName name="НАЦ_ГОФР_СПЕЦ">'[2]исх дан'!#REF!</definedName>
    <definedName name="НАЦ_КОЛЬЧ">'[2]исх дан'!#REF!</definedName>
    <definedName name="НАЦ_КОРОБ">'[2]исх дан'!#REF!</definedName>
    <definedName name="нац_метрук">'[2]исх дан'!#REF!</definedName>
    <definedName name="нац_након" localSheetId="2">#REF!</definedName>
    <definedName name="нац_након" localSheetId="4">#REF!</definedName>
    <definedName name="нац_након" localSheetId="0">#REF!</definedName>
    <definedName name="нац_након">#REF!</definedName>
    <definedName name="НАЦ_НЕГОРЮЧ" localSheetId="2">#REF!</definedName>
    <definedName name="НАЦ_НЕГОРЮЧ" localSheetId="4">#REF!</definedName>
    <definedName name="НАЦ_НЕГОРЮЧ" localSheetId="0">#REF!</definedName>
    <definedName name="НАЦ_НЕГОРЮЧ">#REF!</definedName>
    <definedName name="НАЦ_ОПТ" localSheetId="2">'[2]исх дан'!#REF!</definedName>
    <definedName name="НАЦ_ОПТ" localSheetId="4">'[2]исх дан'!#REF!</definedName>
    <definedName name="НАЦ_ОПТ" localSheetId="0">'[2]исх дан'!#REF!</definedName>
    <definedName name="НАЦ_ОПТ">'[2]исх дан'!#REF!</definedName>
    <definedName name="НАЦ_ОПТ_КОЛЬЧ" localSheetId="2">'[2]исх дан'!#REF!</definedName>
    <definedName name="НАЦ_ОПТ_КОЛЬЧ" localSheetId="4">'[2]исх дан'!#REF!</definedName>
    <definedName name="НАЦ_ОПТ_КОЛЬЧ">'[2]исх дан'!#REF!</definedName>
    <definedName name="НАЦ_ОПТ_КОЛЬЧ_тпп">'[2]исх дан'!#REF!</definedName>
    <definedName name="НАЦ_РЫБ">'[2]исх дан'!#REF!</definedName>
    <definedName name="НАЦ_РЫБ_КРУПН">'[2]исх дан'!#REF!</definedName>
    <definedName name="НАЦ_РЫБ_МЕЛК">'[2]исх дан'!#REF!</definedName>
    <definedName name="НАЦ_СМОЛ_АВВГ">'[2]исх дан'!#REF!</definedName>
    <definedName name="НАЦ_СМОЛ_АПВ">'[2]исх дан'!#REF!</definedName>
    <definedName name="НАЦ_СМОЛ_М">'[2]исх дан'!#REF!</definedName>
    <definedName name="НАЦ_ТУРЦ_ОПТ" localSheetId="2">#REF!</definedName>
    <definedName name="НАЦ_ТУРЦ_ОПТ" localSheetId="4">#REF!</definedName>
    <definedName name="НАЦ_ТУРЦ_ОПТ" localSheetId="0">#REF!</definedName>
    <definedName name="НАЦ_ТУРЦ_ОПТ">#REF!</definedName>
    <definedName name="НАЦ_ТУРЦ_РОЗН" localSheetId="2">#REF!</definedName>
    <definedName name="НАЦ_ТУРЦ_РОЗН" localSheetId="4">#REF!</definedName>
    <definedName name="НАЦ_ТУРЦ_РОЗН" localSheetId="0">#REF!</definedName>
    <definedName name="НАЦ_ТУРЦ_РОЗН">#REF!</definedName>
    <definedName name="НАЦЕНКА" localSheetId="2">'[2]исх дан'!#REF!</definedName>
    <definedName name="НАЦЕНКА" localSheetId="4">'[2]исх дан'!#REF!</definedName>
    <definedName name="НАЦЕНКА" localSheetId="0">'[2]исх дан'!#REF!</definedName>
    <definedName name="НАЦЕНКА">'[2]исх дан'!#REF!</definedName>
    <definedName name="НАЦЕНКА_150" localSheetId="2">'[2]исх дан'!#REF!</definedName>
    <definedName name="НАЦЕНКА_150" localSheetId="4">'[2]исх дан'!#REF!</definedName>
    <definedName name="НАЦЕНКА_150">'[2]исх дан'!#REF!</definedName>
    <definedName name="НАЦЕНКА_СЧЕТЧ">'[2]исх дан'!#REF!</definedName>
    <definedName name="НАЦЕНКА_СЧЕТЧИКИ">'[2]исх дан'!#REF!</definedName>
    <definedName name="НДС">'[2]исх дан'!#REF!</definedName>
    <definedName name="Номер_сметы">[9]Справочник!$A:$A</definedName>
    <definedName name="ООС" localSheetId="2">#REF!,#REF!</definedName>
    <definedName name="ООС" localSheetId="4">#REF!,#REF!</definedName>
    <definedName name="ООС" localSheetId="0">#REF!,#REF!</definedName>
    <definedName name="ООС">#REF!,#REF!</definedName>
    <definedName name="от_БИРЖЕВОГО" localSheetId="2">'[2]исх дан'!#REF!</definedName>
    <definedName name="от_БИРЖЕВОГО" localSheetId="4">'[2]исх дан'!#REF!</definedName>
    <definedName name="от_БИРЖЕВОГО" localSheetId="0">'[2]исх дан'!#REF!</definedName>
    <definedName name="от_БИРЖЕВОГО">'[2]исх дан'!#REF!</definedName>
    <definedName name="ПВ" localSheetId="2">'[2]исх дан'!#REF!</definedName>
    <definedName name="ПВ" localSheetId="4">'[2]исх дан'!#REF!</definedName>
    <definedName name="ПВ" localSheetId="0">'[2]исх дан'!#REF!</definedName>
    <definedName name="ПВ">'[2]исх дан'!#REF!</definedName>
    <definedName name="ПВС_ОПТ" localSheetId="2">'[2]исх дан'!#REF!</definedName>
    <definedName name="ПВС_ОПТ" localSheetId="4">'[2]исх дан'!#REF!</definedName>
    <definedName name="ПВС_ОПТ" localSheetId="0">'[2]исх дан'!#REF!</definedName>
    <definedName name="ПВС_ОПТ">'[2]исх дан'!#REF!</definedName>
    <definedName name="ПВС_РОЗН">[10]ПРОЦЕНТЫ!$AQ$7</definedName>
    <definedName name="пр" localSheetId="2">#REF!,#REF!,#REF!,#REF!</definedName>
    <definedName name="пр" localSheetId="4">#REF!,#REF!,#REF!,#REF!</definedName>
    <definedName name="пр" localSheetId="0">#REF!,#REF!,#REF!,#REF!</definedName>
    <definedName name="пр">#REF!,#REF!,#REF!,#REF!</definedName>
    <definedName name="Примечание">[6]Списки!$K$2:$K$25</definedName>
    <definedName name="ПУНП">'[2]исх дан'!#REF!</definedName>
    <definedName name="Расход_меди_кг_км_с_отходами" localSheetId="2">#REF!</definedName>
    <definedName name="Расход_меди_кг_км_с_отходами" localSheetId="4">#REF!</definedName>
    <definedName name="Расход_меди_кг_км_с_отходами" localSheetId="0">#REF!</definedName>
    <definedName name="Расход_меди_кг_км_с_отходами">#REF!</definedName>
    <definedName name="рома1" localSheetId="2">[5]Кабель!$A$1:$A$136,#REF!,[5]Кабель!$FQ$1:$FQ$136,#REF!,#REF!,#REF!,[5]Кабель!$A$420:$A$1102,#REF!,[5]Кабель!$FQ$420:$FQ$1102</definedName>
    <definedName name="рома1" localSheetId="4">[5]Кабель!$A$1:$A$136,#REF!,[5]Кабель!$FQ$1:$FQ$136,#REF!,#REF!,#REF!,[5]Кабель!$A$420:$A$1102,#REF!,[5]Кабель!$FQ$420:$FQ$1102</definedName>
    <definedName name="рома1" localSheetId="0">[5]Кабель!$A$1:$A$136,#REF!,[5]Кабель!$FQ$1:$FQ$136,#REF!,#REF!,#REF!,[5]Кабель!$A$420:$A$1102,#REF!,[5]Кабель!$FQ$420:$FQ$1102</definedName>
    <definedName name="рома1">[5]Кабель!$A$1:$A$136,#REF!,[5]Кабель!$FQ$1:$FQ$136,#REF!,#REF!,#REF!,[5]Кабель!$A$420:$A$1102,#REF!,[5]Кабель!$FQ$420:$FQ$1102</definedName>
    <definedName name="рома2" localSheetId="2">[7]Электрика!#REF!,[7]Электрика!#REF!,[7]Электрика!#REF!,[7]Электрика!$B$1:$B$24,[7]Электрика!$AY$1:$AZ$24,[7]Электрика!#REF!,[7]Электрика!#REF!</definedName>
    <definedName name="рома2" localSheetId="4">[7]Электрика!#REF!,[7]Электрика!#REF!,[7]Электрика!#REF!,[7]Электрика!$B$1:$B$24,[7]Электрика!$AY$1:$AZ$24,[7]Электрика!#REF!,[7]Электрика!#REF!</definedName>
    <definedName name="рома2" localSheetId="0">[7]Электрика!#REF!,[7]Электрика!#REF!,[7]Электрика!#REF!,[7]Электрика!$B$1:$B$24,[7]Электрика!$AY$1:$AZ$24,[7]Электрика!#REF!,[7]Электрика!#REF!</definedName>
    <definedName name="рома2">[7]Электрика!#REF!,[7]Электрика!#REF!,[7]Электрика!#REF!,[7]Электрика!$B$1:$B$24,[7]Электрика!$AY$1:$AZ$24,[7]Электрика!#REF!,[7]Электрика!#REF!</definedName>
    <definedName name="СКИДКА_в_КОЛЬЧУГ" localSheetId="2">#REF!</definedName>
    <definedName name="СКИДКА_в_КОЛЬЧУГ" localSheetId="4">#REF!</definedName>
    <definedName name="СКИДКА_в_КОЛЬЧУГ" localSheetId="0">#REF!</definedName>
    <definedName name="СКИДКА_в_КОЛЬЧУГ">#REF!</definedName>
    <definedName name="СКИДКА_КОЛЬЧ">'[2]исх дан'!$B$9</definedName>
    <definedName name="Смета">[4]Смета!#REF!</definedName>
    <definedName name="СПЕЦКУРС">'[2]исх дан'!$B$3</definedName>
    <definedName name="сроки">[3]Коэффициенты!$A$1:$A$65536</definedName>
    <definedName name="стадия_П">[3]база!$J$1:$J$65536</definedName>
    <definedName name="СТАР_КУРС">[10]ПРОЦЕНТЫ!$AQ$12</definedName>
    <definedName name="тек_курс">'[2]исх дан'!#REF!</definedName>
    <definedName name="текст1">[8]Кабель!$A$10:$A$123,[8]Кабель!$GF$10:$GG$123</definedName>
    <definedName name="текст10" localSheetId="2">#REF!,#REF!</definedName>
    <definedName name="текст10" localSheetId="4">#REF!,#REF!</definedName>
    <definedName name="текст10" localSheetId="0">#REF!,#REF!</definedName>
    <definedName name="текст10">#REF!,#REF!</definedName>
    <definedName name="текст11" localSheetId="2">#REF!,#REF!</definedName>
    <definedName name="текст11" localSheetId="4">#REF!,#REF!</definedName>
    <definedName name="текст11" localSheetId="0">#REF!,#REF!</definedName>
    <definedName name="текст11">#REF!,#REF!</definedName>
    <definedName name="текст12" localSheetId="2">#REF!,#REF!</definedName>
    <definedName name="текст12" localSheetId="4">#REF!,#REF!</definedName>
    <definedName name="текст12" localSheetId="0">#REF!,#REF!</definedName>
    <definedName name="текст12">#REF!,#REF!</definedName>
    <definedName name="текст2" localSheetId="2">[5]Кабель!$A$137:$A$419,#REF!</definedName>
    <definedName name="текст2" localSheetId="4">[5]Кабель!$A$137:$A$419,#REF!</definedName>
    <definedName name="текст2" localSheetId="0">[5]Кабель!$A$137:$A$419,#REF!</definedName>
    <definedName name="текст2">[5]Кабель!$A$137:$A$419,#REF!</definedName>
    <definedName name="текст3" localSheetId="2">#REF!,#REF!</definedName>
    <definedName name="текст3" localSheetId="4">#REF!,#REF!</definedName>
    <definedName name="текст3" localSheetId="0">#REF!,#REF!</definedName>
    <definedName name="текст3">#REF!,#REF!</definedName>
    <definedName name="текст4" localSheetId="2">[7]Электрика!#REF!,[7]Электрика!#REF!</definedName>
    <definedName name="текст4" localSheetId="4">[7]Электрика!#REF!,[7]Электрика!#REF!</definedName>
    <definedName name="текст4" localSheetId="0">[7]Электрика!#REF!,[7]Электрика!#REF!</definedName>
    <definedName name="текст4">[7]Электрика!#REF!,[7]Электрика!#REF!</definedName>
    <definedName name="текст5">[7]Электрика!$A$3:$B$24,[7]Электрика!$AY$4:$AZ$24</definedName>
    <definedName name="текст6" localSheetId="2">[7]Электрика!$A$32:$B$129,[7]Электрика!#REF!</definedName>
    <definedName name="текст6" localSheetId="4">[7]Электрика!$A$32:$B$129,[7]Электрика!#REF!</definedName>
    <definedName name="текст6" localSheetId="0">[7]Электрика!$A$32:$B$129,[7]Электрика!#REF!</definedName>
    <definedName name="текст6">[7]Электрика!$A$32:$B$129,[7]Электрика!#REF!</definedName>
    <definedName name="текст7" localSheetId="2">#REF!,#REF!</definedName>
    <definedName name="текст7" localSheetId="4">#REF!,#REF!</definedName>
    <definedName name="текст7" localSheetId="0">#REF!,#REF!</definedName>
    <definedName name="текст7">#REF!,#REF!</definedName>
    <definedName name="текст8" localSheetId="2">#REF!,#REF!</definedName>
    <definedName name="текст8" localSheetId="4">#REF!,#REF!</definedName>
    <definedName name="текст8" localSheetId="0">#REF!,#REF!</definedName>
    <definedName name="текст8">#REF!,#REF!</definedName>
    <definedName name="текст9" localSheetId="2">#REF!,#REF!</definedName>
    <definedName name="текст9" localSheetId="4">#REF!,#REF!</definedName>
    <definedName name="текст9" localSheetId="0">#REF!,#REF!</definedName>
    <definedName name="текст9">#REF!,#REF!</definedName>
    <definedName name="Титул00" localSheetId="2">#REF!</definedName>
    <definedName name="Титул00" localSheetId="4">#REF!</definedName>
    <definedName name="Титул00" localSheetId="0">#REF!</definedName>
    <definedName name="Титул00">#REF!</definedName>
    <definedName name="Титул01" localSheetId="2">#REF!,#REF!</definedName>
    <definedName name="Титул01" localSheetId="4">#REF!,#REF!</definedName>
    <definedName name="Титул01" localSheetId="0">#REF!,#REF!</definedName>
    <definedName name="Титул01">#REF!,#REF!</definedName>
    <definedName name="Титул02" localSheetId="2">#REF!,#REF!</definedName>
    <definedName name="Титул02" localSheetId="4">#REF!,#REF!</definedName>
    <definedName name="Титул02" localSheetId="0">#REF!,#REF!</definedName>
    <definedName name="Титул02">#REF!,#REF!</definedName>
    <definedName name="Титул03" localSheetId="2">#REF!,#REF!</definedName>
    <definedName name="Титул03" localSheetId="4">#REF!,#REF!</definedName>
    <definedName name="Титул03" localSheetId="0">#REF!,#REF!</definedName>
    <definedName name="Титул03">#REF!,#REF!</definedName>
    <definedName name="Титул04" localSheetId="2">#REF!,#REF!</definedName>
    <definedName name="Титул04" localSheetId="4">#REF!,#REF!</definedName>
    <definedName name="Титул04" localSheetId="0">#REF!,#REF!</definedName>
    <definedName name="Титул04">#REF!,#REF!</definedName>
    <definedName name="Титул05" localSheetId="2">#REF!,#REF!</definedName>
    <definedName name="Титул05" localSheetId="4">#REF!,#REF!</definedName>
    <definedName name="Титул05" localSheetId="0">#REF!,#REF!</definedName>
    <definedName name="Титул05">#REF!,#REF!</definedName>
    <definedName name="Титул06" localSheetId="2">#REF!</definedName>
    <definedName name="Титул06" localSheetId="4">#REF!</definedName>
    <definedName name="Титул06" localSheetId="0">#REF!</definedName>
    <definedName name="Титул06">#REF!</definedName>
    <definedName name="тула1" localSheetId="2">[5]Кабель!$A$1:$A$136,[5]Кабель!#REF!,[5]Кабель!$FQ$1:$FQ$136,#REF!,[5]Кабель!#REF!,#REF!,[5]Кабель!$A$420:$A$1102,[5]Кабель!#REF!,[5]Кабель!$FQ$420:$FQ$1102</definedName>
    <definedName name="тула1" localSheetId="4">[5]Кабель!$A$1:$A$136,[5]Кабель!#REF!,[5]Кабель!$FQ$1:$FQ$136,#REF!,[5]Кабель!#REF!,#REF!,[5]Кабель!$A$420:$A$1102,[5]Кабель!#REF!,[5]Кабель!$FQ$420:$FQ$1102</definedName>
    <definedName name="тула1" localSheetId="0">[5]Кабель!$A$1:$A$136,[5]Кабель!#REF!,[5]Кабель!$FQ$1:$FQ$136,#REF!,[5]Кабель!#REF!,#REF!,[5]Кабель!$A$420:$A$1102,[5]Кабель!#REF!,[5]Кабель!$FQ$420:$FQ$1102</definedName>
    <definedName name="тула1">[5]Кабель!$A$1:$A$136,[5]Кабель!#REF!,[5]Кабель!$FQ$1:$FQ$136,#REF!,[5]Кабель!#REF!,#REF!,[5]Кабель!$A$420:$A$1102,[5]Кабель!#REF!,[5]Кабель!$FQ$420:$FQ$1102</definedName>
    <definedName name="тула2" localSheetId="2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 localSheetId="4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 localSheetId="0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>[7]Электрика!#REF!,[7]Электрика!#REF!,[7]Электрика!#REF!,[7]Электрика!$B$1:$B$24,[7]Электрика!$Y$1:$Y$2,[7]Электрика!$AZ$1:$AZ$24,[7]Электрика!#REF!,[7]Электрика!#REF!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15" i="17" l="1"/>
  <c r="AC9" i="17"/>
  <c r="AC5" i="17"/>
  <c r="AC49" i="17"/>
  <c r="AC28" i="17"/>
  <c r="P61" i="17"/>
  <c r="P49" i="17"/>
  <c r="P50" i="17" s="1"/>
  <c r="L49" i="17"/>
  <c r="L50" i="17" s="1"/>
  <c r="K49" i="17"/>
  <c r="K50" i="17" s="1"/>
  <c r="H49" i="17"/>
  <c r="G49" i="17"/>
  <c r="D49" i="17"/>
  <c r="Q48" i="17"/>
  <c r="M48" i="17"/>
  <c r="Q47" i="17"/>
  <c r="M47" i="17"/>
  <c r="Q46" i="17"/>
  <c r="M46" i="17"/>
  <c r="Q45" i="17"/>
  <c r="M45" i="17"/>
  <c r="Q44" i="17"/>
  <c r="M44" i="17"/>
  <c r="Q43" i="17"/>
  <c r="Q42" i="17"/>
  <c r="Q41" i="17"/>
  <c r="Q40" i="17"/>
  <c r="Q39" i="17"/>
  <c r="M39" i="17"/>
  <c r="Q38" i="17"/>
  <c r="M38" i="17"/>
  <c r="Q37" i="17"/>
  <c r="M37" i="17"/>
  <c r="Q36" i="17"/>
  <c r="M36" i="17"/>
  <c r="Q35" i="17"/>
  <c r="Q34" i="17"/>
  <c r="Q33" i="17"/>
  <c r="Q32" i="17"/>
  <c r="M32" i="17"/>
  <c r="Q31" i="17"/>
  <c r="M31" i="17"/>
  <c r="Q30" i="17"/>
  <c r="M30" i="17"/>
  <c r="U29" i="17"/>
  <c r="Q29" i="17"/>
  <c r="P62" i="17" s="1"/>
  <c r="Q28" i="17"/>
  <c r="R28" i="17" s="1"/>
  <c r="M28" i="17"/>
  <c r="Q27" i="17"/>
  <c r="M27" i="17"/>
  <c r="Q26" i="17"/>
  <c r="R26" i="17" s="1"/>
  <c r="M26" i="17"/>
  <c r="Q25" i="17"/>
  <c r="R25" i="17" s="1"/>
  <c r="U25" i="17" s="1"/>
  <c r="M25" i="17"/>
  <c r="J23" i="17"/>
  <c r="Q23" i="17" s="1"/>
  <c r="N23" i="17" s="1"/>
  <c r="J22" i="17"/>
  <c r="Q22" i="17" s="1"/>
  <c r="J21" i="17"/>
  <c r="Q21" i="17" s="1"/>
  <c r="R21" i="17" s="1"/>
  <c r="J20" i="17"/>
  <c r="M20" i="17" s="1"/>
  <c r="J19" i="17"/>
  <c r="Q19" i="17" s="1"/>
  <c r="R19" i="17" s="1"/>
  <c r="Q18" i="17"/>
  <c r="R18" i="17" s="1"/>
  <c r="M18" i="17"/>
  <c r="J18" i="17"/>
  <c r="J17" i="17"/>
  <c r="Q17" i="17" s="1"/>
  <c r="R17" i="17" s="1"/>
  <c r="U16" i="17"/>
  <c r="J16" i="17"/>
  <c r="Q16" i="17" s="1"/>
  <c r="R16" i="17" s="1"/>
  <c r="U15" i="17"/>
  <c r="J15" i="17"/>
  <c r="Q15" i="17" s="1"/>
  <c r="S15" i="17" s="1"/>
  <c r="J14" i="17"/>
  <c r="J13" i="17"/>
  <c r="Q13" i="17" s="1"/>
  <c r="S13" i="17" s="1"/>
  <c r="U12" i="17"/>
  <c r="J12" i="17"/>
  <c r="Q12" i="17" s="1"/>
  <c r="J11" i="17"/>
  <c r="Q11" i="17" s="1"/>
  <c r="S11" i="17" s="1"/>
  <c r="J10" i="17"/>
  <c r="Q10" i="17" s="1"/>
  <c r="R10" i="17" s="1"/>
  <c r="U9" i="17"/>
  <c r="J9" i="17"/>
  <c r="Q9" i="17" s="1"/>
  <c r="R9" i="17" s="1"/>
  <c r="J8" i="17"/>
  <c r="Q8" i="17" s="1"/>
  <c r="U7" i="17"/>
  <c r="J7" i="17"/>
  <c r="Q7" i="17" s="1"/>
  <c r="U6" i="17"/>
  <c r="J6" i="17"/>
  <c r="Q6" i="17" s="1"/>
  <c r="U5" i="17"/>
  <c r="J5" i="17"/>
  <c r="Q5" i="17" s="1"/>
  <c r="U4" i="17"/>
  <c r="J4" i="17"/>
  <c r="M4" i="17" s="1"/>
  <c r="R4" i="17" s="1"/>
  <c r="U3" i="17"/>
  <c r="J3" i="17"/>
  <c r="Q3" i="17" s="1"/>
  <c r="Y28" i="2"/>
  <c r="M23" i="16"/>
  <c r="Y47" i="2"/>
  <c r="Y15" i="2"/>
  <c r="Y9" i="2"/>
  <c r="Y5" i="2"/>
  <c r="H4" i="10"/>
  <c r="H5" i="10"/>
  <c r="H6" i="10"/>
  <c r="H7" i="10"/>
  <c r="H8" i="10"/>
  <c r="H9" i="10"/>
  <c r="H10" i="10"/>
  <c r="H11" i="10"/>
  <c r="H12" i="10"/>
  <c r="H13" i="10"/>
  <c r="H14" i="10"/>
  <c r="H15" i="10"/>
  <c r="H16" i="10"/>
  <c r="H17" i="10"/>
  <c r="H3" i="10"/>
  <c r="J213" i="7"/>
  <c r="I212" i="7"/>
  <c r="J212" i="7" s="1"/>
  <c r="K212" i="7" s="1"/>
  <c r="I211" i="7"/>
  <c r="J211" i="7" s="1"/>
  <c r="K211" i="7" s="1"/>
  <c r="J210" i="7"/>
  <c r="J208" i="7"/>
  <c r="J207" i="7"/>
  <c r="J206" i="7"/>
  <c r="J205" i="7"/>
  <c r="K205" i="7" s="1"/>
  <c r="J204" i="7"/>
  <c r="K204" i="7" s="1"/>
  <c r="J203" i="7"/>
  <c r="K203" i="7" s="1"/>
  <c r="J202" i="7"/>
  <c r="K202" i="7" s="1"/>
  <c r="I202" i="7"/>
  <c r="J199" i="7"/>
  <c r="K199" i="7" s="1"/>
  <c r="I199" i="7"/>
  <c r="I198" i="7"/>
  <c r="J198" i="7" s="1"/>
  <c r="K198" i="7" s="1"/>
  <c r="I197" i="7"/>
  <c r="J197" i="7" s="1"/>
  <c r="K197" i="7" s="1"/>
  <c r="I196" i="7"/>
  <c r="J196" i="7" s="1"/>
  <c r="K201" i="7"/>
  <c r="K206" i="7"/>
  <c r="K207" i="7"/>
  <c r="K208" i="7"/>
  <c r="K209" i="7"/>
  <c r="K210" i="7"/>
  <c r="K213" i="7"/>
  <c r="M13" i="17" l="1"/>
  <c r="M22" i="17"/>
  <c r="N22" i="17" s="1"/>
  <c r="M6" i="17"/>
  <c r="R6" i="17" s="1"/>
  <c r="M11" i="17"/>
  <c r="Q20" i="17"/>
  <c r="R20" i="17" s="1"/>
  <c r="Q4" i="17"/>
  <c r="P56" i="17"/>
  <c r="U49" i="17"/>
  <c r="M15" i="17"/>
  <c r="M8" i="17"/>
  <c r="N8" i="17" s="1"/>
  <c r="P60" i="17" s="1"/>
  <c r="M5" i="17"/>
  <c r="R5" i="17" s="1"/>
  <c r="M12" i="17"/>
  <c r="R12" i="17" s="1"/>
  <c r="M19" i="17"/>
  <c r="M23" i="17"/>
  <c r="R29" i="17"/>
  <c r="M9" i="17"/>
  <c r="M16" i="17"/>
  <c r="J49" i="17"/>
  <c r="P59" i="17"/>
  <c r="P63" i="17" s="1"/>
  <c r="M3" i="17"/>
  <c r="M10" i="17"/>
  <c r="M17" i="17"/>
  <c r="M21" i="17"/>
  <c r="M14" i="17"/>
  <c r="O14" i="17" s="1"/>
  <c r="O49" i="17" s="1"/>
  <c r="O50" i="17" s="1"/>
  <c r="M7" i="17"/>
  <c r="R7" i="17" s="1"/>
  <c r="K196" i="7"/>
  <c r="J200" i="7"/>
  <c r="K200" i="7" s="1"/>
  <c r="P55" i="17" l="1"/>
  <c r="Q14" i="17"/>
  <c r="S3" i="17"/>
  <c r="M49" i="17"/>
  <c r="M50" i="17" s="1"/>
  <c r="I7" i="15"/>
  <c r="I8" i="15"/>
  <c r="I9" i="15"/>
  <c r="I6" i="15"/>
  <c r="H6" i="15"/>
  <c r="I4" i="15"/>
  <c r="H4" i="15"/>
  <c r="I5" i="15"/>
  <c r="H5" i="15"/>
  <c r="I15" i="15"/>
  <c r="I17" i="15"/>
  <c r="I16" i="15"/>
  <c r="I14" i="15"/>
  <c r="H14" i="15"/>
  <c r="I13" i="15"/>
  <c r="H13" i="15"/>
  <c r="D44" i="15"/>
  <c r="I12" i="15"/>
  <c r="I39" i="15"/>
  <c r="I38" i="15"/>
  <c r="I37" i="15"/>
  <c r="H37" i="15"/>
  <c r="H31" i="15"/>
  <c r="I33" i="15"/>
  <c r="H33" i="15"/>
  <c r="I31" i="15"/>
  <c r="H32" i="15"/>
  <c r="I30" i="15"/>
  <c r="I29" i="15"/>
  <c r="H30" i="15"/>
  <c r="I36" i="15"/>
  <c r="H36" i="15"/>
  <c r="I35" i="15"/>
  <c r="H35" i="15"/>
  <c r="I34" i="15"/>
  <c r="H34" i="15"/>
  <c r="H29" i="15"/>
  <c r="S14" i="17" l="1"/>
  <c r="P57" i="17" s="1"/>
  <c r="P58" i="17" s="1"/>
  <c r="Q49" i="17"/>
  <c r="I32" i="15"/>
  <c r="I3" i="10"/>
  <c r="I4" i="10"/>
  <c r="I5" i="10"/>
  <c r="I6" i="10"/>
  <c r="I7" i="10"/>
  <c r="I8" i="10"/>
  <c r="I9" i="10"/>
  <c r="I10" i="10"/>
  <c r="I11" i="10"/>
  <c r="I12" i="10"/>
  <c r="I13" i="10"/>
  <c r="I15" i="10"/>
  <c r="I16" i="10"/>
  <c r="I17" i="10"/>
  <c r="G18" i="10"/>
  <c r="G19" i="10" s="1"/>
  <c r="G20" i="10" s="1"/>
  <c r="G21" i="10" s="1"/>
  <c r="F4" i="10"/>
  <c r="F5" i="10"/>
  <c r="F6" i="10"/>
  <c r="F7" i="10"/>
  <c r="F8" i="10"/>
  <c r="F9" i="10"/>
  <c r="F10" i="10"/>
  <c r="F11" i="10"/>
  <c r="F12" i="10"/>
  <c r="F13" i="10"/>
  <c r="F15" i="10"/>
  <c r="F16" i="10"/>
  <c r="F17" i="10"/>
  <c r="F3" i="10"/>
  <c r="P52" i="17" l="1"/>
  <c r="P53" i="17"/>
  <c r="Q50" i="17"/>
  <c r="I18" i="10"/>
  <c r="I19" i="10" s="1"/>
  <c r="I20" i="10" s="1"/>
  <c r="I21" i="10" s="1"/>
  <c r="I22" i="10" s="1"/>
  <c r="I23" i="10" s="1"/>
  <c r="G22" i="10"/>
  <c r="G23" i="10" s="1"/>
  <c r="J7" i="15" l="1"/>
  <c r="J8" i="15"/>
  <c r="J9" i="15"/>
  <c r="J12" i="15"/>
  <c r="J13" i="15"/>
  <c r="J20" i="15"/>
  <c r="J21" i="15"/>
  <c r="J38" i="15"/>
  <c r="F4" i="15"/>
  <c r="J4" i="15" s="1"/>
  <c r="F5" i="15"/>
  <c r="J5" i="15" s="1"/>
  <c r="F6" i="15"/>
  <c r="J6" i="15" s="1"/>
  <c r="F7" i="15"/>
  <c r="F8" i="15"/>
  <c r="F9" i="15"/>
  <c r="F12" i="15"/>
  <c r="F13" i="15"/>
  <c r="F14" i="15"/>
  <c r="J14" i="15" s="1"/>
  <c r="F15" i="15"/>
  <c r="F16" i="15"/>
  <c r="J16" i="15" s="1"/>
  <c r="F17" i="15"/>
  <c r="J17" i="15" s="1"/>
  <c r="F19" i="15"/>
  <c r="J19" i="15" s="1"/>
  <c r="F20" i="15"/>
  <c r="F21" i="15"/>
  <c r="F22" i="15"/>
  <c r="J22" i="15" s="1"/>
  <c r="F23" i="15"/>
  <c r="J23" i="15" s="1"/>
  <c r="F24" i="15"/>
  <c r="J24" i="15" s="1"/>
  <c r="F25" i="15"/>
  <c r="J25" i="15" s="1"/>
  <c r="F26" i="15"/>
  <c r="J26" i="15" s="1"/>
  <c r="F29" i="15"/>
  <c r="J29" i="15" s="1"/>
  <c r="F30" i="15"/>
  <c r="J30" i="15" s="1"/>
  <c r="F31" i="15"/>
  <c r="F32" i="15"/>
  <c r="J32" i="15" s="1"/>
  <c r="F33" i="15"/>
  <c r="J33" i="15" s="1"/>
  <c r="F34" i="15"/>
  <c r="J34" i="15" s="1"/>
  <c r="F35" i="15"/>
  <c r="J35" i="15" s="1"/>
  <c r="F36" i="15"/>
  <c r="J36" i="15" s="1"/>
  <c r="F37" i="15"/>
  <c r="J37" i="15" s="1"/>
  <c r="F38" i="15"/>
  <c r="F39" i="15"/>
  <c r="J39" i="15" s="1"/>
  <c r="F3" i="15"/>
  <c r="J3" i="15" s="1"/>
  <c r="G40" i="15"/>
  <c r="G41" i="15" s="1"/>
  <c r="G42" i="15" s="1"/>
  <c r="G43" i="15" s="1"/>
  <c r="J31" i="15" l="1"/>
  <c r="J15" i="15"/>
  <c r="G44" i="15"/>
  <c r="G45" i="15" s="1"/>
  <c r="J40" i="15" l="1"/>
  <c r="J41" i="15" s="1"/>
  <c r="J42" i="15" s="1"/>
  <c r="J43" i="15" s="1"/>
  <c r="J44" i="15" s="1"/>
  <c r="J45" i="15" s="1"/>
  <c r="H230" i="7" l="1"/>
  <c r="H231" i="7" s="1"/>
  <c r="H232" i="7" s="1"/>
  <c r="H233" i="7" s="1"/>
  <c r="G229" i="7"/>
  <c r="K229" i="7" s="1"/>
  <c r="G228" i="7"/>
  <c r="K228" i="7" s="1"/>
  <c r="G227" i="7"/>
  <c r="K227" i="7" s="1"/>
  <c r="G226" i="7"/>
  <c r="K226" i="7" s="1"/>
  <c r="G225" i="7"/>
  <c r="K225" i="7" s="1"/>
  <c r="G224" i="7"/>
  <c r="K224" i="7" s="1"/>
  <c r="G223" i="7"/>
  <c r="K223" i="7" s="1"/>
  <c r="G222" i="7"/>
  <c r="K222" i="7" s="1"/>
  <c r="G221" i="7"/>
  <c r="K221" i="7" s="1"/>
  <c r="G220" i="7"/>
  <c r="K220" i="7" s="1"/>
  <c r="G219" i="7"/>
  <c r="K219" i="7" s="1"/>
  <c r="G218" i="7"/>
  <c r="K218" i="7" s="1"/>
  <c r="G217" i="7"/>
  <c r="K217" i="7" s="1"/>
  <c r="G216" i="7"/>
  <c r="K216" i="7" s="1"/>
  <c r="G215" i="7"/>
  <c r="K215" i="7" s="1"/>
  <c r="K214" i="7"/>
  <c r="G213" i="7"/>
  <c r="G212" i="7"/>
  <c r="G211" i="7"/>
  <c r="G210" i="7"/>
  <c r="G208" i="7"/>
  <c r="G207" i="7"/>
  <c r="G206" i="7"/>
  <c r="G205" i="7"/>
  <c r="G204" i="7"/>
  <c r="G203" i="7"/>
  <c r="G202" i="7"/>
  <c r="G200" i="7"/>
  <c r="G199" i="7"/>
  <c r="G198" i="7"/>
  <c r="G197" i="7"/>
  <c r="G196" i="7"/>
  <c r="G195" i="7"/>
  <c r="G192" i="7"/>
  <c r="G191" i="7"/>
  <c r="G190" i="7"/>
  <c r="G189" i="7"/>
  <c r="G188" i="7"/>
  <c r="G187" i="7"/>
  <c r="G186" i="7"/>
  <c r="G185" i="7"/>
  <c r="G184" i="7"/>
  <c r="G183" i="7"/>
  <c r="G182" i="7"/>
  <c r="G181" i="7"/>
  <c r="G180" i="7"/>
  <c r="G179" i="7"/>
  <c r="G178" i="7"/>
  <c r="G177" i="7"/>
  <c r="G176" i="7"/>
  <c r="G175" i="7"/>
  <c r="G174" i="7"/>
  <c r="G173" i="7"/>
  <c r="G171" i="7"/>
  <c r="G170" i="7"/>
  <c r="G169" i="7"/>
  <c r="G168" i="7"/>
  <c r="G167" i="7"/>
  <c r="G166" i="7"/>
  <c r="G164" i="7"/>
  <c r="G163" i="7"/>
  <c r="G162" i="7"/>
  <c r="G161" i="7"/>
  <c r="G160" i="7"/>
  <c r="G159" i="7"/>
  <c r="G158" i="7"/>
  <c r="G157" i="7"/>
  <c r="G156" i="7"/>
  <c r="G155" i="7"/>
  <c r="G153" i="7"/>
  <c r="G152" i="7"/>
  <c r="G151" i="7"/>
  <c r="G150" i="7"/>
  <c r="G149" i="7"/>
  <c r="G148" i="7"/>
  <c r="G147" i="7"/>
  <c r="G145" i="7"/>
  <c r="G144" i="7"/>
  <c r="G143" i="7"/>
  <c r="G142" i="7"/>
  <c r="G141" i="7"/>
  <c r="G140" i="7"/>
  <c r="G139" i="7"/>
  <c r="G136" i="7"/>
  <c r="G135" i="7"/>
  <c r="G134" i="7"/>
  <c r="G133" i="7"/>
  <c r="G132" i="7"/>
  <c r="G131" i="7"/>
  <c r="G130" i="7"/>
  <c r="G129" i="7"/>
  <c r="G128" i="7"/>
  <c r="G127" i="7"/>
  <c r="G126" i="7"/>
  <c r="G125" i="7"/>
  <c r="G124" i="7"/>
  <c r="G123" i="7"/>
  <c r="G122" i="7"/>
  <c r="G121" i="7"/>
  <c r="G119" i="7"/>
  <c r="G118" i="7"/>
  <c r="G117" i="7"/>
  <c r="G116" i="7"/>
  <c r="G114" i="7"/>
  <c r="G113" i="7"/>
  <c r="G112" i="7"/>
  <c r="G111" i="7"/>
  <c r="G110" i="7"/>
  <c r="G109" i="7"/>
  <c r="G108" i="7"/>
  <c r="G107" i="7"/>
  <c r="G103" i="7"/>
  <c r="G102" i="7"/>
  <c r="G101" i="7"/>
  <c r="G100" i="7"/>
  <c r="G99" i="7"/>
  <c r="G98" i="7"/>
  <c r="G97" i="7"/>
  <c r="G96" i="7"/>
  <c r="G95" i="7"/>
  <c r="G94" i="7"/>
  <c r="G93" i="7"/>
  <c r="G92" i="7"/>
  <c r="G91" i="7"/>
  <c r="G90" i="7"/>
  <c r="G89" i="7"/>
  <c r="G88" i="7"/>
  <c r="G87" i="7"/>
  <c r="G86" i="7"/>
  <c r="G85" i="7"/>
  <c r="G84" i="7"/>
  <c r="G83" i="7"/>
  <c r="G82" i="7"/>
  <c r="G80" i="7"/>
  <c r="G79" i="7"/>
  <c r="G78" i="7"/>
  <c r="G77" i="7"/>
  <c r="G75" i="7"/>
  <c r="G74" i="7"/>
  <c r="G73" i="7"/>
  <c r="G72" i="7"/>
  <c r="G71" i="7"/>
  <c r="G70" i="7"/>
  <c r="G69" i="7"/>
  <c r="G68" i="7"/>
  <c r="G67" i="7"/>
  <c r="G66" i="7"/>
  <c r="G65" i="7"/>
  <c r="G64" i="7"/>
  <c r="G62" i="7"/>
  <c r="G61" i="7"/>
  <c r="G60" i="7"/>
  <c r="G59" i="7"/>
  <c r="G58" i="7"/>
  <c r="G57" i="7"/>
  <c r="G55" i="7"/>
  <c r="G54" i="7"/>
  <c r="G53" i="7"/>
  <c r="G52" i="7"/>
  <c r="G51" i="7"/>
  <c r="G50" i="7"/>
  <c r="G49" i="7"/>
  <c r="G48" i="7"/>
  <c r="G47" i="7"/>
  <c r="G46" i="7"/>
  <c r="G45" i="7"/>
  <c r="G44" i="7"/>
  <c r="G42" i="7"/>
  <c r="G41" i="7"/>
  <c r="G40" i="7"/>
  <c r="G39" i="7"/>
  <c r="G38" i="7"/>
  <c r="G37" i="7"/>
  <c r="G36" i="7"/>
  <c r="G35" i="7"/>
  <c r="G34" i="7"/>
  <c r="G30" i="7"/>
  <c r="G29" i="7"/>
  <c r="G28" i="7"/>
  <c r="G27" i="7"/>
  <c r="G26" i="7"/>
  <c r="G25" i="7"/>
  <c r="G24" i="7"/>
  <c r="G23" i="7"/>
  <c r="G22" i="7"/>
  <c r="G21" i="7"/>
  <c r="G20" i="7"/>
  <c r="G19" i="7"/>
  <c r="G18" i="7"/>
  <c r="G17" i="7"/>
  <c r="G16" i="7"/>
  <c r="G14" i="7"/>
  <c r="G13" i="7"/>
  <c r="G12" i="7"/>
  <c r="G11" i="7"/>
  <c r="G10" i="7"/>
  <c r="G8" i="7"/>
  <c r="G7" i="7"/>
  <c r="G6" i="7"/>
  <c r="G5" i="7"/>
  <c r="G4" i="7"/>
  <c r="H234" i="7" l="1"/>
  <c r="H235" i="7" s="1"/>
  <c r="J376" i="7"/>
  <c r="J377" i="7" s="1"/>
  <c r="J378" i="7" s="1"/>
  <c r="J379" i="7" s="1"/>
  <c r="K230" i="7" l="1"/>
  <c r="K231" i="7" s="1"/>
  <c r="K232" i="7" s="1"/>
  <c r="K233" i="7" s="1"/>
  <c r="J230" i="7"/>
  <c r="J231" i="7" s="1"/>
  <c r="J232" i="7" s="1"/>
  <c r="J233" i="7" s="1"/>
  <c r="J380" i="7"/>
  <c r="J381" i="7" s="1"/>
  <c r="J234" i="7" l="1"/>
  <c r="J235" i="7" s="1"/>
  <c r="K234" i="7"/>
  <c r="K235" i="7" s="1"/>
  <c r="P59" i="2" l="1"/>
  <c r="P47" i="2"/>
  <c r="Q46" i="2" l="1"/>
  <c r="Q45" i="2"/>
  <c r="Q44" i="2"/>
  <c r="Q43" i="2"/>
  <c r="Q42" i="2"/>
  <c r="Q41" i="2"/>
  <c r="Q40" i="2"/>
  <c r="Q39" i="2"/>
  <c r="Q38" i="2"/>
  <c r="Q37" i="2"/>
  <c r="Q36" i="2"/>
  <c r="Q35" i="2"/>
  <c r="Q34" i="2"/>
  <c r="Q33" i="2"/>
  <c r="Q32" i="2"/>
  <c r="Q31" i="2"/>
  <c r="Q30" i="2"/>
  <c r="Q29" i="2"/>
  <c r="Q28" i="2"/>
  <c r="R28" i="2" s="1"/>
  <c r="Q27" i="2"/>
  <c r="Q26" i="2"/>
  <c r="R26" i="2" s="1"/>
  <c r="Q25" i="2"/>
  <c r="R25" i="2" s="1"/>
  <c r="P57" i="2" l="1"/>
  <c r="R29" i="2"/>
  <c r="P60" i="2"/>
  <c r="P61" i="2" s="1"/>
  <c r="M25" i="2"/>
  <c r="L47" i="2"/>
  <c r="K47" i="2"/>
  <c r="M46" i="2" l="1"/>
  <c r="M45" i="2"/>
  <c r="M44" i="2"/>
  <c r="M39" i="2"/>
  <c r="M38" i="2"/>
  <c r="M37" i="2"/>
  <c r="M36" i="2"/>
  <c r="M32" i="2"/>
  <c r="M31" i="2"/>
  <c r="M30" i="2"/>
  <c r="U47" i="2" l="1"/>
  <c r="M26" i="2"/>
  <c r="M28" i="2"/>
  <c r="M27" i="2"/>
  <c r="J21" i="2" l="1"/>
  <c r="Q21" i="2" s="1"/>
  <c r="R21" i="2" s="1"/>
  <c r="M21" i="2" l="1"/>
  <c r="K48" i="2"/>
  <c r="H47" i="2"/>
  <c r="G47" i="2"/>
  <c r="D47" i="2"/>
  <c r="J23" i="2"/>
  <c r="Q23" i="2" s="1"/>
  <c r="N23" i="2" s="1"/>
  <c r="J22" i="2"/>
  <c r="Q22" i="2" s="1"/>
  <c r="J20" i="2"/>
  <c r="Q20" i="2" s="1"/>
  <c r="R20" i="2" s="1"/>
  <c r="J19" i="2"/>
  <c r="Q19" i="2" s="1"/>
  <c r="R19" i="2" s="1"/>
  <c r="J18" i="2"/>
  <c r="Q18" i="2" s="1"/>
  <c r="R18" i="2" s="1"/>
  <c r="J17" i="2"/>
  <c r="Q17" i="2" s="1"/>
  <c r="R17" i="2" s="1"/>
  <c r="J16" i="2"/>
  <c r="Q16" i="2" s="1"/>
  <c r="R16" i="2" s="1"/>
  <c r="J15" i="2"/>
  <c r="Q15" i="2" s="1"/>
  <c r="S15" i="2" s="1"/>
  <c r="J14" i="2"/>
  <c r="J13" i="2"/>
  <c r="Q13" i="2" s="1"/>
  <c r="S13" i="2" s="1"/>
  <c r="J12" i="2"/>
  <c r="Q12" i="2" s="1"/>
  <c r="J11" i="2"/>
  <c r="Q11" i="2" s="1"/>
  <c r="S11" i="2" s="1"/>
  <c r="J10" i="2"/>
  <c r="Q10" i="2" s="1"/>
  <c r="R10" i="2" s="1"/>
  <c r="J9" i="2"/>
  <c r="Q9" i="2" s="1"/>
  <c r="R9" i="2" s="1"/>
  <c r="J8" i="2"/>
  <c r="Q8" i="2" s="1"/>
  <c r="J7" i="2"/>
  <c r="Q7" i="2" s="1"/>
  <c r="J6" i="2"/>
  <c r="Q6" i="2" s="1"/>
  <c r="J5" i="2"/>
  <c r="Q5" i="2" s="1"/>
  <c r="J4" i="2"/>
  <c r="Q4" i="2" s="1"/>
  <c r="J3" i="2"/>
  <c r="Q3" i="2" s="1"/>
  <c r="P54" i="2" l="1"/>
  <c r="J47" i="2"/>
  <c r="M23" i="2"/>
  <c r="M10" i="2"/>
  <c r="M8" i="2"/>
  <c r="N8" i="2" s="1"/>
  <c r="M6" i="2"/>
  <c r="R6" i="2" s="1"/>
  <c r="M17" i="2"/>
  <c r="M22" i="2"/>
  <c r="N22" i="2" s="1"/>
  <c r="M20" i="2"/>
  <c r="M4" i="2"/>
  <c r="R4" i="2" s="1"/>
  <c r="M15" i="2"/>
  <c r="M12" i="2"/>
  <c r="R12" i="2" s="1"/>
  <c r="M14" i="2"/>
  <c r="M7" i="2"/>
  <c r="R7" i="2" s="1"/>
  <c r="M9" i="2"/>
  <c r="M11" i="2"/>
  <c r="M16" i="2"/>
  <c r="M18" i="2"/>
  <c r="M13" i="2"/>
  <c r="P58" i="2" l="1"/>
  <c r="P48" i="2"/>
  <c r="O14" i="2"/>
  <c r="Q14" i="2" s="1"/>
  <c r="M5" i="2"/>
  <c r="R5" i="2" s="1"/>
  <c r="P53" i="2" s="1"/>
  <c r="M19" i="2"/>
  <c r="M3" i="2"/>
  <c r="S3" i="2" s="1"/>
  <c r="S14" i="2" l="1"/>
  <c r="P55" i="2" s="1"/>
  <c r="P56" i="2" s="1"/>
  <c r="Q47" i="2"/>
  <c r="P50" i="2" s="1"/>
  <c r="M47" i="2"/>
  <c r="O47" i="2"/>
  <c r="O48" i="2" s="1"/>
  <c r="L48" i="2"/>
  <c r="P51" i="2" l="1"/>
  <c r="Q48" i="2"/>
  <c r="M48" i="2"/>
</calcChain>
</file>

<file path=xl/sharedStrings.xml><?xml version="1.0" encoding="utf-8"?>
<sst xmlns="http://schemas.openxmlformats.org/spreadsheetml/2006/main" count="2004" uniqueCount="925">
  <si>
    <t>№</t>
  </si>
  <si>
    <t>№ СМЕТЫ</t>
  </si>
  <si>
    <t>Наименование сметы</t>
  </si>
  <si>
    <t xml:space="preserve">итого без НДС </t>
  </si>
  <si>
    <t>ВЗиС-8,2%</t>
  </si>
  <si>
    <t>ЗУ-2,4%</t>
  </si>
  <si>
    <t xml:space="preserve">всего без НДС </t>
  </si>
  <si>
    <r>
      <t xml:space="preserve">всего без НДС с повышающим договорным коэффициентом </t>
    </r>
    <r>
      <rPr>
        <b/>
        <i/>
        <sz val="11"/>
        <color theme="1"/>
        <rFont val="Times New Roman"/>
        <family val="1"/>
        <charset val="204"/>
      </rPr>
      <t>1,05136042</t>
    </r>
  </si>
  <si>
    <t>ндс 20%</t>
  </si>
  <si>
    <t>01-01-01</t>
  </si>
  <si>
    <t>Выполнение работ по ликвидации объектов по трассе ж.д. путей, подготовке трассы ж.д. путей.</t>
  </si>
  <si>
    <t>01-01-02</t>
  </si>
  <si>
    <t>Выполнение работ по ликвидации объекта капитального строительства</t>
  </si>
  <si>
    <t>01-01-03</t>
  </si>
  <si>
    <t>Демонтаж сетей и систем  инженерного обоспечения.</t>
  </si>
  <si>
    <t>02-01-01</t>
  </si>
  <si>
    <t>Верхнее строение пути</t>
  </si>
  <si>
    <t>02-02-01</t>
  </si>
  <si>
    <t>Восстановительные работы цеха №121/18. АС 3.</t>
  </si>
  <si>
    <t>02-03-01</t>
  </si>
  <si>
    <t>Архитектурно-строительные решения. Часть 1.АС1</t>
  </si>
  <si>
    <t>02-03-02</t>
  </si>
  <si>
    <t>Трансбордер. Архитектурно-строительные решения. Часть 2. АС2 .</t>
  </si>
  <si>
    <t>04-01-01</t>
  </si>
  <si>
    <t>Электроснабжение. ЭС 1.</t>
  </si>
  <si>
    <t>04-01-02</t>
  </si>
  <si>
    <t>Переустройство кабельных линий.ЭС2</t>
  </si>
  <si>
    <t>06-01-01</t>
  </si>
  <si>
    <t>Переустройство хозпитьевого водопровода.НВК2</t>
  </si>
  <si>
    <t>06-01-02</t>
  </si>
  <si>
    <t>Переустройство хозпитьевого водопровода.НВК3</t>
  </si>
  <si>
    <t>06-02-01</t>
  </si>
  <si>
    <t>Переустройство хозяйственно-бытовой канализации.НВК4</t>
  </si>
  <si>
    <t>06-02-02</t>
  </si>
  <si>
    <t>Переустройство ливневой канализации.НВК5.</t>
  </si>
  <si>
    <t>06-02-03</t>
  </si>
  <si>
    <t>Трубопровод ливневых сточных вод от трансбордера. НВК1</t>
  </si>
  <si>
    <t>06-03-01</t>
  </si>
  <si>
    <t>Теплоснабжение. Переустройство трубопровода.ТС1</t>
  </si>
  <si>
    <t>06-03-02</t>
  </si>
  <si>
    <t>Архитектурно-строительные решения. Эстакада для ТС1. АС 4</t>
  </si>
  <si>
    <t>06-03-03</t>
  </si>
  <si>
    <t>Теплоснабжение. Переустройство трубопровода.ТС2</t>
  </si>
  <si>
    <t>06-03-04</t>
  </si>
  <si>
    <t>Теплоснабжение. Переустройство трубопровода.ТС3</t>
  </si>
  <si>
    <t>06-04-01</t>
  </si>
  <si>
    <t>Наружные газопроводы. Вынос газопровода среднего давления.</t>
  </si>
  <si>
    <t>07-01-01</t>
  </si>
  <si>
    <t>Генеральный план. Трансбордер. ГП1</t>
  </si>
  <si>
    <t>07-01-02</t>
  </si>
  <si>
    <t>Генеральный план. ГП2</t>
  </si>
  <si>
    <t>ИТОГО</t>
  </si>
  <si>
    <t>КС-2 декабрь 2023</t>
  </si>
  <si>
    <t>КС-2 ноябрь 2023</t>
  </si>
  <si>
    <t>Итого к выплате с учетом ранее полученного аванса</t>
  </si>
  <si>
    <t>Контактная сеть</t>
  </si>
  <si>
    <t>Ограждение обкаточных проект</t>
  </si>
  <si>
    <t>Ограждение аварийное замена</t>
  </si>
  <si>
    <t>Демонтаж и вывоз островка</t>
  </si>
  <si>
    <t>Временная теплосеть</t>
  </si>
  <si>
    <t>Демонтаж подпорной стены и эстакады</t>
  </si>
  <si>
    <t>Временный водопровод 121 цех</t>
  </si>
  <si>
    <t>Демонтаж светильников цех 75 и 121</t>
  </si>
  <si>
    <t>Контактная сеть трансбордера</t>
  </si>
  <si>
    <t>Удлинение подпорной стены трансбордера</t>
  </si>
  <si>
    <t>Узел подпорной стены по коллектору</t>
  </si>
  <si>
    <t>Удаление кустарников трансбордер и обкаточные пути</t>
  </si>
  <si>
    <t>Площадка для заезда длинномеров в 121</t>
  </si>
  <si>
    <t>Переустройство кабеля к кранам шихты</t>
  </si>
  <si>
    <t>Демонтаж и повторная сборка пути шихты</t>
  </si>
  <si>
    <t>Замена участка пути обкаточных у стрелки №8</t>
  </si>
  <si>
    <t>Доп участок водопровода на Автохозяйство</t>
  </si>
  <si>
    <t>Геотекстиль под ЖД пути</t>
  </si>
  <si>
    <t>Песок под ЖД пути</t>
  </si>
  <si>
    <t>Смещение фундаментов под трансбордер</t>
  </si>
  <si>
    <t>Работы согласно РД</t>
  </si>
  <si>
    <t>Остаток СМР с материалами всего с ндс</t>
  </si>
  <si>
    <t>Всего СМР с материалами всего с ндс</t>
  </si>
  <si>
    <t>Не выполняемые согласно РД СМР с материалами всего с ндс</t>
  </si>
  <si>
    <t>Удорожание СМР с материалами всего с ндс факт</t>
  </si>
  <si>
    <t>ИТОГО СМР с материалами всего с ндс факт</t>
  </si>
  <si>
    <t>Защита 3х КЛ 6 кВ разборными трубами между ММЗ и цехом 18</t>
  </si>
  <si>
    <t>Демонтаж существующего водопровода Ф300 в оси строительства водопровода на участке В1-3А - угол1</t>
  </si>
  <si>
    <t>Дополнительные работы, не предусмотренные договором</t>
  </si>
  <si>
    <t xml:space="preserve">ИТОГО сумма работ с учетом не выполняемых и дополнительных </t>
  </si>
  <si>
    <t>Общее удорожание проекта с учетом не выполняемых и дополнительных работ</t>
  </si>
  <si>
    <t>Схема и вор под объем сметы</t>
  </si>
  <si>
    <t>на дату 28.12</t>
  </si>
  <si>
    <t>Работы, на следующий год</t>
  </si>
  <si>
    <t>ВОР, Смета</t>
  </si>
  <si>
    <t>ВОР, схема</t>
  </si>
  <si>
    <t>Сумма работ закрытия</t>
  </si>
  <si>
    <t>Необходимые документы для закрытия, комментарии</t>
  </si>
  <si>
    <t>Утвержденая смета</t>
  </si>
  <si>
    <t>Стоимость всех дополнительных работ</t>
  </si>
  <si>
    <t>Стоимость работ с заключеным ДС</t>
  </si>
  <si>
    <t>Дополнительные рааботы, согласованные, которые необходимо оформлять по всем документам</t>
  </si>
  <si>
    <t>Выполненые работы (28.12.2023) с утвержденными сметами, требующие проверки объемов и исполнительных схем</t>
  </si>
  <si>
    <t>Работы на весну</t>
  </si>
  <si>
    <t>Выполненые работы требующие полной переработки исполнительных схем</t>
  </si>
  <si>
    <t>Работы частично выполненые по проекту, частично требующие внесения изменений в РД(исполнительные схемы)</t>
  </si>
  <si>
    <t>Итого работы, которые предлагаем закрыть в 2023</t>
  </si>
  <si>
    <t xml:space="preserve">Кроме того предлагаем закрыть выполненые дополнительные работы </t>
  </si>
  <si>
    <t xml:space="preserve">Исп. Схема, ВОР, Смета, ДС </t>
  </si>
  <si>
    <t>1</t>
  </si>
  <si>
    <t>100 м</t>
  </si>
  <si>
    <t>2</t>
  </si>
  <si>
    <t>100 м3</t>
  </si>
  <si>
    <t>3</t>
  </si>
  <si>
    <t>4</t>
  </si>
  <si>
    <t>1000 м3</t>
  </si>
  <si>
    <t>5</t>
  </si>
  <si>
    <t>ФССЦпг-01-01-01-043</t>
  </si>
  <si>
    <t>1 т груза</t>
  </si>
  <si>
    <t>6</t>
  </si>
  <si>
    <t>ФССЦпг-01-01-01-041</t>
  </si>
  <si>
    <t>Погрузка при автомобильных перевозках мусора строительного с погрузкой вручную</t>
  </si>
  <si>
    <t>7</t>
  </si>
  <si>
    <t>Цена поставщика ООО "Террус"</t>
  </si>
  <si>
    <t>Перевозка и утилизация отходов 4-5 класса опасности</t>
  </si>
  <si>
    <t>м3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</si>
  <si>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</si>
  <si>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</si>
  <si>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</si>
  <si>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</si>
  <si>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</si>
  <si>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</si>
  <si>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</si>
  <si>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</si>
  <si>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</si>
  <si>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</si>
  <si>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</si>
  <si>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</si>
  <si>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</si>
  <si>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</si>
  <si>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</si>
  <si>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</si>
  <si>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</si>
  <si>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</si>
  <si>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Цена Поставщика ООО "Генпоставка"</t>
  </si>
  <si>
    <t>26</t>
  </si>
  <si>
    <t>27</t>
  </si>
  <si>
    <t>Песок карьерный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</si>
  <si>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</si>
  <si>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</si>
  <si>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</si>
  <si>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</si>
  <si>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</si>
  <si>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</si>
  <si>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</si>
  <si>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</si>
  <si>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</si>
  <si>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т</t>
  </si>
  <si>
    <t>37</t>
  </si>
  <si>
    <t>38</t>
  </si>
  <si>
    <t>39</t>
  </si>
  <si>
    <t>40</t>
  </si>
  <si>
    <t>41</t>
  </si>
  <si>
    <t>шт</t>
  </si>
  <si>
    <t>42</t>
  </si>
  <si>
    <t>100 м2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</si>
  <si>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</si>
  <si>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</si>
  <si>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</si>
  <si>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</si>
  <si>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</si>
  <si>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</si>
  <si>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</si>
  <si>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</si>
  <si>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</si>
  <si>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</si>
  <si>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</si>
  <si>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</si>
  <si>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</si>
  <si>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</si>
  <si>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</si>
  <si>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</si>
  <si>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</si>
  <si>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</si>
  <si>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</si>
  <si>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</si>
  <si>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ФЕР08-01-002-02</t>
  </si>
  <si>
    <t>Устройство основания под фундаменты: щебеночного</t>
  </si>
  <si>
    <t>63</t>
  </si>
  <si>
    <t>64</t>
  </si>
  <si>
    <t>ФЕР07-01-054-02</t>
  </si>
  <si>
    <t>Установка железобетонных оград из панелей длиной: 3 м</t>
  </si>
  <si>
    <t>65</t>
  </si>
  <si>
    <t>66</t>
  </si>
  <si>
    <t>67</t>
  </si>
  <si>
    <t>ФССЦ-04.1.02.05-0007</t>
  </si>
  <si>
    <t>68</t>
  </si>
  <si>
    <t>69</t>
  </si>
  <si>
    <t>70</t>
  </si>
  <si>
    <t>Кирпичный участок</t>
  </si>
  <si>
    <t>71</t>
  </si>
  <si>
    <t>ФЕР06-01-001-02</t>
  </si>
  <si>
    <t>Устройство бетонных фундаментов общего назначения под колонны объемом: до 3 м3</t>
  </si>
  <si>
    <t>72</t>
  </si>
  <si>
    <t>73</t>
  </si>
  <si>
    <t>74</t>
  </si>
  <si>
    <t>ФЕР08-02-001-01</t>
  </si>
  <si>
    <t>Кладка стен кирпичных наружных: простых при высоте этажа до 4 м</t>
  </si>
  <si>
    <t>75</t>
  </si>
  <si>
    <t>76</t>
  </si>
  <si>
    <t>1000 шт</t>
  </si>
  <si>
    <t>77</t>
  </si>
  <si>
    <t>ФЕР11-01-011-01</t>
  </si>
  <si>
    <t>Устройство стяжек: цементных толщиной 20 мм</t>
  </si>
  <si>
    <t>78</t>
  </si>
  <si>
    <t>ФЕР11-01-011-02</t>
  </si>
  <si>
    <t>79</t>
  </si>
  <si>
    <t>ФССЦ-04.3.01.09-0014</t>
  </si>
  <si>
    <t>Раствор готовый кладочный, цементный, М100</t>
  </si>
  <si>
    <t>80</t>
  </si>
  <si>
    <t>81</t>
  </si>
  <si>
    <t>82</t>
  </si>
  <si>
    <t>83</t>
  </si>
  <si>
    <t>м2</t>
  </si>
  <si>
    <t>84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</si>
  <si>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</si>
  <si>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</si>
  <si>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85</t>
  </si>
  <si>
    <t>ФССЦ-01.2.03.05-0010</t>
  </si>
  <si>
    <t>Праймер битумный производства «Техно-Николь»</t>
  </si>
  <si>
    <t>86</t>
  </si>
  <si>
    <t>ФССЦ-01.2.03.03-0011</t>
  </si>
  <si>
    <t>Мастика битумная гидроизоляционная МГ-1</t>
  </si>
  <si>
    <t>Итого</t>
  </si>
  <si>
    <t>с ВЗиС</t>
  </si>
  <si>
    <t>с ЗУ</t>
  </si>
  <si>
    <t>с Дог.Кф</t>
  </si>
  <si>
    <t>НДС</t>
  </si>
  <si>
    <t>Всего с НДС</t>
  </si>
  <si>
    <t>ед.изм</t>
  </si>
  <si>
    <t>объем сметы</t>
  </si>
  <si>
    <t>м</t>
  </si>
  <si>
    <t>Перевозка грузов I класса автомобилями-самосвалами грузоподъемностью 10 т работающих вне карьера на расстояние до 1 км</t>
  </si>
  <si>
    <t>Погрузка при автомобильных перевозках мусора строительного с погрузкой экскаваторами емкостью ковша до 0,5 м3</t>
  </si>
  <si>
    <t>Земляные работы</t>
  </si>
  <si>
    <t>Разработка грунта с погрузкой на автомобили-самосвалы экскаваторами с ковшом вместимостью: 0,65 (0,5-1) м3, группа грунтов 2</t>
  </si>
  <si>
    <t>Засыпка траншей и котлованов с перемещением грунта до 5 м бульдозерами мощностью: 59 кВт (80 л.с.), группа грунтов 2</t>
  </si>
  <si>
    <t>Наименование работ</t>
  </si>
  <si>
    <t>Расценка</t>
  </si>
  <si>
    <t>стоим. Ед</t>
  </si>
  <si>
    <t>Сумма</t>
  </si>
  <si>
    <t>Примечания</t>
  </si>
  <si>
    <t>Объем</t>
  </si>
  <si>
    <t>Вид работ</t>
  </si>
  <si>
    <t>Ед. изм.</t>
  </si>
  <si>
    <t>Кол-во по смете</t>
  </si>
  <si>
    <t>Цена за ед.</t>
  </si>
  <si>
    <t>Сумма по смете</t>
  </si>
  <si>
    <t>Кол-во в КС</t>
  </si>
  <si>
    <t>Сумма по КС</t>
  </si>
  <si>
    <t>Раздел 1. Земляные работы</t>
  </si>
  <si>
    <t>ФЕР01-01-009-14</t>
  </si>
  <si>
    <t>Разработка грунта в траншеях экскаватором «обратная лопата» с ковшом вместимостью 0,5 (0,5-0,63) м3, в отвал группа грунтов: 2</t>
  </si>
  <si>
    <t>ФЕР01-01-013-08</t>
  </si>
  <si>
    <t>ФЕР01-02-057-02</t>
  </si>
  <si>
    <t>ФЕР01-01-033-02</t>
  </si>
  <si>
    <t>ФЕР01-02-061-02</t>
  </si>
  <si>
    <t>Засыпка вручную траншей, пазух котлованов и ям, группа грунтов: 2</t>
  </si>
  <si>
    <t>ФЕР01-02-061-01</t>
  </si>
  <si>
    <t>Засыпка вручную траншей, пазух котлованов и ям, группа грунтов: 1</t>
  </si>
  <si>
    <t>Цена Поставщика ООО “Грунт-маркет”</t>
  </si>
  <si>
    <t>ФЕР23-01-001-01</t>
  </si>
  <si>
    <t>Устройство основания под трубопроводы: песчаного</t>
  </si>
  <si>
    <t>10 м3</t>
  </si>
  <si>
    <t>ФЕР01-02-066-02</t>
  </si>
  <si>
    <t>Крепление инвентарными щитами стенок траншей шириной до 2 м в грунтах: устойчивых</t>
  </si>
  <si>
    <t>ФССЦ-11.2.13.04-0011</t>
  </si>
  <si>
    <t>Щиты из досок, толщина 25 мм</t>
  </si>
  <si>
    <t>км</t>
  </si>
  <si>
    <t>ФССЦ-01.2.03.03-0002</t>
  </si>
  <si>
    <t>Мастика "Ярославна БПХ-2"</t>
  </si>
  <si>
    <t>ФССЦ-12.1.02.15-0041</t>
  </si>
  <si>
    <t>Материал рулонный гидроизоляционный изол, резино-битумный, без полимерных добавок</t>
  </si>
  <si>
    <t>100 м трубы, уложенной в футляр</t>
  </si>
  <si>
    <t>ФЕРр66-38-3</t>
  </si>
  <si>
    <t>Заполнение трубопроводов или межтрубного пространства при трубах в футляре: цементным раствором</t>
  </si>
  <si>
    <t>ФССЦ-04.3.01.09-0011</t>
  </si>
  <si>
    <t>Раствор готовый кладочный, цементный, М25</t>
  </si>
  <si>
    <t>ФЕР22-01-015-03</t>
  </si>
  <si>
    <t>Укладка стальных неразрезных кожухов (футляров) в открытых траншеях диаметром: 500 мм</t>
  </si>
  <si>
    <t>ФЕР22-05-005-05</t>
  </si>
  <si>
    <t>Протаскивание в футляр полиэтиленовых труб диаметром: 315 мм</t>
  </si>
  <si>
    <t>ФССЦ-23.1.02.03-0004</t>
  </si>
  <si>
    <t>Кольца центрирующие для труб, диаметр 300 мм</t>
  </si>
  <si>
    <t>ФССЦ-24.3.05.07-0019</t>
  </si>
  <si>
    <t>Муфта защитная полиэтиленовая для прохода труб сквозь стену, номинальный наружный диаметр 315 мм</t>
  </si>
  <si>
    <t>ФССЦ-05.1.01.11-0045</t>
  </si>
  <si>
    <t>Плита днища ПН15, бетон B15 (М200), объем 0,38 м3, расход арматуры 33,13 кг</t>
  </si>
  <si>
    <t>ФССЦ-05.1.01.09-0065</t>
  </si>
  <si>
    <t>Кольцо стеновое смотровых колодцев КС15.9, бетон B15 (М200), объем 0,40 м3, расход арматуры 7,02 кг</t>
  </si>
  <si>
    <t>ФССЦ-05.1.01.09-0063</t>
  </si>
  <si>
    <t>Кольцо стеновое смотровых колодцев КС15.6, бетон B15 (М200), объем 0,265 м3, расход арматуры 4,94 кг</t>
  </si>
  <si>
    <t>ФССЦ-05.1.01.09-0042</t>
  </si>
  <si>
    <t>Кольцо опорное КО-6 /бетон B15 (М200), объем 0,02 м3, расход арматуры 1,10 кг</t>
  </si>
  <si>
    <t>ФССЦ-08.1.02.06-0031</t>
  </si>
  <si>
    <t>Люк чугунный тяжелый (ГОСТ 3634-99) марка Т(C250)-В-1-60</t>
  </si>
  <si>
    <t>ФССЦ-01.2.03.03-0009</t>
  </si>
  <si>
    <t>ФЕР34-02-016-01</t>
  </si>
  <si>
    <t>Пробивка отверстий в колодцах и коробках железобетонных</t>
  </si>
  <si>
    <t>Демонтажные работы</t>
  </si>
  <si>
    <t>ФЕР23-03-001-03</t>
  </si>
  <si>
    <t>Устройство круглых сборных железобетонных канализационных колодцев диаметром: 1 м в сухих грунтах / демонтаж</t>
  </si>
  <si>
    <t>ФССЦпг-03-21-01-001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</si>
  <si>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</si>
  <si>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</si>
  <si>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Доработка грунта вручную в траншеях глубиной до 2 м без креплений с откосами, группа грунтов: 2</t>
  </si>
  <si>
    <t>Устройство футляров</t>
  </si>
  <si>
    <t>футляр</t>
  </si>
  <si>
    <t>Прокладка трубопровода</t>
  </si>
  <si>
    <t>ФЕР23-01-001-02</t>
  </si>
  <si>
    <t>Устройство основания под трубопроводы: щебеночного</t>
  </si>
  <si>
    <t>Щебень известняковый М600 фр. 20/40</t>
  </si>
  <si>
    <t>Устройство колодцев</t>
  </si>
  <si>
    <t>Устройство круглых сборных железобетонных канализационных колодцев диаметром: 1 м в сухих грунтах</t>
  </si>
  <si>
    <t>ФССЦ-05.1.01.11-0044</t>
  </si>
  <si>
    <t>Плита днища ПН10, бетон B15 (М200), объем 0,18 м3, расход арматуры 15,14 кг</t>
  </si>
  <si>
    <t>ФССЦ-05.1.06.09-0088</t>
  </si>
  <si>
    <t>Плиты перекрытия ПП10-2, бетон B15, объем 0,10 м3, расход арматуры 16,65 кг</t>
  </si>
  <si>
    <t>ФССЦ-05.1.01.09-0056</t>
  </si>
  <si>
    <t>Кольцо стеновое смотровых колодцев КС10.9, бетон B15 (М200), объем 0,24 м3, расход арматуры 5,66 кг</t>
  </si>
  <si>
    <t>ФССЦ-05.1.01.09-0055</t>
  </si>
  <si>
    <t>Кольцо стеновое смотровых колодцев КС10.6, бетон B15 (М200), объем 0,16 м3, расход арматуры 3,95 кг</t>
  </si>
  <si>
    <t>ФССЦ-05.1.01.09-0051</t>
  </si>
  <si>
    <t>Кольцо стеновое смотровых колодцев КС7.3, бетон B15 (М200), объем 0,05 м3, расход арматуры 1,64 кг</t>
  </si>
  <si>
    <t>ФССЦ-08.1.02.06-0033</t>
  </si>
  <si>
    <t>Люк чугунный тяжелый (ГОСТ 3634-99) марка Т(C250)-К-1-60</t>
  </si>
  <si>
    <t>ФССЦ-07.2.07.04-0011</t>
  </si>
  <si>
    <t>Лестница-стремянка. Конструкции сварные индивидуальные прочие, масса сборочной единицы до 0,1 т</t>
  </si>
  <si>
    <t>Мастика битумная «Еша»</t>
  </si>
  <si>
    <t>Объем=31 / 100</t>
  </si>
  <si>
    <t>ФЕРр66-2-3</t>
  </si>
  <si>
    <t>Разборка трубопроводов канализации: из чугунных труб диаметром 300 мм/применит.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</si>
  <si>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</si>
  <si>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</si>
  <si>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</si>
  <si>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</si>
  <si>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</si>
  <si>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</si>
  <si>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</si>
  <si>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</si>
  <si>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</si>
  <si>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</si>
  <si>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Объем=14 / 100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</si>
  <si>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</si>
  <si>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</si>
  <si>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</si>
  <si>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</si>
  <si>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</si>
  <si>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</si>
  <si>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</si>
  <si>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</si>
  <si>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</si>
  <si>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ФССЦ-23.5.01.08-0027</t>
  </si>
  <si>
    <t>Трубы стальные электросварные прямошовные и спиральношовные, класс прочности К38, наружный диаметр 530 мм, толщина стенки 10 мм</t>
  </si>
  <si>
    <t>106</t>
  </si>
  <si>
    <t>ФЕР22-02-006-11</t>
  </si>
  <si>
    <t>Нанесение весьма усиленной антикоррозионной битумно-резиновой или битумно-полимерной изоляции на стыки и фасонные части стальных трубопроводов диаметром: 500 мм</t>
  </si>
  <si>
    <t>107</t>
  </si>
  <si>
    <t>ФЕР22-02-005-11</t>
  </si>
  <si>
    <t>Нанесение усиленной антикоррозионной битумно-резиновой или битумно-полимерной изоляции на стыки и фасонные части стальных трубопроводов диаметром: 500 мм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</si>
  <si>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</si>
  <si>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</si>
  <si>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</si>
  <si>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</si>
  <si>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</si>
  <si>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</si>
  <si>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</si>
  <si>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</si>
  <si>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</si>
  <si>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</si>
  <si>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</si>
  <si>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</si>
  <si>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</si>
  <si>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</si>
  <si>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</si>
  <si>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</si>
  <si>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</si>
  <si>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ФЕР23-01-020-04</t>
  </si>
  <si>
    <t>Укладка канализационных безнапорных раструбных труб из поливинилхлорида (ПВХ) диаметром: 315 мм</t>
  </si>
  <si>
    <t>125</t>
  </si>
  <si>
    <t>ФССЦ-24.3.04.05-0031</t>
  </si>
  <si>
    <t>Трубы из полипропилена с двухслойной структурированной стенкой повышенного класса жесткости, кольцевая жесткость SN16, для безнапорных трубопроводов хозяйственно бытовой и ливневой канализации, с приварным раструбом, в комплекте с уплотнительным кольцом, наружный диаметр 315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</si>
  <si>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</si>
  <si>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</si>
  <si>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</si>
  <si>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</si>
  <si>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</si>
  <si>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</si>
  <si>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</si>
  <si>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</si>
  <si>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</si>
  <si>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</si>
  <si>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</si>
  <si>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</si>
  <si>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</si>
  <si>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ФЕР16-07-006-04</t>
  </si>
  <si>
    <t>139</t>
  </si>
  <si>
    <t>140</t>
  </si>
  <si>
    <t>Пробивка отверстий в колодцах и коробках железобетонных / одно сущ.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</si>
  <si>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</si>
  <si>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</si>
  <si>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</si>
  <si>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</si>
  <si>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</si>
  <si>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</si>
  <si>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</si>
  <si>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</si>
  <si>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</si>
  <si>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</si>
  <si>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</si>
  <si>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</si>
  <si>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</si>
  <si>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</si>
  <si>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</si>
  <si>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</si>
  <si>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</si>
  <si>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</si>
  <si>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</si>
  <si>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</si>
  <si>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</si>
  <si>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</si>
  <si>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</si>
  <si>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</si>
  <si>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</si>
  <si>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</si>
  <si>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</si>
  <si>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</si>
  <si>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</si>
  <si>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</si>
  <si>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</si>
  <si>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</si>
  <si>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</si>
  <si>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</si>
  <si>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</si>
  <si>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</si>
  <si>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ФЕР23-03-001-05</t>
  </si>
  <si>
    <t>Устройство круглых сборных железобетонных канализационных колодцев диаметром: 1,5 м в сухих грунтах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</si>
  <si>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</si>
  <si>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</si>
  <si>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</si>
  <si>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</si>
  <si>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</si>
  <si>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</si>
  <si>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</si>
  <si>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</si>
  <si>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</si>
  <si>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</si>
  <si>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</si>
  <si>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Раздел 1. Ливневая канализация (перенос колодца 14)</t>
  </si>
  <si>
    <t>Объем=(21,59-0,48-9,49) / 1000</t>
  </si>
  <si>
    <t>ФЕР01-02-056-08</t>
  </si>
  <si>
    <t>Объем=0,48 / 100</t>
  </si>
  <si>
    <t>Разработка грунта вручную в траншеях шириной более 2 м и котлованах площадью сечения до 5 м2 с креплениями, глубина траншей и котлованов: до 3 м, группа грунтов 2</t>
  </si>
  <si>
    <t>Объем=9,49 / 100</t>
  </si>
  <si>
    <t>Объем=(21,59-9,49*0,03) / 1000</t>
  </si>
  <si>
    <t>Объем=(9,49*0,03) / 100</t>
  </si>
  <si>
    <t>Объем=1,46 / 10</t>
  </si>
  <si>
    <t>Объем=(0,45+0,25+0,6+0,4+0,2+0,492)*0,8+0,12</t>
  </si>
  <si>
    <t>Объем=(0,45+0,25+0,6+0,4+0,2+0,492)*0,2+16,2/1000</t>
  </si>
  <si>
    <t>Объем=(120+16,2)/1000</t>
  </si>
  <si>
    <t>Устройство колодцев канализационных  д.1000</t>
  </si>
  <si>
    <t>Объем=(0,18+0,1+0,24+0,16+0,02+0,05+0,55) / 10</t>
  </si>
  <si>
    <t>Объем=3,1415*0,669*2</t>
  </si>
  <si>
    <t>Заделка сальников при проходе труб через фундаменты или стены подвала диаметром: до 400 мм/ прим. 600</t>
  </si>
  <si>
    <t>ФССЦ-24.3.05.07-0025</t>
  </si>
  <si>
    <t>Муфта защитная полиэтиленовая для прохода труб сквозь стену, номинальный наружный диаметр 630 мм</t>
  </si>
  <si>
    <t>Объем=7,76 / 100</t>
  </si>
  <si>
    <t>Раздел 2. Ливневая канализация (уч.15-15А-15Б-15В-15Г-16-17-17А-18-19-20-22, подключение дождеприемников Д-1 -22 и Д2-12А новый)</t>
  </si>
  <si>
    <t>Вынос сетей от колодца 15 до колодца 17А(нов.)</t>
  </si>
  <si>
    <t>Земляные работы под колодцы</t>
  </si>
  <si>
    <t>Разработка грунта в котлованах объемом до 500 м3 экскаваторами с ковшом вместимостью 0,4 (0,35-0,45) м3, группа грунтов: 2</t>
  </si>
  <si>
    <t>ФЕР01-01-006-02</t>
  </si>
  <si>
    <t>Объем=(197,77-0,96-5,1-25,23-49,27) / 1000</t>
  </si>
  <si>
    <t>ФЕР01-01-018-02</t>
  </si>
  <si>
    <t>Объем=49,27 / 1000</t>
  </si>
  <si>
    <t>Разработка грунта с погрузкой на автомобили-самосвалы в котлованах объемом до 500 м3 экскаваторами с ковшом вместимостью 0,4 (0,35-0,45) м3, группа грунтов: 2</t>
  </si>
  <si>
    <t>Объем=0,96 / 100</t>
  </si>
  <si>
    <t>ФЕР01-02-063-02</t>
  </si>
  <si>
    <t>Объем=5,1 / 100</t>
  </si>
  <si>
    <t>Разработка грунта в траншеях и котлованах глубиной более 3 м вручную с подъемом краном при наличии креплений, группа грунтов: 2</t>
  </si>
  <si>
    <t>Объем=25,23 / 100</t>
  </si>
  <si>
    <t>Объем=(179,79*0,97) / 1000</t>
  </si>
  <si>
    <t>Объем=(179,79*0,03) / 100</t>
  </si>
  <si>
    <t>ФЕР01-02-067-05</t>
  </si>
  <si>
    <t>Объем=(3,2*4*(4,57+3,96+3,89+3,65+3,5)+2,2*4*(2,71+2,9)+0,15*7) / 100</t>
  </si>
  <si>
    <t>Крепление досками стенок котлованов и траншей шириной: более 3 м, глубиной до 3 м в грунтах устойчивых</t>
  </si>
  <si>
    <t>Земляные работы под траншеи</t>
  </si>
  <si>
    <t>Объем=(765,74-8,53-14,54-94,3) / 1000</t>
  </si>
  <si>
    <t>ФЕР01-02-055-08</t>
  </si>
  <si>
    <t>Объем=8,53 / 100</t>
  </si>
  <si>
    <t>Разработка грунта вручную с креплениями в траншеях шириной до 2 м, глубиной: до 3 м, группа грунтов 2</t>
  </si>
  <si>
    <t>Объем=14,54 / 100</t>
  </si>
  <si>
    <t>Объем=94,3 / 100</t>
  </si>
  <si>
    <t>Объем=35,96 / 10</t>
  </si>
  <si>
    <t>Объем=99,5 / 100</t>
  </si>
  <si>
    <t>Объем=111,26 / 1000</t>
  </si>
  <si>
    <t>ФЕР01-02-005-01</t>
  </si>
  <si>
    <t>Объем=498,23 / 100</t>
  </si>
  <si>
    <t>Уплотнение грунта пневматическими трамбовками, группа грунтов: 1-2</t>
  </si>
  <si>
    <t>Объем=(45,1*(2,585+0,15)*2+20,6*(2,785+0,15)*2+26,3*(2,785+0,15)*2+5,9*(3,575+0,15)*2+29,4*(3,77+0,15)*2+30*(3,925+0,15)*2+20,2*(4,145+0,15)*2) / 100</t>
  </si>
  <si>
    <t>Объем=230 / 100</t>
  </si>
  <si>
    <t>Объем=(1,8+1+4,8+1,6+0,2+0,5+0,36+0,2+0,48) / 10</t>
  </si>
  <si>
    <t>Объем=(10,94*2,5+1,2+0,168+21,321)*0,8</t>
  </si>
  <si>
    <t>Объем=(10,94*2,5+1,2+0,168+21,321)*0,2</t>
  </si>
  <si>
    <t>Объем=1,2+0,168+21,321</t>
  </si>
  <si>
    <t>Объем=(11,5+19,5) / 100</t>
  </si>
  <si>
    <t>Объем=31/1000</t>
  </si>
  <si>
    <t>ФЕР22-05-004-02</t>
  </si>
  <si>
    <t>Заделка битумом и прядью концов футляра диаметром: 500 мм</t>
  </si>
  <si>
    <t>Объем=4,73 / 10</t>
  </si>
  <si>
    <t>Цена ПоставщикаООО "Генпоставка”</t>
  </si>
  <si>
    <t>Объем=215 / 100</t>
  </si>
  <si>
    <t>Устройство колодцев 15а,15б,15г,16,17,17а,18</t>
  </si>
  <si>
    <t>Объем=(0,18*4+0,1*5+0,24*7+0,16*10,05*1+0,55+0,56+0,56) / 10</t>
  </si>
  <si>
    <t>ФССЦ-07.5.01.02-0042</t>
  </si>
  <si>
    <t>Лестницы шахтные</t>
  </si>
  <si>
    <t>Объем=(0,38*5+0,27*5+0,4*15+0,265*2+0,02*19+1,39+1,39+1,39+1,22+0,57) / 10</t>
  </si>
  <si>
    <t>ФССЦ-05.1.06.09-0008</t>
  </si>
  <si>
    <t>Плиты перекрытия 2ПП15-2, бетон B15, объем 0,27 м3, расход арматуры 32,71 кг</t>
  </si>
  <si>
    <t>Объем=3,1415*0,365*15</t>
  </si>
  <si>
    <t>ФЕР16-07-006-03</t>
  </si>
  <si>
    <t>Заделка сальников при проходе труб через фундаменты или стены подвала диаметром: до 300 мм</t>
  </si>
  <si>
    <t>Объем=124 / 100</t>
  </si>
  <si>
    <t>Раздел 3. Подключение дождеприемников Д-1-22 нов, Д-2-12А нов.</t>
  </si>
  <si>
    <t>Участки Д-1-22-17; Д-2-18; Дсущ-16;15а-15б</t>
  </si>
  <si>
    <t>Земляные работы под колодцы и траншею</t>
  </si>
  <si>
    <t>Объем=(85,33-6,32) / 1000</t>
  </si>
  <si>
    <t>Объем=31,94 / 1000</t>
  </si>
  <si>
    <t>Объем=4,45 / 10</t>
  </si>
  <si>
    <t>Объем=16,44 / 100</t>
  </si>
  <si>
    <t>Объем=53,39 / 1000</t>
  </si>
  <si>
    <t>Объем=0,8 / 10</t>
  </si>
  <si>
    <t>Объем=27 / 100</t>
  </si>
  <si>
    <t>Устройство дождеприемных колодцев Д-1 и Д-2,Дсущ. из сборных ж.б. элементов</t>
  </si>
  <si>
    <t>ФЕР23-03-007-03</t>
  </si>
  <si>
    <t>Объем=(0,33+0,08*1+0,16*1+0,24*2+0,22*2+0,1*3+0,07+0,07) / 10</t>
  </si>
  <si>
    <t>Устройство круглых дождеприемных колодцев для дождевой канализации: из сборного железобетона диаметром 1,0 м в сухих грунтах</t>
  </si>
  <si>
    <t>ФССЦ-01.7.15.10-0067</t>
  </si>
  <si>
    <t>Скобы ходовые</t>
  </si>
  <si>
    <t>ФССЦ-05.1.01.11-0052</t>
  </si>
  <si>
    <t>Плита днища плоская, бетон B15 (М200), объем до 0,5 м3, расход арматуры 60 кг/м3/применит. КЦД 10а</t>
  </si>
  <si>
    <t>ФССЦ-05.1.01.09-0054</t>
  </si>
  <si>
    <t>Кольцо стеновое смотровых колодцев КС10.3, бетон B15 (М200), объем 0,08 м3, расход арматуры 1,96 кг</t>
  </si>
  <si>
    <t>ФССЦ-05.1.01.09-0057</t>
  </si>
  <si>
    <t>Кольцо стеновое смотровых колодцев КС10.9А, бетон B15 (М200), объем 0,22 м3, расход арматуры 14,76 кг/применит. КС10.9Б</t>
  </si>
  <si>
    <t>ФССЦ-05.1.01.08-0091</t>
  </si>
  <si>
    <t>Крышка колодцев КЦП 1-10-1, бетон B15 (М200), объем 0,1 м3, расход арматуры 7,70 кг</t>
  </si>
  <si>
    <t>ФССЦ-08.1.02.06-1014</t>
  </si>
  <si>
    <t>Решетка прямоугольного чугунного дождеприемника, номинальная нагрузка 12,5 кН, размеры лаза 360х780 мм</t>
  </si>
  <si>
    <t>Объем=3,1415*0,365*3</t>
  </si>
  <si>
    <t>Объем=(5,47+9,24+5,28) / 100</t>
  </si>
  <si>
    <t>Раздел 4. Ливневая канализацйия (колодцы 24-25)</t>
  </si>
  <si>
    <t>ФЕР01-01-009-08</t>
  </si>
  <si>
    <t>Объем=(1686,55-52,41) / 1000</t>
  </si>
  <si>
    <t>Разработка грунта в траншеях экскаватором «обратная лопата» с ковшом вместимостью 0,65 (0,5-1) м3, группа грунтов: 2</t>
  </si>
  <si>
    <t>Объем=62,19 / 1000</t>
  </si>
  <si>
    <t>Объем=1233,66 / 1000</t>
  </si>
  <si>
    <t>Объем=52,41 / 100</t>
  </si>
  <si>
    <t>Объем=(1048,56+513,4) / 1000</t>
  </si>
  <si>
    <t>ФЕР23-01-007-05</t>
  </si>
  <si>
    <t>Объем=132 / 100</t>
  </si>
  <si>
    <t>Укладка трубопроводов из железобетонных безнапорных раструбных труб диаметром: 1000 мм/ Демонтаж</t>
  </si>
  <si>
    <t>ФЕР23-03-001-07</t>
  </si>
  <si>
    <t>Объем=(2*0,48+2*0,02) / 10</t>
  </si>
  <si>
    <t>Устройство круглых сборных железобетонных канализационных колодцев диаметром: 2 м в сухих грунтах / Демонтаж</t>
  </si>
  <si>
    <t>Объем=(0,96*2,5+0,04*2,5+126,6)*0,8</t>
  </si>
  <si>
    <t>Объем=(0,96*2,5+0,04*2,5+126,6)*0,2</t>
  </si>
  <si>
    <t>ФЕР22-01-015-10</t>
  </si>
  <si>
    <t>Объем=(4+10) / 100</t>
  </si>
  <si>
    <t>Укладка стальных неразрезных кожухов (футляров) в открытых траншеях диаметром: 1400 мм</t>
  </si>
  <si>
    <t>ФССЦ-23.5.01.08-0097</t>
  </si>
  <si>
    <t>Трубы стальные электросварные прямошовные и спиральношовные, класс прочности К38, наружный диаметр 1420 мм, толщина стенки 18 мм</t>
  </si>
  <si>
    <t>ФЕР22-02-007-03</t>
  </si>
  <si>
    <t>Объем=(3,1415*1,42*14) / 100</t>
  </si>
  <si>
    <t>Нанесение битумно-резиновой или битумно-полимерной изоляции на стальные трубопроводы диаметром более 1200 мм: весьма усиленной</t>
  </si>
  <si>
    <t>ФЕР22-05-005-16</t>
  </si>
  <si>
    <t>Протаскивание в футляр полиэтиленовых труб диаметром: 1200 мм</t>
  </si>
  <si>
    <t>ФССЦ-23.1.02.03-0012</t>
  </si>
  <si>
    <t>Кольца центрирующие для труб, диаметр 1200 мм</t>
  </si>
  <si>
    <t>ФЕР22-05-004-09</t>
  </si>
  <si>
    <t>Заделка битумом и прядью концов футляра диаметром: 1400 мм</t>
  </si>
  <si>
    <t>Объем=61,32 / 10</t>
  </si>
  <si>
    <t>Объем=1,8 / 10</t>
  </si>
  <si>
    <t>ФЕР23-01-030-16</t>
  </si>
  <si>
    <t>Укладка трубопроводов канализации из полиэтиленовых труб диаметром: 1200 мм</t>
  </si>
  <si>
    <t>ООО "НФ Инжиниринг, Счет на оплату № NF-8684 от 26.10.2023 г.(п.2)</t>
  </si>
  <si>
    <t>Труба КОРСИС ПРО DN/OD 1200mm SN16 в компл. с растр. и упл. (6м)</t>
  </si>
  <si>
    <t>Объем=(2*0,59+3*0,48+3*0,59+1*0,39+3*0,02+3,21+3,21) / 10</t>
  </si>
  <si>
    <t>Устройство круглых сборных железобетонных канализационных колодцев диаметром: 2 м в сухих грунтах</t>
  </si>
  <si>
    <t>ФССЦ-05.1.01.11-0046</t>
  </si>
  <si>
    <t>Плита днища ПН20, бетон B15 (М200), объем 0,59 м3, расход арматуры 79,44 кг</t>
  </si>
  <si>
    <t>ФССЦ-05.1.06.09-0010</t>
  </si>
  <si>
    <t>Плиты перекрытия 2ПП20-2, бетон B15, объем 0,48 м3, расход арматуры 84,49 кг</t>
  </si>
  <si>
    <t>ФССЦ-05.1.01.09-0073</t>
  </si>
  <si>
    <t>Кольцо стеновое смотровых колодцев КС20.9, бетон B15 (М200), объем 0,59 м3, расход арматуры 19,88 кг</t>
  </si>
  <si>
    <t>ФССЦ-05.1.01.09-0071</t>
  </si>
  <si>
    <t>Кольцо стеновое смотровых колодцев КС20.6, бетон B15 (М200), объем 0,39 м3, расход арматуры 13,04 кг</t>
  </si>
  <si>
    <t>ФЕРр66-9-2</t>
  </si>
  <si>
    <t>Установка лестниц в существующих тепловых камерах со стенами: бетонными</t>
  </si>
  <si>
    <t>ФЕР23-03-008-01</t>
  </si>
  <si>
    <t>Объем=2 / 100</t>
  </si>
  <si>
    <t>Установка сборных железобетонных колец горловин колодцев</t>
  </si>
  <si>
    <t>100 шт</t>
  </si>
  <si>
    <t>ФЕР23-04-011-01</t>
  </si>
  <si>
    <t>Установка люка</t>
  </si>
  <si>
    <t>Объем=3,1415*1,3*6</t>
  </si>
  <si>
    <t>Заделка битумом и прядью концов футляра диаметром: 1400 мм / прим установка защитной муфты</t>
  </si>
  <si>
    <t>ФССЦ-24.3.05.07-0029</t>
  </si>
  <si>
    <t>Муфта защитная полиэтиленовая для прохода труб сквозь стену, номинальный наружный диаметр 1000 мм / прим. 1200 мм</t>
  </si>
  <si>
    <t>Объем=72,85 / 100</t>
  </si>
  <si>
    <t>Раздел 5. Ливневая канализация (колодцы 26-27)</t>
  </si>
  <si>
    <t>Объем=(216,6-172,44) / 1000</t>
  </si>
  <si>
    <t>Объем=172,44 / 1000</t>
  </si>
  <si>
    <t>Объем=6,7 / 100</t>
  </si>
  <si>
    <t>Объем=(50,81+155,2) / 1000</t>
  </si>
  <si>
    <t>ФЕР22-01-015-06</t>
  </si>
  <si>
    <t>Объем=6 / 100</t>
  </si>
  <si>
    <t>Укладка стальных неразрезных кожухов (футляров) в открытых траншеях диаметром: 800 мм</t>
  </si>
  <si>
    <t>ФССЦ-23.5.01.08-0054</t>
  </si>
  <si>
    <t>Трубы стальные электросварные прямошовные и спиральношовные, класс прочности К38, наружный диаметр 820 мм, толщина стенки 14 мм</t>
  </si>
  <si>
    <t>ФЕР22-02-003-14</t>
  </si>
  <si>
    <t>Объем=6/1000</t>
  </si>
  <si>
    <t>Нанесение весьма усиленной антикоррозионной битумно-резиновой или битумно-полимерной изоляции на стальные трубопроводы диаметром: 800 мм</t>
  </si>
  <si>
    <t>ФЕР22-05-005-11</t>
  </si>
  <si>
    <t>Протаскивание в футляр полиэтиленовых труб диаметром: 630 мм</t>
  </si>
  <si>
    <t>ФССЦ-23.1.02.03-0008</t>
  </si>
  <si>
    <t>Кольца центрирующие для труб, диаметр 600 мм</t>
  </si>
  <si>
    <t>ФЕР22-05-004-05</t>
  </si>
  <si>
    <t>Заделка битумом и прядью концов футляра диаметром: 800 мм</t>
  </si>
  <si>
    <t>Объем=((1+0,63)*0,15*31) / 10</t>
  </si>
  <si>
    <t>ФЕР23-01-030-11</t>
  </si>
  <si>
    <t>Укладка трубопроводов канализации из полиэтиленовых труб диаметром: 630 мм</t>
  </si>
  <si>
    <t>ООО "НФ Инжиниринг, Счет на оплату № NF-8684 от 26.10.2023 г.(п.4)</t>
  </si>
  <si>
    <t>Труба КОРСИС ПРО DN/OD 630mm SN16 в компл. с растр. и упл.(6м)</t>
  </si>
  <si>
    <t>188</t>
  </si>
  <si>
    <t>189</t>
  </si>
  <si>
    <t>190</t>
  </si>
  <si>
    <t>Установка сборных железобетонных колец горловин колодцев / прим.</t>
  </si>
  <si>
    <t>191</t>
  </si>
  <si>
    <t>192</t>
  </si>
  <si>
    <t>ФССЦ-05.1.06.09-0087</t>
  </si>
  <si>
    <t>Плиты перекрытия ПП10-1, бетон B15, объем 0,10 м3, расход арматуры 8,38 кг</t>
  </si>
  <si>
    <t>193</t>
  </si>
  <si>
    <t>194</t>
  </si>
  <si>
    <t>195</t>
  </si>
  <si>
    <t>196</t>
  </si>
  <si>
    <t>ФЕР22-05-004-03</t>
  </si>
  <si>
    <t>Заделка битумом и прядью концов футляра диаметром: 600 мм  / прим установка защитной муфты</t>
  </si>
  <si>
    <t>197</t>
  </si>
  <si>
    <t>198</t>
  </si>
  <si>
    <t>Объем=18,21 / 100</t>
  </si>
  <si>
    <t>199</t>
  </si>
  <si>
    <t>200</t>
  </si>
  <si>
    <t>ФССЦпг-03-02-01-001</t>
  </si>
  <si>
    <t>Перевозка грузов I класса автомобилями бортовыми грузоподъемностью до 5 т на расстояние до 1 км</t>
  </si>
  <si>
    <t>Раздел 1. Демонтаж сетей и систем  инженерного обоспечения.</t>
  </si>
  <si>
    <t>ФЕРр65-14-4</t>
  </si>
  <si>
    <t>Разборка трубопроводов из водогазопроводных труб в зданиях и сооружениях на сварке диаметром: до 50 мм</t>
  </si>
  <si>
    <t>ФЕРр65-14-5</t>
  </si>
  <si>
    <t>Разборка трубопроводов из водогазопроводных труб в зданиях и сооружениях на сварке диаметром: свыше 50 до 100 мм</t>
  </si>
  <si>
    <t>ФЕРр65-14-6</t>
  </si>
  <si>
    <t>Разборка трубопроводов из водогазопроводных труб в зданиях и сооружениях на сварке диаметром: свыше 100 до 150 мм</t>
  </si>
  <si>
    <t>ФЕР16-02-005-07</t>
  </si>
  <si>
    <t>Демонтаж трубопроводов отопления и водоснабжения из стальных электросварных труб диаметром: 160 мм</t>
  </si>
  <si>
    <t>ФЕР16-02-005-08</t>
  </si>
  <si>
    <t>Демонтаж трубопроводов отопления и водоснабжения из стальных электросварных труб диаметром: 180, 200, 220 мм</t>
  </si>
  <si>
    <t>ФЕР16-02-005-09</t>
  </si>
  <si>
    <t>Демонтаж трубопроводов отопления и водоснабжения из стальных электросварных труб диаметром: 250 мм</t>
  </si>
  <si>
    <t>ФЕРр65-3-13</t>
  </si>
  <si>
    <t>Снятие задвижек диаметром: до 100 мм</t>
  </si>
  <si>
    <t>ФЕР16-08-001-02</t>
  </si>
  <si>
    <t>Установка шкафов металлических для санитарно-технических систем: на стене или в нише массой свыше 10 до 20 кг / Демонтаж</t>
  </si>
  <si>
    <t>ФЕР16-07-001-01</t>
  </si>
  <si>
    <t>Демонтаж кранов пожарных диаметром 50 мм</t>
  </si>
  <si>
    <t>ФЕРм08-02-397-01</t>
  </si>
  <si>
    <t>Демонтаж Профиль перфорированный монтажный длиной 2 м</t>
  </si>
  <si>
    <t>ФЕРр67-3-1</t>
  </si>
  <si>
    <t>Демонтаж кабеля(18м(ось 1-3), 132 м(ось 2-24),126м(ось 3-24),66м(ось 15-26),60м(ось 16-26),60м(ось 16-26))</t>
  </si>
  <si>
    <t>Раздел 2. Вывоз строительного мусора</t>
  </si>
  <si>
    <t>ФССЦпг-01-01-02-031</t>
  </si>
  <si>
    <t>Разгрузка при автомобильных перевозках труб металлических с применением автопогрузчиков</t>
  </si>
  <si>
    <t>ФЕР06-01-001-01</t>
  </si>
  <si>
    <t>Устройство бетонной подготовки</t>
  </si>
  <si>
    <t>ФССЦ-04.1.02.05-0009</t>
  </si>
  <si>
    <t>Смеси бетонные тяжелого бетона (БСТ), класс В25 (М350)</t>
  </si>
  <si>
    <t>ФССЦ-04.1.02.05-0003</t>
  </si>
  <si>
    <t>Смеси бетонные тяжелого бетона (БСТ), класс В7,5 (М100)</t>
  </si>
  <si>
    <t>ФССЦ-08.4.03.03-0003</t>
  </si>
  <si>
    <t>Сталь арматурная рифленая свариваемая, класс А500С, диаметр 10 мм</t>
  </si>
  <si>
    <t>ФССЦ-04.1.02.05-0009
Надбавка на W8</t>
  </si>
  <si>
    <t>в деньгах</t>
  </si>
  <si>
    <t>Смеси бетонные тяжелого бетона (БСТ), класс В20 (М250)</t>
  </si>
  <si>
    <t>ФЕР01-01-003-08</t>
  </si>
  <si>
    <t>Разработка грунта в отвал экскаваторами "драглайн" или "обратная лопата" с ковшом вместимостью: 0,65 (0,5-1) м3, группа грунтов 2</t>
  </si>
  <si>
    <t>Разработка грунта вручную в траншеях глубиной до 2 м без креплений с откосами, группа грунтов: 2 (доработка)</t>
  </si>
  <si>
    <t>ФЕР01-01-034-01</t>
  </si>
  <si>
    <t>Засыпка траншей и котлованов с перемещением грунта до 5 м бульдозерами мощностью: 96 кВт (130 л.с.), группа грунтов 1</t>
  </si>
  <si>
    <t>Раздел 2. Устройство ограждения ОГ-1</t>
  </si>
  <si>
    <t>Щебень известняковый М600 фр. 5/20</t>
  </si>
  <si>
    <t>ФССЦ-05.1.07.13-0012</t>
  </si>
  <si>
    <t>Панели оград ПО-2, бетон B15, объем 0,72 м3, расход арматуры 41,42 кг</t>
  </si>
  <si>
    <t>ФССЦ-05.1.05.15-0001</t>
  </si>
  <si>
    <t>Фундаменты под столбы оград Ф-6, бетон B15, объем 0,3 м3, расход арматуры 5 кг</t>
  </si>
  <si>
    <t>ФССЦ-06.1.01.05-0093</t>
  </si>
  <si>
    <t>Кирпич керамический полнотелый утолщенный, размер 250х120х88 мм, марка 50</t>
  </si>
  <si>
    <t>ФССЦ-04.3.01.12-0005</t>
  </si>
  <si>
    <t>Раствор кладочный, цементно-известковый, М100</t>
  </si>
  <si>
    <t>Устройство стяжек: на каждые 5 мм изменения толщины стяжки добавлять или исключать к расценке 11-01-011-01</t>
  </si>
  <si>
    <t>ФССЦ-04.3.01.09-0001</t>
  </si>
  <si>
    <t>Раствор готовый кладочный цементный тяжелый</t>
  </si>
  <si>
    <t>Раздел 3. Подпорная стенка ПС-1</t>
  </si>
  <si>
    <t>ФЕР06-04-001-03</t>
  </si>
  <si>
    <t>Устройство стен подвалов и подпорных стен железобетонных высотой: до 3 м, толщиной до 300 мм</t>
  </si>
  <si>
    <t>ФССЦ-08.4.03.02-0003</t>
  </si>
  <si>
    <t>Сталь арматурная, горячекатаная, гладкая, класс А-I, диаметр 10 мм</t>
  </si>
  <si>
    <t>ФССЦ-08.4.03.02-0002</t>
  </si>
  <si>
    <t>Сталь арматурная, горячекатаная, гладкая, класс А-I, диаметр 8 мм</t>
  </si>
  <si>
    <t>Планируемая КС</t>
  </si>
  <si>
    <t>объем для КС3</t>
  </si>
  <si>
    <t>начало</t>
  </si>
  <si>
    <t>окончание</t>
  </si>
  <si>
    <t>Картограмма землянных масс (подготовка Геосъёки сотрудниками КиК) + талоны</t>
  </si>
  <si>
    <t>Схемы из РД + ВОР</t>
  </si>
  <si>
    <t>Исполнитель</t>
  </si>
  <si>
    <t>Владимир+Роман</t>
  </si>
  <si>
    <t>Роман+</t>
  </si>
  <si>
    <t>Мария</t>
  </si>
  <si>
    <t>Грунт, демонт. асфальт - схемы+талоны+ВОРы
 песок, щебень - схемы+ВОРы</t>
  </si>
  <si>
    <t>Воденников</t>
  </si>
  <si>
    <t>ВОР, схема + доп на уменьшение и изменение расценок по земле</t>
  </si>
  <si>
    <t>Воденников+Липатов</t>
  </si>
  <si>
    <t>ВОРы по факту+новая смета и доп</t>
  </si>
  <si>
    <t>ВОР+смета</t>
  </si>
  <si>
    <t>Рома+Липатов</t>
  </si>
  <si>
    <t>Подача КС-2</t>
  </si>
  <si>
    <t>Подан ДОП</t>
  </si>
  <si>
    <t>сроки уточняются</t>
  </si>
  <si>
    <t>мех</t>
  </si>
  <si>
    <t>ручн</t>
  </si>
  <si>
    <t>объем ИД</t>
  </si>
  <si>
    <t>ВР</t>
  </si>
  <si>
    <t>Кол-во в ИД</t>
  </si>
  <si>
    <t>План на 21.12.2023</t>
  </si>
  <si>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</si>
  <si>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</si>
  <si>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</si>
  <si>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</si>
  <si>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</si>
  <si>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</si>
  <si>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</si>
  <si>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</si>
  <si>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«МЕТРОВАГОНМАШ»; 141009, Московская обл., г. о. Мытищи, г. Мытищи,  ул. Колонцова, 4, 8 (498) 687-45-55</t>
  </si>
  <si>
    <t>05804803</t>
  </si>
  <si>
    <t>АО "МЕТРОВАГОНМАШ"</t>
  </si>
  <si>
    <t>Подрядчик (Субподрядчик)</t>
  </si>
  <si>
    <t>ООО «КиКГЕОСТРОЙ»; 109004, г. Москва, ул. Земляной Вал, д.65, кв.59; +7 (495) 915-24-71</t>
  </si>
  <si>
    <t>16673706</t>
  </si>
  <si>
    <t>Стройка</t>
  </si>
  <si>
    <t>ЖД пути от испытательного центра до обкаточных путей, с удлинением трансбордера, расположенные по адресу: Московская область, г.о. Мытищи, ул.Колонцова,д. 4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</si>
  <si>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</si>
  <si>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</si>
  <si>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</si>
  <si>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Смета №1, Демонтаж жб конструкций мазутопровода АО "МВМ"</t>
  </si>
  <si>
    <t>Цех № 417.</t>
  </si>
  <si>
    <t>(наименование)</t>
  </si>
  <si>
    <t>Вид деятельности по ОКДП</t>
  </si>
  <si>
    <t>Договор подряда (контракт)</t>
  </si>
  <si>
    <t>номер</t>
  </si>
  <si>
    <t>МВМ/03-07</t>
  </si>
  <si>
    <t>дата</t>
  </si>
  <si>
    <t>03.07.2023</t>
  </si>
  <si>
    <t>Дополнительное соглашение</t>
  </si>
  <si>
    <t>18.12.2023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</si>
  <si>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</si>
  <si>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</si>
  <si>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</si>
  <si>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</si>
  <si>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</si>
  <si>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</si>
  <si>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</si>
  <si>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 xml:space="preserve">О ПРИЕМКЕ ВЫПОЛНЕННЫХ РАБОТ </t>
  </si>
  <si>
    <t>За декабрь, 2023 г.</t>
  </si>
  <si>
    <t>Сметная (договорная) стоимость в соответствии с договором подряда (субподряда):</t>
  </si>
  <si>
    <t>(116,53)</t>
  </si>
  <si>
    <t>тыс.руб.</t>
  </si>
  <si>
    <t>Средства на оплату труда</t>
  </si>
  <si>
    <t>(8,94)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</si>
  <si>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</si>
  <si>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</si>
  <si>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</si>
  <si>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</si>
  <si>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</si>
  <si>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</si>
  <si>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</si>
  <si>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</si>
  <si>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</si>
  <si>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</si>
  <si>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</si>
  <si>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</si>
  <si>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</si>
  <si>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</si>
  <si>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</si>
  <si>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</si>
  <si>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</si>
  <si>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ФЕР46-04-003-01</t>
  </si>
  <si>
    <t>Разборка бетонных конструкций объемом более 1 м3 при помощи отбойных молотков из бетона марки: 100</t>
  </si>
  <si>
    <t>ОТ</t>
  </si>
  <si>
    <t>ЭМ</t>
  </si>
  <si>
    <t>ЗТ</t>
  </si>
  <si>
    <t>чел.-ч</t>
  </si>
  <si>
    <t>Итого по расценке</t>
  </si>
  <si>
    <t>ФОТ</t>
  </si>
  <si>
    <t>Приказ № 812/пр от 21.12.2020 Прил. п.40.2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</si>
  <si>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</si>
  <si>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%</t>
  </si>
  <si>
    <t>Приказ № 774/пр от 11.12.2020 Прил. п.40.2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</si>
  <si>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</si>
  <si>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Всего по позиции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</si>
  <si>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</si>
  <si>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270</t>
  </si>
  <si>
    <t>3,28</t>
  </si>
  <si>
    <t>885,60</t>
  </si>
  <si>
    <t>13,24</t>
  </si>
  <si>
    <t>11 725,34</t>
  </si>
  <si>
    <t>ФССЦпг-03-21-01-030</t>
  </si>
  <si>
    <t>Перевозка грузов I класса автомобилями-самосвалами грузоподъемностью 10 т работающих вне карьера на расстояние до 30 км</t>
  </si>
  <si>
    <t>19,29</t>
  </si>
  <si>
    <t>5 208,30</t>
  </si>
  <si>
    <t>13,62</t>
  </si>
  <si>
    <t>70 937,05</t>
  </si>
  <si>
    <t>КП "МК-ГРУПП"</t>
  </si>
  <si>
    <t>Утилизация отходов 4-5 класса опасности</t>
  </si>
  <si>
    <t>65,30</t>
  </si>
  <si>
    <t>7 052,40</t>
  </si>
  <si>
    <t>8,16</t>
  </si>
  <si>
    <t>57 547,58</t>
  </si>
  <si>
    <t>(Материалы для строительных работ)</t>
  </si>
  <si>
    <t>Цена=639,46/1,2/8,16</t>
  </si>
  <si>
    <t>Итоги по разделу 1 Демонтажные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</si>
  <si>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</si>
  <si>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</si>
  <si>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</si>
  <si>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</si>
  <si>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</si>
  <si>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</si>
  <si>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</si>
  <si>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</si>
  <si>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</si>
  <si>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</si>
  <si>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</si>
  <si>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</si>
  <si>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</si>
  <si>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</si>
  <si>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</si>
  <si>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</si>
  <si>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</si>
  <si>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</si>
  <si>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</si>
  <si>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Демонтажные работы</t>
  </si>
  <si>
    <t>Раздел 2. Земляные работы</t>
  </si>
  <si>
    <t>ФЕР01-01-013-07</t>
  </si>
  <si>
    <t>Разработка грунта с погрузкой на автомобили-самосвалы экскаваторами с ковшом вместимостью: 0,65 (0,5-1) м3, группа грунтов 1</t>
  </si>
  <si>
    <t>0,42</t>
  </si>
  <si>
    <t>Прил.1.12 п.3.66</t>
  </si>
  <si>
    <t>Разработка одноковшовыми экскаваторами объема грунта, находящегося на расстоянии до 2 м от поверхности коммуникаций или мешающих предметов, а также объема грунта, находящегося от мешающего наземного предмета (деревьев, столбов и т.д.) в пределах вылета стрелы экскаватора ОЗП=1,2; ЭМ=1,2 к расх.; ЗПМ=1,2; ТЗ=1,2; ТЗМ=1,2</t>
  </si>
  <si>
    <t>в т.ч. ОТм</t>
  </si>
  <si>
    <t>М</t>
  </si>
  <si>
    <t>ЗТм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</si>
  <si>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</si>
  <si>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</si>
  <si>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</t>
  </si>
  <si>
    <t>СП Земляные работы, выполняемые механизированным способом</t>
  </si>
  <si>
    <t>420</t>
  </si>
  <si>
    <t>8 101,80</t>
  </si>
  <si>
    <t>110 346,52</t>
  </si>
  <si>
    <t>27 426,00</t>
  </si>
  <si>
    <t>223 796,16</t>
  </si>
  <si>
    <t>Итоги по разделу 2 Земляные работы :</t>
  </si>
  <si>
    <t xml:space="preserve">                    в том числе оплата труда машинистов (Отм)</t>
  </si>
  <si>
    <t xml:space="preserve">                         в том числе оплата труда машинистов (ОТм)</t>
  </si>
  <si>
    <t xml:space="preserve">  Итого по разделу 2 Земляные работы</t>
  </si>
  <si>
    <t>Итоги по акту:</t>
  </si>
  <si>
    <t xml:space="preserve">     Итого</t>
  </si>
  <si>
    <t xml:space="preserve">     НДС 20%</t>
  </si>
  <si>
    <t xml:space="preserve">  ВСЕГО по акту</t>
  </si>
  <si>
    <t>Сдал:</t>
  </si>
  <si>
    <t>Генеральный директор ООО «КиКГЕОСТРОЙ»</t>
  </si>
  <si>
    <t>(Ю.Ф. Кесслер)</t>
  </si>
  <si>
    <t>()</t>
  </si>
  <si>
    <t>[должность, подпись (инициалы, фамилия)]</t>
  </si>
  <si>
    <t>Принял:</t>
  </si>
  <si>
    <t xml:space="preserve">Генеральный директор АО «МЕТРОВАГОНМАШ» </t>
  </si>
  <si>
    <t>(А.Б. Степнов)</t>
  </si>
  <si>
    <t>Схема</t>
  </si>
  <si>
    <t>ВОР</t>
  </si>
  <si>
    <t>Смета</t>
  </si>
  <si>
    <t>Примечание</t>
  </si>
  <si>
    <t>-</t>
  </si>
  <si>
    <t>+</t>
  </si>
  <si>
    <t>Болеет исполнитель</t>
  </si>
  <si>
    <t>Архитектурно-строительные решения. Часть 1.АС1 (трансбордер)</t>
  </si>
  <si>
    <t>уточнить</t>
  </si>
  <si>
    <t>Необходимо переснять факт выполненных работ</t>
  </si>
  <si>
    <t>Архитектурно-строительные решения. АС 4</t>
  </si>
  <si>
    <t>только фундаменты</t>
  </si>
  <si>
    <t>Переносим в доп</t>
  </si>
  <si>
    <t>Необходимо скорректировать</t>
  </si>
  <si>
    <t>Предъявлен ВОР - необходима корректировка</t>
  </si>
  <si>
    <t>Дураеву направлен ВОР скорректированный по итогу обхода</t>
  </si>
  <si>
    <t>Необходимо предъявить объемы по ВОР</t>
  </si>
  <si>
    <t>Применить расценку по площади, сделать схему и ВОР</t>
  </si>
  <si>
    <t>как вариант ФЕР 01-02-119-03 Расчистка площадей от кустарника и мелколесья вручную: при густой поросли, нужна схема расположения места вырубки</t>
  </si>
  <si>
    <t>Сформировать ВОР для предъявление работ тех заку</t>
  </si>
  <si>
    <t>Повторная сборка после демонтажа пути шихты</t>
  </si>
  <si>
    <t>Предъявить объемы по схеме</t>
  </si>
  <si>
    <t>Уточнить нет ли задвоения</t>
  </si>
  <si>
    <t>Подготовить письмо о корректировке проекта</t>
  </si>
  <si>
    <t>Переустройство участка кабелей МВМ-ММЗ</t>
  </si>
  <si>
    <t>Переустройство участка кабелей ММЗ-417 цех</t>
  </si>
  <si>
    <t>уточнить место выемки грунта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</si>
</sst>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_₽_-;\-* #,##0.00\ _₽_-;_-* &quot;-&quot;??\ _₽_-;_-@_-"/>
    <numFmt numFmtId="165" formatCode="_-* #,##0.00_р_._-;\-* #,##0.00_р_._-;_-* &quot;-&quot;??_р_._-;_-@_-"/>
    <numFmt numFmtId="166" formatCode="#,##0.0"/>
    <numFmt numFmtId="167" formatCode="_-* #,##0&quot;р.&quot;_-;\-* #,##0&quot;р.&quot;_-;_-* &quot;-&quot;&quot;р.&quot;_-;_-@_-"/>
    <numFmt numFmtId="168" formatCode="_-* #,##0\ _₽_-;\-* #,##0\ _₽_-;_-* &quot;-&quot;??\ _₽_-;_-@_-"/>
    <numFmt numFmtId="169" formatCode="0.0"/>
    <numFmt numFmtId="170" formatCode="0.000"/>
    <numFmt numFmtId="171" formatCode="0.0000"/>
  </numFmts>
  <fonts count="3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0"/>
      <name val="Times New Roman"/>
      <family val="1"/>
      <charset val="204"/>
    </font>
    <font>
      <sz val="8"/>
      <name val="Verdana"/>
      <family val="2"/>
      <charset val="204"/>
    </font>
    <font>
      <sz val="10"/>
      <name val="Arial Cyr"/>
      <charset val="204"/>
    </font>
    <font>
      <b/>
      <sz val="11"/>
      <color rgb="FFFF0000"/>
      <name val="Times New Roman"/>
      <family val="1"/>
      <charset val="204"/>
    </font>
    <font>
      <b/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name val="Arial"/>
      <family val="2"/>
      <charset val="204"/>
    </font>
    <font>
      <sz val="8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8"/>
      <color rgb="FFFF0000"/>
      <name val="Arial"/>
      <family val="2"/>
      <charset val="204"/>
    </font>
    <font>
      <sz val="8"/>
      <name val="Arial"/>
      <family val="2"/>
      <charset val="204"/>
    </font>
    <font>
      <sz val="8"/>
      <color rgb="FFFF0000"/>
      <name val="Arial"/>
      <family val="2"/>
      <charset val="204"/>
    </font>
    <font>
      <sz val="11"/>
      <color rgb="FFFF0000"/>
      <name val="Times New Roman"/>
      <family val="1"/>
      <charset val="204"/>
    </font>
    <font>
      <sz val="11"/>
      <color rgb="FF000000"/>
      <name val="Calibri"/>
      <charset val="204"/>
    </font>
    <font>
      <i/>
      <sz val="7"/>
      <color rgb="FF000000"/>
      <name val="Arial"/>
      <family val="2"/>
      <charset val="204"/>
    </font>
    <font>
      <b/>
      <sz val="1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i/>
      <sz val="8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38">
    <xf numFmtId="0" fontId="0" fillId="0" borderId="0"/>
    <xf numFmtId="0" fontId="2" fillId="0" borderId="0"/>
    <xf numFmtId="0" fontId="3" fillId="0" borderId="0"/>
    <xf numFmtId="0" fontId="1" fillId="0" borderId="0"/>
    <xf numFmtId="0" fontId="5" fillId="0" borderId="0"/>
    <xf numFmtId="0" fontId="5" fillId="0" borderId="0"/>
    <xf numFmtId="164" fontId="8" fillId="0" borderId="0" applyFont="0" applyFill="0" applyBorder="0" applyAlignment="0" applyProtection="0"/>
    <xf numFmtId="0" fontId="11" fillId="0" borderId="0"/>
    <xf numFmtId="0" fontId="8" fillId="0" borderId="0"/>
    <xf numFmtId="0" fontId="12" fillId="0" borderId="0"/>
    <xf numFmtId="0" fontId="12" fillId="0" borderId="0"/>
    <xf numFmtId="0" fontId="14" fillId="0" borderId="0">
      <alignment vertical="top"/>
      <protection locked="0"/>
    </xf>
    <xf numFmtId="0" fontId="13" fillId="0" borderId="0">
      <alignment horizontal="right" vertical="top" wrapText="1"/>
    </xf>
    <xf numFmtId="0" fontId="13" fillId="0" borderId="1" applyFill="0" applyProtection="0">
      <alignment horizontal="center"/>
    </xf>
    <xf numFmtId="0" fontId="12" fillId="0" borderId="0"/>
    <xf numFmtId="0" fontId="8" fillId="0" borderId="0"/>
    <xf numFmtId="0" fontId="15" fillId="0" borderId="0"/>
    <xf numFmtId="164" fontId="15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8" fillId="0" borderId="0"/>
    <xf numFmtId="0" fontId="13" fillId="0" borderId="0">
      <alignment horizontal="center"/>
    </xf>
    <xf numFmtId="165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0" fontId="1" fillId="0" borderId="0"/>
    <xf numFmtId="0" fontId="1" fillId="0" borderId="0"/>
    <xf numFmtId="0" fontId="11" fillId="0" borderId="1" applyBorder="0" applyAlignment="0">
      <alignment horizontal="center" wrapText="1"/>
    </xf>
    <xf numFmtId="0" fontId="13" fillId="0" borderId="0">
      <alignment horizontal="left" vertical="top"/>
    </xf>
    <xf numFmtId="0" fontId="1" fillId="0" borderId="0"/>
    <xf numFmtId="0" fontId="11" fillId="0" borderId="0"/>
    <xf numFmtId="0" fontId="11" fillId="0" borderId="0"/>
    <xf numFmtId="0" fontId="15" fillId="0" borderId="0"/>
    <xf numFmtId="165" fontId="15" fillId="0" borderId="0" applyFont="0" applyFill="0" applyBorder="0" applyAlignment="0" applyProtection="0"/>
    <xf numFmtId="0" fontId="11" fillId="0" borderId="0"/>
    <xf numFmtId="0" fontId="11" fillId="0" borderId="0"/>
    <xf numFmtId="0" fontId="2" fillId="0" borderId="0"/>
    <xf numFmtId="0" fontId="3" fillId="0" borderId="0"/>
    <xf numFmtId="0" fontId="26" fillId="0" borderId="0"/>
    <xf numFmtId="164" fontId="3" fillId="0" borderId="0" applyFont="0" applyFill="0" applyBorder="0" applyAlignment="0" applyProtection="0"/>
  </cellStyleXfs>
  <cellXfs count="396">
    <xf numFmtId="0" fontId="0" fillId="0" borderId="0" xfId="0"/>
    <xf numFmtId="164" fontId="7" fillId="0" borderId="1" xfId="6" applyFont="1" applyFill="1" applyBorder="1" applyAlignment="1">
      <alignment horizontal="center" vertical="center"/>
    </xf>
    <xf numFmtId="4" fontId="9" fillId="0" borderId="1" xfId="3" applyNumberFormat="1" applyFont="1" applyFill="1" applyBorder="1" applyAlignment="1">
      <alignment horizontal="center" vertical="center"/>
    </xf>
    <xf numFmtId="4" fontId="4" fillId="0" borderId="0" xfId="0" applyNumberFormat="1" applyFont="1" applyFill="1"/>
    <xf numFmtId="0" fontId="4" fillId="0" borderId="0" xfId="0" applyFont="1" applyFill="1"/>
    <xf numFmtId="0" fontId="7" fillId="0" borderId="1" xfId="3" applyFont="1" applyFill="1" applyBorder="1" applyAlignment="1">
      <alignment horizontal="center" vertical="center"/>
    </xf>
    <xf numFmtId="0" fontId="9" fillId="0" borderId="1" xfId="3" applyFont="1" applyFill="1" applyBorder="1" applyAlignment="1">
      <alignment horizontal="center" vertical="center"/>
    </xf>
    <xf numFmtId="0" fontId="7" fillId="0" borderId="1" xfId="3" applyFont="1" applyFill="1" applyBorder="1" applyAlignment="1">
      <alignment horizontal="left" vertical="center" wrapText="1"/>
    </xf>
    <xf numFmtId="166" fontId="7" fillId="0" borderId="1" xfId="3" applyNumberFormat="1" applyFont="1" applyFill="1" applyBorder="1" applyAlignment="1">
      <alignment horizontal="center" vertical="center"/>
    </xf>
    <xf numFmtId="0" fontId="16" fillId="0" borderId="1" xfId="3" applyFont="1" applyFill="1" applyBorder="1" applyAlignment="1">
      <alignment horizontal="center" vertical="center"/>
    </xf>
    <xf numFmtId="4" fontId="7" fillId="0" borderId="1" xfId="3" applyNumberFormat="1" applyFont="1" applyFill="1" applyBorder="1" applyAlignment="1">
      <alignment horizontal="center" vertical="center"/>
    </xf>
    <xf numFmtId="4" fontId="4" fillId="0" borderId="1" xfId="3" applyNumberFormat="1" applyFont="1" applyFill="1" applyBorder="1" applyAlignment="1">
      <alignment horizontal="center" vertical="center"/>
    </xf>
    <xf numFmtId="4" fontId="9" fillId="2" borderId="7" xfId="0" applyNumberFormat="1" applyFont="1" applyFill="1" applyBorder="1" applyAlignment="1">
      <alignment horizontal="center" vertical="center"/>
    </xf>
    <xf numFmtId="4" fontId="9" fillId="2" borderId="10" xfId="0" applyNumberFormat="1" applyFont="1" applyFill="1" applyBorder="1" applyAlignment="1">
      <alignment horizontal="center" vertical="center"/>
    </xf>
    <xf numFmtId="0" fontId="9" fillId="5" borderId="1" xfId="3" applyFont="1" applyFill="1" applyBorder="1" applyAlignment="1">
      <alignment horizontal="center" vertical="center"/>
    </xf>
    <xf numFmtId="0" fontId="9" fillId="5" borderId="1" xfId="3" applyFont="1" applyFill="1" applyBorder="1" applyAlignment="1">
      <alignment horizontal="center" vertical="center" wrapText="1"/>
    </xf>
    <xf numFmtId="4" fontId="9" fillId="2" borderId="1" xfId="3" applyNumberFormat="1" applyFont="1" applyFill="1" applyBorder="1" applyAlignment="1">
      <alignment horizontal="center" vertical="center"/>
    </xf>
    <xf numFmtId="0" fontId="9" fillId="2" borderId="1" xfId="3" applyFont="1" applyFill="1" applyBorder="1"/>
    <xf numFmtId="164" fontId="9" fillId="2" borderId="1" xfId="3" applyNumberFormat="1" applyFont="1" applyFill="1" applyBorder="1"/>
    <xf numFmtId="4" fontId="9" fillId="0" borderId="0" xfId="0" applyNumberFormat="1" applyFont="1" applyFill="1"/>
    <xf numFmtId="0" fontId="4" fillId="0" borderId="0" xfId="0" applyFont="1" applyFill="1" applyAlignment="1">
      <alignment horizontal="center" vertical="center" wrapText="1"/>
    </xf>
    <xf numFmtId="168" fontId="7" fillId="0" borderId="1" xfId="6" applyNumberFormat="1" applyFont="1" applyFill="1" applyBorder="1" applyAlignment="1">
      <alignment horizontal="center" vertical="center"/>
    </xf>
    <xf numFmtId="168" fontId="7" fillId="0" borderId="1" xfId="3" applyNumberFormat="1" applyFont="1" applyFill="1" applyBorder="1" applyAlignment="1">
      <alignment horizontal="center" vertical="center"/>
    </xf>
    <xf numFmtId="3" fontId="7" fillId="0" borderId="1" xfId="3" applyNumberFormat="1" applyFont="1" applyFill="1" applyBorder="1" applyAlignment="1">
      <alignment horizontal="center" vertical="center"/>
    </xf>
    <xf numFmtId="0" fontId="4" fillId="6" borderId="1" xfId="0" applyFont="1" applyFill="1" applyBorder="1"/>
    <xf numFmtId="0" fontId="4" fillId="6" borderId="1" xfId="0" applyFont="1" applyFill="1" applyBorder="1" applyAlignment="1">
      <alignment horizontal="center" vertical="center" wrapText="1"/>
    </xf>
    <xf numFmtId="168" fontId="7" fillId="3" borderId="1" xfId="0" applyNumberFormat="1" applyFont="1" applyFill="1" applyBorder="1" applyAlignment="1">
      <alignment horizontal="center" vertical="center"/>
    </xf>
    <xf numFmtId="168" fontId="4" fillId="0" borderId="1" xfId="0" applyNumberFormat="1" applyFont="1" applyFill="1" applyBorder="1" applyAlignment="1">
      <alignment horizontal="center" vertical="center"/>
    </xf>
    <xf numFmtId="168" fontId="4" fillId="4" borderId="1" xfId="0" applyNumberFormat="1" applyFont="1" applyFill="1" applyBorder="1" applyAlignment="1">
      <alignment horizontal="center" vertical="center"/>
    </xf>
    <xf numFmtId="168" fontId="7" fillId="4" borderId="1" xfId="0" applyNumberFormat="1" applyFont="1" applyFill="1" applyBorder="1" applyAlignment="1">
      <alignment horizontal="center" vertical="center"/>
    </xf>
    <xf numFmtId="168" fontId="4" fillId="3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/>
    <xf numFmtId="4" fontId="4" fillId="3" borderId="1" xfId="0" applyNumberFormat="1" applyFont="1" applyFill="1" applyBorder="1"/>
    <xf numFmtId="0" fontId="4" fillId="0" borderId="0" xfId="0" applyFont="1" applyFill="1" applyAlignment="1">
      <alignment horizontal="right"/>
    </xf>
    <xf numFmtId="0" fontId="4" fillId="7" borderId="0" xfId="0" applyFont="1" applyFill="1" applyAlignment="1">
      <alignment horizontal="right"/>
    </xf>
    <xf numFmtId="4" fontId="9" fillId="3" borderId="0" xfId="0" applyNumberFormat="1" applyFont="1" applyFill="1"/>
    <xf numFmtId="4" fontId="9" fillId="4" borderId="0" xfId="0" applyNumberFormat="1" applyFont="1" applyFill="1"/>
    <xf numFmtId="4" fontId="9" fillId="7" borderId="0" xfId="0" applyNumberFormat="1" applyFont="1" applyFill="1"/>
    <xf numFmtId="3" fontId="4" fillId="8" borderId="1" xfId="0" applyNumberFormat="1" applyFont="1" applyFill="1" applyBorder="1"/>
    <xf numFmtId="0" fontId="4" fillId="8" borderId="0" xfId="0" applyFont="1" applyFill="1" applyAlignment="1">
      <alignment horizontal="right"/>
    </xf>
    <xf numFmtId="4" fontId="9" fillId="8" borderId="0" xfId="0" applyNumberFormat="1" applyFont="1" applyFill="1"/>
    <xf numFmtId="168" fontId="7" fillId="0" borderId="1" xfId="0" applyNumberFormat="1" applyFont="1" applyFill="1" applyBorder="1" applyAlignment="1">
      <alignment horizontal="center" vertical="center"/>
    </xf>
    <xf numFmtId="4" fontId="4" fillId="0" borderId="1" xfId="0" applyNumberFormat="1" applyFont="1" applyFill="1" applyBorder="1"/>
    <xf numFmtId="168" fontId="4" fillId="9" borderId="1" xfId="0" applyNumberFormat="1" applyFont="1" applyFill="1" applyBorder="1"/>
    <xf numFmtId="168" fontId="4" fillId="9" borderId="1" xfId="0" applyNumberFormat="1" applyFont="1" applyFill="1" applyBorder="1" applyAlignment="1">
      <alignment horizontal="center" vertical="center"/>
    </xf>
    <xf numFmtId="168" fontId="7" fillId="9" borderId="1" xfId="0" applyNumberFormat="1" applyFont="1" applyFill="1" applyBorder="1" applyAlignment="1">
      <alignment horizontal="center" vertical="center"/>
    </xf>
    <xf numFmtId="4" fontId="9" fillId="9" borderId="0" xfId="0" applyNumberFormat="1" applyFont="1" applyFill="1"/>
    <xf numFmtId="0" fontId="4" fillId="0" borderId="2" xfId="0" applyFont="1" applyFill="1" applyBorder="1" applyAlignment="1">
      <alignment horizontal="center" vertical="center" wrapText="1"/>
    </xf>
    <xf numFmtId="49" fontId="18" fillId="2" borderId="1" xfId="2" applyNumberFormat="1" applyFont="1" applyFill="1" applyBorder="1" applyAlignment="1">
      <alignment horizontal="center" vertical="center" wrapText="1"/>
    </xf>
    <xf numFmtId="49" fontId="21" fillId="2" borderId="1" xfId="2" applyNumberFormat="1" applyFont="1" applyFill="1" applyBorder="1" applyAlignment="1">
      <alignment horizontal="center" vertical="center" wrapText="1"/>
    </xf>
    <xf numFmtId="4" fontId="18" fillId="2" borderId="1" xfId="2" applyNumberFormat="1" applyFont="1" applyFill="1" applyBorder="1" applyAlignment="1">
      <alignment horizontal="center" vertical="center" wrapText="1"/>
    </xf>
    <xf numFmtId="0" fontId="20" fillId="0" borderId="0" xfId="2" applyFont="1"/>
    <xf numFmtId="49" fontId="17" fillId="0" borderId="1" xfId="2" applyNumberFormat="1" applyFont="1" applyBorder="1" applyAlignment="1">
      <alignment vertical="center"/>
    </xf>
    <xf numFmtId="0" fontId="17" fillId="0" borderId="0" xfId="2" applyFont="1"/>
    <xf numFmtId="49" fontId="20" fillId="0" borderId="1" xfId="2" applyNumberFormat="1" applyFont="1" applyBorder="1" applyAlignment="1">
      <alignment horizontal="left" vertical="top"/>
    </xf>
    <xf numFmtId="49" fontId="20" fillId="0" borderId="1" xfId="2" applyNumberFormat="1" applyFont="1" applyBorder="1" applyAlignment="1">
      <alignment vertical="top"/>
    </xf>
    <xf numFmtId="0" fontId="20" fillId="0" borderId="1" xfId="2" applyFont="1" applyBorder="1" applyAlignment="1">
      <alignment vertical="top"/>
    </xf>
    <xf numFmtId="4" fontId="20" fillId="0" borderId="1" xfId="2" applyNumberFormat="1" applyFont="1" applyBorder="1" applyAlignment="1">
      <alignment horizontal="right" vertical="top"/>
    </xf>
    <xf numFmtId="4" fontId="20" fillId="0" borderId="1" xfId="2" applyNumberFormat="1" applyFont="1" applyBorder="1"/>
    <xf numFmtId="49" fontId="20" fillId="0" borderId="1" xfId="2" applyNumberFormat="1" applyFont="1" applyBorder="1" applyAlignment="1">
      <alignment horizontal="center" vertical="top"/>
    </xf>
    <xf numFmtId="0" fontId="20" fillId="0" borderId="1" xfId="2" applyFont="1" applyBorder="1" applyAlignment="1">
      <alignment horizontal="center" vertical="top"/>
    </xf>
    <xf numFmtId="4" fontId="20" fillId="0" borderId="1" xfId="2" applyNumberFormat="1" applyFont="1" applyBorder="1" applyAlignment="1">
      <alignment vertical="top"/>
    </xf>
    <xf numFmtId="49" fontId="20" fillId="0" borderId="0" xfId="2" applyNumberFormat="1" applyFont="1"/>
    <xf numFmtId="0" fontId="17" fillId="0" borderId="1" xfId="2" applyFont="1" applyBorder="1"/>
    <xf numFmtId="4" fontId="17" fillId="0" borderId="1" xfId="2" applyNumberFormat="1" applyFont="1" applyBorder="1" applyAlignment="1">
      <alignment vertical="center"/>
    </xf>
    <xf numFmtId="4" fontId="17" fillId="0" borderId="1" xfId="2" applyNumberFormat="1" applyFont="1" applyBorder="1"/>
    <xf numFmtId="49" fontId="20" fillId="0" borderId="1" xfId="2" applyNumberFormat="1" applyFont="1" applyBorder="1"/>
    <xf numFmtId="49" fontId="17" fillId="0" borderId="1" xfId="2" applyNumberFormat="1" applyFont="1" applyBorder="1"/>
    <xf numFmtId="4" fontId="17" fillId="3" borderId="1" xfId="2" applyNumberFormat="1" applyFont="1" applyFill="1" applyBorder="1"/>
    <xf numFmtId="4" fontId="20" fillId="3" borderId="1" xfId="2" applyNumberFormat="1" applyFont="1" applyFill="1" applyBorder="1"/>
    <xf numFmtId="49" fontId="20" fillId="0" borderId="1" xfId="2" applyNumberFormat="1" applyFont="1" applyBorder="1" applyAlignment="1">
      <alignment vertical="center"/>
    </xf>
    <xf numFmtId="4" fontId="20" fillId="0" borderId="1" xfId="2" applyNumberFormat="1" applyFont="1" applyBorder="1" applyAlignment="1">
      <alignment vertical="center"/>
    </xf>
    <xf numFmtId="4" fontId="20" fillId="0" borderId="0" xfId="2" applyNumberFormat="1" applyFont="1"/>
    <xf numFmtId="0" fontId="20" fillId="0" borderId="0" xfId="2" applyFont="1" applyAlignment="1">
      <alignment vertical="top"/>
    </xf>
    <xf numFmtId="4" fontId="17" fillId="0" borderId="1" xfId="2" applyNumberFormat="1" applyFont="1" applyBorder="1" applyAlignment="1">
      <alignment horizontal="right"/>
    </xf>
    <xf numFmtId="4" fontId="22" fillId="0" borderId="1" xfId="2" applyNumberFormat="1" applyFont="1" applyBorder="1" applyAlignment="1">
      <alignment horizontal="right"/>
    </xf>
    <xf numFmtId="0" fontId="17" fillId="0" borderId="0" xfId="2" applyFont="1" applyAlignment="1">
      <alignment wrapText="1"/>
    </xf>
    <xf numFmtId="0" fontId="20" fillId="0" borderId="1" xfId="2" applyFont="1" applyBorder="1"/>
    <xf numFmtId="4" fontId="20" fillId="0" borderId="11" xfId="2" applyNumberFormat="1" applyFont="1" applyBorder="1"/>
    <xf numFmtId="49" fontId="20" fillId="0" borderId="11" xfId="2" applyNumberFormat="1" applyFont="1" applyBorder="1"/>
    <xf numFmtId="2" fontId="20" fillId="0" borderId="1" xfId="2" applyNumberFormat="1" applyFont="1" applyBorder="1"/>
    <xf numFmtId="4" fontId="20" fillId="0" borderId="2" xfId="2" applyNumberFormat="1" applyFont="1" applyBorder="1"/>
    <xf numFmtId="0" fontId="17" fillId="0" borderId="1" xfId="2" applyFont="1" applyBorder="1" applyAlignment="1">
      <alignment vertical="top"/>
    </xf>
    <xf numFmtId="2" fontId="17" fillId="0" borderId="1" xfId="2" applyNumberFormat="1" applyFont="1" applyBorder="1"/>
    <xf numFmtId="4" fontId="17" fillId="0" borderId="2" xfId="2" applyNumberFormat="1" applyFont="1" applyBorder="1"/>
    <xf numFmtId="4" fontId="20" fillId="0" borderId="1" xfId="2" applyNumberFormat="1" applyFont="1" applyBorder="1" applyAlignment="1">
      <alignment horizontal="right"/>
    </xf>
    <xf numFmtId="49" fontId="20" fillId="0" borderId="0" xfId="34" applyNumberFormat="1" applyFont="1" applyAlignment="1">
      <alignment vertical="center"/>
    </xf>
    <xf numFmtId="0" fontId="17" fillId="0" borderId="0" xfId="2" applyFont="1" applyFill="1" applyAlignment="1">
      <alignment wrapText="1"/>
    </xf>
    <xf numFmtId="0" fontId="20" fillId="0" borderId="0" xfId="2" applyFont="1" applyFill="1" applyAlignment="1">
      <alignment vertical="top"/>
    </xf>
    <xf numFmtId="49" fontId="20" fillId="0" borderId="0" xfId="2" applyNumberFormat="1" applyFont="1" applyFill="1" applyAlignment="1"/>
    <xf numFmtId="0" fontId="20" fillId="0" borderId="0" xfId="2" applyFont="1" applyFill="1" applyAlignment="1"/>
    <xf numFmtId="4" fontId="19" fillId="2" borderId="1" xfId="35" applyNumberFormat="1" applyFont="1" applyFill="1" applyBorder="1" applyAlignment="1">
      <alignment horizontal="center" vertical="center" wrapText="1"/>
    </xf>
    <xf numFmtId="4" fontId="4" fillId="0" borderId="0" xfId="0" applyNumberFormat="1" applyFont="1" applyFill="1" applyAlignment="1">
      <alignment horizontal="right" vertical="center"/>
    </xf>
    <xf numFmtId="4" fontId="9" fillId="3" borderId="0" xfId="0" applyNumberFormat="1" applyFont="1" applyFill="1" applyAlignment="1">
      <alignment horizontal="center" vertical="center"/>
    </xf>
    <xf numFmtId="49" fontId="19" fillId="2" borderId="1" xfId="34" applyNumberFormat="1" applyFont="1" applyFill="1" applyBorder="1" applyAlignment="1">
      <alignment horizontal="center" vertical="center" wrapText="1"/>
    </xf>
    <xf numFmtId="0" fontId="19" fillId="2" borderId="1" xfId="34" applyFont="1" applyFill="1" applyBorder="1" applyAlignment="1">
      <alignment horizontal="center" vertical="center" wrapText="1"/>
    </xf>
    <xf numFmtId="4" fontId="19" fillId="2" borderId="1" xfId="34" applyNumberFormat="1" applyFont="1" applyFill="1" applyBorder="1" applyAlignment="1">
      <alignment horizontal="center" vertical="center" wrapText="1"/>
    </xf>
    <xf numFmtId="0" fontId="17" fillId="0" borderId="1" xfId="2" applyFont="1" applyFill="1" applyBorder="1" applyAlignment="1">
      <alignment horizontal="right" vertical="top"/>
    </xf>
    <xf numFmtId="49" fontId="17" fillId="0" borderId="1" xfId="2" applyNumberFormat="1" applyFont="1" applyFill="1" applyBorder="1" applyAlignment="1">
      <alignment vertical="center"/>
    </xf>
    <xf numFmtId="4" fontId="20" fillId="0" borderId="1" xfId="2" applyNumberFormat="1" applyFont="1" applyFill="1" applyBorder="1" applyAlignment="1"/>
    <xf numFmtId="4" fontId="23" fillId="0" borderId="12" xfId="2" applyNumberFormat="1" applyFont="1" applyFill="1" applyBorder="1" applyAlignment="1">
      <alignment horizontal="right"/>
    </xf>
    <xf numFmtId="4" fontId="23" fillId="0" borderId="12" xfId="34" applyNumberFormat="1" applyFont="1" applyFill="1" applyBorder="1" applyAlignment="1">
      <alignment horizontal="right" vertical="center"/>
    </xf>
    <xf numFmtId="4" fontId="23" fillId="0" borderId="1" xfId="2" applyNumberFormat="1" applyFont="1" applyFill="1" applyBorder="1" applyAlignment="1">
      <alignment horizontal="right"/>
    </xf>
    <xf numFmtId="3" fontId="23" fillId="0" borderId="1" xfId="2" applyNumberFormat="1" applyFont="1" applyFill="1" applyBorder="1" applyAlignment="1">
      <alignment horizontal="right"/>
    </xf>
    <xf numFmtId="4" fontId="19" fillId="0" borderId="1" xfId="2" applyNumberFormat="1" applyFont="1" applyFill="1" applyBorder="1" applyAlignment="1">
      <alignment horizontal="right"/>
    </xf>
    <xf numFmtId="3" fontId="19" fillId="0" borderId="1" xfId="2" applyNumberFormat="1" applyFont="1" applyFill="1" applyBorder="1" applyAlignment="1">
      <alignment horizontal="right"/>
    </xf>
    <xf numFmtId="0" fontId="20" fillId="3" borderId="1" xfId="2" applyFont="1" applyFill="1" applyBorder="1" applyAlignment="1"/>
    <xf numFmtId="49" fontId="20" fillId="0" borderId="1" xfId="2" applyNumberFormat="1" applyFont="1" applyFill="1" applyBorder="1" applyAlignment="1">
      <alignment horizontal="center" vertical="top"/>
    </xf>
    <xf numFmtId="49" fontId="20" fillId="0" borderId="1" xfId="2" applyNumberFormat="1" applyFont="1" applyFill="1" applyBorder="1" applyAlignment="1">
      <alignment horizontal="left" vertical="top"/>
    </xf>
    <xf numFmtId="49" fontId="20" fillId="0" borderId="1" xfId="2" applyNumberFormat="1" applyFont="1" applyFill="1" applyBorder="1" applyAlignment="1">
      <alignment vertical="top"/>
    </xf>
    <xf numFmtId="0" fontId="20" fillId="0" borderId="1" xfId="2" applyFont="1" applyFill="1" applyBorder="1" applyAlignment="1">
      <alignment horizontal="center" vertical="top"/>
    </xf>
    <xf numFmtId="0" fontId="20" fillId="0" borderId="1" xfId="2" applyFont="1" applyFill="1" applyBorder="1" applyAlignment="1">
      <alignment horizontal="right" vertical="top"/>
    </xf>
    <xf numFmtId="0" fontId="20" fillId="0" borderId="1" xfId="2" applyFont="1" applyFill="1" applyBorder="1" applyAlignment="1">
      <alignment horizontal="left" vertical="top"/>
    </xf>
    <xf numFmtId="0" fontId="17" fillId="0" borderId="1" xfId="2" applyFont="1" applyFill="1" applyBorder="1" applyAlignment="1"/>
    <xf numFmtId="0" fontId="17" fillId="3" borderId="1" xfId="2" applyFont="1" applyFill="1" applyBorder="1" applyAlignment="1"/>
    <xf numFmtId="0" fontId="17" fillId="0" borderId="0" xfId="2" applyFont="1" applyFill="1" applyAlignment="1"/>
    <xf numFmtId="4" fontId="17" fillId="0" borderId="1" xfId="2" applyNumberFormat="1" applyFont="1" applyFill="1" applyBorder="1" applyAlignment="1"/>
    <xf numFmtId="0" fontId="19" fillId="3" borderId="1" xfId="34" applyFont="1" applyFill="1" applyBorder="1" applyAlignment="1">
      <alignment horizontal="center" vertical="center" wrapText="1"/>
    </xf>
    <xf numFmtId="49" fontId="17" fillId="0" borderId="0" xfId="2" applyNumberFormat="1" applyFont="1" applyFill="1" applyAlignment="1"/>
    <xf numFmtId="49" fontId="22" fillId="0" borderId="1" xfId="2" applyNumberFormat="1" applyFont="1" applyFill="1" applyBorder="1" applyAlignment="1">
      <alignment vertical="center"/>
    </xf>
    <xf numFmtId="0" fontId="22" fillId="0" borderId="1" xfId="2" applyFont="1" applyFill="1" applyBorder="1" applyAlignment="1">
      <alignment horizontal="right" vertical="top"/>
    </xf>
    <xf numFmtId="4" fontId="22" fillId="0" borderId="1" xfId="2" applyNumberFormat="1" applyFont="1" applyFill="1" applyBorder="1" applyAlignment="1"/>
    <xf numFmtId="0" fontId="22" fillId="3" borderId="1" xfId="2" applyFont="1" applyFill="1" applyBorder="1" applyAlignment="1"/>
    <xf numFmtId="0" fontId="22" fillId="0" borderId="0" xfId="2" applyFont="1" applyFill="1" applyAlignment="1"/>
    <xf numFmtId="49" fontId="24" fillId="0" borderId="1" xfId="2" applyNumberFormat="1" applyFont="1" applyFill="1" applyBorder="1" applyAlignment="1">
      <alignment horizontal="center" vertical="top"/>
    </xf>
    <xf numFmtId="49" fontId="24" fillId="0" borderId="1" xfId="2" applyNumberFormat="1" applyFont="1" applyFill="1" applyBorder="1" applyAlignment="1">
      <alignment horizontal="left" vertical="top"/>
    </xf>
    <xf numFmtId="49" fontId="24" fillId="0" borderId="1" xfId="2" applyNumberFormat="1" applyFont="1" applyFill="1" applyBorder="1" applyAlignment="1">
      <alignment vertical="top"/>
    </xf>
    <xf numFmtId="0" fontId="24" fillId="0" borderId="1" xfId="2" applyFont="1" applyFill="1" applyBorder="1" applyAlignment="1">
      <alignment horizontal="center" vertical="top"/>
    </xf>
    <xf numFmtId="0" fontId="24" fillId="0" borderId="1" xfId="2" applyFont="1" applyFill="1" applyBorder="1" applyAlignment="1">
      <alignment horizontal="right" vertical="top"/>
    </xf>
    <xf numFmtId="4" fontId="24" fillId="0" borderId="1" xfId="2" applyNumberFormat="1" applyFont="1" applyFill="1" applyBorder="1" applyAlignment="1"/>
    <xf numFmtId="0" fontId="24" fillId="3" borderId="1" xfId="2" applyFont="1" applyFill="1" applyBorder="1" applyAlignment="1"/>
    <xf numFmtId="0" fontId="24" fillId="0" borderId="0" xfId="2" applyFont="1" applyFill="1" applyAlignment="1"/>
    <xf numFmtId="4" fontId="23" fillId="0" borderId="1" xfId="34" applyNumberFormat="1" applyFont="1" applyFill="1" applyBorder="1" applyAlignment="1">
      <alignment horizontal="right" vertical="center"/>
    </xf>
    <xf numFmtId="4" fontId="19" fillId="3" borderId="1" xfId="2" applyNumberFormat="1" applyFont="1" applyFill="1" applyBorder="1" applyAlignment="1">
      <alignment horizontal="right"/>
    </xf>
    <xf numFmtId="49" fontId="20" fillId="0" borderId="1" xfId="34" applyNumberFormat="1" applyFont="1" applyFill="1" applyBorder="1" applyAlignment="1">
      <alignment horizontal="center" vertical="center"/>
    </xf>
    <xf numFmtId="4" fontId="4" fillId="3" borderId="2" xfId="0" applyNumberFormat="1" applyFont="1" applyFill="1" applyBorder="1" applyAlignment="1">
      <alignment horizontal="right" vertical="center"/>
    </xf>
    <xf numFmtId="4" fontId="4" fillId="0" borderId="2" xfId="0" applyNumberFormat="1" applyFont="1" applyFill="1" applyBorder="1" applyAlignment="1">
      <alignment horizontal="right" vertical="center"/>
    </xf>
    <xf numFmtId="4" fontId="4" fillId="2" borderId="2" xfId="0" applyNumberFormat="1" applyFont="1" applyFill="1" applyBorder="1" applyAlignment="1">
      <alignment horizontal="right" vertical="center"/>
    </xf>
    <xf numFmtId="4" fontId="6" fillId="3" borderId="2" xfId="0" applyNumberFormat="1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14" fontId="4" fillId="0" borderId="1" xfId="0" applyNumberFormat="1" applyFont="1" applyFill="1" applyBorder="1"/>
    <xf numFmtId="14" fontId="4" fillId="0" borderId="1" xfId="0" applyNumberFormat="1" applyFont="1" applyFill="1" applyBorder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20" fillId="0" borderId="1" xfId="34" applyFont="1" applyFill="1" applyBorder="1" applyAlignment="1">
      <alignment horizontal="center" vertical="center"/>
    </xf>
    <xf numFmtId="0" fontId="7" fillId="3" borderId="1" xfId="3" applyFont="1" applyFill="1" applyBorder="1" applyAlignment="1">
      <alignment horizontal="center" vertical="center"/>
    </xf>
    <xf numFmtId="0" fontId="16" fillId="3" borderId="1" xfId="3" applyFont="1" applyFill="1" applyBorder="1" applyAlignment="1">
      <alignment horizontal="center" vertical="center"/>
    </xf>
    <xf numFmtId="0" fontId="7" fillId="3" borderId="1" xfId="3" applyFont="1" applyFill="1" applyBorder="1" applyAlignment="1">
      <alignment horizontal="left" vertical="center" wrapText="1"/>
    </xf>
    <xf numFmtId="164" fontId="7" fillId="3" borderId="1" xfId="6" applyFont="1" applyFill="1" applyBorder="1" applyAlignment="1">
      <alignment horizontal="center" vertical="center"/>
    </xf>
    <xf numFmtId="166" fontId="7" fillId="3" borderId="1" xfId="3" applyNumberFormat="1" applyFont="1" applyFill="1" applyBorder="1" applyAlignment="1">
      <alignment horizontal="center" vertical="center"/>
    </xf>
    <xf numFmtId="4" fontId="7" fillId="3" borderId="1" xfId="3" applyNumberFormat="1" applyFont="1" applyFill="1" applyBorder="1" applyAlignment="1">
      <alignment horizontal="center" vertical="center"/>
    </xf>
    <xf numFmtId="3" fontId="7" fillId="3" borderId="1" xfId="3" applyNumberFormat="1" applyFont="1" applyFill="1" applyBorder="1" applyAlignment="1">
      <alignment horizontal="center" vertical="center"/>
    </xf>
    <xf numFmtId="0" fontId="4" fillId="3" borderId="1" xfId="0" applyFont="1" applyFill="1" applyBorder="1"/>
    <xf numFmtId="0" fontId="4" fillId="3" borderId="2" xfId="0" applyFont="1" applyFill="1" applyBorder="1" applyAlignment="1">
      <alignment horizontal="center" vertical="center" wrapText="1"/>
    </xf>
    <xf numFmtId="14" fontId="4" fillId="3" borderId="1" xfId="0" applyNumberFormat="1" applyFont="1" applyFill="1" applyBorder="1"/>
    <xf numFmtId="0" fontId="25" fillId="0" borderId="1" xfId="0" applyFont="1" applyFill="1" applyBorder="1" applyAlignment="1">
      <alignment horizontal="center" vertical="center" wrapText="1" shrinkToFit="1"/>
    </xf>
    <xf numFmtId="0" fontId="20" fillId="0" borderId="0" xfId="34" applyFont="1" applyAlignment="1">
      <alignment vertical="center"/>
    </xf>
    <xf numFmtId="0" fontId="17" fillId="0" borderId="0" xfId="34" applyFont="1" applyAlignment="1">
      <alignment vertical="center" wrapText="1"/>
    </xf>
    <xf numFmtId="0" fontId="20" fillId="0" borderId="0" xfId="34" applyFont="1" applyFill="1" applyAlignment="1">
      <alignment vertical="center"/>
    </xf>
    <xf numFmtId="49" fontId="20" fillId="0" borderId="1" xfId="34" applyNumberFormat="1" applyFont="1" applyFill="1" applyBorder="1" applyAlignment="1">
      <alignment vertical="center"/>
    </xf>
    <xf numFmtId="49" fontId="20" fillId="0" borderId="1" xfId="34" applyNumberFormat="1" applyFont="1" applyFill="1" applyBorder="1" applyAlignment="1">
      <alignment horizontal="left" vertical="center"/>
    </xf>
    <xf numFmtId="0" fontId="20" fillId="0" borderId="1" xfId="34" applyFont="1" applyFill="1" applyBorder="1" applyAlignment="1">
      <alignment horizontal="right" vertical="center"/>
    </xf>
    <xf numFmtId="4" fontId="20" fillId="0" borderId="1" xfId="34" applyNumberFormat="1" applyFont="1" applyFill="1" applyBorder="1" applyAlignment="1">
      <alignment vertical="center"/>
    </xf>
    <xf numFmtId="49" fontId="17" fillId="0" borderId="1" xfId="34" applyNumberFormat="1" applyFont="1" applyFill="1" applyBorder="1" applyAlignment="1">
      <alignment vertical="center"/>
    </xf>
    <xf numFmtId="0" fontId="17" fillId="0" borderId="1" xfId="34" applyFont="1" applyFill="1" applyBorder="1" applyAlignment="1">
      <alignment vertical="center"/>
    </xf>
    <xf numFmtId="0" fontId="17" fillId="0" borderId="0" xfId="34" applyFont="1" applyFill="1" applyAlignment="1">
      <alignment vertical="center"/>
    </xf>
    <xf numFmtId="4" fontId="17" fillId="0" borderId="1" xfId="34" applyNumberFormat="1" applyFont="1" applyFill="1" applyBorder="1" applyAlignment="1">
      <alignment vertical="center"/>
    </xf>
    <xf numFmtId="0" fontId="20" fillId="3" borderId="1" xfId="34" applyFont="1" applyFill="1" applyBorder="1" applyAlignment="1">
      <alignment vertical="center"/>
    </xf>
    <xf numFmtId="0" fontId="17" fillId="0" borderId="0" xfId="2" applyFont="1" applyFill="1" applyAlignment="1">
      <alignment horizontal="center" wrapText="1"/>
    </xf>
    <xf numFmtId="0" fontId="17" fillId="0" borderId="0" xfId="2" applyFont="1" applyFill="1" applyAlignment="1">
      <alignment horizontal="center"/>
    </xf>
    <xf numFmtId="0" fontId="20" fillId="0" borderId="0" xfId="2" applyFont="1" applyFill="1" applyAlignment="1">
      <alignment horizontal="center"/>
    </xf>
    <xf numFmtId="0" fontId="22" fillId="0" borderId="0" xfId="2" applyFont="1" applyFill="1" applyAlignment="1">
      <alignment horizontal="center"/>
    </xf>
    <xf numFmtId="0" fontId="24" fillId="0" borderId="0" xfId="2" applyFont="1" applyFill="1" applyAlignment="1">
      <alignment horizontal="center"/>
    </xf>
    <xf numFmtId="0" fontId="23" fillId="3" borderId="1" xfId="2" applyFont="1" applyFill="1" applyBorder="1" applyAlignment="1"/>
    <xf numFmtId="4" fontId="19" fillId="3" borderId="1" xfId="34" applyNumberFormat="1" applyFont="1" applyFill="1" applyBorder="1" applyAlignment="1">
      <alignment horizontal="center" vertical="center" wrapText="1"/>
    </xf>
    <xf numFmtId="4" fontId="17" fillId="3" borderId="1" xfId="2" applyNumberFormat="1" applyFont="1" applyFill="1" applyBorder="1" applyAlignment="1"/>
    <xf numFmtId="4" fontId="20" fillId="3" borderId="1" xfId="2" applyNumberFormat="1" applyFont="1" applyFill="1" applyBorder="1" applyAlignment="1"/>
    <xf numFmtId="4" fontId="22" fillId="3" borderId="1" xfId="2" applyNumberFormat="1" applyFont="1" applyFill="1" applyBorder="1" applyAlignment="1"/>
    <xf numFmtId="4" fontId="24" fillId="3" borderId="1" xfId="2" applyNumberFormat="1" applyFont="1" applyFill="1" applyBorder="1" applyAlignment="1"/>
    <xf numFmtId="4" fontId="20" fillId="0" borderId="0" xfId="2" applyNumberFormat="1" applyFont="1" applyFill="1" applyAlignment="1"/>
    <xf numFmtId="2" fontId="20" fillId="3" borderId="1" xfId="2" applyNumberFormat="1" applyFont="1" applyFill="1" applyBorder="1"/>
    <xf numFmtId="4" fontId="20" fillId="0" borderId="1" xfId="2" applyNumberFormat="1" applyFont="1" applyFill="1" applyBorder="1"/>
    <xf numFmtId="2" fontId="20" fillId="0" borderId="1" xfId="2" applyNumberFormat="1" applyFont="1" applyFill="1" applyBorder="1"/>
    <xf numFmtId="4" fontId="20" fillId="0" borderId="2" xfId="2" applyNumberFormat="1" applyFont="1" applyFill="1" applyBorder="1"/>
    <xf numFmtId="4" fontId="20" fillId="3" borderId="2" xfId="2" applyNumberFormat="1" applyFont="1" applyFill="1" applyBorder="1"/>
    <xf numFmtId="2" fontId="17" fillId="3" borderId="1" xfId="2" applyNumberFormat="1" applyFont="1" applyFill="1" applyBorder="1"/>
    <xf numFmtId="4" fontId="24" fillId="3" borderId="1" xfId="2" applyNumberFormat="1" applyFont="1" applyFill="1" applyBorder="1"/>
    <xf numFmtId="4" fontId="20" fillId="3" borderId="1" xfId="2" applyNumberFormat="1" applyFont="1" applyFill="1" applyBorder="1" applyAlignment="1">
      <alignment horizontal="right"/>
    </xf>
    <xf numFmtId="4" fontId="9" fillId="3" borderId="1" xfId="0" applyNumberFormat="1" applyFont="1" applyFill="1" applyBorder="1"/>
    <xf numFmtId="4" fontId="20" fillId="3" borderId="1" xfId="34" applyNumberFormat="1" applyFont="1" applyFill="1" applyBorder="1" applyAlignment="1">
      <alignment vertical="center"/>
    </xf>
    <xf numFmtId="4" fontId="20" fillId="0" borderId="0" xfId="34" applyNumberFormat="1" applyFont="1" applyAlignment="1">
      <alignment vertical="center"/>
    </xf>
    <xf numFmtId="0" fontId="4" fillId="0" borderId="1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14" fontId="9" fillId="2" borderId="1" xfId="0" applyNumberFormat="1" applyFont="1" applyFill="1" applyBorder="1" applyAlignment="1">
      <alignment horizontal="center" vertical="center"/>
    </xf>
    <xf numFmtId="49" fontId="20" fillId="0" borderId="0" xfId="36" applyNumberFormat="1" applyFont="1"/>
    <xf numFmtId="0" fontId="3" fillId="0" borderId="0" xfId="36" applyFont="1"/>
    <xf numFmtId="49" fontId="20" fillId="0" borderId="0" xfId="36" applyNumberFormat="1" applyFont="1" applyAlignment="1">
      <alignment horizontal="right"/>
    </xf>
    <xf numFmtId="49" fontId="20" fillId="0" borderId="0" xfId="36" applyNumberFormat="1" applyFont="1" applyAlignment="1">
      <alignment vertical="top"/>
    </xf>
    <xf numFmtId="0" fontId="20" fillId="0" borderId="0" xfId="36" applyFont="1" applyAlignment="1">
      <alignment wrapText="1"/>
    </xf>
    <xf numFmtId="49" fontId="20" fillId="0" borderId="14" xfId="36" applyNumberFormat="1" applyFont="1" applyBorder="1"/>
    <xf numFmtId="49" fontId="27" fillId="0" borderId="14" xfId="36" applyNumberFormat="1" applyFont="1" applyBorder="1" applyAlignment="1">
      <alignment horizontal="center"/>
    </xf>
    <xf numFmtId="49" fontId="20" fillId="0" borderId="1" xfId="36" applyNumberFormat="1" applyFont="1" applyBorder="1" applyAlignment="1">
      <alignment horizontal="center"/>
    </xf>
    <xf numFmtId="49" fontId="23" fillId="0" borderId="0" xfId="36" applyNumberFormat="1" applyFont="1"/>
    <xf numFmtId="49" fontId="23" fillId="0" borderId="0" xfId="36" applyNumberFormat="1" applyFont="1" applyAlignment="1">
      <alignment horizontal="right"/>
    </xf>
    <xf numFmtId="49" fontId="20" fillId="0" borderId="0" xfId="36" applyNumberFormat="1" applyFont="1" applyAlignment="1">
      <alignment horizontal="center"/>
    </xf>
    <xf numFmtId="49" fontId="20" fillId="0" borderId="1" xfId="36" applyNumberFormat="1" applyFont="1" applyBorder="1" applyAlignment="1">
      <alignment horizontal="center" vertical="center"/>
    </xf>
    <xf numFmtId="49" fontId="28" fillId="0" borderId="0" xfId="36" applyNumberFormat="1" applyFont="1" applyAlignment="1">
      <alignment horizontal="center"/>
    </xf>
    <xf numFmtId="14" fontId="20" fillId="0" borderId="1" xfId="36" applyNumberFormat="1" applyFont="1" applyBorder="1" applyAlignment="1">
      <alignment horizontal="center"/>
    </xf>
    <xf numFmtId="0" fontId="23" fillId="0" borderId="0" xfId="36" applyFont="1"/>
    <xf numFmtId="4" fontId="23" fillId="0" borderId="18" xfId="36" applyNumberFormat="1" applyFont="1" applyBorder="1"/>
    <xf numFmtId="49" fontId="20" fillId="0" borderId="18" xfId="36" applyNumberFormat="1" applyFont="1" applyBorder="1" applyAlignment="1">
      <alignment horizontal="right"/>
    </xf>
    <xf numFmtId="0" fontId="23" fillId="0" borderId="0" xfId="36" applyFont="1" applyAlignment="1">
      <alignment horizontal="left" vertical="top"/>
    </xf>
    <xf numFmtId="0" fontId="23" fillId="0" borderId="0" xfId="36" applyFont="1" applyAlignment="1">
      <alignment horizontal="right"/>
    </xf>
    <xf numFmtId="0" fontId="20" fillId="0" borderId="0" xfId="36" applyFont="1" applyAlignment="1">
      <alignment horizontal="center"/>
    </xf>
    <xf numFmtId="0" fontId="26" fillId="0" borderId="0" xfId="36"/>
    <xf numFmtId="0" fontId="23" fillId="0" borderId="18" xfId="36" applyFont="1" applyBorder="1"/>
    <xf numFmtId="49" fontId="23" fillId="0" borderId="18" xfId="36" applyNumberFormat="1" applyFont="1" applyBorder="1" applyAlignment="1">
      <alignment horizontal="right"/>
    </xf>
    <xf numFmtId="0" fontId="23" fillId="0" borderId="3" xfId="36" applyFont="1" applyBorder="1"/>
    <xf numFmtId="4" fontId="23" fillId="0" borderId="3" xfId="36" applyNumberFormat="1" applyFont="1" applyBorder="1" applyAlignment="1">
      <alignment horizontal="right"/>
    </xf>
    <xf numFmtId="0" fontId="23" fillId="0" borderId="0" xfId="36" applyFont="1" applyAlignment="1">
      <alignment horizontal="left"/>
    </xf>
    <xf numFmtId="49" fontId="20" fillId="0" borderId="0" xfId="36" applyNumberFormat="1" applyFont="1" applyAlignment="1">
      <alignment vertical="center"/>
    </xf>
    <xf numFmtId="49" fontId="20" fillId="0" borderId="11" xfId="36" applyNumberFormat="1" applyFont="1" applyBorder="1" applyAlignment="1">
      <alignment horizontal="center" vertical="center" wrapText="1"/>
    </xf>
    <xf numFmtId="49" fontId="20" fillId="0" borderId="1" xfId="36" applyNumberFormat="1" applyFont="1" applyBorder="1" applyAlignment="1">
      <alignment horizontal="center" vertical="center" wrapText="1"/>
    </xf>
    <xf numFmtId="0" fontId="17" fillId="0" borderId="0" xfId="36" applyFont="1" applyAlignment="1">
      <alignment wrapText="1"/>
    </xf>
    <xf numFmtId="49" fontId="17" fillId="0" borderId="13" xfId="36" applyNumberFormat="1" applyFont="1" applyBorder="1" applyAlignment="1">
      <alignment horizontal="center" vertical="top" wrapText="1"/>
    </xf>
    <xf numFmtId="49" fontId="17" fillId="0" borderId="14" xfId="36" applyNumberFormat="1" applyFont="1" applyBorder="1" applyAlignment="1">
      <alignment horizontal="center" vertical="top" wrapText="1"/>
    </xf>
    <xf numFmtId="49" fontId="17" fillId="0" borderId="14" xfId="36" applyNumberFormat="1" applyFont="1" applyBorder="1" applyAlignment="1">
      <alignment horizontal="left" vertical="top" wrapText="1"/>
    </xf>
    <xf numFmtId="49" fontId="17" fillId="0" borderId="14" xfId="36" applyNumberFormat="1" applyFont="1" applyBorder="1" applyAlignment="1">
      <alignment horizontal="right" vertical="top" wrapText="1"/>
    </xf>
    <xf numFmtId="49" fontId="17" fillId="0" borderId="15" xfId="36" applyNumberFormat="1" applyFont="1" applyBorder="1" applyAlignment="1">
      <alignment horizontal="right" vertical="top" wrapText="1"/>
    </xf>
    <xf numFmtId="49" fontId="20" fillId="0" borderId="16" xfId="36" applyNumberFormat="1" applyFont="1" applyBorder="1"/>
    <xf numFmtId="49" fontId="20" fillId="0" borderId="0" xfId="36" applyNumberFormat="1" applyFont="1" applyAlignment="1">
      <alignment horizontal="center" vertical="center" wrapText="1"/>
    </xf>
    <xf numFmtId="49" fontId="20" fillId="0" borderId="0" xfId="36" applyNumberFormat="1" applyFont="1" applyAlignment="1">
      <alignment horizontal="right" vertical="top" wrapText="1"/>
    </xf>
    <xf numFmtId="49" fontId="20" fillId="0" borderId="0" xfId="36" applyNumberFormat="1" applyFont="1" applyAlignment="1">
      <alignment horizontal="center" vertical="top" wrapText="1"/>
    </xf>
    <xf numFmtId="0" fontId="20" fillId="0" borderId="0" xfId="36" applyFont="1" applyAlignment="1">
      <alignment horizontal="center" vertical="top" wrapText="1"/>
    </xf>
    <xf numFmtId="2" fontId="20" fillId="0" borderId="0" xfId="36" applyNumberFormat="1" applyFont="1" applyAlignment="1">
      <alignment horizontal="right" vertical="top" wrapText="1"/>
    </xf>
    <xf numFmtId="4" fontId="20" fillId="0" borderId="0" xfId="36" applyNumberFormat="1" applyFont="1" applyAlignment="1">
      <alignment horizontal="right" vertical="top" wrapText="1"/>
    </xf>
    <xf numFmtId="2" fontId="20" fillId="0" borderId="0" xfId="36" applyNumberFormat="1" applyFont="1" applyAlignment="1">
      <alignment horizontal="center" vertical="top" wrapText="1"/>
    </xf>
    <xf numFmtId="4" fontId="20" fillId="0" borderId="17" xfId="36" applyNumberFormat="1" applyFont="1" applyBorder="1" applyAlignment="1">
      <alignment horizontal="right" vertical="top" wrapText="1"/>
    </xf>
    <xf numFmtId="0" fontId="20" fillId="0" borderId="0" xfId="36" applyFont="1" applyAlignment="1">
      <alignment horizontal="right" vertical="top" wrapText="1"/>
    </xf>
    <xf numFmtId="0" fontId="20" fillId="0" borderId="17" xfId="36" applyFont="1" applyBorder="1" applyAlignment="1">
      <alignment horizontal="right" vertical="top" wrapText="1"/>
    </xf>
    <xf numFmtId="49" fontId="20" fillId="0" borderId="16" xfId="36" applyNumberFormat="1" applyFont="1" applyBorder="1" applyAlignment="1">
      <alignment horizontal="center" vertical="top"/>
    </xf>
    <xf numFmtId="49" fontId="20" fillId="0" borderId="14" xfId="36" applyNumberFormat="1" applyFont="1" applyBorder="1" applyAlignment="1">
      <alignment horizontal="center" vertical="top" wrapText="1"/>
    </xf>
    <xf numFmtId="0" fontId="20" fillId="0" borderId="14" xfId="36" applyFont="1" applyBorder="1" applyAlignment="1">
      <alignment horizontal="center" vertical="top" wrapText="1"/>
    </xf>
    <xf numFmtId="2" fontId="20" fillId="0" borderId="14" xfId="36" applyNumberFormat="1" applyFont="1" applyBorder="1" applyAlignment="1">
      <alignment horizontal="right" vertical="top" wrapText="1"/>
    </xf>
    <xf numFmtId="4" fontId="20" fillId="0" borderId="14" xfId="36" applyNumberFormat="1" applyFont="1" applyBorder="1" applyAlignment="1">
      <alignment horizontal="right" vertical="top" wrapText="1"/>
    </xf>
    <xf numFmtId="4" fontId="20" fillId="0" borderId="15" xfId="36" applyNumberFormat="1" applyFont="1" applyBorder="1" applyAlignment="1">
      <alignment horizontal="right" vertical="top" wrapText="1"/>
    </xf>
    <xf numFmtId="1" fontId="20" fillId="0" borderId="0" xfId="36" applyNumberFormat="1" applyFont="1" applyAlignment="1">
      <alignment horizontal="center" vertical="top" wrapText="1"/>
    </xf>
    <xf numFmtId="49" fontId="17" fillId="0" borderId="0" xfId="36" applyNumberFormat="1" applyFont="1" applyAlignment="1">
      <alignment horizontal="center" vertical="top" wrapText="1"/>
    </xf>
    <xf numFmtId="49" fontId="17" fillId="0" borderId="0" xfId="36" applyNumberFormat="1" applyFont="1" applyAlignment="1">
      <alignment horizontal="left" vertical="top" wrapText="1"/>
    </xf>
    <xf numFmtId="0" fontId="17" fillId="0" borderId="14" xfId="36" applyFont="1" applyBorder="1" applyAlignment="1">
      <alignment horizontal="center" vertical="top" wrapText="1"/>
    </xf>
    <xf numFmtId="0" fontId="17" fillId="0" borderId="14" xfId="36" applyFont="1" applyBorder="1" applyAlignment="1">
      <alignment horizontal="right" vertical="top" wrapText="1"/>
    </xf>
    <xf numFmtId="4" fontId="17" fillId="0" borderId="14" xfId="36" applyNumberFormat="1" applyFont="1" applyBorder="1" applyAlignment="1">
      <alignment horizontal="right" vertical="top" wrapText="1"/>
    </xf>
    <xf numFmtId="4" fontId="17" fillId="0" borderId="15" xfId="36" applyNumberFormat="1" applyFont="1" applyBorder="1" applyAlignment="1">
      <alignment horizontal="right" vertical="top" wrapText="1"/>
    </xf>
    <xf numFmtId="2" fontId="17" fillId="0" borderId="14" xfId="36" applyNumberFormat="1" applyFont="1" applyBorder="1" applyAlignment="1">
      <alignment horizontal="right" vertical="top" wrapText="1"/>
    </xf>
    <xf numFmtId="49" fontId="17" fillId="0" borderId="16" xfId="36" applyNumberFormat="1" applyFont="1" applyBorder="1" applyAlignment="1">
      <alignment horizontal="center" vertical="top"/>
    </xf>
    <xf numFmtId="49" fontId="20" fillId="0" borderId="13" xfId="36" applyNumberFormat="1" applyFont="1" applyBorder="1"/>
    <xf numFmtId="0" fontId="17" fillId="0" borderId="14" xfId="36" applyFont="1" applyBorder="1" applyAlignment="1">
      <alignment horizontal="right" vertical="top"/>
    </xf>
    <xf numFmtId="0" fontId="17" fillId="0" borderId="14" xfId="36" applyFont="1" applyBorder="1" applyAlignment="1">
      <alignment horizontal="center" vertical="top"/>
    </xf>
    <xf numFmtId="0" fontId="17" fillId="0" borderId="15" xfId="36" applyFont="1" applyBorder="1" applyAlignment="1">
      <alignment horizontal="right" vertical="top"/>
    </xf>
    <xf numFmtId="0" fontId="17" fillId="0" borderId="0" xfId="36" applyFont="1" applyAlignment="1">
      <alignment horizontal="right" vertical="top"/>
    </xf>
    <xf numFmtId="4" fontId="20" fillId="0" borderId="0" xfId="36" applyNumberFormat="1" applyFont="1" applyAlignment="1">
      <alignment horizontal="right" vertical="top"/>
    </xf>
    <xf numFmtId="0" fontId="20" fillId="0" borderId="0" xfId="36" applyFont="1" applyAlignment="1">
      <alignment horizontal="center" vertical="top"/>
    </xf>
    <xf numFmtId="0" fontId="20" fillId="0" borderId="17" xfId="36" applyFont="1" applyBorder="1" applyAlignment="1">
      <alignment horizontal="right" vertical="top"/>
    </xf>
    <xf numFmtId="0" fontId="20" fillId="0" borderId="0" xfId="36" applyFont="1" applyAlignment="1">
      <alignment horizontal="right" vertical="top"/>
    </xf>
    <xf numFmtId="2" fontId="20" fillId="0" borderId="0" xfId="36" applyNumberFormat="1" applyFont="1" applyAlignment="1">
      <alignment horizontal="right" vertical="top"/>
    </xf>
    <xf numFmtId="49" fontId="17" fillId="0" borderId="0" xfId="36" applyNumberFormat="1" applyFont="1" applyAlignment="1">
      <alignment horizontal="right" vertical="top" wrapText="1"/>
    </xf>
    <xf numFmtId="4" fontId="17" fillId="0" borderId="0" xfId="36" applyNumberFormat="1" applyFont="1" applyAlignment="1">
      <alignment horizontal="right" vertical="top"/>
    </xf>
    <xf numFmtId="0" fontId="17" fillId="0" borderId="0" xfId="36" applyFont="1" applyAlignment="1">
      <alignment horizontal="center" vertical="top"/>
    </xf>
    <xf numFmtId="0" fontId="17" fillId="0" borderId="17" xfId="36" applyFont="1" applyBorder="1" applyAlignment="1">
      <alignment horizontal="right" vertical="top"/>
    </xf>
    <xf numFmtId="0" fontId="29" fillId="0" borderId="0" xfId="36" applyFont="1" applyAlignment="1">
      <alignment horizontal="right" vertical="top"/>
    </xf>
    <xf numFmtId="49" fontId="20" fillId="0" borderId="0" xfId="36" applyNumberFormat="1" applyFont="1" applyAlignment="1">
      <alignment vertical="center" wrapText="1"/>
    </xf>
    <xf numFmtId="169" fontId="20" fillId="0" borderId="0" xfId="36" applyNumberFormat="1" applyFont="1" applyAlignment="1">
      <alignment horizontal="center" vertical="top" wrapText="1"/>
    </xf>
    <xf numFmtId="2" fontId="20" fillId="0" borderId="17" xfId="36" applyNumberFormat="1" applyFont="1" applyBorder="1" applyAlignment="1">
      <alignment horizontal="right" vertical="top" wrapText="1"/>
    </xf>
    <xf numFmtId="170" fontId="20" fillId="0" borderId="0" xfId="36" applyNumberFormat="1" applyFont="1" applyAlignment="1">
      <alignment horizontal="center" vertical="top" wrapText="1"/>
    </xf>
    <xf numFmtId="171" fontId="20" fillId="0" borderId="0" xfId="36" applyNumberFormat="1" applyFont="1" applyAlignment="1">
      <alignment horizontal="center" vertical="top" wrapText="1"/>
    </xf>
    <xf numFmtId="4" fontId="20" fillId="0" borderId="17" xfId="36" applyNumberFormat="1" applyFont="1" applyBorder="1" applyAlignment="1">
      <alignment horizontal="right" vertical="top"/>
    </xf>
    <xf numFmtId="4" fontId="17" fillId="0" borderId="17" xfId="36" applyNumberFormat="1" applyFont="1" applyBorder="1" applyAlignment="1">
      <alignment horizontal="right" vertical="top"/>
    </xf>
    <xf numFmtId="49" fontId="23" fillId="0" borderId="0" xfId="36" applyNumberFormat="1" applyFont="1" applyAlignment="1">
      <alignment horizontal="right" vertical="top"/>
    </xf>
    <xf numFmtId="0" fontId="23" fillId="0" borderId="0" xfId="36" applyFont="1" applyAlignment="1">
      <alignment wrapText="1"/>
    </xf>
    <xf numFmtId="0" fontId="23" fillId="0" borderId="0" xfId="36" applyFont="1" applyAlignment="1">
      <alignment vertical="top"/>
    </xf>
    <xf numFmtId="0" fontId="23" fillId="0" borderId="0" xfId="36" applyFont="1" applyAlignment="1">
      <alignment vertical="top" wrapText="1"/>
    </xf>
    <xf numFmtId="49" fontId="23" fillId="0" borderId="0" xfId="36" applyNumberFormat="1" applyFont="1" applyAlignment="1">
      <alignment vertical="top"/>
    </xf>
    <xf numFmtId="0" fontId="20" fillId="0" borderId="0" xfId="36" applyFont="1"/>
    <xf numFmtId="0" fontId="4" fillId="0" borderId="1" xfId="0" applyFont="1" applyBorder="1" applyAlignment="1">
      <alignment horizontal="center" vertical="center"/>
    </xf>
    <xf numFmtId="0" fontId="4" fillId="0" borderId="0" xfId="0" applyFont="1"/>
    <xf numFmtId="4" fontId="4" fillId="0" borderId="0" xfId="0" applyNumberFormat="1" applyFont="1" applyAlignment="1">
      <alignment horizontal="right" vertical="center"/>
    </xf>
    <xf numFmtId="0" fontId="4" fillId="0" borderId="1" xfId="0" applyFont="1" applyBorder="1"/>
    <xf numFmtId="0" fontId="7" fillId="0" borderId="1" xfId="3" applyFont="1" applyBorder="1" applyAlignment="1">
      <alignment horizontal="center" vertical="center"/>
    </xf>
    <xf numFmtId="0" fontId="9" fillId="0" borderId="1" xfId="3" applyFont="1" applyBorder="1" applyAlignment="1">
      <alignment horizontal="center" vertical="center"/>
    </xf>
    <xf numFmtId="0" fontId="7" fillId="0" borderId="1" xfId="3" applyFont="1" applyBorder="1" applyAlignment="1">
      <alignment horizontal="left" vertical="center" wrapText="1"/>
    </xf>
    <xf numFmtId="164" fontId="7" fillId="0" borderId="1" xfId="37" applyFont="1" applyFill="1" applyBorder="1" applyAlignment="1">
      <alignment horizontal="center" vertical="center"/>
    </xf>
    <xf numFmtId="168" fontId="7" fillId="0" borderId="1" xfId="37" applyNumberFormat="1" applyFont="1" applyFill="1" applyBorder="1" applyAlignment="1">
      <alignment horizontal="center" vertical="center"/>
    </xf>
    <xf numFmtId="168" fontId="7" fillId="0" borderId="1" xfId="3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168" fontId="7" fillId="0" borderId="1" xfId="0" applyNumberFormat="1" applyFont="1" applyBorder="1" applyAlignment="1">
      <alignment horizontal="center" vertical="center"/>
    </xf>
    <xf numFmtId="0" fontId="9" fillId="3" borderId="1" xfId="3" applyFont="1" applyFill="1" applyBorder="1" applyAlignment="1">
      <alignment horizontal="center" vertical="center"/>
    </xf>
    <xf numFmtId="164" fontId="7" fillId="3" borderId="1" xfId="37" applyFont="1" applyFill="1" applyBorder="1" applyAlignment="1">
      <alignment horizontal="center" vertical="center"/>
    </xf>
    <xf numFmtId="168" fontId="7" fillId="3" borderId="1" xfId="37" applyNumberFormat="1" applyFont="1" applyFill="1" applyBorder="1" applyAlignment="1">
      <alignment horizontal="center" vertical="center"/>
    </xf>
    <xf numFmtId="168" fontId="7" fillId="3" borderId="1" xfId="3" applyNumberFormat="1" applyFont="1" applyFill="1" applyBorder="1" applyAlignment="1">
      <alignment horizontal="center" vertical="center"/>
    </xf>
    <xf numFmtId="14" fontId="4" fillId="3" borderId="1" xfId="0" applyNumberFormat="1" applyFont="1" applyFill="1" applyBorder="1" applyAlignment="1">
      <alignment horizontal="center" vertical="center"/>
    </xf>
    <xf numFmtId="0" fontId="7" fillId="11" borderId="1" xfId="3" applyFont="1" applyFill="1" applyBorder="1" applyAlignment="1">
      <alignment horizontal="center" vertical="center"/>
    </xf>
    <xf numFmtId="0" fontId="9" fillId="11" borderId="1" xfId="3" applyFont="1" applyFill="1" applyBorder="1" applyAlignment="1">
      <alignment horizontal="center" vertical="center"/>
    </xf>
    <xf numFmtId="0" fontId="7" fillId="11" borderId="1" xfId="3" applyFont="1" applyFill="1" applyBorder="1" applyAlignment="1">
      <alignment horizontal="left" vertical="center" wrapText="1"/>
    </xf>
    <xf numFmtId="164" fontId="7" fillId="11" borderId="1" xfId="37" applyFont="1" applyFill="1" applyBorder="1" applyAlignment="1">
      <alignment horizontal="center" vertical="center"/>
    </xf>
    <xf numFmtId="168" fontId="7" fillId="11" borderId="1" xfId="37" applyNumberFormat="1" applyFont="1" applyFill="1" applyBorder="1" applyAlignment="1">
      <alignment horizontal="center" vertical="center"/>
    </xf>
    <xf numFmtId="168" fontId="7" fillId="11" borderId="1" xfId="3" applyNumberFormat="1" applyFont="1" applyFill="1" applyBorder="1" applyAlignment="1">
      <alignment horizontal="center" vertical="center"/>
    </xf>
    <xf numFmtId="168" fontId="4" fillId="11" borderId="1" xfId="0" applyNumberFormat="1" applyFont="1" applyFill="1" applyBorder="1" applyAlignment="1">
      <alignment horizontal="center" vertical="center"/>
    </xf>
    <xf numFmtId="0" fontId="4" fillId="11" borderId="2" xfId="0" applyFont="1" applyFill="1" applyBorder="1" applyAlignment="1">
      <alignment horizontal="center" vertical="center" wrapText="1"/>
    </xf>
    <xf numFmtId="4" fontId="4" fillId="11" borderId="2" xfId="0" applyNumberFormat="1" applyFont="1" applyFill="1" applyBorder="1" applyAlignment="1">
      <alignment horizontal="right" vertical="center"/>
    </xf>
    <xf numFmtId="14" fontId="4" fillId="11" borderId="1" xfId="0" applyNumberFormat="1" applyFont="1" applyFill="1" applyBorder="1" applyAlignment="1">
      <alignment horizontal="center" vertical="center"/>
    </xf>
    <xf numFmtId="0" fontId="4" fillId="11" borderId="1" xfId="0" applyFont="1" applyFill="1" applyBorder="1" applyAlignment="1">
      <alignment horizontal="center" vertical="center"/>
    </xf>
    <xf numFmtId="14" fontId="4" fillId="3" borderId="1" xfId="0" applyNumberFormat="1" applyFont="1" applyFill="1" applyBorder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168" fontId="4" fillId="0" borderId="1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14" fontId="4" fillId="11" borderId="1" xfId="0" applyNumberFormat="1" applyFont="1" applyFill="1" applyBorder="1" applyAlignment="1">
      <alignment vertical="center"/>
    </xf>
    <xf numFmtId="0" fontId="4" fillId="11" borderId="1" xfId="0" applyFont="1" applyFill="1" applyBorder="1" applyAlignment="1">
      <alignment vertical="center"/>
    </xf>
    <xf numFmtId="14" fontId="4" fillId="0" borderId="1" xfId="0" applyNumberFormat="1" applyFont="1" applyBorder="1"/>
    <xf numFmtId="14" fontId="4" fillId="0" borderId="1" xfId="0" applyNumberFormat="1" applyFont="1" applyBorder="1" applyAlignment="1">
      <alignment vertical="center"/>
    </xf>
    <xf numFmtId="0" fontId="25" fillId="0" borderId="1" xfId="0" applyFont="1" applyBorder="1" applyAlignment="1">
      <alignment horizontal="center" vertical="center" wrapText="1" shrinkToFit="1"/>
    </xf>
    <xf numFmtId="4" fontId="9" fillId="0" borderId="0" xfId="0" applyNumberFormat="1" applyFont="1"/>
    <xf numFmtId="0" fontId="4" fillId="0" borderId="0" xfId="0" applyFont="1" applyAlignment="1">
      <alignment horizontal="center" vertical="center" wrapText="1"/>
    </xf>
    <xf numFmtId="0" fontId="16" fillId="0" borderId="1" xfId="3" applyFont="1" applyBorder="1" applyAlignment="1">
      <alignment horizontal="center" vertical="center"/>
    </xf>
    <xf numFmtId="166" fontId="7" fillId="0" borderId="1" xfId="3" applyNumberFormat="1" applyFont="1" applyBorder="1" applyAlignment="1">
      <alignment horizontal="center" vertical="center"/>
    </xf>
    <xf numFmtId="4" fontId="7" fillId="0" borderId="1" xfId="3" applyNumberFormat="1" applyFont="1" applyBorder="1" applyAlignment="1">
      <alignment horizontal="center" vertical="center"/>
    </xf>
    <xf numFmtId="3" fontId="7" fillId="0" borderId="1" xfId="3" applyNumberFormat="1" applyFont="1" applyBorder="1" applyAlignment="1">
      <alignment horizontal="center" vertical="center"/>
    </xf>
    <xf numFmtId="4" fontId="4" fillId="0" borderId="1" xfId="0" applyNumberFormat="1" applyFont="1" applyBorder="1"/>
    <xf numFmtId="4" fontId="9" fillId="0" borderId="1" xfId="3" applyNumberFormat="1" applyFont="1" applyBorder="1" applyAlignment="1">
      <alignment horizontal="center" vertical="center"/>
    </xf>
    <xf numFmtId="4" fontId="4" fillId="0" borderId="1" xfId="3" applyNumberFormat="1" applyFont="1" applyBorder="1" applyAlignment="1">
      <alignment horizontal="center" vertical="center"/>
    </xf>
    <xf numFmtId="4" fontId="4" fillId="0" borderId="0" xfId="0" applyNumberFormat="1" applyFont="1"/>
    <xf numFmtId="0" fontId="4" fillId="0" borderId="0" xfId="0" applyFont="1" applyAlignment="1">
      <alignment horizontal="right"/>
    </xf>
    <xf numFmtId="4" fontId="9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11" borderId="0" xfId="0" applyFont="1" applyFill="1" applyAlignment="1">
      <alignment vertical="center"/>
    </xf>
    <xf numFmtId="0" fontId="4" fillId="7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 wrapText="1"/>
    </xf>
    <xf numFmtId="14" fontId="4" fillId="0" borderId="2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9" fillId="2" borderId="2" xfId="3" applyFont="1" applyFill="1" applyBorder="1" applyAlignment="1">
      <alignment horizontal="center" vertical="center"/>
    </xf>
    <xf numFmtId="0" fontId="9" fillId="2" borderId="3" xfId="3" applyFont="1" applyFill="1" applyBorder="1" applyAlignment="1">
      <alignment horizontal="center" vertical="center"/>
    </xf>
    <xf numFmtId="0" fontId="9" fillId="2" borderId="4" xfId="3" applyFont="1" applyFill="1" applyBorder="1" applyAlignment="1">
      <alignment horizontal="center" vertical="center"/>
    </xf>
    <xf numFmtId="0" fontId="4" fillId="9" borderId="0" xfId="0" applyFont="1" applyFill="1" applyAlignment="1">
      <alignment horizontal="right"/>
    </xf>
    <xf numFmtId="0" fontId="9" fillId="6" borderId="2" xfId="3" applyFont="1" applyFill="1" applyBorder="1" applyAlignment="1">
      <alignment horizontal="center" vertical="center"/>
    </xf>
    <xf numFmtId="0" fontId="9" fillId="6" borderId="3" xfId="3" applyFont="1" applyFill="1" applyBorder="1" applyAlignment="1">
      <alignment horizontal="center" vertical="center"/>
    </xf>
    <xf numFmtId="0" fontId="9" fillId="6" borderId="4" xfId="3" applyFont="1" applyFill="1" applyBorder="1" applyAlignment="1">
      <alignment horizontal="center" vertical="center"/>
    </xf>
    <xf numFmtId="14" fontId="4" fillId="3" borderId="2" xfId="0" applyNumberFormat="1" applyFont="1" applyFill="1" applyBorder="1" applyAlignment="1">
      <alignment horizontal="center" vertical="center"/>
    </xf>
    <xf numFmtId="14" fontId="4" fillId="3" borderId="3" xfId="0" applyNumberFormat="1" applyFont="1" applyFill="1" applyBorder="1" applyAlignment="1">
      <alignment horizontal="center" vertical="center"/>
    </xf>
    <xf numFmtId="14" fontId="4" fillId="3" borderId="4" xfId="0" applyNumberFormat="1" applyFont="1" applyFill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9" fillId="0" borderId="1" xfId="0" applyFont="1" applyBorder="1" applyAlignment="1">
      <alignment horizontal="right" vertical="center"/>
    </xf>
    <xf numFmtId="0" fontId="9" fillId="2" borderId="5" xfId="0" applyFont="1" applyFill="1" applyBorder="1" applyAlignment="1">
      <alignment horizontal="right"/>
    </xf>
    <xf numFmtId="0" fontId="9" fillId="2" borderId="6" xfId="0" applyFont="1" applyFill="1" applyBorder="1" applyAlignment="1">
      <alignment horizontal="right"/>
    </xf>
    <xf numFmtId="0" fontId="9" fillId="2" borderId="8" xfId="0" applyFont="1" applyFill="1" applyBorder="1" applyAlignment="1">
      <alignment horizontal="right"/>
    </xf>
    <xf numFmtId="0" fontId="9" fillId="2" borderId="9" xfId="0" applyFont="1" applyFill="1" applyBorder="1" applyAlignment="1">
      <alignment horizontal="right"/>
    </xf>
    <xf numFmtId="0" fontId="4" fillId="3" borderId="0" xfId="0" applyFont="1" applyFill="1" applyAlignment="1">
      <alignment horizontal="right"/>
    </xf>
    <xf numFmtId="0" fontId="4" fillId="4" borderId="0" xfId="0" applyFont="1" applyFill="1" applyAlignment="1">
      <alignment horizontal="right"/>
    </xf>
    <xf numFmtId="14" fontId="4" fillId="4" borderId="2" xfId="0" applyNumberFormat="1" applyFont="1" applyFill="1" applyBorder="1" applyAlignment="1">
      <alignment horizontal="center" vertical="center"/>
    </xf>
    <xf numFmtId="14" fontId="4" fillId="4" borderId="4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right" vertical="center"/>
    </xf>
    <xf numFmtId="14" fontId="4" fillId="0" borderId="2" xfId="0" applyNumberFormat="1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49" fontId="20" fillId="0" borderId="0" xfId="36" applyNumberFormat="1" applyFont="1" applyAlignment="1">
      <alignment horizontal="left" vertical="top" wrapText="1"/>
    </xf>
    <xf numFmtId="49" fontId="20" fillId="0" borderId="16" xfId="36" applyNumberFormat="1" applyFont="1" applyBorder="1" applyAlignment="1">
      <alignment horizontal="center"/>
    </xf>
    <xf numFmtId="49" fontId="20" fillId="0" borderId="0" xfId="36" applyNumberFormat="1" applyFont="1" applyAlignment="1">
      <alignment horizontal="center"/>
    </xf>
    <xf numFmtId="49" fontId="20" fillId="0" borderId="17" xfId="36" applyNumberFormat="1" applyFont="1" applyBorder="1" applyAlignment="1">
      <alignment horizontal="center"/>
    </xf>
    <xf numFmtId="49" fontId="20" fillId="0" borderId="13" xfId="36" applyNumberFormat="1" applyFont="1" applyBorder="1" applyAlignment="1">
      <alignment horizontal="center"/>
    </xf>
    <xf numFmtId="49" fontId="20" fillId="0" borderId="14" xfId="36" applyNumberFormat="1" applyFont="1" applyBorder="1" applyAlignment="1">
      <alignment horizontal="center"/>
    </xf>
    <xf numFmtId="49" fontId="20" fillId="0" borderId="15" xfId="36" applyNumberFormat="1" applyFont="1" applyBorder="1" applyAlignment="1">
      <alignment horizontal="center"/>
    </xf>
    <xf numFmtId="49" fontId="20" fillId="0" borderId="2" xfId="36" applyNumberFormat="1" applyFont="1" applyBorder="1" applyAlignment="1">
      <alignment horizontal="center"/>
    </xf>
    <xf numFmtId="49" fontId="20" fillId="0" borderId="3" xfId="36" applyNumberFormat="1" applyFont="1" applyBorder="1" applyAlignment="1">
      <alignment horizontal="center"/>
    </xf>
    <xf numFmtId="49" fontId="20" fillId="0" borderId="4" xfId="36" applyNumberFormat="1" applyFont="1" applyBorder="1" applyAlignment="1">
      <alignment horizontal="center"/>
    </xf>
    <xf numFmtId="49" fontId="20" fillId="10" borderId="2" xfId="36" applyNumberFormat="1" applyFont="1" applyFill="1" applyBorder="1" applyAlignment="1">
      <alignment horizontal="center" wrapText="1"/>
    </xf>
    <xf numFmtId="49" fontId="20" fillId="10" borderId="3" xfId="36" applyNumberFormat="1" applyFont="1" applyFill="1" applyBorder="1" applyAlignment="1">
      <alignment horizontal="center" wrapText="1"/>
    </xf>
    <xf numFmtId="49" fontId="20" fillId="10" borderId="4" xfId="36" applyNumberFormat="1" applyFont="1" applyFill="1" applyBorder="1" applyAlignment="1">
      <alignment horizontal="center" wrapText="1"/>
    </xf>
    <xf numFmtId="49" fontId="20" fillId="0" borderId="2" xfId="36" applyNumberFormat="1" applyFont="1" applyBorder="1" applyAlignment="1">
      <alignment horizontal="center" wrapText="1"/>
    </xf>
    <xf numFmtId="49" fontId="20" fillId="0" borderId="3" xfId="36" applyNumberFormat="1" applyFont="1" applyBorder="1" applyAlignment="1">
      <alignment horizontal="center" wrapText="1"/>
    </xf>
    <xf numFmtId="49" fontId="20" fillId="0" borderId="4" xfId="36" applyNumberFormat="1" applyFont="1" applyBorder="1" applyAlignment="1">
      <alignment horizontal="center" wrapText="1"/>
    </xf>
    <xf numFmtId="49" fontId="20" fillId="0" borderId="1" xfId="36" applyNumberFormat="1" applyFont="1" applyBorder="1" applyAlignment="1">
      <alignment horizontal="center" vertical="center" wrapText="1"/>
    </xf>
    <xf numFmtId="49" fontId="20" fillId="0" borderId="1" xfId="36" applyNumberFormat="1" applyFont="1" applyBorder="1" applyAlignment="1">
      <alignment horizontal="center" vertical="center"/>
    </xf>
    <xf numFmtId="0" fontId="20" fillId="0" borderId="0" xfId="36" applyFont="1" applyAlignment="1">
      <alignment horizontal="left" vertical="top" wrapText="1"/>
    </xf>
    <xf numFmtId="0" fontId="17" fillId="0" borderId="2" xfId="36" applyFont="1" applyBorder="1" applyAlignment="1">
      <alignment horizontal="left" vertical="center" wrapText="1"/>
    </xf>
    <xf numFmtId="0" fontId="17" fillId="0" borderId="3" xfId="36" applyFont="1" applyBorder="1" applyAlignment="1">
      <alignment horizontal="left" vertical="center" wrapText="1"/>
    </xf>
    <xf numFmtId="0" fontId="17" fillId="0" borderId="4" xfId="36" applyFont="1" applyBorder="1" applyAlignment="1">
      <alignment horizontal="left" vertical="center" wrapText="1"/>
    </xf>
    <xf numFmtId="0" fontId="17" fillId="0" borderId="14" xfId="36" applyFont="1" applyBorder="1" applyAlignment="1">
      <alignment horizontal="left" vertical="top" wrapText="1"/>
    </xf>
    <xf numFmtId="49" fontId="17" fillId="0" borderId="14" xfId="36" applyNumberFormat="1" applyFont="1" applyBorder="1" applyAlignment="1">
      <alignment horizontal="left" vertical="top" wrapText="1"/>
    </xf>
    <xf numFmtId="49" fontId="20" fillId="0" borderId="14" xfId="36" applyNumberFormat="1" applyFont="1" applyBorder="1" applyAlignment="1">
      <alignment horizontal="left" vertical="top" wrapText="1"/>
    </xf>
    <xf numFmtId="49" fontId="20" fillId="0" borderId="17" xfId="36" applyNumberFormat="1" applyFont="1" applyBorder="1" applyAlignment="1">
      <alignment horizontal="left" vertical="top" wrapText="1"/>
    </xf>
    <xf numFmtId="49" fontId="17" fillId="0" borderId="0" xfId="36" applyNumberFormat="1" applyFont="1" applyAlignment="1">
      <alignment horizontal="left" vertical="top" wrapText="1"/>
    </xf>
    <xf numFmtId="0" fontId="20" fillId="0" borderId="17" xfId="36" applyFont="1" applyBorder="1" applyAlignment="1">
      <alignment horizontal="left" vertical="top" wrapText="1"/>
    </xf>
    <xf numFmtId="49" fontId="30" fillId="0" borderId="14" xfId="36" applyNumberFormat="1" applyFont="1" applyBorder="1" applyAlignment="1">
      <alignment horizontal="center" vertical="top"/>
    </xf>
    <xf numFmtId="49" fontId="23" fillId="0" borderId="18" xfId="36" applyNumberFormat="1" applyFont="1" applyBorder="1" applyAlignment="1">
      <alignment vertical="top" wrapText="1"/>
    </xf>
    <xf numFmtId="49" fontId="23" fillId="0" borderId="18" xfId="36" applyNumberFormat="1" applyFont="1" applyBorder="1" applyAlignment="1">
      <alignment horizontal="right" vertical="top" wrapText="1"/>
    </xf>
  </cellXfs>
  <cellStyles count="38">
    <cellStyle name="Денежный [0] 2" xfId="22" xr:uid="{00000000-0005-0000-0000-000000000000}"/>
    <cellStyle name="Итоги" xfId="12" xr:uid="{00000000-0005-0000-0000-000001000000}"/>
    <cellStyle name="ЛокСмета" xfId="13" xr:uid="{00000000-0005-0000-0000-000002000000}"/>
    <cellStyle name="Обычный" xfId="0" builtinId="0"/>
    <cellStyle name="Обычный 10" xfId="11" xr:uid="{00000000-0005-0000-0000-000004000000}"/>
    <cellStyle name="Обычный 10 2" xfId="30" xr:uid="{00000000-0005-0000-0000-000005000000}"/>
    <cellStyle name="Обычный 11" xfId="32" xr:uid="{00000000-0005-0000-0000-000006000000}"/>
    <cellStyle name="Обычный 12" xfId="8" xr:uid="{00000000-0005-0000-0000-000007000000}"/>
    <cellStyle name="Обычный 12 2" xfId="34" xr:uid="{00000000-0005-0000-0000-000008000000}"/>
    <cellStyle name="Обычный 13" xfId="36" xr:uid="{8723AD85-8F94-463F-BF9B-000F9DEE62DF}"/>
    <cellStyle name="Обычный 2" xfId="2" xr:uid="{00000000-0005-0000-0000-000009000000}"/>
    <cellStyle name="Обычный 2 2" xfId="4" xr:uid="{00000000-0005-0000-0000-00000A000000}"/>
    <cellStyle name="Обычный 2 3" xfId="15" xr:uid="{00000000-0005-0000-0000-00000B000000}"/>
    <cellStyle name="Обычный 2 4" xfId="10" xr:uid="{00000000-0005-0000-0000-00000C000000}"/>
    <cellStyle name="Обычный 2 5" xfId="33" xr:uid="{00000000-0005-0000-0000-00000D000000}"/>
    <cellStyle name="Обычный 2 6" xfId="16" xr:uid="{00000000-0005-0000-0000-00000E000000}"/>
    <cellStyle name="Обычный 29" xfId="9" xr:uid="{00000000-0005-0000-0000-00000F000000}"/>
    <cellStyle name="Обычный 3" xfId="3" xr:uid="{00000000-0005-0000-0000-000010000000}"/>
    <cellStyle name="Обычный 3 2" xfId="5" xr:uid="{00000000-0005-0000-0000-000011000000}"/>
    <cellStyle name="Обычный 31 2" xfId="14" xr:uid="{00000000-0005-0000-0000-000012000000}"/>
    <cellStyle name="Обычный 4" xfId="1" xr:uid="{00000000-0005-0000-0000-000013000000}"/>
    <cellStyle name="Обычный 4 2" xfId="23" xr:uid="{00000000-0005-0000-0000-000014000000}"/>
    <cellStyle name="Обычный 4 2 2" xfId="35" xr:uid="{00000000-0005-0000-0000-000015000000}"/>
    <cellStyle name="Обычный 5" xfId="24" xr:uid="{00000000-0005-0000-0000-000016000000}"/>
    <cellStyle name="Обычный 5 2" xfId="27" xr:uid="{00000000-0005-0000-0000-000017000000}"/>
    <cellStyle name="Обычный 6" xfId="7" xr:uid="{00000000-0005-0000-0000-000018000000}"/>
    <cellStyle name="Обычный 7" xfId="28" xr:uid="{00000000-0005-0000-0000-000019000000}"/>
    <cellStyle name="Обычный 8" xfId="29" xr:uid="{00000000-0005-0000-0000-00001A000000}"/>
    <cellStyle name="Обычный 9" xfId="19" xr:uid="{00000000-0005-0000-0000-00001B000000}"/>
    <cellStyle name="ПИР" xfId="25" xr:uid="{00000000-0005-0000-0000-00001C000000}"/>
    <cellStyle name="Титул" xfId="20" xr:uid="{00000000-0005-0000-0000-00001D000000}"/>
    <cellStyle name="Финансовый 2" xfId="6" xr:uid="{00000000-0005-0000-0000-00001E000000}"/>
    <cellStyle name="Финансовый 2 2" xfId="18" xr:uid="{00000000-0005-0000-0000-00001F000000}"/>
    <cellStyle name="Финансовый 2 3" xfId="31" xr:uid="{00000000-0005-0000-0000-000020000000}"/>
    <cellStyle name="Финансовый 2 4" xfId="17" xr:uid="{00000000-0005-0000-0000-000021000000}"/>
    <cellStyle name="Финансовый 2 5" xfId="37" xr:uid="{B61B1BE4-2F27-45E1-A9D2-2F99E808626D}"/>
    <cellStyle name="Финансовый 3" xfId="21" xr:uid="{00000000-0005-0000-0000-000022000000}"/>
    <cellStyle name="Хвост" xfId="26" xr:uid="{00000000-0005-0000-0000-00002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10" Type="http://schemas.openxmlformats.org/officeDocument/2006/relationships/externalLink" Target="externalLinks/externalLink4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7;&#1072;&#1082;&#1088;&#1099;&#1090;&#1080;&#1077;%20&#1089;&#1074;&#1086;&#1076;%2020.12.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ВК-3"/>
      <sheetName val="НВК-4"/>
      <sheetName val="НВК-5"/>
      <sheetName val="АС1"/>
      <sheetName val="СВОД-К"/>
      <sheetName val="ПЖ"/>
      <sheetName val="ГП2"/>
      <sheetName val="ТС5"/>
      <sheetName val="Дем"/>
      <sheetName val="Дем3"/>
      <sheetName val="Дем121"/>
      <sheetName val="АС2"/>
      <sheetName val="АС3"/>
      <sheetName val="НВК2"/>
      <sheetName val="НВК1"/>
      <sheetName val="АС4"/>
    </sheetNames>
    <sheetDataSet>
      <sheetData sheetId="0"/>
      <sheetData sheetId="1"/>
      <sheetData sheetId="2">
        <row r="235">
          <cell r="K235">
            <v>1478685.654163233</v>
          </cell>
        </row>
      </sheetData>
      <sheetData sheetId="3"/>
      <sheetData sheetId="4"/>
      <sheetData sheetId="5">
        <row r="157">
          <cell r="N157">
            <v>68698586.505872428</v>
          </cell>
        </row>
      </sheetData>
      <sheetData sheetId="6"/>
      <sheetData sheetId="7">
        <row r="199">
          <cell r="O199">
            <v>4216719.66</v>
          </cell>
        </row>
      </sheetData>
      <sheetData sheetId="8">
        <row r="475">
          <cell r="N475">
            <v>2407821.1857416378</v>
          </cell>
        </row>
      </sheetData>
      <sheetData sheetId="9">
        <row r="274">
          <cell r="N274">
            <v>1646634.31</v>
          </cell>
        </row>
      </sheetData>
      <sheetData sheetId="10">
        <row r="746">
          <cell r="N746">
            <v>1080898.7767329693</v>
          </cell>
        </row>
      </sheetData>
      <sheetData sheetId="11">
        <row r="45">
          <cell r="I45">
            <v>1836313.6241518557</v>
          </cell>
        </row>
      </sheetData>
      <sheetData sheetId="12">
        <row r="218">
          <cell r="I218">
            <v>5371682.8022345919</v>
          </cell>
        </row>
      </sheetData>
      <sheetData sheetId="13">
        <row r="87">
          <cell r="I87">
            <v>1062387.950457541</v>
          </cell>
        </row>
      </sheetData>
      <sheetData sheetId="14">
        <row r="69">
          <cell r="I69">
            <v>1251330.0501987713</v>
          </cell>
        </row>
      </sheetData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26EFA-235C-4D72-8AEC-1496CFAD60A4}">
  <sheetPr>
    <tabColor rgb="FF00B050"/>
    <pageSetUpPr fitToPage="1"/>
  </sheetPr>
  <dimension ref="A1:AD63"/>
  <sheetViews>
    <sheetView zoomScale="115" zoomScaleNormal="115" workbookViewId="0">
      <selection activeCell="S19" sqref="S19"/>
    </sheetView>
  </sheetViews>
  <sheetFormatPr defaultColWidth="9.140625" defaultRowHeight="15" outlineLevelRow="1" outlineLevelCol="1" x14ac:dyDescent="0.25"/>
  <cols>
    <col min="1" max="1" width="4.7109375" style="283" customWidth="1"/>
    <col min="2" max="2" width="11.28515625" style="283" hidden="1" customWidth="1"/>
    <col min="3" max="3" width="56" style="283" customWidth="1"/>
    <col min="4" max="4" width="18.85546875" style="283" hidden="1" customWidth="1" outlineLevel="1"/>
    <col min="5" max="5" width="18.28515625" style="283" hidden="1" customWidth="1" outlineLevel="1"/>
    <col min="6" max="6" width="16.7109375" style="283" hidden="1" customWidth="1" outlineLevel="1"/>
    <col min="7" max="7" width="18.28515625" style="283" hidden="1" customWidth="1" outlineLevel="1"/>
    <col min="8" max="8" width="19.85546875" style="283" hidden="1" customWidth="1" collapsed="1"/>
    <col min="9" max="9" width="22.28515625" style="283" hidden="1" customWidth="1"/>
    <col min="10" max="10" width="15.42578125" style="283" hidden="1" customWidth="1"/>
    <col min="11" max="11" width="17" style="283" hidden="1" customWidth="1"/>
    <col min="12" max="13" width="18.28515625" style="283" hidden="1" customWidth="1"/>
    <col min="14" max="14" width="17.28515625" style="283" hidden="1" customWidth="1"/>
    <col min="15" max="15" width="16" style="283" hidden="1" customWidth="1"/>
    <col min="16" max="16" width="15.42578125" style="283" hidden="1" customWidth="1"/>
    <col min="17" max="17" width="18.7109375" style="283" hidden="1" customWidth="1"/>
    <col min="18" max="18" width="14.85546875" style="283" hidden="1" customWidth="1"/>
    <col min="19" max="19" width="14.85546875" style="283" customWidth="1"/>
    <col min="20" max="20" width="28.28515625" style="323" customWidth="1"/>
    <col min="21" max="21" width="26.85546875" style="284" hidden="1" customWidth="1"/>
    <col min="22" max="22" width="11.28515625" style="283" customWidth="1"/>
    <col min="23" max="23" width="11.7109375" style="283" customWidth="1"/>
    <col min="24" max="26" width="11.28515625" style="283" customWidth="1"/>
    <col min="27" max="27" width="20.7109375" style="283" customWidth="1"/>
    <col min="28" max="28" width="52.42578125" style="283" bestFit="1" customWidth="1"/>
    <col min="29" max="29" width="22.42578125" style="3" customWidth="1"/>
    <col min="30" max="30" width="104.140625" style="334" customWidth="1"/>
    <col min="31" max="16384" width="9.140625" style="283"/>
  </cols>
  <sheetData>
    <row r="1" spans="1:30" ht="85.5" x14ac:dyDescent="0.25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6</v>
      </c>
      <c r="H1" s="15" t="s">
        <v>7</v>
      </c>
      <c r="I1" s="14" t="s">
        <v>8</v>
      </c>
      <c r="J1" s="15" t="s">
        <v>77</v>
      </c>
      <c r="K1" s="15" t="s">
        <v>53</v>
      </c>
      <c r="L1" s="15" t="s">
        <v>52</v>
      </c>
      <c r="M1" s="15" t="s">
        <v>76</v>
      </c>
      <c r="N1" s="15" t="s">
        <v>88</v>
      </c>
      <c r="O1" s="15" t="s">
        <v>78</v>
      </c>
      <c r="P1" s="15" t="s">
        <v>79</v>
      </c>
      <c r="Q1" s="15" t="s">
        <v>80</v>
      </c>
      <c r="R1" s="15" t="s">
        <v>91</v>
      </c>
      <c r="S1" s="15"/>
      <c r="T1" s="15" t="s">
        <v>92</v>
      </c>
      <c r="U1" s="93" t="s">
        <v>722</v>
      </c>
      <c r="V1" s="282" t="s">
        <v>898</v>
      </c>
      <c r="W1" s="282" t="s">
        <v>899</v>
      </c>
      <c r="X1" s="282" t="s">
        <v>900</v>
      </c>
      <c r="Y1" s="282" t="s">
        <v>724</v>
      </c>
      <c r="Z1" s="282" t="s">
        <v>725</v>
      </c>
      <c r="AA1" s="282" t="s">
        <v>728</v>
      </c>
      <c r="AB1" s="282" t="s">
        <v>901</v>
      </c>
      <c r="AC1" s="333" t="s">
        <v>747</v>
      </c>
    </row>
    <row r="2" spans="1:30" x14ac:dyDescent="0.25">
      <c r="A2" s="345" t="s">
        <v>75</v>
      </c>
      <c r="B2" s="346"/>
      <c r="C2" s="346"/>
      <c r="D2" s="346"/>
      <c r="E2" s="346"/>
      <c r="F2" s="346"/>
      <c r="G2" s="346"/>
      <c r="H2" s="346"/>
      <c r="I2" s="346"/>
      <c r="J2" s="346"/>
      <c r="K2" s="346"/>
      <c r="L2" s="346"/>
      <c r="M2" s="346"/>
      <c r="N2" s="346"/>
      <c r="O2" s="346"/>
      <c r="P2" s="346"/>
      <c r="Q2" s="347"/>
      <c r="R2" s="24"/>
      <c r="S2" s="24"/>
      <c r="T2" s="25"/>
      <c r="V2" s="285"/>
      <c r="W2" s="285"/>
      <c r="X2" s="285"/>
      <c r="Y2" s="285"/>
      <c r="Z2" s="285"/>
      <c r="AA2" s="285"/>
      <c r="AB2" s="285"/>
      <c r="AC2" s="42"/>
    </row>
    <row r="3" spans="1:30" ht="45" x14ac:dyDescent="0.25">
      <c r="A3" s="286">
        <v>1</v>
      </c>
      <c r="B3" s="287" t="s">
        <v>9</v>
      </c>
      <c r="C3" s="288" t="s">
        <v>10</v>
      </c>
      <c r="D3" s="289">
        <v>48841208.740000002</v>
      </c>
      <c r="E3" s="289">
        <v>4004979.12</v>
      </c>
      <c r="F3" s="289">
        <v>1268308.51</v>
      </c>
      <c r="G3" s="289">
        <v>54114496.369999997</v>
      </c>
      <c r="H3" s="290">
        <v>56893839.630000003</v>
      </c>
      <c r="I3" s="291">
        <v>1.2</v>
      </c>
      <c r="J3" s="291">
        <f>H3*I3</f>
        <v>68272607.555999994</v>
      </c>
      <c r="K3" s="291">
        <v>65507253.219999999</v>
      </c>
      <c r="L3" s="291">
        <v>360012.73</v>
      </c>
      <c r="M3" s="291">
        <f>J3-K3-L3</f>
        <v>2405341.6059999955</v>
      </c>
      <c r="N3" s="291"/>
      <c r="O3" s="291">
        <v>0</v>
      </c>
      <c r="P3" s="291">
        <v>0</v>
      </c>
      <c r="Q3" s="291">
        <f>J3-O3+P3</f>
        <v>68272607.555999994</v>
      </c>
      <c r="S3" s="43">
        <f>M3</f>
        <v>2405341.6059999955</v>
      </c>
      <c r="T3" s="292" t="s">
        <v>726</v>
      </c>
      <c r="U3" s="135">
        <f>[11]Дем!N475</f>
        <v>2407821.1857416378</v>
      </c>
      <c r="V3" s="293" t="s">
        <v>902</v>
      </c>
      <c r="W3" s="293" t="s">
        <v>903</v>
      </c>
      <c r="X3" s="293" t="s">
        <v>903</v>
      </c>
      <c r="Y3" s="293">
        <v>45280</v>
      </c>
      <c r="Z3" s="293">
        <v>45285</v>
      </c>
      <c r="AA3" s="293" t="s">
        <v>729</v>
      </c>
      <c r="AB3" s="293"/>
      <c r="AC3" s="42"/>
      <c r="AD3" s="336" t="s">
        <v>924</v>
      </c>
    </row>
    <row r="4" spans="1:30" ht="45" x14ac:dyDescent="0.25">
      <c r="A4" s="286">
        <v>2</v>
      </c>
      <c r="B4" s="287" t="s">
        <v>11</v>
      </c>
      <c r="C4" s="288" t="s">
        <v>12</v>
      </c>
      <c r="D4" s="289">
        <v>40054718.460000001</v>
      </c>
      <c r="E4" s="289">
        <v>3284486.91</v>
      </c>
      <c r="F4" s="289">
        <v>1040140.93</v>
      </c>
      <c r="G4" s="289">
        <v>44379346.299999997</v>
      </c>
      <c r="H4" s="290">
        <v>46658688.170000002</v>
      </c>
      <c r="I4" s="291">
        <v>1.2</v>
      </c>
      <c r="J4" s="291">
        <f t="shared" ref="J4:J23" si="0">H4*I4</f>
        <v>55990425.803999998</v>
      </c>
      <c r="K4" s="291">
        <v>54911594.170000002</v>
      </c>
      <c r="L4" s="291">
        <v>0</v>
      </c>
      <c r="M4" s="291">
        <f t="shared" ref="M4:M22" si="1">J4-K4-L4</f>
        <v>1078831.6339999959</v>
      </c>
      <c r="N4" s="291"/>
      <c r="O4" s="291">
        <v>0</v>
      </c>
      <c r="P4" s="291">
        <v>0</v>
      </c>
      <c r="Q4" s="291">
        <f t="shared" ref="Q4:Q48" si="2">J4-O4+P4</f>
        <v>55990425.803999998</v>
      </c>
      <c r="R4" s="26">
        <f>M4</f>
        <v>1078831.6339999959</v>
      </c>
      <c r="S4" s="294"/>
      <c r="T4" s="292" t="s">
        <v>726</v>
      </c>
      <c r="U4" s="135">
        <f>[11]Дем121!N746</f>
        <v>1080898.7767329693</v>
      </c>
      <c r="V4" s="293" t="s">
        <v>902</v>
      </c>
      <c r="W4" s="293" t="s">
        <v>903</v>
      </c>
      <c r="X4" s="293" t="s">
        <v>903</v>
      </c>
      <c r="Y4" s="293">
        <v>45280</v>
      </c>
      <c r="Z4" s="293">
        <v>45285</v>
      </c>
      <c r="AA4" s="293" t="s">
        <v>729</v>
      </c>
      <c r="AB4" s="293"/>
      <c r="AC4" s="42"/>
      <c r="AD4" s="336" t="s">
        <v>924</v>
      </c>
    </row>
    <row r="5" spans="1:30" ht="30" x14ac:dyDescent="0.25">
      <c r="A5" s="144">
        <v>3</v>
      </c>
      <c r="B5" s="295" t="s">
        <v>13</v>
      </c>
      <c r="C5" s="146" t="s">
        <v>14</v>
      </c>
      <c r="D5" s="296">
        <v>1177977.71</v>
      </c>
      <c r="E5" s="296">
        <v>96594.17</v>
      </c>
      <c r="F5" s="296">
        <v>30589.73</v>
      </c>
      <c r="G5" s="296">
        <v>1305161.6100000001</v>
      </c>
      <c r="H5" s="297">
        <v>1372195.26</v>
      </c>
      <c r="I5" s="298">
        <v>1.2</v>
      </c>
      <c r="J5" s="298">
        <f t="shared" si="0"/>
        <v>1646634.3119999999</v>
      </c>
      <c r="K5" s="298">
        <v>0</v>
      </c>
      <c r="L5" s="298">
        <v>0</v>
      </c>
      <c r="M5" s="298">
        <f t="shared" si="1"/>
        <v>1646634.3119999999</v>
      </c>
      <c r="N5" s="298"/>
      <c r="O5" s="298">
        <v>0</v>
      </c>
      <c r="P5" s="298">
        <v>0</v>
      </c>
      <c r="Q5" s="298">
        <f t="shared" si="2"/>
        <v>1646634.3119999999</v>
      </c>
      <c r="R5" s="26">
        <f>M5</f>
        <v>1646634.3119999999</v>
      </c>
      <c r="S5" s="26"/>
      <c r="T5" s="152" t="s">
        <v>86</v>
      </c>
      <c r="U5" s="135">
        <f>[11]Дем3!N274</f>
        <v>1646634.31</v>
      </c>
      <c r="V5" s="299" t="s">
        <v>902</v>
      </c>
      <c r="W5" s="299" t="s">
        <v>903</v>
      </c>
      <c r="X5" s="299" t="s">
        <v>903</v>
      </c>
      <c r="Y5" s="299">
        <v>45279</v>
      </c>
      <c r="Z5" s="299">
        <v>45281</v>
      </c>
      <c r="AA5" s="299" t="s">
        <v>730</v>
      </c>
      <c r="AB5" s="299"/>
      <c r="AC5" s="32">
        <f>Дем3!I23</f>
        <v>1646634.3068602497</v>
      </c>
    </row>
    <row r="6" spans="1:30" ht="24.75" customHeight="1" x14ac:dyDescent="0.25">
      <c r="A6" s="286">
        <v>4</v>
      </c>
      <c r="B6" s="287" t="s">
        <v>15</v>
      </c>
      <c r="C6" s="288" t="s">
        <v>16</v>
      </c>
      <c r="D6" s="289">
        <v>161452921.99000001</v>
      </c>
      <c r="E6" s="289">
        <v>13239139.6</v>
      </c>
      <c r="F6" s="289">
        <v>4192609.48</v>
      </c>
      <c r="G6" s="289">
        <v>178884671.06999999</v>
      </c>
      <c r="H6" s="290">
        <v>188072263.84999999</v>
      </c>
      <c r="I6" s="291">
        <v>1.2</v>
      </c>
      <c r="J6" s="291">
        <f t="shared" si="0"/>
        <v>225686716.61999997</v>
      </c>
      <c r="K6" s="291">
        <v>89998722.969999999</v>
      </c>
      <c r="L6" s="291">
        <v>66544414.909999996</v>
      </c>
      <c r="M6" s="291">
        <f t="shared" si="1"/>
        <v>69143578.73999998</v>
      </c>
      <c r="N6" s="291"/>
      <c r="O6" s="291">
        <v>0</v>
      </c>
      <c r="P6" s="291"/>
      <c r="Q6" s="291">
        <f t="shared" si="2"/>
        <v>225686716.61999997</v>
      </c>
      <c r="R6" s="26">
        <f>M6</f>
        <v>69143578.73999998</v>
      </c>
      <c r="S6" s="294"/>
      <c r="T6" s="292" t="s">
        <v>87</v>
      </c>
      <c r="U6" s="135">
        <f>[11]ПЖ!N157</f>
        <v>68698586.505872428</v>
      </c>
      <c r="V6" s="282" t="s">
        <v>902</v>
      </c>
      <c r="W6" s="282" t="s">
        <v>903</v>
      </c>
      <c r="X6" s="282" t="s">
        <v>903</v>
      </c>
      <c r="Y6" s="293">
        <v>45285</v>
      </c>
      <c r="Z6" s="293">
        <v>45286</v>
      </c>
      <c r="AA6" s="282" t="s">
        <v>733</v>
      </c>
      <c r="AB6" s="282" t="s">
        <v>904</v>
      </c>
      <c r="AC6" s="42"/>
    </row>
    <row r="7" spans="1:30" ht="29.25" customHeight="1" x14ac:dyDescent="0.25">
      <c r="A7" s="286">
        <v>5</v>
      </c>
      <c r="B7" s="287" t="s">
        <v>17</v>
      </c>
      <c r="C7" s="288" t="s">
        <v>18</v>
      </c>
      <c r="D7" s="289">
        <v>4505948.67</v>
      </c>
      <c r="E7" s="289">
        <v>369487.79</v>
      </c>
      <c r="F7" s="289">
        <v>117010.48</v>
      </c>
      <c r="G7" s="289">
        <v>4992446.9400000004</v>
      </c>
      <c r="H7" s="290">
        <v>5248861.1100000003</v>
      </c>
      <c r="I7" s="291">
        <v>1.2</v>
      </c>
      <c r="J7" s="291">
        <f t="shared" si="0"/>
        <v>6298633.3320000004</v>
      </c>
      <c r="K7" s="291">
        <v>0</v>
      </c>
      <c r="L7" s="291">
        <v>0</v>
      </c>
      <c r="M7" s="291">
        <f t="shared" si="1"/>
        <v>6298633.3320000004</v>
      </c>
      <c r="N7" s="291">
        <v>1000000</v>
      </c>
      <c r="O7" s="291"/>
      <c r="P7" s="291">
        <v>0</v>
      </c>
      <c r="Q7" s="291">
        <f t="shared" si="2"/>
        <v>6298633.3320000004</v>
      </c>
      <c r="R7" s="26">
        <f>M7-N7</f>
        <v>5298633.3320000004</v>
      </c>
      <c r="S7" s="294"/>
      <c r="T7" s="292" t="s">
        <v>727</v>
      </c>
      <c r="U7" s="135">
        <f>[11]АС3!I218</f>
        <v>5371682.8022345919</v>
      </c>
      <c r="V7" s="293" t="s">
        <v>902</v>
      </c>
      <c r="W7" s="293" t="s">
        <v>903</v>
      </c>
      <c r="X7" s="293" t="s">
        <v>903</v>
      </c>
      <c r="Y7" s="293">
        <v>45279</v>
      </c>
      <c r="Z7" s="293">
        <v>45282</v>
      </c>
      <c r="AA7" s="293" t="s">
        <v>731</v>
      </c>
      <c r="AB7" s="293"/>
      <c r="AC7" s="42"/>
    </row>
    <row r="8" spans="1:30" ht="32.25" customHeight="1" x14ac:dyDescent="0.25">
      <c r="A8" s="300">
        <v>6</v>
      </c>
      <c r="B8" s="301" t="s">
        <v>19</v>
      </c>
      <c r="C8" s="302" t="s">
        <v>905</v>
      </c>
      <c r="D8" s="303">
        <v>10526911.91</v>
      </c>
      <c r="E8" s="303">
        <v>863206.78</v>
      </c>
      <c r="F8" s="303">
        <v>273362.84999999998</v>
      </c>
      <c r="G8" s="303">
        <v>11663481.539999999</v>
      </c>
      <c r="H8" s="304">
        <v>12262522.85</v>
      </c>
      <c r="I8" s="305">
        <v>1.2</v>
      </c>
      <c r="J8" s="305">
        <f t="shared" si="0"/>
        <v>14715027.42</v>
      </c>
      <c r="K8" s="305">
        <v>0</v>
      </c>
      <c r="L8" s="305">
        <v>10775049.08</v>
      </c>
      <c r="M8" s="305">
        <f t="shared" si="1"/>
        <v>3939978.34</v>
      </c>
      <c r="N8" s="305">
        <f>M8</f>
        <v>3939978.34</v>
      </c>
      <c r="O8" s="305">
        <v>0</v>
      </c>
      <c r="P8" s="305">
        <v>0</v>
      </c>
      <c r="Q8" s="305">
        <f t="shared" si="2"/>
        <v>14715027.42</v>
      </c>
      <c r="R8" s="306"/>
      <c r="S8" s="306"/>
      <c r="T8" s="307"/>
      <c r="U8" s="308"/>
      <c r="V8" s="309" t="s">
        <v>902</v>
      </c>
      <c r="W8" s="310" t="s">
        <v>903</v>
      </c>
      <c r="X8" s="310" t="s">
        <v>903</v>
      </c>
      <c r="Y8" s="310"/>
      <c r="Z8" s="309" t="s">
        <v>902</v>
      </c>
      <c r="AA8" s="310" t="s">
        <v>733</v>
      </c>
      <c r="AB8" s="310" t="s">
        <v>906</v>
      </c>
      <c r="AC8" s="42"/>
    </row>
    <row r="9" spans="1:30" ht="30" x14ac:dyDescent="0.25">
      <c r="A9" s="144">
        <v>7</v>
      </c>
      <c r="B9" s="295" t="s">
        <v>21</v>
      </c>
      <c r="C9" s="146" t="s">
        <v>22</v>
      </c>
      <c r="D9" s="296">
        <v>1615223.87</v>
      </c>
      <c r="E9" s="296">
        <v>132448.35999999999</v>
      </c>
      <c r="F9" s="296">
        <v>41944.13</v>
      </c>
      <c r="G9" s="296">
        <v>1789616.36</v>
      </c>
      <c r="H9" s="297">
        <v>1881531.81</v>
      </c>
      <c r="I9" s="298">
        <v>1.2</v>
      </c>
      <c r="J9" s="298">
        <f t="shared" si="0"/>
        <v>2257838.1719999998</v>
      </c>
      <c r="K9" s="298">
        <v>0</v>
      </c>
      <c r="L9" s="298">
        <v>0</v>
      </c>
      <c r="M9" s="298">
        <f t="shared" si="1"/>
        <v>2257838.1719999998</v>
      </c>
      <c r="N9" s="298"/>
      <c r="O9" s="298">
        <v>1000000</v>
      </c>
      <c r="P9" s="298">
        <v>0</v>
      </c>
      <c r="Q9" s="298">
        <f t="shared" si="2"/>
        <v>1257838.1719999998</v>
      </c>
      <c r="R9" s="26">
        <f>Q9</f>
        <v>1257838.1719999998</v>
      </c>
      <c r="S9" s="26"/>
      <c r="T9" s="152" t="s">
        <v>727</v>
      </c>
      <c r="U9" s="135">
        <f>[11]АС2!I45</f>
        <v>1836313.6241518557</v>
      </c>
      <c r="V9" s="348" t="s">
        <v>903</v>
      </c>
      <c r="W9" s="349"/>
      <c r="X9" s="350"/>
      <c r="Y9" s="311">
        <v>45279</v>
      </c>
      <c r="Z9" s="311">
        <v>45282</v>
      </c>
      <c r="AA9" s="312"/>
      <c r="AB9" s="312" t="s">
        <v>907</v>
      </c>
      <c r="AC9" s="32">
        <f>АС2!J45</f>
        <v>1538041.8907633561</v>
      </c>
    </row>
    <row r="10" spans="1:30" x14ac:dyDescent="0.25">
      <c r="A10" s="286">
        <v>8</v>
      </c>
      <c r="B10" s="287" t="s">
        <v>23</v>
      </c>
      <c r="C10" s="288" t="s">
        <v>24</v>
      </c>
      <c r="D10" s="289">
        <v>475031.03999999998</v>
      </c>
      <c r="E10" s="289">
        <v>38952.550000000003</v>
      </c>
      <c r="F10" s="289">
        <v>12335.61</v>
      </c>
      <c r="G10" s="289">
        <v>526319.19999999995</v>
      </c>
      <c r="H10" s="290">
        <v>553351.18000000005</v>
      </c>
      <c r="I10" s="291">
        <v>1.2</v>
      </c>
      <c r="J10" s="291">
        <f t="shared" si="0"/>
        <v>664021.41600000008</v>
      </c>
      <c r="K10" s="291">
        <v>0</v>
      </c>
      <c r="L10" s="291">
        <v>0</v>
      </c>
      <c r="M10" s="291">
        <f t="shared" si="1"/>
        <v>664021.41600000008</v>
      </c>
      <c r="N10" s="291"/>
      <c r="O10" s="291">
        <v>0</v>
      </c>
      <c r="P10" s="291">
        <v>0</v>
      </c>
      <c r="Q10" s="291">
        <f t="shared" si="2"/>
        <v>664021.41600000008</v>
      </c>
      <c r="R10" s="28">
        <f>Q10</f>
        <v>664021.41600000008</v>
      </c>
      <c r="S10" s="313"/>
      <c r="T10" s="292" t="s">
        <v>89</v>
      </c>
      <c r="U10" s="314"/>
      <c r="V10" s="282" t="s">
        <v>902</v>
      </c>
      <c r="W10" s="282" t="s">
        <v>902</v>
      </c>
      <c r="X10" s="282" t="s">
        <v>902</v>
      </c>
      <c r="Y10" s="282"/>
      <c r="Z10" s="282"/>
      <c r="AA10" s="282"/>
      <c r="AB10" s="282"/>
      <c r="AC10" s="42"/>
    </row>
    <row r="11" spans="1:30" x14ac:dyDescent="0.25">
      <c r="A11" s="286">
        <v>9</v>
      </c>
      <c r="B11" s="287" t="s">
        <v>25</v>
      </c>
      <c r="C11" s="288" t="s">
        <v>26</v>
      </c>
      <c r="D11" s="289">
        <v>2276671.21</v>
      </c>
      <c r="E11" s="289">
        <v>186687.04</v>
      </c>
      <c r="F11" s="289">
        <v>59120.6</v>
      </c>
      <c r="G11" s="289">
        <v>2522478.85</v>
      </c>
      <c r="H11" s="290">
        <v>2652034.42</v>
      </c>
      <c r="I11" s="291">
        <v>1.2</v>
      </c>
      <c r="J11" s="291">
        <f t="shared" si="0"/>
        <v>3182441.304</v>
      </c>
      <c r="K11" s="291">
        <v>0</v>
      </c>
      <c r="L11" s="291">
        <v>0</v>
      </c>
      <c r="M11" s="291">
        <f t="shared" si="1"/>
        <v>3182441.304</v>
      </c>
      <c r="N11" s="291"/>
      <c r="O11" s="291">
        <v>0</v>
      </c>
      <c r="P11" s="291">
        <v>0</v>
      </c>
      <c r="Q11" s="291">
        <f t="shared" si="2"/>
        <v>3182441.304</v>
      </c>
      <c r="R11" s="28">
        <v>1000000</v>
      </c>
      <c r="S11" s="44">
        <f>Q11-R11</f>
        <v>2182441.304</v>
      </c>
      <c r="T11" s="292"/>
      <c r="U11" s="314"/>
      <c r="V11" s="282" t="s">
        <v>902</v>
      </c>
      <c r="W11" s="282" t="s">
        <v>902</v>
      </c>
      <c r="X11" s="282" t="s">
        <v>902</v>
      </c>
      <c r="Y11" s="282"/>
      <c r="Z11" s="282"/>
      <c r="AA11" s="282"/>
      <c r="AB11" s="282"/>
      <c r="AC11" s="42"/>
    </row>
    <row r="12" spans="1:30" x14ac:dyDescent="0.25">
      <c r="A12" s="286">
        <v>10</v>
      </c>
      <c r="B12" s="287" t="s">
        <v>27</v>
      </c>
      <c r="C12" s="288" t="s">
        <v>28</v>
      </c>
      <c r="D12" s="289">
        <v>760016.55</v>
      </c>
      <c r="E12" s="289">
        <v>62321.36</v>
      </c>
      <c r="F12" s="289">
        <v>19736.11</v>
      </c>
      <c r="G12" s="289">
        <v>842074.02</v>
      </c>
      <c r="H12" s="290">
        <v>885323.3</v>
      </c>
      <c r="I12" s="291">
        <v>1.2</v>
      </c>
      <c r="J12" s="291">
        <f t="shared" si="0"/>
        <v>1062387.96</v>
      </c>
      <c r="K12" s="291">
        <v>0</v>
      </c>
      <c r="L12" s="291">
        <v>0</v>
      </c>
      <c r="M12" s="291">
        <f t="shared" si="1"/>
        <v>1062387.96</v>
      </c>
      <c r="N12" s="291"/>
      <c r="O12" s="291">
        <v>0</v>
      </c>
      <c r="P12" s="291">
        <v>600000</v>
      </c>
      <c r="Q12" s="291">
        <f t="shared" si="2"/>
        <v>1662387.96</v>
      </c>
      <c r="R12" s="26">
        <f>M12</f>
        <v>1062387.96</v>
      </c>
      <c r="S12" s="294"/>
      <c r="T12" s="292" t="s">
        <v>727</v>
      </c>
      <c r="U12" s="135">
        <f>[11]НВК2!I87</f>
        <v>1062387.950457541</v>
      </c>
      <c r="V12" s="293" t="s">
        <v>902</v>
      </c>
      <c r="W12" s="293" t="s">
        <v>902</v>
      </c>
      <c r="X12" s="293" t="s">
        <v>902</v>
      </c>
      <c r="Y12" s="293">
        <v>45281</v>
      </c>
      <c r="Z12" s="293">
        <v>45285</v>
      </c>
      <c r="AA12" s="315" t="s">
        <v>733</v>
      </c>
      <c r="AB12" s="315"/>
      <c r="AC12" s="42"/>
    </row>
    <row r="13" spans="1:30" ht="30" x14ac:dyDescent="0.25">
      <c r="A13" s="286">
        <v>11</v>
      </c>
      <c r="B13" s="287" t="s">
        <v>29</v>
      </c>
      <c r="C13" s="288" t="s">
        <v>30</v>
      </c>
      <c r="D13" s="289">
        <v>10454161.890000001</v>
      </c>
      <c r="E13" s="289">
        <v>857241.27</v>
      </c>
      <c r="F13" s="289">
        <v>271473.68</v>
      </c>
      <c r="G13" s="289">
        <v>11582876.84</v>
      </c>
      <c r="H13" s="290">
        <v>12177778.26</v>
      </c>
      <c r="I13" s="291">
        <v>1.2</v>
      </c>
      <c r="J13" s="291">
        <f t="shared" si="0"/>
        <v>14613333.911999999</v>
      </c>
      <c r="K13" s="291">
        <v>0</v>
      </c>
      <c r="L13" s="291">
        <v>0</v>
      </c>
      <c r="M13" s="291">
        <f t="shared" si="1"/>
        <v>14613333.911999999</v>
      </c>
      <c r="N13" s="291"/>
      <c r="O13" s="291">
        <v>0</v>
      </c>
      <c r="P13" s="291">
        <v>10000000</v>
      </c>
      <c r="Q13" s="291">
        <f t="shared" si="2"/>
        <v>24613333.912</v>
      </c>
      <c r="R13" s="29">
        <v>12000000</v>
      </c>
      <c r="S13" s="45">
        <f>Q13-R13</f>
        <v>12613333.912</v>
      </c>
      <c r="T13" s="292" t="s">
        <v>736</v>
      </c>
      <c r="U13" s="314"/>
      <c r="V13" s="293" t="s">
        <v>902</v>
      </c>
      <c r="W13" s="293" t="s">
        <v>902</v>
      </c>
      <c r="X13" s="293" t="s">
        <v>902</v>
      </c>
      <c r="Y13" s="293">
        <v>44936</v>
      </c>
      <c r="Z13" s="293">
        <v>44941</v>
      </c>
      <c r="AA13" s="315" t="s">
        <v>733</v>
      </c>
      <c r="AB13" s="315"/>
      <c r="AC13" s="42"/>
    </row>
    <row r="14" spans="1:30" ht="30" x14ac:dyDescent="0.25">
      <c r="A14" s="286">
        <v>12</v>
      </c>
      <c r="B14" s="287" t="s">
        <v>31</v>
      </c>
      <c r="C14" s="288" t="s">
        <v>32</v>
      </c>
      <c r="D14" s="289">
        <v>9143309.8300000001</v>
      </c>
      <c r="E14" s="289">
        <v>749751.41</v>
      </c>
      <c r="F14" s="289">
        <v>237433.47</v>
      </c>
      <c r="G14" s="289">
        <v>10130494.710000001</v>
      </c>
      <c r="H14" s="290">
        <v>10650801.17</v>
      </c>
      <c r="I14" s="291">
        <v>1.2</v>
      </c>
      <c r="J14" s="291">
        <f t="shared" si="0"/>
        <v>12780961.403999999</v>
      </c>
      <c r="K14" s="291">
        <v>0</v>
      </c>
      <c r="L14" s="291">
        <v>0</v>
      </c>
      <c r="M14" s="291">
        <f t="shared" si="1"/>
        <v>12780961.403999999</v>
      </c>
      <c r="N14" s="291"/>
      <c r="O14" s="291">
        <f>M14*30%</f>
        <v>3834288.4211999997</v>
      </c>
      <c r="P14" s="291">
        <v>0</v>
      </c>
      <c r="Q14" s="291">
        <f t="shared" si="2"/>
        <v>8946672.9827999994</v>
      </c>
      <c r="S14" s="44">
        <f>Q14</f>
        <v>8946672.9827999994</v>
      </c>
      <c r="T14" s="292" t="s">
        <v>736</v>
      </c>
      <c r="U14" s="314"/>
      <c r="V14" s="293" t="s">
        <v>902</v>
      </c>
      <c r="W14" s="293" t="s">
        <v>902</v>
      </c>
      <c r="X14" s="293" t="s">
        <v>902</v>
      </c>
      <c r="Y14" s="293">
        <v>44936</v>
      </c>
      <c r="Z14" s="293">
        <v>44941</v>
      </c>
      <c r="AA14" s="315" t="s">
        <v>733</v>
      </c>
      <c r="AB14" s="315"/>
      <c r="AC14" s="42"/>
    </row>
    <row r="15" spans="1:30" x14ac:dyDescent="0.25">
      <c r="A15" s="144">
        <v>13</v>
      </c>
      <c r="B15" s="295" t="s">
        <v>33</v>
      </c>
      <c r="C15" s="146" t="s">
        <v>34</v>
      </c>
      <c r="D15" s="296">
        <v>21996729.18</v>
      </c>
      <c r="E15" s="296">
        <v>1803731.79</v>
      </c>
      <c r="F15" s="296">
        <v>571211.06000000006</v>
      </c>
      <c r="G15" s="296">
        <v>24371672.030000001</v>
      </c>
      <c r="H15" s="297">
        <v>25623411.34</v>
      </c>
      <c r="I15" s="298">
        <v>1.2</v>
      </c>
      <c r="J15" s="298">
        <f t="shared" si="0"/>
        <v>30748093.607999999</v>
      </c>
      <c r="K15" s="298">
        <v>0</v>
      </c>
      <c r="L15" s="298">
        <v>0</v>
      </c>
      <c r="M15" s="298">
        <f t="shared" si="1"/>
        <v>30748093.607999999</v>
      </c>
      <c r="N15" s="298"/>
      <c r="O15" s="298">
        <v>19741000</v>
      </c>
      <c r="P15" s="298">
        <v>0</v>
      </c>
      <c r="Q15" s="298">
        <f t="shared" si="2"/>
        <v>11007093.607999999</v>
      </c>
      <c r="R15" s="26">
        <v>1500000</v>
      </c>
      <c r="S15" s="26">
        <f>Q15-R15</f>
        <v>9507093.6079999991</v>
      </c>
      <c r="T15" s="152" t="s">
        <v>727</v>
      </c>
      <c r="U15" s="135">
        <f>'[11]НВК-5'!K235</f>
        <v>1478685.654163233</v>
      </c>
      <c r="V15" s="299" t="s">
        <v>903</v>
      </c>
      <c r="W15" s="299" t="s">
        <v>903</v>
      </c>
      <c r="X15" s="299" t="s">
        <v>903</v>
      </c>
      <c r="Y15" s="153">
        <v>45280</v>
      </c>
      <c r="Z15" s="153">
        <v>45281</v>
      </c>
      <c r="AA15" s="316" t="s">
        <v>733</v>
      </c>
      <c r="AB15" s="316"/>
      <c r="AC15" s="32">
        <f>'НВК-5'!K235</f>
        <v>1402417.0524313936</v>
      </c>
    </row>
    <row r="16" spans="1:30" ht="30" x14ac:dyDescent="0.25">
      <c r="A16" s="300">
        <v>14</v>
      </c>
      <c r="B16" s="301" t="s">
        <v>35</v>
      </c>
      <c r="C16" s="302" t="s">
        <v>36</v>
      </c>
      <c r="D16" s="303">
        <v>1758763.66</v>
      </c>
      <c r="E16" s="303">
        <v>144218.62</v>
      </c>
      <c r="F16" s="303">
        <v>45671.57</v>
      </c>
      <c r="G16" s="303">
        <v>1948653.85</v>
      </c>
      <c r="H16" s="304">
        <v>2048737.53</v>
      </c>
      <c r="I16" s="305">
        <v>1.2</v>
      </c>
      <c r="J16" s="305">
        <f t="shared" si="0"/>
        <v>2458485.0359999998</v>
      </c>
      <c r="K16" s="305">
        <v>0</v>
      </c>
      <c r="L16" s="305">
        <v>0</v>
      </c>
      <c r="M16" s="305">
        <f t="shared" si="1"/>
        <v>2458485.0359999998</v>
      </c>
      <c r="N16" s="305"/>
      <c r="O16" s="305">
        <v>1000000</v>
      </c>
      <c r="P16" s="305">
        <v>0</v>
      </c>
      <c r="Q16" s="305">
        <f t="shared" si="2"/>
        <v>1458485.0359999998</v>
      </c>
      <c r="R16" s="306">
        <f t="shared" ref="R16:R21" si="3">Q16</f>
        <v>1458485.0359999998</v>
      </c>
      <c r="S16" s="306"/>
      <c r="T16" s="307" t="s">
        <v>727</v>
      </c>
      <c r="U16" s="308">
        <f>[11]НВК1!I69</f>
        <v>1251330.0501987713</v>
      </c>
      <c r="V16" s="309" t="s">
        <v>902</v>
      </c>
      <c r="W16" s="309" t="s">
        <v>903</v>
      </c>
      <c r="X16" s="309" t="s">
        <v>903</v>
      </c>
      <c r="Y16" s="317">
        <v>45281</v>
      </c>
      <c r="Z16" s="317">
        <v>45285</v>
      </c>
      <c r="AA16" s="318" t="s">
        <v>733</v>
      </c>
      <c r="AB16" s="318"/>
      <c r="AC16" s="42"/>
    </row>
    <row r="17" spans="1:30" ht="24" customHeight="1" x14ac:dyDescent="0.25">
      <c r="A17" s="286">
        <v>16</v>
      </c>
      <c r="B17" s="287" t="s">
        <v>39</v>
      </c>
      <c r="C17" s="288" t="s">
        <v>908</v>
      </c>
      <c r="D17" s="289">
        <v>4859580.66</v>
      </c>
      <c r="E17" s="289">
        <v>398485.61</v>
      </c>
      <c r="F17" s="289">
        <v>126193.59</v>
      </c>
      <c r="G17" s="289">
        <v>5384259.8600000003</v>
      </c>
      <c r="H17" s="290">
        <v>5660797.71</v>
      </c>
      <c r="I17" s="291">
        <v>1.2</v>
      </c>
      <c r="J17" s="291">
        <f>H17*I17</f>
        <v>6792957.2519999994</v>
      </c>
      <c r="K17" s="291">
        <v>0</v>
      </c>
      <c r="L17" s="291">
        <v>0</v>
      </c>
      <c r="M17" s="291">
        <f>J17-K17-L17</f>
        <v>6792957.2519999994</v>
      </c>
      <c r="N17" s="291"/>
      <c r="O17" s="291">
        <v>1000000</v>
      </c>
      <c r="P17" s="291">
        <v>0</v>
      </c>
      <c r="Q17" s="291">
        <f>J17-O17+P17</f>
        <v>5792957.2519999994</v>
      </c>
      <c r="R17" s="26">
        <f>Q17</f>
        <v>5792957.2519999994</v>
      </c>
      <c r="S17" s="294"/>
      <c r="T17" s="292" t="s">
        <v>727</v>
      </c>
      <c r="U17" s="137"/>
      <c r="V17" s="293" t="s">
        <v>902</v>
      </c>
      <c r="W17" s="293" t="s">
        <v>903</v>
      </c>
      <c r="X17" s="293" t="s">
        <v>903</v>
      </c>
      <c r="Y17" s="293">
        <v>45285</v>
      </c>
      <c r="Z17" s="293">
        <v>45286</v>
      </c>
      <c r="AA17" s="282" t="s">
        <v>733</v>
      </c>
      <c r="AB17" s="315" t="s">
        <v>909</v>
      </c>
      <c r="AC17" s="42"/>
    </row>
    <row r="18" spans="1:30" x14ac:dyDescent="0.25">
      <c r="A18" s="286">
        <v>15</v>
      </c>
      <c r="B18" s="287" t="s">
        <v>37</v>
      </c>
      <c r="C18" s="288" t="s">
        <v>38</v>
      </c>
      <c r="D18" s="289">
        <v>4044845.15</v>
      </c>
      <c r="E18" s="289">
        <v>331677.3</v>
      </c>
      <c r="F18" s="289">
        <v>105036.54</v>
      </c>
      <c r="G18" s="289">
        <v>4481558.99</v>
      </c>
      <c r="H18" s="290">
        <v>4711733.74</v>
      </c>
      <c r="I18" s="291">
        <v>1.2</v>
      </c>
      <c r="J18" s="291">
        <f t="shared" si="0"/>
        <v>5654080.4879999999</v>
      </c>
      <c r="K18" s="291">
        <v>0</v>
      </c>
      <c r="L18" s="291">
        <v>0</v>
      </c>
      <c r="M18" s="291">
        <f t="shared" si="1"/>
        <v>5654080.4879999999</v>
      </c>
      <c r="N18" s="291"/>
      <c r="O18" s="291">
        <v>0</v>
      </c>
      <c r="P18" s="291">
        <v>0</v>
      </c>
      <c r="Q18" s="291">
        <f t="shared" si="2"/>
        <v>5654080.4879999999</v>
      </c>
      <c r="R18" s="30">
        <f t="shared" si="3"/>
        <v>5654080.4879999999</v>
      </c>
      <c r="S18" s="313"/>
      <c r="T18" s="292"/>
      <c r="U18" s="137"/>
      <c r="V18" s="293" t="s">
        <v>902</v>
      </c>
      <c r="W18" s="293" t="s">
        <v>903</v>
      </c>
      <c r="X18" s="293" t="s">
        <v>903</v>
      </c>
      <c r="Y18" s="319">
        <v>45281</v>
      </c>
      <c r="Z18" s="319">
        <v>45285</v>
      </c>
      <c r="AA18" s="315" t="s">
        <v>733</v>
      </c>
      <c r="AB18" s="315"/>
      <c r="AC18" s="42"/>
    </row>
    <row r="19" spans="1:30" x14ac:dyDescent="0.25">
      <c r="A19" s="286">
        <v>17</v>
      </c>
      <c r="B19" s="287" t="s">
        <v>41</v>
      </c>
      <c r="C19" s="288" t="s">
        <v>42</v>
      </c>
      <c r="D19" s="289">
        <v>1890203.39</v>
      </c>
      <c r="E19" s="289">
        <v>154996.68</v>
      </c>
      <c r="F19" s="289">
        <v>49084.800000000003</v>
      </c>
      <c r="G19" s="289">
        <v>2094284.87</v>
      </c>
      <c r="H19" s="290">
        <v>2201848.2200000002</v>
      </c>
      <c r="I19" s="291">
        <v>1.2</v>
      </c>
      <c r="J19" s="291">
        <f t="shared" si="0"/>
        <v>2642217.8640000001</v>
      </c>
      <c r="K19" s="291">
        <v>0</v>
      </c>
      <c r="L19" s="291">
        <v>0</v>
      </c>
      <c r="M19" s="291">
        <f t="shared" si="1"/>
        <v>2642217.8640000001</v>
      </c>
      <c r="N19" s="291"/>
      <c r="O19" s="291">
        <v>0</v>
      </c>
      <c r="P19" s="291">
        <v>3000000</v>
      </c>
      <c r="Q19" s="291">
        <f t="shared" si="2"/>
        <v>5642217.8640000001</v>
      </c>
      <c r="R19" s="29">
        <f t="shared" si="3"/>
        <v>5642217.8640000001</v>
      </c>
      <c r="S19" s="294"/>
      <c r="T19" s="292" t="s">
        <v>90</v>
      </c>
      <c r="U19" s="314"/>
      <c r="V19" s="293" t="s">
        <v>902</v>
      </c>
      <c r="W19" s="293" t="s">
        <v>902</v>
      </c>
      <c r="X19" s="293" t="s">
        <v>902</v>
      </c>
      <c r="Y19" s="319">
        <v>45281</v>
      </c>
      <c r="Z19" s="319">
        <v>45285</v>
      </c>
      <c r="AA19" s="315" t="s">
        <v>733</v>
      </c>
      <c r="AB19" s="315" t="s">
        <v>910</v>
      </c>
      <c r="AC19" s="42"/>
    </row>
    <row r="20" spans="1:30" x14ac:dyDescent="0.25">
      <c r="A20" s="286">
        <v>18</v>
      </c>
      <c r="B20" s="287" t="s">
        <v>43</v>
      </c>
      <c r="C20" s="288" t="s">
        <v>44</v>
      </c>
      <c r="D20" s="289">
        <v>4003449.34</v>
      </c>
      <c r="E20" s="289">
        <v>328282.84999999998</v>
      </c>
      <c r="F20" s="289">
        <v>103961.57</v>
      </c>
      <c r="G20" s="289">
        <v>4435693.76</v>
      </c>
      <c r="H20" s="290">
        <v>4663512.8499999996</v>
      </c>
      <c r="I20" s="291">
        <v>1.2</v>
      </c>
      <c r="J20" s="291">
        <f t="shared" si="0"/>
        <v>5596215.419999999</v>
      </c>
      <c r="K20" s="291">
        <v>0</v>
      </c>
      <c r="L20" s="291">
        <v>0</v>
      </c>
      <c r="M20" s="291">
        <f t="shared" si="1"/>
        <v>5596215.419999999</v>
      </c>
      <c r="N20" s="291"/>
      <c r="O20" s="291">
        <v>0</v>
      </c>
      <c r="P20" s="291">
        <v>3000000</v>
      </c>
      <c r="Q20" s="291">
        <f t="shared" si="2"/>
        <v>8596215.4199999981</v>
      </c>
      <c r="R20" s="29">
        <f t="shared" si="3"/>
        <v>8596215.4199999981</v>
      </c>
      <c r="S20" s="294"/>
      <c r="T20" s="292" t="s">
        <v>90</v>
      </c>
      <c r="U20" s="314"/>
      <c r="V20" s="293" t="s">
        <v>902</v>
      </c>
      <c r="W20" s="293" t="s">
        <v>903</v>
      </c>
      <c r="X20" s="293" t="s">
        <v>902</v>
      </c>
      <c r="Y20" s="319">
        <v>45281</v>
      </c>
      <c r="Z20" s="319">
        <v>45285</v>
      </c>
      <c r="AA20" s="315" t="s">
        <v>733</v>
      </c>
      <c r="AB20" s="315" t="s">
        <v>910</v>
      </c>
      <c r="AC20" s="42"/>
    </row>
    <row r="21" spans="1:30" ht="45" x14ac:dyDescent="0.25">
      <c r="A21" s="286">
        <v>19</v>
      </c>
      <c r="B21" s="287" t="s">
        <v>45</v>
      </c>
      <c r="C21" s="288" t="s">
        <v>46</v>
      </c>
      <c r="D21" s="289">
        <v>8291915.46</v>
      </c>
      <c r="E21" s="289">
        <v>679937.07</v>
      </c>
      <c r="F21" s="289">
        <v>215324.46</v>
      </c>
      <c r="G21" s="289">
        <v>9187176.9900000002</v>
      </c>
      <c r="H21" s="290">
        <v>9659034.2599999998</v>
      </c>
      <c r="I21" s="291">
        <v>1.2</v>
      </c>
      <c r="J21" s="291">
        <f t="shared" si="0"/>
        <v>11590841.112</v>
      </c>
      <c r="K21" s="291">
        <v>0</v>
      </c>
      <c r="L21" s="291">
        <v>0</v>
      </c>
      <c r="M21" s="291">
        <f t="shared" si="1"/>
        <v>11590841.112</v>
      </c>
      <c r="N21" s="291"/>
      <c r="O21" s="291">
        <v>3000000</v>
      </c>
      <c r="P21" s="291">
        <v>0</v>
      </c>
      <c r="Q21" s="291">
        <f t="shared" si="2"/>
        <v>8590841.1119999997</v>
      </c>
      <c r="R21" s="29">
        <f t="shared" si="3"/>
        <v>8590841.1119999997</v>
      </c>
      <c r="S21" s="294"/>
      <c r="T21" s="292" t="s">
        <v>734</v>
      </c>
      <c r="U21" s="314"/>
      <c r="V21" s="293" t="s">
        <v>903</v>
      </c>
      <c r="W21" s="293" t="s">
        <v>902</v>
      </c>
      <c r="X21" s="293" t="s">
        <v>902</v>
      </c>
      <c r="Y21" s="320">
        <v>45281</v>
      </c>
      <c r="Z21" s="320">
        <v>45285</v>
      </c>
      <c r="AA21" s="315" t="s">
        <v>735</v>
      </c>
      <c r="AB21" s="315" t="s">
        <v>911</v>
      </c>
      <c r="AC21" s="42"/>
    </row>
    <row r="22" spans="1:30" x14ac:dyDescent="0.25">
      <c r="A22" s="286">
        <v>20</v>
      </c>
      <c r="B22" s="287" t="s">
        <v>47</v>
      </c>
      <c r="C22" s="288" t="s">
        <v>48</v>
      </c>
      <c r="D22" s="289">
        <v>5005903.75</v>
      </c>
      <c r="E22" s="289">
        <v>410484.11</v>
      </c>
      <c r="F22" s="289">
        <v>129993.31</v>
      </c>
      <c r="G22" s="289">
        <v>5546381.1699999999</v>
      </c>
      <c r="H22" s="290">
        <v>5831245.6399999997</v>
      </c>
      <c r="I22" s="291">
        <v>1.2</v>
      </c>
      <c r="J22" s="291">
        <f t="shared" si="0"/>
        <v>6997494.7679999992</v>
      </c>
      <c r="K22" s="291">
        <v>0</v>
      </c>
      <c r="L22" s="291">
        <v>2298854.48</v>
      </c>
      <c r="M22" s="291">
        <f t="shared" si="1"/>
        <v>4698640.2879999988</v>
      </c>
      <c r="N22" s="291">
        <f>M22</f>
        <v>4698640.2879999988</v>
      </c>
      <c r="O22" s="291">
        <v>0</v>
      </c>
      <c r="P22" s="291">
        <v>0</v>
      </c>
      <c r="Q22" s="291">
        <f t="shared" si="2"/>
        <v>6997494.7679999992</v>
      </c>
      <c r="R22" s="313"/>
      <c r="S22" s="313"/>
      <c r="T22" s="292"/>
      <c r="U22" s="314"/>
      <c r="V22" s="285"/>
      <c r="W22" s="285"/>
      <c r="X22" s="285"/>
      <c r="Y22" s="285"/>
      <c r="Z22" s="285"/>
      <c r="AA22" s="285"/>
      <c r="AB22" s="285"/>
      <c r="AC22" s="42"/>
    </row>
    <row r="23" spans="1:30" ht="60" x14ac:dyDescent="0.25">
      <c r="A23" s="286">
        <v>21</v>
      </c>
      <c r="B23" s="287" t="s">
        <v>49</v>
      </c>
      <c r="C23" s="288" t="s">
        <v>50</v>
      </c>
      <c r="D23" s="289">
        <v>48898423.600000001</v>
      </c>
      <c r="E23" s="289">
        <v>4009670.74</v>
      </c>
      <c r="F23" s="289">
        <v>1269794.26</v>
      </c>
      <c r="G23" s="289">
        <v>54177888.600000001</v>
      </c>
      <c r="H23" s="290">
        <v>56960487.710000001</v>
      </c>
      <c r="I23" s="291">
        <v>1.2</v>
      </c>
      <c r="J23" s="291">
        <f t="shared" si="0"/>
        <v>68352585.252000004</v>
      </c>
      <c r="K23" s="291">
        <v>0</v>
      </c>
      <c r="L23" s="291">
        <v>0</v>
      </c>
      <c r="M23" s="291">
        <f>J23-K23-L23</f>
        <v>68352585.252000004</v>
      </c>
      <c r="N23" s="291">
        <f>Q23-R23</f>
        <v>53352585.252000004</v>
      </c>
      <c r="O23" s="291">
        <v>0</v>
      </c>
      <c r="P23" s="291">
        <v>0</v>
      </c>
      <c r="Q23" s="291">
        <f t="shared" si="2"/>
        <v>68352585.252000004</v>
      </c>
      <c r="R23" s="26">
        <v>15000000</v>
      </c>
      <c r="S23" s="294"/>
      <c r="T23" s="292" t="s">
        <v>732</v>
      </c>
      <c r="U23" s="135">
        <v>10000000</v>
      </c>
      <c r="V23" s="321" t="s">
        <v>902</v>
      </c>
      <c r="W23" s="321" t="s">
        <v>902</v>
      </c>
      <c r="X23" s="321" t="s">
        <v>902</v>
      </c>
      <c r="Y23" s="321" t="s">
        <v>741</v>
      </c>
      <c r="Z23" s="321" t="s">
        <v>741</v>
      </c>
      <c r="AA23" s="315" t="s">
        <v>733</v>
      </c>
      <c r="AB23" s="315"/>
      <c r="AC23" s="42"/>
    </row>
    <row r="24" spans="1:30" x14ac:dyDescent="0.25">
      <c r="A24" s="345" t="s">
        <v>83</v>
      </c>
      <c r="B24" s="346"/>
      <c r="C24" s="346"/>
      <c r="D24" s="346"/>
      <c r="E24" s="346"/>
      <c r="F24" s="346"/>
      <c r="G24" s="346"/>
      <c r="H24" s="346"/>
      <c r="I24" s="346"/>
      <c r="J24" s="346"/>
      <c r="K24" s="346"/>
      <c r="L24" s="346"/>
      <c r="M24" s="346"/>
      <c r="N24" s="346"/>
      <c r="O24" s="346"/>
      <c r="P24" s="346"/>
      <c r="Q24" s="347"/>
      <c r="R24" s="322"/>
      <c r="S24" s="322"/>
      <c r="U24" s="314"/>
      <c r="V24" s="285"/>
      <c r="W24" s="285"/>
      <c r="X24" s="285"/>
      <c r="Y24" s="285"/>
      <c r="Z24" s="285"/>
      <c r="AA24" s="285"/>
      <c r="AB24" s="285"/>
      <c r="AC24" s="42"/>
    </row>
    <row r="25" spans="1:30" outlineLevel="1" x14ac:dyDescent="0.25">
      <c r="A25" s="286">
        <v>22</v>
      </c>
      <c r="B25" s="324"/>
      <c r="C25" s="288" t="s">
        <v>55</v>
      </c>
      <c r="D25" s="289">
        <v>4859580.66</v>
      </c>
      <c r="E25" s="289">
        <v>398485.61</v>
      </c>
      <c r="F25" s="289">
        <v>126193.59</v>
      </c>
      <c r="G25" s="289">
        <v>5384259.8600000003</v>
      </c>
      <c r="H25" s="289"/>
      <c r="I25" s="325">
        <v>1.2</v>
      </c>
      <c r="J25" s="326">
        <v>0</v>
      </c>
      <c r="K25" s="326">
        <v>0</v>
      </c>
      <c r="L25" s="326">
        <v>0</v>
      </c>
      <c r="M25" s="326">
        <f>J25-K25-L25</f>
        <v>0</v>
      </c>
      <c r="N25" s="326"/>
      <c r="O25" s="326">
        <v>0</v>
      </c>
      <c r="P25" s="327">
        <v>12000000</v>
      </c>
      <c r="Q25" s="327">
        <f t="shared" si="2"/>
        <v>12000000</v>
      </c>
      <c r="R25" s="38">
        <f>Q25</f>
        <v>12000000</v>
      </c>
      <c r="S25" s="285"/>
      <c r="T25" s="292" t="s">
        <v>737</v>
      </c>
      <c r="U25" s="314">
        <f>R25</f>
        <v>12000000</v>
      </c>
      <c r="V25" s="319"/>
      <c r="W25" s="319"/>
      <c r="X25" s="319"/>
      <c r="Y25" s="293">
        <v>45281</v>
      </c>
      <c r="Z25" s="299">
        <v>45281</v>
      </c>
      <c r="AA25" s="285" t="s">
        <v>738</v>
      </c>
      <c r="AB25" s="285" t="s">
        <v>912</v>
      </c>
      <c r="AC25" s="32">
        <v>0</v>
      </c>
      <c r="AD25" s="316" t="s">
        <v>913</v>
      </c>
    </row>
    <row r="26" spans="1:30" outlineLevel="1" x14ac:dyDescent="0.25">
      <c r="A26" s="286">
        <v>23</v>
      </c>
      <c r="B26" s="324"/>
      <c r="C26" s="288" t="s">
        <v>56</v>
      </c>
      <c r="D26" s="289">
        <v>1890203.39</v>
      </c>
      <c r="E26" s="289">
        <v>154996.68</v>
      </c>
      <c r="F26" s="289">
        <v>49084.800000000003</v>
      </c>
      <c r="G26" s="289">
        <v>2094284.87</v>
      </c>
      <c r="H26" s="289"/>
      <c r="I26" s="325">
        <v>1.2</v>
      </c>
      <c r="J26" s="326">
        <v>0</v>
      </c>
      <c r="K26" s="326">
        <v>0</v>
      </c>
      <c r="L26" s="326">
        <v>0</v>
      </c>
      <c r="M26" s="326">
        <f t="shared" ref="M26:M28" si="4">J26-K26-L26</f>
        <v>0</v>
      </c>
      <c r="N26" s="326"/>
      <c r="O26" s="326">
        <v>0</v>
      </c>
      <c r="P26" s="327">
        <v>4000000</v>
      </c>
      <c r="Q26" s="327">
        <f t="shared" si="2"/>
        <v>4000000</v>
      </c>
      <c r="R26" s="38">
        <f>Q26</f>
        <v>4000000</v>
      </c>
      <c r="S26" s="285"/>
      <c r="T26" s="292" t="s">
        <v>737</v>
      </c>
      <c r="U26" s="314"/>
      <c r="V26" s="319"/>
      <c r="W26" s="319"/>
      <c r="X26" s="319"/>
      <c r="Y26" s="293">
        <v>45281</v>
      </c>
      <c r="Z26" s="299">
        <v>45281</v>
      </c>
      <c r="AA26" s="285" t="s">
        <v>738</v>
      </c>
      <c r="AB26" s="285"/>
      <c r="AC26" s="32">
        <v>0</v>
      </c>
      <c r="AD26" s="316"/>
    </row>
    <row r="27" spans="1:30" outlineLevel="1" x14ac:dyDescent="0.25">
      <c r="A27" s="286">
        <v>24</v>
      </c>
      <c r="B27" s="324"/>
      <c r="C27" s="288" t="s">
        <v>57</v>
      </c>
      <c r="D27" s="289">
        <v>4003449.34</v>
      </c>
      <c r="E27" s="289">
        <v>328282.84999999998</v>
      </c>
      <c r="F27" s="289">
        <v>103961.57</v>
      </c>
      <c r="G27" s="289">
        <v>4435693.76</v>
      </c>
      <c r="H27" s="289"/>
      <c r="I27" s="325">
        <v>1.2</v>
      </c>
      <c r="J27" s="326">
        <v>0</v>
      </c>
      <c r="K27" s="326">
        <v>0</v>
      </c>
      <c r="L27" s="326">
        <v>0</v>
      </c>
      <c r="M27" s="326">
        <f t="shared" si="4"/>
        <v>0</v>
      </c>
      <c r="N27" s="326"/>
      <c r="O27" s="326">
        <v>0</v>
      </c>
      <c r="P27" s="327"/>
      <c r="Q27" s="327">
        <f t="shared" si="2"/>
        <v>0</v>
      </c>
      <c r="R27" s="285"/>
      <c r="S27" s="285"/>
      <c r="T27" s="292"/>
      <c r="U27" s="314"/>
      <c r="V27" s="285"/>
      <c r="W27" s="285"/>
      <c r="X27" s="285"/>
      <c r="Y27" s="282"/>
      <c r="Z27" s="312"/>
      <c r="AA27" s="285"/>
      <c r="AB27" s="285"/>
      <c r="AC27" s="42"/>
      <c r="AD27" s="316"/>
    </row>
    <row r="28" spans="1:30" outlineLevel="1" x14ac:dyDescent="0.25">
      <c r="A28" s="286">
        <v>25</v>
      </c>
      <c r="B28" s="324"/>
      <c r="C28" s="288" t="s">
        <v>58</v>
      </c>
      <c r="D28" s="289">
        <v>8291915.46</v>
      </c>
      <c r="E28" s="289">
        <v>679937.07</v>
      </c>
      <c r="F28" s="289">
        <v>215324.46</v>
      </c>
      <c r="G28" s="289">
        <v>9187176.9900000002</v>
      </c>
      <c r="H28" s="289"/>
      <c r="I28" s="325">
        <v>1.2</v>
      </c>
      <c r="J28" s="326">
        <v>0</v>
      </c>
      <c r="K28" s="326">
        <v>0</v>
      </c>
      <c r="L28" s="326">
        <v>0</v>
      </c>
      <c r="M28" s="326">
        <f t="shared" si="4"/>
        <v>0</v>
      </c>
      <c r="N28" s="326"/>
      <c r="O28" s="326">
        <v>0</v>
      </c>
      <c r="P28" s="327">
        <v>2100000</v>
      </c>
      <c r="Q28" s="327">
        <f t="shared" si="2"/>
        <v>2100000</v>
      </c>
      <c r="R28" s="38">
        <f>Q28</f>
        <v>2100000</v>
      </c>
      <c r="S28" s="285"/>
      <c r="T28" s="292" t="s">
        <v>93</v>
      </c>
      <c r="U28" s="314">
        <v>2168448</v>
      </c>
      <c r="V28" s="285"/>
      <c r="W28" s="285"/>
      <c r="X28" s="285"/>
      <c r="Y28" s="282"/>
      <c r="Z28" s="299">
        <v>45281</v>
      </c>
      <c r="AA28" s="285" t="s">
        <v>740</v>
      </c>
      <c r="AB28" s="285" t="s">
        <v>914</v>
      </c>
      <c r="AC28" s="32">
        <f>Мазутопровод!O140</f>
        <v>2168446.96</v>
      </c>
      <c r="AD28" s="316"/>
    </row>
    <row r="29" spans="1:30" outlineLevel="1" x14ac:dyDescent="0.25">
      <c r="A29" s="286">
        <v>26</v>
      </c>
      <c r="B29" s="324"/>
      <c r="C29" s="288" t="s">
        <v>59</v>
      </c>
      <c r="D29" s="289">
        <v>5005903.75</v>
      </c>
      <c r="E29" s="289">
        <v>410484.11</v>
      </c>
      <c r="F29" s="289">
        <v>129993.31</v>
      </c>
      <c r="G29" s="289">
        <v>5546381.1699999999</v>
      </c>
      <c r="H29" s="289"/>
      <c r="I29" s="325">
        <v>1.2</v>
      </c>
      <c r="J29" s="326">
        <v>0</v>
      </c>
      <c r="K29" s="326">
        <v>0</v>
      </c>
      <c r="L29" s="326">
        <v>0</v>
      </c>
      <c r="M29" s="326">
        <v>0</v>
      </c>
      <c r="N29" s="326"/>
      <c r="O29" s="326">
        <v>0</v>
      </c>
      <c r="P29" s="327">
        <v>4600000</v>
      </c>
      <c r="Q29" s="327">
        <f t="shared" si="2"/>
        <v>4600000</v>
      </c>
      <c r="R29" s="32">
        <f>Q29-400000</f>
        <v>4200000</v>
      </c>
      <c r="S29" s="328"/>
      <c r="T29" s="292"/>
      <c r="U29" s="135">
        <f>[11]ТС5!O199</f>
        <v>4216719.66</v>
      </c>
      <c r="V29" s="135"/>
      <c r="W29" s="351"/>
      <c r="X29" s="352"/>
      <c r="Y29" s="339">
        <v>45279</v>
      </c>
      <c r="Z29" s="340"/>
      <c r="AA29" s="285" t="s">
        <v>739</v>
      </c>
      <c r="AB29" s="285"/>
      <c r="AC29" s="42"/>
      <c r="AD29" s="316"/>
    </row>
    <row r="30" spans="1:30" outlineLevel="1" x14ac:dyDescent="0.25">
      <c r="A30" s="286">
        <v>28</v>
      </c>
      <c r="B30" s="324"/>
      <c r="C30" s="288" t="s">
        <v>60</v>
      </c>
      <c r="D30" s="289">
        <v>1890203.39</v>
      </c>
      <c r="E30" s="289">
        <v>154996.68</v>
      </c>
      <c r="F30" s="289">
        <v>49084.800000000003</v>
      </c>
      <c r="G30" s="289">
        <v>2094284.87</v>
      </c>
      <c r="H30" s="289"/>
      <c r="I30" s="325">
        <v>1.2</v>
      </c>
      <c r="J30" s="326">
        <v>0</v>
      </c>
      <c r="K30" s="326">
        <v>0</v>
      </c>
      <c r="L30" s="326">
        <v>0</v>
      </c>
      <c r="M30" s="326">
        <f t="shared" ref="M30:M32" si="5">J30-K30-L30</f>
        <v>0</v>
      </c>
      <c r="N30" s="326"/>
      <c r="O30" s="326">
        <v>0</v>
      </c>
      <c r="P30" s="327">
        <v>1800000</v>
      </c>
      <c r="Q30" s="327">
        <f t="shared" si="2"/>
        <v>1800000</v>
      </c>
      <c r="R30" s="285"/>
      <c r="S30" s="285"/>
      <c r="T30" s="292" t="s">
        <v>103</v>
      </c>
      <c r="U30" s="314"/>
      <c r="V30" s="285"/>
      <c r="W30" s="285"/>
      <c r="X30" s="285"/>
      <c r="Y30" s="282"/>
      <c r="Z30" s="282"/>
      <c r="AA30" s="285"/>
      <c r="AB30" s="285"/>
      <c r="AC30" s="42"/>
      <c r="AD30" s="318"/>
    </row>
    <row r="31" spans="1:30" outlineLevel="1" x14ac:dyDescent="0.25">
      <c r="A31" s="286">
        <v>29</v>
      </c>
      <c r="B31" s="324"/>
      <c r="C31" s="288" t="s">
        <v>61</v>
      </c>
      <c r="D31" s="289">
        <v>4003449.34</v>
      </c>
      <c r="E31" s="289">
        <v>328282.84999999998</v>
      </c>
      <c r="F31" s="289">
        <v>103961.57</v>
      </c>
      <c r="G31" s="289">
        <v>4435693.76</v>
      </c>
      <c r="H31" s="289"/>
      <c r="I31" s="325">
        <v>1.2</v>
      </c>
      <c r="J31" s="326">
        <v>0</v>
      </c>
      <c r="K31" s="326">
        <v>0</v>
      </c>
      <c r="L31" s="326">
        <v>0</v>
      </c>
      <c r="M31" s="326">
        <f t="shared" si="5"/>
        <v>0</v>
      </c>
      <c r="N31" s="326"/>
      <c r="O31" s="326">
        <v>0</v>
      </c>
      <c r="P31" s="327">
        <v>1000000</v>
      </c>
      <c r="Q31" s="327">
        <f t="shared" si="2"/>
        <v>1000000</v>
      </c>
      <c r="R31" s="285"/>
      <c r="S31" s="285"/>
      <c r="T31" s="292" t="s">
        <v>103</v>
      </c>
      <c r="U31" s="314"/>
      <c r="V31" s="282" t="s">
        <v>903</v>
      </c>
      <c r="W31" s="282" t="s">
        <v>903</v>
      </c>
      <c r="X31" s="282" t="s">
        <v>902</v>
      </c>
      <c r="Y31" s="293">
        <v>45281</v>
      </c>
      <c r="Z31" s="293">
        <v>45282</v>
      </c>
      <c r="AA31" s="285"/>
      <c r="AB31" s="285"/>
      <c r="AC31" s="32"/>
      <c r="AD31" s="316"/>
    </row>
    <row r="32" spans="1:30" outlineLevel="1" x14ac:dyDescent="0.25">
      <c r="A32" s="286">
        <v>30</v>
      </c>
      <c r="B32" s="324"/>
      <c r="C32" s="288" t="s">
        <v>62</v>
      </c>
      <c r="D32" s="289">
        <v>8291915.46</v>
      </c>
      <c r="E32" s="289">
        <v>679937.07</v>
      </c>
      <c r="F32" s="289">
        <v>215324.46</v>
      </c>
      <c r="G32" s="289">
        <v>9187176.9900000002</v>
      </c>
      <c r="H32" s="289"/>
      <c r="I32" s="325">
        <v>1.2</v>
      </c>
      <c r="J32" s="326">
        <v>0</v>
      </c>
      <c r="K32" s="326">
        <v>0</v>
      </c>
      <c r="L32" s="326">
        <v>0</v>
      </c>
      <c r="M32" s="326">
        <f t="shared" si="5"/>
        <v>0</v>
      </c>
      <c r="N32" s="326"/>
      <c r="O32" s="326">
        <v>0</v>
      </c>
      <c r="P32" s="327">
        <v>800000</v>
      </c>
      <c r="Q32" s="327">
        <f t="shared" si="2"/>
        <v>800000</v>
      </c>
      <c r="R32" s="285"/>
      <c r="S32" s="285"/>
      <c r="T32" s="292" t="s">
        <v>103</v>
      </c>
      <c r="U32" s="314"/>
      <c r="V32" s="282" t="s">
        <v>902</v>
      </c>
      <c r="W32" s="282" t="s">
        <v>902</v>
      </c>
      <c r="X32" s="282" t="s">
        <v>902</v>
      </c>
      <c r="Y32" s="293">
        <v>45285</v>
      </c>
      <c r="Z32" s="293">
        <v>45286</v>
      </c>
      <c r="AA32" s="285"/>
      <c r="AB32" s="285"/>
      <c r="AC32" s="32"/>
      <c r="AD32" s="316"/>
    </row>
    <row r="33" spans="1:30" outlineLevel="1" x14ac:dyDescent="0.25">
      <c r="A33" s="286">
        <v>31</v>
      </c>
      <c r="B33" s="324"/>
      <c r="C33" s="288" t="s">
        <v>63</v>
      </c>
      <c r="D33" s="289">
        <v>5005903.75</v>
      </c>
      <c r="E33" s="289">
        <v>410484.11</v>
      </c>
      <c r="F33" s="289">
        <v>129993.31</v>
      </c>
      <c r="G33" s="289">
        <v>5546381.1699999999</v>
      </c>
      <c r="H33" s="289"/>
      <c r="I33" s="325">
        <v>1.2</v>
      </c>
      <c r="J33" s="326">
        <v>0</v>
      </c>
      <c r="K33" s="326">
        <v>0</v>
      </c>
      <c r="L33" s="326">
        <v>0</v>
      </c>
      <c r="M33" s="326">
        <v>0</v>
      </c>
      <c r="N33" s="326"/>
      <c r="O33" s="326">
        <v>0</v>
      </c>
      <c r="P33" s="327">
        <v>800000</v>
      </c>
      <c r="Q33" s="327">
        <f t="shared" si="2"/>
        <v>800000</v>
      </c>
      <c r="R33" s="285"/>
      <c r="S33" s="285"/>
      <c r="T33" s="292" t="s">
        <v>103</v>
      </c>
      <c r="U33" s="314"/>
      <c r="V33" s="293"/>
      <c r="W33" s="293" t="s">
        <v>902</v>
      </c>
      <c r="X33" s="293" t="s">
        <v>902</v>
      </c>
      <c r="Y33" s="293">
        <v>45281</v>
      </c>
      <c r="Z33" s="293">
        <v>45282</v>
      </c>
      <c r="AA33" s="315" t="s">
        <v>735</v>
      </c>
      <c r="AB33" s="315"/>
      <c r="AC33" s="42"/>
      <c r="AD33" s="316"/>
    </row>
    <row r="34" spans="1:30" outlineLevel="1" x14ac:dyDescent="0.25">
      <c r="A34" s="286">
        <v>32</v>
      </c>
      <c r="B34" s="324"/>
      <c r="C34" s="288" t="s">
        <v>64</v>
      </c>
      <c r="D34" s="289">
        <v>48898423.600000001</v>
      </c>
      <c r="E34" s="289">
        <v>4009670.74</v>
      </c>
      <c r="F34" s="289">
        <v>1269794.26</v>
      </c>
      <c r="G34" s="289">
        <v>54177888.600000001</v>
      </c>
      <c r="H34" s="289"/>
      <c r="I34" s="325">
        <v>1.2</v>
      </c>
      <c r="J34" s="326">
        <v>0</v>
      </c>
      <c r="K34" s="326">
        <v>0</v>
      </c>
      <c r="L34" s="326">
        <v>0</v>
      </c>
      <c r="M34" s="326">
        <v>0</v>
      </c>
      <c r="N34" s="326"/>
      <c r="O34" s="326">
        <v>0</v>
      </c>
      <c r="P34" s="327">
        <v>600000</v>
      </c>
      <c r="Q34" s="327">
        <f t="shared" si="2"/>
        <v>600000</v>
      </c>
      <c r="R34" s="285"/>
      <c r="S34" s="285"/>
      <c r="T34" s="292" t="s">
        <v>103</v>
      </c>
      <c r="U34" s="314"/>
      <c r="V34" s="293" t="s">
        <v>902</v>
      </c>
      <c r="W34" s="293" t="s">
        <v>902</v>
      </c>
      <c r="X34" s="293" t="s">
        <v>902</v>
      </c>
      <c r="Y34" s="293">
        <v>45281</v>
      </c>
      <c r="Z34" s="293">
        <v>45285</v>
      </c>
      <c r="AA34" s="315" t="s">
        <v>735</v>
      </c>
      <c r="AB34" s="315"/>
      <c r="AC34" s="42"/>
      <c r="AD34" s="316"/>
    </row>
    <row r="35" spans="1:30" outlineLevel="1" x14ac:dyDescent="0.25">
      <c r="A35" s="286">
        <v>33</v>
      </c>
      <c r="B35" s="324"/>
      <c r="C35" s="288" t="s">
        <v>65</v>
      </c>
      <c r="D35" s="289">
        <v>5005903.75</v>
      </c>
      <c r="E35" s="289">
        <v>410484.11</v>
      </c>
      <c r="F35" s="289">
        <v>129993.31</v>
      </c>
      <c r="G35" s="289">
        <v>5546381.1699999999</v>
      </c>
      <c r="H35" s="289"/>
      <c r="I35" s="325">
        <v>1.2</v>
      </c>
      <c r="J35" s="326">
        <v>0</v>
      </c>
      <c r="K35" s="326">
        <v>0</v>
      </c>
      <c r="L35" s="326">
        <v>0</v>
      </c>
      <c r="M35" s="326">
        <v>0</v>
      </c>
      <c r="N35" s="326"/>
      <c r="O35" s="326">
        <v>0</v>
      </c>
      <c r="P35" s="327">
        <v>350000</v>
      </c>
      <c r="Q35" s="327">
        <f t="shared" si="2"/>
        <v>350000</v>
      </c>
      <c r="R35" s="285"/>
      <c r="S35" s="285"/>
      <c r="T35" s="292" t="s">
        <v>103</v>
      </c>
      <c r="U35" s="314"/>
      <c r="V35" s="282" t="s">
        <v>902</v>
      </c>
      <c r="W35" s="282" t="s">
        <v>902</v>
      </c>
      <c r="X35" s="282" t="s">
        <v>902</v>
      </c>
      <c r="Y35" s="293">
        <v>45282</v>
      </c>
      <c r="Z35" s="293">
        <v>45285</v>
      </c>
      <c r="AA35" s="285"/>
      <c r="AB35" s="285"/>
      <c r="AC35" s="42"/>
      <c r="AD35" s="316"/>
    </row>
    <row r="36" spans="1:30" ht="30" outlineLevel="1" x14ac:dyDescent="0.25">
      <c r="A36" s="286">
        <v>34</v>
      </c>
      <c r="B36" s="324"/>
      <c r="C36" s="288" t="s">
        <v>66</v>
      </c>
      <c r="D36" s="289">
        <v>4859580.66</v>
      </c>
      <c r="E36" s="289">
        <v>398485.61</v>
      </c>
      <c r="F36" s="289">
        <v>126193.59</v>
      </c>
      <c r="G36" s="289">
        <v>5384259.8600000003</v>
      </c>
      <c r="H36" s="289"/>
      <c r="I36" s="325">
        <v>1.2</v>
      </c>
      <c r="J36" s="326">
        <v>0</v>
      </c>
      <c r="K36" s="326">
        <v>0</v>
      </c>
      <c r="L36" s="326">
        <v>0</v>
      </c>
      <c r="M36" s="326">
        <f t="shared" ref="M36:M39" si="6">J36-K36-L36</f>
        <v>0</v>
      </c>
      <c r="N36" s="326"/>
      <c r="O36" s="326">
        <v>0</v>
      </c>
      <c r="P36" s="327">
        <v>650000</v>
      </c>
      <c r="Q36" s="327">
        <f t="shared" si="2"/>
        <v>650000</v>
      </c>
      <c r="R36" s="285"/>
      <c r="S36" s="285"/>
      <c r="T36" s="292" t="s">
        <v>103</v>
      </c>
      <c r="U36" s="314"/>
      <c r="V36" s="285"/>
      <c r="W36" s="285"/>
      <c r="X36" s="285"/>
      <c r="Y36" s="293">
        <v>45285</v>
      </c>
      <c r="Z36" s="293">
        <v>45287</v>
      </c>
      <c r="AA36" s="285"/>
      <c r="AB36" s="285" t="s">
        <v>915</v>
      </c>
      <c r="AC36" s="42"/>
      <c r="AD36" s="338" t="s">
        <v>916</v>
      </c>
    </row>
    <row r="37" spans="1:30" outlineLevel="1" x14ac:dyDescent="0.25">
      <c r="A37" s="286">
        <v>35</v>
      </c>
      <c r="B37" s="324"/>
      <c r="C37" s="288" t="s">
        <v>67</v>
      </c>
      <c r="D37" s="289">
        <v>1890203.39</v>
      </c>
      <c r="E37" s="289">
        <v>154996.68</v>
      </c>
      <c r="F37" s="289">
        <v>49084.800000000003</v>
      </c>
      <c r="G37" s="289">
        <v>2094284.87</v>
      </c>
      <c r="H37" s="289"/>
      <c r="I37" s="325">
        <v>1.2</v>
      </c>
      <c r="J37" s="326">
        <v>0</v>
      </c>
      <c r="K37" s="326">
        <v>0</v>
      </c>
      <c r="L37" s="326">
        <v>0</v>
      </c>
      <c r="M37" s="326">
        <f t="shared" si="6"/>
        <v>0</v>
      </c>
      <c r="N37" s="326"/>
      <c r="O37" s="326">
        <v>0</v>
      </c>
      <c r="P37" s="327">
        <v>900000</v>
      </c>
      <c r="Q37" s="327">
        <f t="shared" si="2"/>
        <v>900000</v>
      </c>
      <c r="R37" s="285"/>
      <c r="S37" s="285"/>
      <c r="T37" s="292" t="s">
        <v>103</v>
      </c>
      <c r="U37" s="314"/>
      <c r="V37" s="293" t="s">
        <v>902</v>
      </c>
      <c r="W37" s="293" t="s">
        <v>902</v>
      </c>
      <c r="X37" s="293" t="s">
        <v>902</v>
      </c>
      <c r="Y37" s="293">
        <v>45281</v>
      </c>
      <c r="Z37" s="293">
        <v>45285</v>
      </c>
      <c r="AA37" s="315" t="s">
        <v>735</v>
      </c>
      <c r="AB37" s="315" t="s">
        <v>917</v>
      </c>
      <c r="AC37" s="42"/>
      <c r="AD37" s="316"/>
    </row>
    <row r="38" spans="1:30" outlineLevel="1" x14ac:dyDescent="0.25">
      <c r="A38" s="286">
        <v>36</v>
      </c>
      <c r="B38" s="324"/>
      <c r="C38" s="288" t="s">
        <v>68</v>
      </c>
      <c r="D38" s="289">
        <v>4003449.34</v>
      </c>
      <c r="E38" s="289">
        <v>328282.84999999998</v>
      </c>
      <c r="F38" s="289">
        <v>103961.57</v>
      </c>
      <c r="G38" s="289">
        <v>4435693.76</v>
      </c>
      <c r="H38" s="289"/>
      <c r="I38" s="325">
        <v>1.2</v>
      </c>
      <c r="J38" s="326">
        <v>0</v>
      </c>
      <c r="K38" s="326">
        <v>0</v>
      </c>
      <c r="L38" s="326">
        <v>0</v>
      </c>
      <c r="M38" s="326">
        <f t="shared" si="6"/>
        <v>0</v>
      </c>
      <c r="N38" s="326"/>
      <c r="O38" s="326">
        <v>0</v>
      </c>
      <c r="P38" s="327">
        <v>350000</v>
      </c>
      <c r="Q38" s="327">
        <f t="shared" si="2"/>
        <v>350000</v>
      </c>
      <c r="R38" s="285"/>
      <c r="S38" s="285"/>
      <c r="T38" s="292" t="s">
        <v>103</v>
      </c>
      <c r="U38" s="314"/>
      <c r="V38" s="282" t="s">
        <v>902</v>
      </c>
      <c r="W38" s="282" t="s">
        <v>902</v>
      </c>
      <c r="X38" s="282" t="s">
        <v>902</v>
      </c>
      <c r="Y38" s="293">
        <v>45281</v>
      </c>
      <c r="Z38" s="293">
        <v>45282</v>
      </c>
      <c r="AA38" s="285"/>
      <c r="AB38" s="285"/>
      <c r="AC38" s="42"/>
      <c r="AD38" s="316"/>
    </row>
    <row r="39" spans="1:30" outlineLevel="1" x14ac:dyDescent="0.25">
      <c r="A39" s="286">
        <v>37</v>
      </c>
      <c r="B39" s="324"/>
      <c r="C39" s="288" t="s">
        <v>918</v>
      </c>
      <c r="D39" s="289">
        <v>8291915.46</v>
      </c>
      <c r="E39" s="289">
        <v>679937.07</v>
      </c>
      <c r="F39" s="289">
        <v>215324.46</v>
      </c>
      <c r="G39" s="289">
        <v>9187176.9900000002</v>
      </c>
      <c r="H39" s="289"/>
      <c r="I39" s="325">
        <v>1.2</v>
      </c>
      <c r="J39" s="326">
        <v>0</v>
      </c>
      <c r="K39" s="326">
        <v>0</v>
      </c>
      <c r="L39" s="326">
        <v>0</v>
      </c>
      <c r="M39" s="326">
        <f t="shared" si="6"/>
        <v>0</v>
      </c>
      <c r="N39" s="326"/>
      <c r="O39" s="326">
        <v>0</v>
      </c>
      <c r="P39" s="327">
        <v>150000</v>
      </c>
      <c r="Q39" s="327">
        <f t="shared" si="2"/>
        <v>150000</v>
      </c>
      <c r="R39" s="285"/>
      <c r="S39" s="285"/>
      <c r="T39" s="292" t="s">
        <v>103</v>
      </c>
      <c r="U39" s="314"/>
      <c r="V39" s="282" t="s">
        <v>903</v>
      </c>
      <c r="W39" s="282" t="s">
        <v>902</v>
      </c>
      <c r="X39" s="282" t="s">
        <v>902</v>
      </c>
      <c r="Y39" s="293">
        <v>45281</v>
      </c>
      <c r="Z39" s="293">
        <v>45282</v>
      </c>
      <c r="AA39" s="285"/>
      <c r="AB39" s="285" t="s">
        <v>919</v>
      </c>
      <c r="AC39" s="42"/>
      <c r="AD39" s="316"/>
    </row>
    <row r="40" spans="1:30" outlineLevel="1" x14ac:dyDescent="0.25">
      <c r="A40" s="286">
        <v>38</v>
      </c>
      <c r="B40" s="324"/>
      <c r="C40" s="288" t="s">
        <v>70</v>
      </c>
      <c r="D40" s="289">
        <v>5005903.75</v>
      </c>
      <c r="E40" s="289">
        <v>410484.11</v>
      </c>
      <c r="F40" s="289">
        <v>129993.31</v>
      </c>
      <c r="G40" s="289">
        <v>5546381.1699999999</v>
      </c>
      <c r="H40" s="289"/>
      <c r="I40" s="325">
        <v>1.2</v>
      </c>
      <c r="J40" s="326">
        <v>0</v>
      </c>
      <c r="K40" s="326">
        <v>0</v>
      </c>
      <c r="L40" s="326">
        <v>0</v>
      </c>
      <c r="M40" s="326">
        <v>0</v>
      </c>
      <c r="N40" s="326"/>
      <c r="O40" s="326">
        <v>0</v>
      </c>
      <c r="P40" s="327">
        <v>300000</v>
      </c>
      <c r="Q40" s="327">
        <f t="shared" si="2"/>
        <v>300000</v>
      </c>
      <c r="R40" s="285"/>
      <c r="S40" s="285"/>
      <c r="T40" s="292" t="s">
        <v>103</v>
      </c>
      <c r="U40" s="314"/>
      <c r="V40" s="282" t="s">
        <v>903</v>
      </c>
      <c r="W40" s="285"/>
      <c r="X40" s="285"/>
      <c r="Y40" s="282"/>
      <c r="Z40" s="282"/>
      <c r="AA40" s="285"/>
      <c r="AB40" s="285" t="s">
        <v>920</v>
      </c>
      <c r="AC40" s="42"/>
      <c r="AD40" s="316"/>
    </row>
    <row r="41" spans="1:30" outlineLevel="1" x14ac:dyDescent="0.25">
      <c r="A41" s="286">
        <v>39</v>
      </c>
      <c r="B41" s="324"/>
      <c r="C41" s="288" t="s">
        <v>71</v>
      </c>
      <c r="D41" s="289">
        <v>48898423.600000001</v>
      </c>
      <c r="E41" s="289">
        <v>4009670.74</v>
      </c>
      <c r="F41" s="289">
        <v>1269794.26</v>
      </c>
      <c r="G41" s="289">
        <v>54177888.600000001</v>
      </c>
      <c r="H41" s="289"/>
      <c r="I41" s="325">
        <v>1.2</v>
      </c>
      <c r="J41" s="326">
        <v>0</v>
      </c>
      <c r="K41" s="326">
        <v>0</v>
      </c>
      <c r="L41" s="326">
        <v>0</v>
      </c>
      <c r="M41" s="326">
        <v>0</v>
      </c>
      <c r="N41" s="326"/>
      <c r="O41" s="326">
        <v>0</v>
      </c>
      <c r="P41" s="327">
        <v>2000000</v>
      </c>
      <c r="Q41" s="327">
        <f t="shared" si="2"/>
        <v>2000000</v>
      </c>
      <c r="R41" s="285"/>
      <c r="S41" s="285"/>
      <c r="T41" s="292" t="s">
        <v>103</v>
      </c>
      <c r="U41" s="314"/>
      <c r="V41" s="282" t="s">
        <v>903</v>
      </c>
      <c r="W41" s="282" t="s">
        <v>903</v>
      </c>
      <c r="X41" s="282" t="s">
        <v>902</v>
      </c>
      <c r="Y41" s="293">
        <v>45282</v>
      </c>
      <c r="Z41" s="293">
        <v>45285</v>
      </c>
      <c r="AA41" s="285"/>
      <c r="AB41" s="285" t="s">
        <v>914</v>
      </c>
      <c r="AC41" s="42"/>
      <c r="AD41" s="337"/>
    </row>
    <row r="42" spans="1:30" outlineLevel="1" x14ac:dyDescent="0.25">
      <c r="A42" s="286">
        <v>40</v>
      </c>
      <c r="B42" s="324"/>
      <c r="C42" s="288" t="s">
        <v>72</v>
      </c>
      <c r="D42" s="289">
        <v>48898423.600000001</v>
      </c>
      <c r="E42" s="289">
        <v>4009670.74</v>
      </c>
      <c r="F42" s="289">
        <v>1269794.26</v>
      </c>
      <c r="G42" s="289">
        <v>54177888.600000001</v>
      </c>
      <c r="H42" s="289"/>
      <c r="I42" s="325">
        <v>1.2</v>
      </c>
      <c r="J42" s="326">
        <v>0</v>
      </c>
      <c r="K42" s="326">
        <v>0</v>
      </c>
      <c r="L42" s="326">
        <v>0</v>
      </c>
      <c r="M42" s="326">
        <v>0</v>
      </c>
      <c r="N42" s="326"/>
      <c r="O42" s="326">
        <v>0</v>
      </c>
      <c r="P42" s="327">
        <v>800000</v>
      </c>
      <c r="Q42" s="327">
        <f t="shared" si="2"/>
        <v>800000</v>
      </c>
      <c r="R42" s="285"/>
      <c r="S42" s="285"/>
      <c r="T42" s="292" t="s">
        <v>103</v>
      </c>
      <c r="U42" s="314"/>
      <c r="V42" s="282" t="s">
        <v>903</v>
      </c>
      <c r="W42" s="285"/>
      <c r="X42" s="285"/>
      <c r="Y42" s="282"/>
      <c r="Z42" s="282"/>
      <c r="AA42" s="285"/>
      <c r="AB42" s="285" t="s">
        <v>921</v>
      </c>
      <c r="AC42" s="42"/>
      <c r="AD42" s="316"/>
    </row>
    <row r="43" spans="1:30" outlineLevel="1" x14ac:dyDescent="0.25">
      <c r="A43" s="286">
        <v>41</v>
      </c>
      <c r="B43" s="324"/>
      <c r="C43" s="288" t="s">
        <v>73</v>
      </c>
      <c r="D43" s="289">
        <v>5005903.75</v>
      </c>
      <c r="E43" s="289">
        <v>410484.11</v>
      </c>
      <c r="F43" s="289">
        <v>129993.31</v>
      </c>
      <c r="G43" s="289">
        <v>5546381.1699999999</v>
      </c>
      <c r="H43" s="289"/>
      <c r="I43" s="325">
        <v>1.2</v>
      </c>
      <c r="J43" s="326">
        <v>0</v>
      </c>
      <c r="K43" s="326">
        <v>0</v>
      </c>
      <c r="L43" s="326">
        <v>0</v>
      </c>
      <c r="M43" s="326">
        <v>0</v>
      </c>
      <c r="N43" s="326"/>
      <c r="O43" s="326">
        <v>0</v>
      </c>
      <c r="P43" s="327">
        <v>2100000</v>
      </c>
      <c r="Q43" s="327">
        <f t="shared" si="2"/>
        <v>2100000</v>
      </c>
      <c r="R43" s="285"/>
      <c r="S43" s="285"/>
      <c r="T43" s="292" t="s">
        <v>103</v>
      </c>
      <c r="U43" s="314"/>
      <c r="V43" s="282" t="s">
        <v>903</v>
      </c>
      <c r="W43" s="285"/>
      <c r="X43" s="285"/>
      <c r="Y43" s="282"/>
      <c r="Z43" s="282"/>
      <c r="AA43" s="285"/>
      <c r="AB43" s="285" t="s">
        <v>921</v>
      </c>
      <c r="AC43" s="42"/>
      <c r="AD43" s="316"/>
    </row>
    <row r="44" spans="1:30" outlineLevel="1" x14ac:dyDescent="0.25">
      <c r="A44" s="286">
        <v>42</v>
      </c>
      <c r="B44" s="324"/>
      <c r="C44" s="288" t="s">
        <v>74</v>
      </c>
      <c r="D44" s="289">
        <v>4859580.66</v>
      </c>
      <c r="E44" s="289">
        <v>398485.61</v>
      </c>
      <c r="F44" s="289">
        <v>126193.59</v>
      </c>
      <c r="G44" s="289">
        <v>5384259.8600000003</v>
      </c>
      <c r="H44" s="289"/>
      <c r="I44" s="325">
        <v>1.2</v>
      </c>
      <c r="J44" s="326">
        <v>0</v>
      </c>
      <c r="K44" s="326">
        <v>0</v>
      </c>
      <c r="L44" s="326">
        <v>0</v>
      </c>
      <c r="M44" s="326">
        <f t="shared" ref="M44:M48" si="7">J44-K44-L44</f>
        <v>0</v>
      </c>
      <c r="N44" s="326"/>
      <c r="O44" s="326">
        <v>0</v>
      </c>
      <c r="P44" s="327">
        <v>1800000</v>
      </c>
      <c r="Q44" s="327">
        <f t="shared" si="2"/>
        <v>1800000</v>
      </c>
      <c r="R44" s="285"/>
      <c r="S44" s="285"/>
      <c r="T44" s="292" t="s">
        <v>103</v>
      </c>
      <c r="U44" s="314"/>
      <c r="V44" s="285"/>
      <c r="W44" s="285"/>
      <c r="X44" s="285"/>
      <c r="Y44" s="282"/>
      <c r="Z44" s="282"/>
      <c r="AA44" s="285"/>
      <c r="AB44" s="285"/>
      <c r="AC44" s="42"/>
      <c r="AD44" s="316"/>
    </row>
    <row r="45" spans="1:30" ht="30" outlineLevel="1" x14ac:dyDescent="0.25">
      <c r="A45" s="286">
        <v>43</v>
      </c>
      <c r="B45" s="324"/>
      <c r="C45" s="288" t="s">
        <v>81</v>
      </c>
      <c r="D45" s="289">
        <v>1890203.39</v>
      </c>
      <c r="E45" s="289">
        <v>154996.68</v>
      </c>
      <c r="F45" s="289">
        <v>49084.800000000003</v>
      </c>
      <c r="G45" s="289">
        <v>2094284.87</v>
      </c>
      <c r="H45" s="289"/>
      <c r="I45" s="325">
        <v>1.2</v>
      </c>
      <c r="J45" s="326">
        <v>0</v>
      </c>
      <c r="K45" s="326">
        <v>0</v>
      </c>
      <c r="L45" s="326">
        <v>0</v>
      </c>
      <c r="M45" s="326">
        <f t="shared" si="7"/>
        <v>0</v>
      </c>
      <c r="N45" s="326"/>
      <c r="O45" s="326">
        <v>0</v>
      </c>
      <c r="P45" s="327">
        <v>600000</v>
      </c>
      <c r="Q45" s="327">
        <f t="shared" si="2"/>
        <v>600000</v>
      </c>
      <c r="R45" s="285"/>
      <c r="S45" s="285"/>
      <c r="T45" s="292" t="s">
        <v>103</v>
      </c>
      <c r="U45" s="314"/>
      <c r="V45" s="282" t="s">
        <v>902</v>
      </c>
      <c r="W45" s="282" t="s">
        <v>902</v>
      </c>
      <c r="X45" s="282" t="s">
        <v>902</v>
      </c>
      <c r="Y45" s="293">
        <v>45281</v>
      </c>
      <c r="Z45" s="282"/>
      <c r="AA45" s="285"/>
      <c r="AB45" s="285"/>
      <c r="AC45" s="42"/>
      <c r="AD45" s="316"/>
    </row>
    <row r="46" spans="1:30" ht="30" outlineLevel="1" x14ac:dyDescent="0.25">
      <c r="A46" s="286">
        <v>44</v>
      </c>
      <c r="B46" s="324"/>
      <c r="C46" s="288" t="s">
        <v>82</v>
      </c>
      <c r="D46" s="289">
        <v>4003449.34</v>
      </c>
      <c r="E46" s="289">
        <v>328282.84999999998</v>
      </c>
      <c r="F46" s="289">
        <v>103961.57</v>
      </c>
      <c r="G46" s="289">
        <v>4435693.76</v>
      </c>
      <c r="H46" s="289"/>
      <c r="I46" s="325">
        <v>1.2</v>
      </c>
      <c r="J46" s="326">
        <v>0</v>
      </c>
      <c r="K46" s="326">
        <v>0</v>
      </c>
      <c r="L46" s="326">
        <v>0</v>
      </c>
      <c r="M46" s="326">
        <f t="shared" si="7"/>
        <v>0</v>
      </c>
      <c r="N46" s="326"/>
      <c r="O46" s="326">
        <v>0</v>
      </c>
      <c r="P46" s="327">
        <v>350000</v>
      </c>
      <c r="Q46" s="327">
        <f t="shared" si="2"/>
        <v>350000</v>
      </c>
      <c r="R46" s="285"/>
      <c r="S46" s="285"/>
      <c r="T46" s="292" t="s">
        <v>103</v>
      </c>
      <c r="U46" s="314"/>
      <c r="V46" s="282"/>
      <c r="W46" s="282"/>
      <c r="X46" s="282"/>
      <c r="Y46" s="282"/>
      <c r="Z46" s="282"/>
      <c r="AA46" s="285"/>
      <c r="AB46" s="285"/>
      <c r="AC46" s="42"/>
      <c r="AD46" s="316"/>
    </row>
    <row r="47" spans="1:30" outlineLevel="1" x14ac:dyDescent="0.25">
      <c r="A47" s="286">
        <v>45</v>
      </c>
      <c r="B47" s="324"/>
      <c r="C47" s="288" t="s">
        <v>922</v>
      </c>
      <c r="D47" s="289">
        <v>4003449.34</v>
      </c>
      <c r="E47" s="289">
        <v>328282.84999999998</v>
      </c>
      <c r="F47" s="289">
        <v>103961.57</v>
      </c>
      <c r="G47" s="289">
        <v>4435693.76</v>
      </c>
      <c r="H47" s="289"/>
      <c r="I47" s="325">
        <v>1.2</v>
      </c>
      <c r="J47" s="326">
        <v>0</v>
      </c>
      <c r="K47" s="326">
        <v>0</v>
      </c>
      <c r="L47" s="326">
        <v>0</v>
      </c>
      <c r="M47" s="326">
        <f t="shared" si="7"/>
        <v>0</v>
      </c>
      <c r="N47" s="326"/>
      <c r="O47" s="326">
        <v>0</v>
      </c>
      <c r="P47" s="327">
        <v>350000</v>
      </c>
      <c r="Q47" s="327">
        <f t="shared" si="2"/>
        <v>350000</v>
      </c>
      <c r="R47" s="285"/>
      <c r="S47" s="285"/>
      <c r="T47" s="292" t="s">
        <v>103</v>
      </c>
      <c r="U47" s="314"/>
      <c r="V47" s="282" t="s">
        <v>902</v>
      </c>
      <c r="W47" s="282" t="s">
        <v>902</v>
      </c>
      <c r="X47" s="282" t="s">
        <v>902</v>
      </c>
      <c r="Y47" s="293">
        <v>45282</v>
      </c>
      <c r="Z47" s="293">
        <v>45285</v>
      </c>
      <c r="AA47" s="315" t="s">
        <v>735</v>
      </c>
      <c r="AB47" s="285"/>
      <c r="AC47" s="42"/>
      <c r="AD47" s="316"/>
    </row>
    <row r="48" spans="1:30" outlineLevel="1" x14ac:dyDescent="0.25">
      <c r="A48" s="286">
        <v>46</v>
      </c>
      <c r="B48" s="324"/>
      <c r="C48" s="288" t="s">
        <v>923</v>
      </c>
      <c r="D48" s="289">
        <v>4003449.34</v>
      </c>
      <c r="E48" s="289">
        <v>328282.84999999998</v>
      </c>
      <c r="F48" s="289">
        <v>103961.57</v>
      </c>
      <c r="G48" s="289">
        <v>4435693.76</v>
      </c>
      <c r="H48" s="289"/>
      <c r="I48" s="325">
        <v>1.2</v>
      </c>
      <c r="J48" s="326">
        <v>0</v>
      </c>
      <c r="K48" s="326">
        <v>0</v>
      </c>
      <c r="L48" s="326">
        <v>0</v>
      </c>
      <c r="M48" s="326">
        <f t="shared" si="7"/>
        <v>0</v>
      </c>
      <c r="N48" s="326"/>
      <c r="O48" s="326">
        <v>0</v>
      </c>
      <c r="P48" s="327">
        <v>350000</v>
      </c>
      <c r="Q48" s="327">
        <f t="shared" si="2"/>
        <v>350000</v>
      </c>
      <c r="R48" s="285"/>
      <c r="S48" s="285"/>
      <c r="T48" s="292" t="s">
        <v>103</v>
      </c>
      <c r="U48" s="314"/>
      <c r="V48" s="282" t="s">
        <v>902</v>
      </c>
      <c r="W48" s="282" t="s">
        <v>902</v>
      </c>
      <c r="X48" s="282" t="s">
        <v>902</v>
      </c>
      <c r="Y48" s="293">
        <v>45282</v>
      </c>
      <c r="Z48" s="293">
        <v>45285</v>
      </c>
      <c r="AA48" s="315" t="s">
        <v>735</v>
      </c>
      <c r="AB48" s="285"/>
      <c r="AD48" s="316"/>
    </row>
    <row r="49" spans="1:30" x14ac:dyDescent="0.25">
      <c r="A49" s="341" t="s">
        <v>51</v>
      </c>
      <c r="B49" s="342"/>
      <c r="C49" s="343"/>
      <c r="D49" s="16">
        <f>SUM(D3:D23)</f>
        <v>392033916.05999994</v>
      </c>
      <c r="E49" s="17"/>
      <c r="F49" s="18"/>
      <c r="G49" s="16">
        <f>SUM(G3:G23)</f>
        <v>434361033.93000001</v>
      </c>
      <c r="H49" s="16">
        <f>SUM(H3:H23)</f>
        <v>456670000.01000005</v>
      </c>
      <c r="I49" s="16"/>
      <c r="J49" s="16">
        <f>SUM(J3:J48)</f>
        <v>548004000.01199996</v>
      </c>
      <c r="K49" s="16">
        <f>SUM(K3:K48)</f>
        <v>210417570.36000001</v>
      </c>
      <c r="L49" s="16">
        <f>SUM(L3:L48)</f>
        <v>79978331.200000003</v>
      </c>
      <c r="M49" s="16">
        <f>SUM(M3:M48)</f>
        <v>257608098.45199996</v>
      </c>
      <c r="N49" s="16"/>
      <c r="O49" s="16">
        <f>SUM(O3:O48)</f>
        <v>29575288.4212</v>
      </c>
      <c r="P49" s="16">
        <f>SUM(P3:P48)</f>
        <v>55350000</v>
      </c>
      <c r="Q49" s="16">
        <f>SUM(Q3:Q48)</f>
        <v>573778711.59079993</v>
      </c>
      <c r="R49" s="285"/>
      <c r="S49" s="285"/>
      <c r="T49" s="292"/>
      <c r="U49" s="138">
        <f>SUM(U3:U48)</f>
        <v>113219508.51955302</v>
      </c>
      <c r="V49" s="285"/>
      <c r="W49" s="285"/>
      <c r="X49" s="285"/>
      <c r="Y49" s="282"/>
      <c r="Z49" s="282"/>
      <c r="AA49" s="285"/>
      <c r="AB49" s="285"/>
      <c r="AC49" s="187">
        <f>SUM(AC3:AC48)</f>
        <v>6755540.2100549992</v>
      </c>
      <c r="AD49" s="335"/>
    </row>
    <row r="50" spans="1:30" x14ac:dyDescent="0.25">
      <c r="A50" s="353" t="s">
        <v>54</v>
      </c>
      <c r="B50" s="353"/>
      <c r="C50" s="353"/>
      <c r="D50" s="353"/>
      <c r="E50" s="353"/>
      <c r="F50" s="353"/>
      <c r="G50" s="353"/>
      <c r="H50" s="353"/>
      <c r="I50" s="353"/>
      <c r="J50" s="353"/>
      <c r="K50" s="329">
        <f>K49/2</f>
        <v>105208785.18000001</v>
      </c>
      <c r="L50" s="329">
        <f t="shared" ref="L50:M50" si="8">L49/2</f>
        <v>39989165.600000001</v>
      </c>
      <c r="M50" s="329">
        <f t="shared" si="8"/>
        <v>128804049.22599998</v>
      </c>
      <c r="N50" s="329"/>
      <c r="O50" s="330">
        <f t="shared" ref="O50:Q50" si="9">O49/2</f>
        <v>14787644.2106</v>
      </c>
      <c r="P50" s="330">
        <f t="shared" si="9"/>
        <v>27675000</v>
      </c>
      <c r="Q50" s="330">
        <f t="shared" si="9"/>
        <v>286889355.79539996</v>
      </c>
    </row>
    <row r="51" spans="1:30" ht="15.75" thickBot="1" x14ac:dyDescent="0.3">
      <c r="M51" s="331"/>
    </row>
    <row r="52" spans="1:30" x14ac:dyDescent="0.25">
      <c r="A52" s="354" t="s">
        <v>84</v>
      </c>
      <c r="B52" s="355"/>
      <c r="C52" s="355"/>
      <c r="D52" s="355"/>
      <c r="E52" s="355"/>
      <c r="F52" s="355"/>
      <c r="G52" s="355"/>
      <c r="H52" s="355"/>
      <c r="I52" s="355"/>
      <c r="J52" s="355"/>
      <c r="K52" s="355"/>
      <c r="L52" s="355"/>
      <c r="M52" s="355"/>
      <c r="N52" s="355"/>
      <c r="O52" s="355"/>
      <c r="P52" s="12">
        <f>Q49</f>
        <v>573778711.59079993</v>
      </c>
    </row>
    <row r="53" spans="1:30" ht="15.75" thickBot="1" x14ac:dyDescent="0.3">
      <c r="A53" s="356" t="s">
        <v>85</v>
      </c>
      <c r="B53" s="357"/>
      <c r="C53" s="357"/>
      <c r="D53" s="357"/>
      <c r="E53" s="357"/>
      <c r="F53" s="357"/>
      <c r="G53" s="357"/>
      <c r="H53" s="357"/>
      <c r="I53" s="357"/>
      <c r="J53" s="357"/>
      <c r="K53" s="357"/>
      <c r="L53" s="357"/>
      <c r="M53" s="357"/>
      <c r="N53" s="357"/>
      <c r="O53" s="357"/>
      <c r="P53" s="13">
        <f>Q49-J49</f>
        <v>25774711.578799963</v>
      </c>
    </row>
    <row r="54" spans="1:30" x14ac:dyDescent="0.25">
      <c r="L54" s="331"/>
    </row>
    <row r="55" spans="1:30" x14ac:dyDescent="0.25">
      <c r="A55" s="358" t="s">
        <v>97</v>
      </c>
      <c r="B55" s="358"/>
      <c r="C55" s="358"/>
      <c r="D55" s="358"/>
      <c r="E55" s="358"/>
      <c r="F55" s="358"/>
      <c r="G55" s="358"/>
      <c r="H55" s="358"/>
      <c r="I55" s="358"/>
      <c r="J55" s="358"/>
      <c r="K55" s="358"/>
      <c r="L55" s="358"/>
      <c r="M55" s="358"/>
      <c r="N55" s="358"/>
      <c r="O55" s="358"/>
      <c r="P55" s="35">
        <f>R4+R5+R6+R7+R9+R12+R16+R15+R18+R17+R23+R29</f>
        <v>113093426.92599998</v>
      </c>
    </row>
    <row r="56" spans="1:30" x14ac:dyDescent="0.25">
      <c r="A56" s="359" t="s">
        <v>100</v>
      </c>
      <c r="B56" s="359"/>
      <c r="C56" s="359"/>
      <c r="D56" s="359"/>
      <c r="E56" s="359"/>
      <c r="F56" s="359"/>
      <c r="G56" s="359"/>
      <c r="H56" s="359"/>
      <c r="I56" s="359"/>
      <c r="J56" s="359"/>
      <c r="K56" s="359"/>
      <c r="L56" s="359"/>
      <c r="M56" s="359"/>
      <c r="N56" s="359"/>
      <c r="O56" s="359"/>
      <c r="P56" s="36">
        <f>R10+R11+R13+R19+R20+R21</f>
        <v>36493295.811999999</v>
      </c>
    </row>
    <row r="57" spans="1:30" x14ac:dyDescent="0.25">
      <c r="A57" s="344" t="s">
        <v>99</v>
      </c>
      <c r="B57" s="344"/>
      <c r="C57" s="344"/>
      <c r="D57" s="344"/>
      <c r="E57" s="344"/>
      <c r="F57" s="344"/>
      <c r="G57" s="344"/>
      <c r="H57" s="344"/>
      <c r="I57" s="344"/>
      <c r="J57" s="344"/>
      <c r="K57" s="344"/>
      <c r="L57" s="344"/>
      <c r="M57" s="344"/>
      <c r="N57" s="344"/>
      <c r="O57" s="344"/>
      <c r="P57" s="46">
        <f>S14+S15+S13+S11+S3</f>
        <v>35654883.412799999</v>
      </c>
    </row>
    <row r="58" spans="1:30" x14ac:dyDescent="0.25">
      <c r="A58" s="332"/>
      <c r="B58" s="332"/>
      <c r="C58" s="332"/>
      <c r="D58" s="332"/>
      <c r="E58" s="332"/>
      <c r="F58" s="332"/>
      <c r="G58" s="332"/>
      <c r="H58" s="332"/>
      <c r="I58" s="332"/>
      <c r="J58" s="332"/>
      <c r="K58" s="332"/>
      <c r="L58" s="332"/>
      <c r="M58" s="332"/>
      <c r="N58" s="332"/>
      <c r="O58" s="332" t="s">
        <v>101</v>
      </c>
      <c r="P58" s="322">
        <f>SUM(P55:P57)</f>
        <v>185241606.15079999</v>
      </c>
    </row>
    <row r="59" spans="1:30" x14ac:dyDescent="0.25">
      <c r="A59" s="39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 t="s">
        <v>102</v>
      </c>
      <c r="P59" s="40">
        <f>R25+R26+R28</f>
        <v>18100000</v>
      </c>
    </row>
    <row r="60" spans="1:30" x14ac:dyDescent="0.25">
      <c r="A60" s="34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 t="s">
        <v>98</v>
      </c>
      <c r="P60" s="37">
        <f>SUM(N3:N23)</f>
        <v>62991203.880000003</v>
      </c>
    </row>
    <row r="61" spans="1:30" x14ac:dyDescent="0.25">
      <c r="L61" s="331"/>
      <c r="O61" s="332" t="s">
        <v>94</v>
      </c>
      <c r="P61" s="331">
        <f>SUM(P25:P48)</f>
        <v>38750000</v>
      </c>
    </row>
    <row r="62" spans="1:30" x14ac:dyDescent="0.25">
      <c r="L62" s="331"/>
      <c r="O62" s="332" t="s">
        <v>95</v>
      </c>
      <c r="P62" s="331">
        <f>Q29</f>
        <v>4600000</v>
      </c>
    </row>
    <row r="63" spans="1:30" x14ac:dyDescent="0.25">
      <c r="O63" s="332" t="s">
        <v>96</v>
      </c>
      <c r="P63" s="331">
        <f>P61-P62-P59</f>
        <v>16050000</v>
      </c>
    </row>
  </sheetData>
  <mergeCells count="12">
    <mergeCell ref="Y29:Z29"/>
    <mergeCell ref="A49:C49"/>
    <mergeCell ref="A57:O57"/>
    <mergeCell ref="A2:Q2"/>
    <mergeCell ref="V9:X9"/>
    <mergeCell ref="A24:Q24"/>
    <mergeCell ref="W29:X29"/>
    <mergeCell ref="A50:J50"/>
    <mergeCell ref="A52:O52"/>
    <mergeCell ref="A53:O53"/>
    <mergeCell ref="A55:O55"/>
    <mergeCell ref="A56:O56"/>
  </mergeCells>
  <pageMargins left="0.70866141732283472" right="0.70866141732283472" top="0.74803149606299213" bottom="0.74803149606299213" header="0.31496062992125984" footer="0.31496062992125984"/>
  <pageSetup paperSize="9" scale="6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  <pageSetUpPr fitToPage="1"/>
  </sheetPr>
  <dimension ref="A1:Z61"/>
  <sheetViews>
    <sheetView tabSelected="1" zoomScaleNormal="100" workbookViewId="0">
      <selection activeCell="AG9" sqref="AG9"/>
    </sheetView>
  </sheetViews>
  <sheetFormatPr defaultColWidth="9.140625" defaultRowHeight="15" outlineLevelRow="1" outlineLevelCol="1" x14ac:dyDescent="0.25"/>
  <cols>
    <col min="1" max="1" width="4.7109375" style="4" customWidth="1"/>
    <col min="2" max="2" width="11.28515625" style="4" hidden="1" customWidth="1"/>
    <col min="3" max="3" width="54.28515625" style="4" customWidth="1"/>
    <col min="4" max="4" width="18.85546875" style="4" hidden="1" customWidth="1" outlineLevel="1"/>
    <col min="5" max="5" width="18.28515625" style="4" hidden="1" customWidth="1" outlineLevel="1"/>
    <col min="6" max="6" width="16.7109375" style="4" hidden="1" customWidth="1" outlineLevel="1"/>
    <col min="7" max="7" width="18.28515625" style="4" hidden="1" customWidth="1" outlineLevel="1"/>
    <col min="8" max="8" width="19.85546875" style="4" hidden="1" customWidth="1"/>
    <col min="9" max="9" width="22.28515625" style="4" hidden="1" customWidth="1"/>
    <col min="10" max="10" width="15.42578125" style="4" hidden="1" customWidth="1"/>
    <col min="11" max="11" width="17" style="4" hidden="1" customWidth="1"/>
    <col min="12" max="13" width="18.28515625" style="4" hidden="1" customWidth="1"/>
    <col min="14" max="14" width="17.28515625" style="4" hidden="1" customWidth="1"/>
    <col min="15" max="15" width="16" style="4" hidden="1" customWidth="1"/>
    <col min="16" max="16" width="15.42578125" style="4" hidden="1" customWidth="1"/>
    <col min="17" max="17" width="18.7109375" style="4" hidden="1" customWidth="1"/>
    <col min="18" max="18" width="14.85546875" style="4" customWidth="1"/>
    <col min="19" max="19" width="14.85546875" style="4" hidden="1" customWidth="1"/>
    <col min="20" max="20" width="28.28515625" style="20" customWidth="1"/>
    <col min="21" max="21" width="26.85546875" style="92" customWidth="1"/>
    <col min="22" max="23" width="11.28515625" style="4" customWidth="1"/>
    <col min="24" max="24" width="20.7109375" style="191" bestFit="1" customWidth="1"/>
    <col min="25" max="25" width="22.42578125" style="4" customWidth="1"/>
    <col min="26" max="16384" width="9.140625" style="4"/>
  </cols>
  <sheetData>
    <row r="1" spans="1:25" ht="85.5" x14ac:dyDescent="0.25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6</v>
      </c>
      <c r="H1" s="15" t="s">
        <v>7</v>
      </c>
      <c r="I1" s="14" t="s">
        <v>8</v>
      </c>
      <c r="J1" s="15" t="s">
        <v>77</v>
      </c>
      <c r="K1" s="15" t="s">
        <v>53</v>
      </c>
      <c r="L1" s="15" t="s">
        <v>52</v>
      </c>
      <c r="M1" s="15" t="s">
        <v>76</v>
      </c>
      <c r="N1" s="15" t="s">
        <v>88</v>
      </c>
      <c r="O1" s="15" t="s">
        <v>78</v>
      </c>
      <c r="P1" s="15" t="s">
        <v>79</v>
      </c>
      <c r="Q1" s="15" t="s">
        <v>80</v>
      </c>
      <c r="R1" s="15" t="s">
        <v>91</v>
      </c>
      <c r="S1" s="15"/>
      <c r="T1" s="15" t="s">
        <v>92</v>
      </c>
      <c r="U1" s="93" t="s">
        <v>722</v>
      </c>
      <c r="V1" s="139" t="s">
        <v>724</v>
      </c>
      <c r="W1" s="139" t="s">
        <v>725</v>
      </c>
      <c r="X1" s="139" t="s">
        <v>728</v>
      </c>
      <c r="Y1" s="192" t="s">
        <v>747</v>
      </c>
    </row>
    <row r="2" spans="1:25" x14ac:dyDescent="0.25">
      <c r="A2" s="345" t="s">
        <v>75</v>
      </c>
      <c r="B2" s="346"/>
      <c r="C2" s="346"/>
      <c r="D2" s="346"/>
      <c r="E2" s="346"/>
      <c r="F2" s="346"/>
      <c r="G2" s="346"/>
      <c r="H2" s="346"/>
      <c r="I2" s="346"/>
      <c r="J2" s="346"/>
      <c r="K2" s="346"/>
      <c r="L2" s="346"/>
      <c r="M2" s="346"/>
      <c r="N2" s="346"/>
      <c r="O2" s="346"/>
      <c r="P2" s="346"/>
      <c r="Q2" s="347"/>
      <c r="R2" s="24"/>
      <c r="S2" s="24"/>
      <c r="T2" s="25"/>
      <c r="V2" s="31"/>
      <c r="W2" s="31"/>
      <c r="X2" s="190"/>
      <c r="Y2" s="31"/>
    </row>
    <row r="3" spans="1:25" ht="45" x14ac:dyDescent="0.25">
      <c r="A3" s="5">
        <v>1</v>
      </c>
      <c r="B3" s="6" t="s">
        <v>9</v>
      </c>
      <c r="C3" s="7" t="s">
        <v>10</v>
      </c>
      <c r="D3" s="1">
        <v>48841208.740000002</v>
      </c>
      <c r="E3" s="1">
        <v>4004979.12</v>
      </c>
      <c r="F3" s="1">
        <v>1268308.51</v>
      </c>
      <c r="G3" s="1">
        <v>54114496.369999997</v>
      </c>
      <c r="H3" s="21">
        <v>56893839.630000003</v>
      </c>
      <c r="I3" s="22">
        <v>1.2</v>
      </c>
      <c r="J3" s="22">
        <f>H3*I3</f>
        <v>68272607.555999994</v>
      </c>
      <c r="K3" s="22">
        <v>65507253.219999999</v>
      </c>
      <c r="L3" s="22">
        <v>360012.73</v>
      </c>
      <c r="M3" s="22">
        <f>J3-K3-L3</f>
        <v>2405341.6059999955</v>
      </c>
      <c r="N3" s="22"/>
      <c r="O3" s="22">
        <v>0</v>
      </c>
      <c r="P3" s="22">
        <v>0</v>
      </c>
      <c r="Q3" s="22">
        <f>J3-O3+P3</f>
        <v>68272607.555999994</v>
      </c>
      <c r="S3" s="43">
        <f>M3</f>
        <v>2405341.6059999955</v>
      </c>
      <c r="T3" s="47" t="s">
        <v>726</v>
      </c>
      <c r="U3" s="135">
        <v>2407821.1857416378</v>
      </c>
      <c r="V3" s="142">
        <v>45280</v>
      </c>
      <c r="W3" s="142">
        <v>45285</v>
      </c>
      <c r="X3" s="142" t="s">
        <v>729</v>
      </c>
      <c r="Y3" s="31"/>
    </row>
    <row r="4" spans="1:25" ht="45" x14ac:dyDescent="0.25">
      <c r="A4" s="5">
        <v>2</v>
      </c>
      <c r="B4" s="6" t="s">
        <v>11</v>
      </c>
      <c r="C4" s="7" t="s">
        <v>12</v>
      </c>
      <c r="D4" s="1">
        <v>40054718.460000001</v>
      </c>
      <c r="E4" s="1">
        <v>3284486.91</v>
      </c>
      <c r="F4" s="1">
        <v>1040140.93</v>
      </c>
      <c r="G4" s="1">
        <v>44379346.299999997</v>
      </c>
      <c r="H4" s="21">
        <v>46658688.170000002</v>
      </c>
      <c r="I4" s="22">
        <v>1.2</v>
      </c>
      <c r="J4" s="22">
        <f t="shared" ref="J4:J23" si="0">H4*I4</f>
        <v>55990425.803999998</v>
      </c>
      <c r="K4" s="22">
        <v>54911594.170000002</v>
      </c>
      <c r="L4" s="22">
        <v>0</v>
      </c>
      <c r="M4" s="22">
        <f t="shared" ref="M4:M22" si="1">J4-K4-L4</f>
        <v>1078831.6339999959</v>
      </c>
      <c r="N4" s="22"/>
      <c r="O4" s="22">
        <v>0</v>
      </c>
      <c r="P4" s="22">
        <v>0</v>
      </c>
      <c r="Q4" s="22">
        <f t="shared" ref="Q4:Q46" si="2">J4-O4+P4</f>
        <v>55990425.803999998</v>
      </c>
      <c r="R4" s="26">
        <f>M4</f>
        <v>1078831.6339999959</v>
      </c>
      <c r="S4" s="41"/>
      <c r="T4" s="47" t="s">
        <v>726</v>
      </c>
      <c r="U4" s="135">
        <v>1080898.7767329693</v>
      </c>
      <c r="V4" s="142">
        <v>45280</v>
      </c>
      <c r="W4" s="142">
        <v>45285</v>
      </c>
      <c r="X4" s="142" t="s">
        <v>729</v>
      </c>
      <c r="Y4" s="31"/>
    </row>
    <row r="5" spans="1:25" ht="30" x14ac:dyDescent="0.25">
      <c r="A5" s="5">
        <v>3</v>
      </c>
      <c r="B5" s="6" t="s">
        <v>13</v>
      </c>
      <c r="C5" s="7" t="s">
        <v>14</v>
      </c>
      <c r="D5" s="1">
        <v>1177977.71</v>
      </c>
      <c r="E5" s="1">
        <v>96594.17</v>
      </c>
      <c r="F5" s="1">
        <v>30589.73</v>
      </c>
      <c r="G5" s="1">
        <v>1305161.6100000001</v>
      </c>
      <c r="H5" s="21">
        <v>1372195.26</v>
      </c>
      <c r="I5" s="22">
        <v>1.2</v>
      </c>
      <c r="J5" s="22">
        <f t="shared" si="0"/>
        <v>1646634.3119999999</v>
      </c>
      <c r="K5" s="22">
        <v>0</v>
      </c>
      <c r="L5" s="22">
        <v>0</v>
      </c>
      <c r="M5" s="22">
        <f t="shared" si="1"/>
        <v>1646634.3119999999</v>
      </c>
      <c r="N5" s="22"/>
      <c r="O5" s="22">
        <v>0</v>
      </c>
      <c r="P5" s="22">
        <v>0</v>
      </c>
      <c r="Q5" s="22">
        <f t="shared" si="2"/>
        <v>1646634.3119999999</v>
      </c>
      <c r="R5" s="26">
        <f>M5</f>
        <v>1646634.3119999999</v>
      </c>
      <c r="S5" s="41"/>
      <c r="T5" s="47" t="s">
        <v>86</v>
      </c>
      <c r="U5" s="135">
        <v>1647435.1326139027</v>
      </c>
      <c r="V5" s="142">
        <v>45279</v>
      </c>
      <c r="W5" s="142">
        <v>45281</v>
      </c>
      <c r="X5" s="142" t="s">
        <v>730</v>
      </c>
      <c r="Y5" s="32">
        <f>U5</f>
        <v>1647435.1326139027</v>
      </c>
    </row>
    <row r="6" spans="1:25" x14ac:dyDescent="0.25">
      <c r="A6" s="5">
        <v>4</v>
      </c>
      <c r="B6" s="6" t="s">
        <v>15</v>
      </c>
      <c r="C6" s="7" t="s">
        <v>16</v>
      </c>
      <c r="D6" s="1">
        <v>161452921.99000001</v>
      </c>
      <c r="E6" s="1">
        <v>13239139.6</v>
      </c>
      <c r="F6" s="1">
        <v>4192609.48</v>
      </c>
      <c r="G6" s="1">
        <v>178884671.06999999</v>
      </c>
      <c r="H6" s="21">
        <v>188072263.84999999</v>
      </c>
      <c r="I6" s="22">
        <v>1.2</v>
      </c>
      <c r="J6" s="22">
        <f t="shared" si="0"/>
        <v>225686716.61999997</v>
      </c>
      <c r="K6" s="22">
        <v>89998722.969999999</v>
      </c>
      <c r="L6" s="22">
        <v>66544414.909999996</v>
      </c>
      <c r="M6" s="22">
        <f t="shared" si="1"/>
        <v>69143578.73999998</v>
      </c>
      <c r="N6" s="22"/>
      <c r="O6" s="22">
        <v>0</v>
      </c>
      <c r="P6" s="22"/>
      <c r="Q6" s="22">
        <f t="shared" si="2"/>
        <v>225686716.61999997</v>
      </c>
      <c r="R6" s="26">
        <f>M6</f>
        <v>69143578.73999998</v>
      </c>
      <c r="S6" s="41"/>
      <c r="T6" s="47" t="s">
        <v>87</v>
      </c>
      <c r="U6" s="135">
        <v>68698586.505872428</v>
      </c>
      <c r="V6" s="139"/>
      <c r="W6" s="139"/>
      <c r="X6" s="139"/>
      <c r="Y6" s="31"/>
    </row>
    <row r="7" spans="1:25" x14ac:dyDescent="0.25">
      <c r="A7" s="5">
        <v>5</v>
      </c>
      <c r="B7" s="6" t="s">
        <v>17</v>
      </c>
      <c r="C7" s="7" t="s">
        <v>18</v>
      </c>
      <c r="D7" s="1">
        <v>4505948.67</v>
      </c>
      <c r="E7" s="1">
        <v>369487.79</v>
      </c>
      <c r="F7" s="1">
        <v>117010.48</v>
      </c>
      <c r="G7" s="1">
        <v>4992446.9400000004</v>
      </c>
      <c r="H7" s="21">
        <v>5248861.1100000003</v>
      </c>
      <c r="I7" s="22">
        <v>1.2</v>
      </c>
      <c r="J7" s="22">
        <f t="shared" si="0"/>
        <v>6298633.3320000004</v>
      </c>
      <c r="K7" s="22">
        <v>0</v>
      </c>
      <c r="L7" s="22">
        <v>0</v>
      </c>
      <c r="M7" s="22">
        <f t="shared" si="1"/>
        <v>6298633.3320000004</v>
      </c>
      <c r="N7" s="22">
        <v>1000000</v>
      </c>
      <c r="O7" s="22"/>
      <c r="P7" s="22">
        <v>0</v>
      </c>
      <c r="Q7" s="22">
        <f t="shared" si="2"/>
        <v>6298633.3320000004</v>
      </c>
      <c r="R7" s="26">
        <f>M7-N7</f>
        <v>5298633.3320000004</v>
      </c>
      <c r="S7" s="41"/>
      <c r="T7" s="47" t="s">
        <v>727</v>
      </c>
      <c r="U7" s="135">
        <v>5371682.8022345919</v>
      </c>
      <c r="V7" s="142">
        <v>45279</v>
      </c>
      <c r="W7" s="142">
        <v>45282</v>
      </c>
      <c r="X7" s="142" t="s">
        <v>731</v>
      </c>
      <c r="Y7" s="31"/>
    </row>
    <row r="8" spans="1:25" x14ac:dyDescent="0.25">
      <c r="A8" s="5">
        <v>6</v>
      </c>
      <c r="B8" s="6" t="s">
        <v>19</v>
      </c>
      <c r="C8" s="7" t="s">
        <v>20</v>
      </c>
      <c r="D8" s="1">
        <v>10526911.91</v>
      </c>
      <c r="E8" s="1">
        <v>863206.78</v>
      </c>
      <c r="F8" s="1">
        <v>273362.84999999998</v>
      </c>
      <c r="G8" s="1">
        <v>11663481.539999999</v>
      </c>
      <c r="H8" s="21">
        <v>12262522.85</v>
      </c>
      <c r="I8" s="22">
        <v>1.2</v>
      </c>
      <c r="J8" s="22">
        <f t="shared" si="0"/>
        <v>14715027.42</v>
      </c>
      <c r="K8" s="22">
        <v>0</v>
      </c>
      <c r="L8" s="22">
        <v>10775049.08</v>
      </c>
      <c r="M8" s="22">
        <f t="shared" si="1"/>
        <v>3939978.34</v>
      </c>
      <c r="N8" s="22">
        <f>M8</f>
        <v>3939978.34</v>
      </c>
      <c r="O8" s="22">
        <v>0</v>
      </c>
      <c r="P8" s="22">
        <v>0</v>
      </c>
      <c r="Q8" s="22">
        <f t="shared" si="2"/>
        <v>14715027.42</v>
      </c>
      <c r="R8" s="27"/>
      <c r="S8" s="27"/>
      <c r="T8" s="47"/>
      <c r="U8" s="136"/>
      <c r="V8" s="139"/>
      <c r="W8" s="139"/>
      <c r="X8" s="139"/>
      <c r="Y8" s="31"/>
    </row>
    <row r="9" spans="1:25" ht="30" x14ac:dyDescent="0.25">
      <c r="A9" s="5">
        <v>7</v>
      </c>
      <c r="B9" s="6" t="s">
        <v>21</v>
      </c>
      <c r="C9" s="7" t="s">
        <v>22</v>
      </c>
      <c r="D9" s="1">
        <v>1615223.87</v>
      </c>
      <c r="E9" s="1">
        <v>132448.35999999999</v>
      </c>
      <c r="F9" s="1">
        <v>41944.13</v>
      </c>
      <c r="G9" s="1">
        <v>1789616.36</v>
      </c>
      <c r="H9" s="21">
        <v>1881531.81</v>
      </c>
      <c r="I9" s="22">
        <v>1.2</v>
      </c>
      <c r="J9" s="22">
        <f t="shared" si="0"/>
        <v>2257838.1719999998</v>
      </c>
      <c r="K9" s="22">
        <v>0</v>
      </c>
      <c r="L9" s="22">
        <v>0</v>
      </c>
      <c r="M9" s="22">
        <f t="shared" si="1"/>
        <v>2257838.1719999998</v>
      </c>
      <c r="N9" s="22"/>
      <c r="O9" s="22">
        <v>1000000</v>
      </c>
      <c r="P9" s="22">
        <v>0</v>
      </c>
      <c r="Q9" s="22">
        <f t="shared" si="2"/>
        <v>1257838.1719999998</v>
      </c>
      <c r="R9" s="26">
        <f>Q9</f>
        <v>1257838.1719999998</v>
      </c>
      <c r="S9" s="41"/>
      <c r="T9" s="47" t="s">
        <v>727</v>
      </c>
      <c r="U9" s="135">
        <v>1538041.8907633561</v>
      </c>
      <c r="V9" s="360">
        <v>45279</v>
      </c>
      <c r="W9" s="361"/>
      <c r="X9" s="139" t="s">
        <v>730</v>
      </c>
      <c r="Y9" s="32">
        <f>U9</f>
        <v>1538041.8907633561</v>
      </c>
    </row>
    <row r="10" spans="1:25" x14ac:dyDescent="0.25">
      <c r="A10" s="5">
        <v>8</v>
      </c>
      <c r="B10" s="6" t="s">
        <v>23</v>
      </c>
      <c r="C10" s="7" t="s">
        <v>24</v>
      </c>
      <c r="D10" s="1">
        <v>475031.03999999998</v>
      </c>
      <c r="E10" s="1">
        <v>38952.550000000003</v>
      </c>
      <c r="F10" s="1">
        <v>12335.61</v>
      </c>
      <c r="G10" s="1">
        <v>526319.19999999995</v>
      </c>
      <c r="H10" s="21">
        <v>553351.18000000005</v>
      </c>
      <c r="I10" s="22">
        <v>1.2</v>
      </c>
      <c r="J10" s="22">
        <f t="shared" si="0"/>
        <v>664021.41600000008</v>
      </c>
      <c r="K10" s="22">
        <v>0</v>
      </c>
      <c r="L10" s="22">
        <v>0</v>
      </c>
      <c r="M10" s="22">
        <f t="shared" si="1"/>
        <v>664021.41600000008</v>
      </c>
      <c r="N10" s="22"/>
      <c r="O10" s="22">
        <v>0</v>
      </c>
      <c r="P10" s="22">
        <v>0</v>
      </c>
      <c r="Q10" s="22">
        <f t="shared" si="2"/>
        <v>664021.41600000008</v>
      </c>
      <c r="R10" s="28">
        <f>Q10</f>
        <v>664021.41600000008</v>
      </c>
      <c r="S10" s="27"/>
      <c r="T10" s="47" t="s">
        <v>89</v>
      </c>
      <c r="U10" s="136"/>
      <c r="V10" s="139"/>
      <c r="W10" s="139"/>
      <c r="X10" s="139"/>
      <c r="Y10" s="31"/>
    </row>
    <row r="11" spans="1:25" x14ac:dyDescent="0.25">
      <c r="A11" s="5">
        <v>9</v>
      </c>
      <c r="B11" s="6" t="s">
        <v>25</v>
      </c>
      <c r="C11" s="7" t="s">
        <v>26</v>
      </c>
      <c r="D11" s="1">
        <v>2276671.21</v>
      </c>
      <c r="E11" s="1">
        <v>186687.04</v>
      </c>
      <c r="F11" s="1">
        <v>59120.6</v>
      </c>
      <c r="G11" s="1">
        <v>2522478.85</v>
      </c>
      <c r="H11" s="21">
        <v>2652034.42</v>
      </c>
      <c r="I11" s="22">
        <v>1.2</v>
      </c>
      <c r="J11" s="22">
        <f t="shared" si="0"/>
        <v>3182441.304</v>
      </c>
      <c r="K11" s="22">
        <v>0</v>
      </c>
      <c r="L11" s="22">
        <v>0</v>
      </c>
      <c r="M11" s="22">
        <f t="shared" si="1"/>
        <v>3182441.304</v>
      </c>
      <c r="N11" s="22"/>
      <c r="O11" s="22">
        <v>0</v>
      </c>
      <c r="P11" s="22">
        <v>0</v>
      </c>
      <c r="Q11" s="22">
        <f t="shared" si="2"/>
        <v>3182441.304</v>
      </c>
      <c r="R11" s="28">
        <v>1000000</v>
      </c>
      <c r="S11" s="44">
        <f>Q11-R11</f>
        <v>2182441.304</v>
      </c>
      <c r="T11" s="47"/>
      <c r="U11" s="136"/>
      <c r="V11" s="139"/>
      <c r="W11" s="139"/>
      <c r="X11" s="139"/>
      <c r="Y11" s="31"/>
    </row>
    <row r="12" spans="1:25" x14ac:dyDescent="0.25">
      <c r="A12" s="5">
        <v>10</v>
      </c>
      <c r="B12" s="6" t="s">
        <v>27</v>
      </c>
      <c r="C12" s="7" t="s">
        <v>28</v>
      </c>
      <c r="D12" s="1">
        <v>760016.55</v>
      </c>
      <c r="E12" s="1">
        <v>62321.36</v>
      </c>
      <c r="F12" s="1">
        <v>19736.11</v>
      </c>
      <c r="G12" s="1">
        <v>842074.02</v>
      </c>
      <c r="H12" s="21">
        <v>885323.3</v>
      </c>
      <c r="I12" s="22">
        <v>1.2</v>
      </c>
      <c r="J12" s="22">
        <f t="shared" si="0"/>
        <v>1062387.96</v>
      </c>
      <c r="K12" s="22">
        <v>0</v>
      </c>
      <c r="L12" s="22">
        <v>0</v>
      </c>
      <c r="M12" s="22">
        <f t="shared" si="1"/>
        <v>1062387.96</v>
      </c>
      <c r="N12" s="22"/>
      <c r="O12" s="22">
        <v>0</v>
      </c>
      <c r="P12" s="22">
        <v>600000</v>
      </c>
      <c r="Q12" s="22">
        <f t="shared" si="2"/>
        <v>1662387.96</v>
      </c>
      <c r="R12" s="26">
        <f>M12</f>
        <v>1062387.96</v>
      </c>
      <c r="S12" s="41"/>
      <c r="T12" s="47" t="s">
        <v>727</v>
      </c>
      <c r="U12" s="135">
        <v>1062387.950457541</v>
      </c>
      <c r="V12" s="142">
        <v>45281</v>
      </c>
      <c r="W12" s="142">
        <v>45285</v>
      </c>
      <c r="X12" s="139" t="s">
        <v>733</v>
      </c>
      <c r="Y12" s="31"/>
    </row>
    <row r="13" spans="1:25" ht="30" x14ac:dyDescent="0.25">
      <c r="A13" s="5">
        <v>11</v>
      </c>
      <c r="B13" s="6" t="s">
        <v>29</v>
      </c>
      <c r="C13" s="7" t="s">
        <v>30</v>
      </c>
      <c r="D13" s="1">
        <v>10454161.890000001</v>
      </c>
      <c r="E13" s="1">
        <v>857241.27</v>
      </c>
      <c r="F13" s="1">
        <v>271473.68</v>
      </c>
      <c r="G13" s="1">
        <v>11582876.84</v>
      </c>
      <c r="H13" s="21">
        <v>12177778.26</v>
      </c>
      <c r="I13" s="22">
        <v>1.2</v>
      </c>
      <c r="J13" s="22">
        <f t="shared" si="0"/>
        <v>14613333.911999999</v>
      </c>
      <c r="K13" s="22">
        <v>0</v>
      </c>
      <c r="L13" s="22">
        <v>0</v>
      </c>
      <c r="M13" s="22">
        <f t="shared" si="1"/>
        <v>14613333.911999999</v>
      </c>
      <c r="N13" s="22"/>
      <c r="O13" s="22">
        <v>0</v>
      </c>
      <c r="P13" s="22">
        <v>10000000</v>
      </c>
      <c r="Q13" s="22">
        <f t="shared" si="2"/>
        <v>24613333.912</v>
      </c>
      <c r="R13" s="29">
        <v>12000000</v>
      </c>
      <c r="S13" s="45">
        <f>Q13-R13</f>
        <v>12613333.912</v>
      </c>
      <c r="T13" s="47" t="s">
        <v>736</v>
      </c>
      <c r="U13" s="136"/>
      <c r="V13" s="142">
        <v>44936</v>
      </c>
      <c r="W13" s="142">
        <v>44941</v>
      </c>
      <c r="X13" s="139" t="s">
        <v>733</v>
      </c>
      <c r="Y13" s="31"/>
    </row>
    <row r="14" spans="1:25" ht="30" x14ac:dyDescent="0.25">
      <c r="A14" s="5">
        <v>12</v>
      </c>
      <c r="B14" s="6" t="s">
        <v>31</v>
      </c>
      <c r="C14" s="7" t="s">
        <v>32</v>
      </c>
      <c r="D14" s="1">
        <v>9143309.8300000001</v>
      </c>
      <c r="E14" s="1">
        <v>749751.41</v>
      </c>
      <c r="F14" s="1">
        <v>237433.47</v>
      </c>
      <c r="G14" s="1">
        <v>10130494.710000001</v>
      </c>
      <c r="H14" s="21">
        <v>10650801.17</v>
      </c>
      <c r="I14" s="22">
        <v>1.2</v>
      </c>
      <c r="J14" s="22">
        <f t="shared" si="0"/>
        <v>12780961.403999999</v>
      </c>
      <c r="K14" s="22">
        <v>0</v>
      </c>
      <c r="L14" s="22">
        <v>0</v>
      </c>
      <c r="M14" s="22">
        <f t="shared" si="1"/>
        <v>12780961.403999999</v>
      </c>
      <c r="N14" s="22"/>
      <c r="O14" s="22">
        <f>M14*30%</f>
        <v>3834288.4211999997</v>
      </c>
      <c r="P14" s="22">
        <v>0</v>
      </c>
      <c r="Q14" s="22">
        <f t="shared" si="2"/>
        <v>8946672.9827999994</v>
      </c>
      <c r="S14" s="44">
        <f>Q14</f>
        <v>8946672.9827999994</v>
      </c>
      <c r="T14" s="47" t="s">
        <v>736</v>
      </c>
      <c r="U14" s="136"/>
      <c r="V14" s="142">
        <v>44936</v>
      </c>
      <c r="W14" s="142">
        <v>44941</v>
      </c>
      <c r="X14" s="139" t="s">
        <v>733</v>
      </c>
      <c r="Y14" s="31"/>
    </row>
    <row r="15" spans="1:25" x14ac:dyDescent="0.25">
      <c r="A15" s="5">
        <v>13</v>
      </c>
      <c r="B15" s="6" t="s">
        <v>33</v>
      </c>
      <c r="C15" s="7" t="s">
        <v>34</v>
      </c>
      <c r="D15" s="1">
        <v>21996729.18</v>
      </c>
      <c r="E15" s="1">
        <v>1803731.79</v>
      </c>
      <c r="F15" s="1">
        <v>571211.06000000006</v>
      </c>
      <c r="G15" s="1">
        <v>24371672.030000001</v>
      </c>
      <c r="H15" s="21">
        <v>25623411.34</v>
      </c>
      <c r="I15" s="22">
        <v>1.2</v>
      </c>
      <c r="J15" s="22">
        <f t="shared" si="0"/>
        <v>30748093.607999999</v>
      </c>
      <c r="K15" s="22">
        <v>0</v>
      </c>
      <c r="L15" s="22">
        <v>0</v>
      </c>
      <c r="M15" s="22">
        <f t="shared" si="1"/>
        <v>30748093.607999999</v>
      </c>
      <c r="N15" s="22"/>
      <c r="O15" s="22">
        <v>19741000</v>
      </c>
      <c r="P15" s="22">
        <v>0</v>
      </c>
      <c r="Q15" s="22">
        <f t="shared" si="2"/>
        <v>11007093.607999999</v>
      </c>
      <c r="R15" s="26">
        <v>1500000</v>
      </c>
      <c r="S15" s="45">
        <f>Q15-R15</f>
        <v>9507093.6079999991</v>
      </c>
      <c r="T15" s="47" t="s">
        <v>727</v>
      </c>
      <c r="U15" s="135">
        <v>1402417.0524313936</v>
      </c>
      <c r="V15" s="140">
        <v>45280</v>
      </c>
      <c r="W15" s="140">
        <v>45281</v>
      </c>
      <c r="X15" s="190" t="s">
        <v>730</v>
      </c>
      <c r="Y15" s="32">
        <f>U15</f>
        <v>1402417.0524313936</v>
      </c>
    </row>
    <row r="16" spans="1:25" ht="30" x14ac:dyDescent="0.25">
      <c r="A16" s="5">
        <v>14</v>
      </c>
      <c r="B16" s="6" t="s">
        <v>35</v>
      </c>
      <c r="C16" s="7" t="s">
        <v>36</v>
      </c>
      <c r="D16" s="1">
        <v>1758763.66</v>
      </c>
      <c r="E16" s="1">
        <v>144218.62</v>
      </c>
      <c r="F16" s="1">
        <v>45671.57</v>
      </c>
      <c r="G16" s="1">
        <v>1948653.85</v>
      </c>
      <c r="H16" s="21">
        <v>2048737.53</v>
      </c>
      <c r="I16" s="22">
        <v>1.2</v>
      </c>
      <c r="J16" s="22">
        <f t="shared" si="0"/>
        <v>2458485.0359999998</v>
      </c>
      <c r="K16" s="22">
        <v>0</v>
      </c>
      <c r="L16" s="22">
        <v>0</v>
      </c>
      <c r="M16" s="22">
        <f t="shared" si="1"/>
        <v>2458485.0359999998</v>
      </c>
      <c r="N16" s="22"/>
      <c r="O16" s="22">
        <v>1000000</v>
      </c>
      <c r="P16" s="22">
        <v>0</v>
      </c>
      <c r="Q16" s="22">
        <f t="shared" si="2"/>
        <v>1458485.0359999998</v>
      </c>
      <c r="R16" s="30">
        <f t="shared" ref="R16:R21" si="3">Q16</f>
        <v>1458485.0359999998</v>
      </c>
      <c r="S16" s="27"/>
      <c r="T16" s="47" t="s">
        <v>727</v>
      </c>
      <c r="U16" s="135">
        <v>1251330.0501987713</v>
      </c>
      <c r="V16" s="141">
        <v>45281</v>
      </c>
      <c r="W16" s="141">
        <v>45285</v>
      </c>
      <c r="X16" s="139" t="s">
        <v>733</v>
      </c>
      <c r="Y16" s="31"/>
    </row>
    <row r="17" spans="1:26" x14ac:dyDescent="0.25">
      <c r="A17" s="5">
        <v>15</v>
      </c>
      <c r="B17" s="6" t="s">
        <v>37</v>
      </c>
      <c r="C17" s="7" t="s">
        <v>38</v>
      </c>
      <c r="D17" s="1">
        <v>4044845.15</v>
      </c>
      <c r="E17" s="1">
        <v>331677.3</v>
      </c>
      <c r="F17" s="1">
        <v>105036.54</v>
      </c>
      <c r="G17" s="1">
        <v>4481558.99</v>
      </c>
      <c r="H17" s="21">
        <v>4711733.74</v>
      </c>
      <c r="I17" s="22">
        <v>1.2</v>
      </c>
      <c r="J17" s="22">
        <f t="shared" si="0"/>
        <v>5654080.4879999999</v>
      </c>
      <c r="K17" s="22">
        <v>0</v>
      </c>
      <c r="L17" s="22">
        <v>0</v>
      </c>
      <c r="M17" s="22">
        <f t="shared" si="1"/>
        <v>5654080.4879999999</v>
      </c>
      <c r="N17" s="22"/>
      <c r="O17" s="22">
        <v>0</v>
      </c>
      <c r="P17" s="22">
        <v>0</v>
      </c>
      <c r="Q17" s="22">
        <f t="shared" si="2"/>
        <v>5654080.4879999999</v>
      </c>
      <c r="R17" s="30">
        <f t="shared" si="3"/>
        <v>5654080.4879999999</v>
      </c>
      <c r="S17" s="27"/>
      <c r="T17" s="47"/>
      <c r="U17" s="137"/>
      <c r="V17" s="140">
        <v>45281</v>
      </c>
      <c r="W17" s="140">
        <v>45285</v>
      </c>
      <c r="X17" s="139" t="s">
        <v>733</v>
      </c>
      <c r="Y17" s="31"/>
    </row>
    <row r="18" spans="1:26" ht="30" x14ac:dyDescent="0.25">
      <c r="A18" s="5">
        <v>16</v>
      </c>
      <c r="B18" s="6" t="s">
        <v>39</v>
      </c>
      <c r="C18" s="7" t="s">
        <v>40</v>
      </c>
      <c r="D18" s="1">
        <v>4859580.66</v>
      </c>
      <c r="E18" s="1">
        <v>398485.61</v>
      </c>
      <c r="F18" s="1">
        <v>126193.59</v>
      </c>
      <c r="G18" s="1">
        <v>5384259.8600000003</v>
      </c>
      <c r="H18" s="21">
        <v>5660797.71</v>
      </c>
      <c r="I18" s="22">
        <v>1.2</v>
      </c>
      <c r="J18" s="22">
        <f t="shared" si="0"/>
        <v>6792957.2519999994</v>
      </c>
      <c r="K18" s="22">
        <v>0</v>
      </c>
      <c r="L18" s="22">
        <v>0</v>
      </c>
      <c r="M18" s="22">
        <f t="shared" si="1"/>
        <v>6792957.2519999994</v>
      </c>
      <c r="N18" s="22"/>
      <c r="O18" s="22">
        <v>1000000</v>
      </c>
      <c r="P18" s="22">
        <v>0</v>
      </c>
      <c r="Q18" s="22">
        <f t="shared" si="2"/>
        <v>5792957.2519999994</v>
      </c>
      <c r="R18" s="26">
        <f t="shared" si="3"/>
        <v>5792957.2519999994</v>
      </c>
      <c r="S18" s="41"/>
      <c r="T18" s="47" t="s">
        <v>727</v>
      </c>
      <c r="U18" s="137"/>
      <c r="V18" s="140">
        <v>45285</v>
      </c>
      <c r="W18" s="140">
        <v>45286</v>
      </c>
      <c r="X18" s="139" t="s">
        <v>733</v>
      </c>
      <c r="Y18" s="31"/>
    </row>
    <row r="19" spans="1:26" x14ac:dyDescent="0.25">
      <c r="A19" s="5">
        <v>17</v>
      </c>
      <c r="B19" s="6" t="s">
        <v>41</v>
      </c>
      <c r="C19" s="7" t="s">
        <v>42</v>
      </c>
      <c r="D19" s="1">
        <v>1890203.39</v>
      </c>
      <c r="E19" s="1">
        <v>154996.68</v>
      </c>
      <c r="F19" s="1">
        <v>49084.800000000003</v>
      </c>
      <c r="G19" s="1">
        <v>2094284.87</v>
      </c>
      <c r="H19" s="21">
        <v>2201848.2200000002</v>
      </c>
      <c r="I19" s="22">
        <v>1.2</v>
      </c>
      <c r="J19" s="22">
        <f t="shared" si="0"/>
        <v>2642217.8640000001</v>
      </c>
      <c r="K19" s="22">
        <v>0</v>
      </c>
      <c r="L19" s="22">
        <v>0</v>
      </c>
      <c r="M19" s="22">
        <f t="shared" si="1"/>
        <v>2642217.8640000001</v>
      </c>
      <c r="N19" s="22"/>
      <c r="O19" s="22">
        <v>0</v>
      </c>
      <c r="P19" s="22">
        <v>3000000</v>
      </c>
      <c r="Q19" s="22">
        <f t="shared" si="2"/>
        <v>5642217.8640000001</v>
      </c>
      <c r="R19" s="29">
        <f t="shared" si="3"/>
        <v>5642217.8640000001</v>
      </c>
      <c r="S19" s="41"/>
      <c r="T19" s="47" t="s">
        <v>90</v>
      </c>
      <c r="U19" s="136"/>
      <c r="V19" s="140">
        <v>45280</v>
      </c>
      <c r="W19" s="140">
        <v>45282</v>
      </c>
      <c r="X19" s="139" t="s">
        <v>733</v>
      </c>
      <c r="Y19" s="31"/>
    </row>
    <row r="20" spans="1:26" x14ac:dyDescent="0.25">
      <c r="A20" s="5">
        <v>18</v>
      </c>
      <c r="B20" s="6" t="s">
        <v>43</v>
      </c>
      <c r="C20" s="7" t="s">
        <v>44</v>
      </c>
      <c r="D20" s="1">
        <v>4003449.34</v>
      </c>
      <c r="E20" s="1">
        <v>328282.84999999998</v>
      </c>
      <c r="F20" s="1">
        <v>103961.57</v>
      </c>
      <c r="G20" s="1">
        <v>4435693.76</v>
      </c>
      <c r="H20" s="21">
        <v>4663512.8499999996</v>
      </c>
      <c r="I20" s="22">
        <v>1.2</v>
      </c>
      <c r="J20" s="22">
        <f t="shared" si="0"/>
        <v>5596215.419999999</v>
      </c>
      <c r="K20" s="22">
        <v>0</v>
      </c>
      <c r="L20" s="22">
        <v>0</v>
      </c>
      <c r="M20" s="22">
        <f t="shared" si="1"/>
        <v>5596215.419999999</v>
      </c>
      <c r="N20" s="22"/>
      <c r="O20" s="22">
        <v>0</v>
      </c>
      <c r="P20" s="22">
        <v>3000000</v>
      </c>
      <c r="Q20" s="22">
        <f t="shared" si="2"/>
        <v>8596215.4199999981</v>
      </c>
      <c r="R20" s="29">
        <f t="shared" si="3"/>
        <v>8596215.4199999981</v>
      </c>
      <c r="S20" s="41"/>
      <c r="T20" s="47" t="s">
        <v>90</v>
      </c>
      <c r="U20" s="136"/>
      <c r="V20" s="140">
        <v>45280</v>
      </c>
      <c r="W20" s="140">
        <v>45282</v>
      </c>
      <c r="X20" s="139" t="s">
        <v>733</v>
      </c>
      <c r="Y20" s="31"/>
    </row>
    <row r="21" spans="1:26" ht="45" x14ac:dyDescent="0.25">
      <c r="A21" s="5">
        <v>19</v>
      </c>
      <c r="B21" s="6" t="s">
        <v>45</v>
      </c>
      <c r="C21" s="7" t="s">
        <v>46</v>
      </c>
      <c r="D21" s="1">
        <v>8291915.46</v>
      </c>
      <c r="E21" s="1">
        <v>679937.07</v>
      </c>
      <c r="F21" s="1">
        <v>215324.46</v>
      </c>
      <c r="G21" s="1">
        <v>9187176.9900000002</v>
      </c>
      <c r="H21" s="21">
        <v>9659034.2599999998</v>
      </c>
      <c r="I21" s="22">
        <v>1.2</v>
      </c>
      <c r="J21" s="22">
        <f t="shared" si="0"/>
        <v>11590841.112</v>
      </c>
      <c r="K21" s="22">
        <v>0</v>
      </c>
      <c r="L21" s="22">
        <v>0</v>
      </c>
      <c r="M21" s="22">
        <f t="shared" si="1"/>
        <v>11590841.112</v>
      </c>
      <c r="N21" s="22"/>
      <c r="O21" s="22">
        <v>3000000</v>
      </c>
      <c r="P21" s="22">
        <v>0</v>
      </c>
      <c r="Q21" s="22">
        <f t="shared" si="2"/>
        <v>8590841.1119999997</v>
      </c>
      <c r="R21" s="29">
        <f t="shared" si="3"/>
        <v>8590841.1119999997</v>
      </c>
      <c r="S21" s="41"/>
      <c r="T21" s="47" t="s">
        <v>734</v>
      </c>
      <c r="U21" s="136"/>
      <c r="V21" s="141">
        <v>45281</v>
      </c>
      <c r="W21" s="141">
        <v>45285</v>
      </c>
      <c r="X21" s="139" t="s">
        <v>735</v>
      </c>
      <c r="Y21" s="31"/>
    </row>
    <row r="22" spans="1:26" x14ac:dyDescent="0.25">
      <c r="A22" s="5">
        <v>20</v>
      </c>
      <c r="B22" s="6" t="s">
        <v>47</v>
      </c>
      <c r="C22" s="7" t="s">
        <v>48</v>
      </c>
      <c r="D22" s="1">
        <v>5005903.75</v>
      </c>
      <c r="E22" s="1">
        <v>410484.11</v>
      </c>
      <c r="F22" s="1">
        <v>129993.31</v>
      </c>
      <c r="G22" s="1">
        <v>5546381.1699999999</v>
      </c>
      <c r="H22" s="21">
        <v>5831245.6399999997</v>
      </c>
      <c r="I22" s="22">
        <v>1.2</v>
      </c>
      <c r="J22" s="22">
        <f t="shared" si="0"/>
        <v>6997494.7679999992</v>
      </c>
      <c r="K22" s="22">
        <v>0</v>
      </c>
      <c r="L22" s="22">
        <v>2298854.48</v>
      </c>
      <c r="M22" s="22">
        <f t="shared" si="1"/>
        <v>4698640.2879999988</v>
      </c>
      <c r="N22" s="22">
        <f>M22</f>
        <v>4698640.2879999988</v>
      </c>
      <c r="O22" s="22">
        <v>0</v>
      </c>
      <c r="P22" s="22">
        <v>0</v>
      </c>
      <c r="Q22" s="22">
        <f t="shared" si="2"/>
        <v>6997494.7679999992</v>
      </c>
      <c r="R22" s="27"/>
      <c r="S22" s="27"/>
      <c r="T22" s="47"/>
      <c r="U22" s="136"/>
      <c r="V22" s="31"/>
      <c r="W22" s="31"/>
      <c r="X22" s="190"/>
      <c r="Y22" s="31"/>
    </row>
    <row r="23" spans="1:26" ht="60" x14ac:dyDescent="0.25">
      <c r="A23" s="5">
        <v>21</v>
      </c>
      <c r="B23" s="6" t="s">
        <v>49</v>
      </c>
      <c r="C23" s="7" t="s">
        <v>50</v>
      </c>
      <c r="D23" s="1">
        <v>48898423.600000001</v>
      </c>
      <c r="E23" s="1">
        <v>4009670.74</v>
      </c>
      <c r="F23" s="1">
        <v>1269794.26</v>
      </c>
      <c r="G23" s="1">
        <v>54177888.600000001</v>
      </c>
      <c r="H23" s="21">
        <v>56960487.710000001</v>
      </c>
      <c r="I23" s="22">
        <v>1.2</v>
      </c>
      <c r="J23" s="22">
        <f t="shared" si="0"/>
        <v>68352585.252000004</v>
      </c>
      <c r="K23" s="22">
        <v>0</v>
      </c>
      <c r="L23" s="22">
        <v>0</v>
      </c>
      <c r="M23" s="22">
        <f>J23-K23-L23</f>
        <v>68352585.252000004</v>
      </c>
      <c r="N23" s="22">
        <f>Q23-R23</f>
        <v>53352585.252000004</v>
      </c>
      <c r="O23" s="22">
        <v>0</v>
      </c>
      <c r="P23" s="22">
        <v>0</v>
      </c>
      <c r="Q23" s="22">
        <f t="shared" si="2"/>
        <v>68352585.252000004</v>
      </c>
      <c r="R23" s="26">
        <v>15000000</v>
      </c>
      <c r="S23" s="41"/>
      <c r="T23" s="47" t="s">
        <v>732</v>
      </c>
      <c r="U23" s="135">
        <v>10000000</v>
      </c>
      <c r="V23" s="154" t="s">
        <v>741</v>
      </c>
      <c r="W23" s="154" t="s">
        <v>741</v>
      </c>
      <c r="X23" s="139" t="s">
        <v>733</v>
      </c>
      <c r="Y23" s="31"/>
    </row>
    <row r="24" spans="1:26" x14ac:dyDescent="0.25">
      <c r="A24" s="345" t="s">
        <v>83</v>
      </c>
      <c r="B24" s="346"/>
      <c r="C24" s="346"/>
      <c r="D24" s="346"/>
      <c r="E24" s="346"/>
      <c r="F24" s="346"/>
      <c r="G24" s="346"/>
      <c r="H24" s="346"/>
      <c r="I24" s="346"/>
      <c r="J24" s="346"/>
      <c r="K24" s="346"/>
      <c r="L24" s="346"/>
      <c r="M24" s="346"/>
      <c r="N24" s="346"/>
      <c r="O24" s="346"/>
      <c r="P24" s="346"/>
      <c r="Q24" s="347"/>
      <c r="R24" s="19"/>
      <c r="S24" s="19"/>
      <c r="U24" s="136"/>
      <c r="V24" s="31"/>
      <c r="W24" s="31"/>
      <c r="X24" s="190"/>
      <c r="Y24" s="31"/>
    </row>
    <row r="25" spans="1:26" outlineLevel="1" x14ac:dyDescent="0.25">
      <c r="A25" s="5">
        <v>22</v>
      </c>
      <c r="B25" s="9"/>
      <c r="C25" s="7" t="s">
        <v>55</v>
      </c>
      <c r="D25" s="1">
        <v>4859580.66</v>
      </c>
      <c r="E25" s="1">
        <v>398485.61</v>
      </c>
      <c r="F25" s="1">
        <v>126193.59</v>
      </c>
      <c r="G25" s="1">
        <v>5384259.8600000003</v>
      </c>
      <c r="H25" s="1"/>
      <c r="I25" s="8">
        <v>1.2</v>
      </c>
      <c r="J25" s="10">
        <v>0</v>
      </c>
      <c r="K25" s="10">
        <v>0</v>
      </c>
      <c r="L25" s="10">
        <v>0</v>
      </c>
      <c r="M25" s="10">
        <f>J25-K25-L25</f>
        <v>0</v>
      </c>
      <c r="N25" s="10"/>
      <c r="O25" s="10">
        <v>0</v>
      </c>
      <c r="P25" s="23">
        <v>12000000</v>
      </c>
      <c r="Q25" s="23">
        <f t="shared" si="2"/>
        <v>12000000</v>
      </c>
      <c r="R25" s="38">
        <f>Q25</f>
        <v>12000000</v>
      </c>
      <c r="S25" s="31"/>
      <c r="T25" s="47" t="s">
        <v>737</v>
      </c>
      <c r="U25" s="136">
        <v>12000000</v>
      </c>
      <c r="V25" s="140">
        <v>45279</v>
      </c>
      <c r="W25" s="140">
        <v>45281</v>
      </c>
      <c r="X25" s="190" t="s">
        <v>738</v>
      </c>
      <c r="Y25" s="151"/>
      <c r="Z25" s="4" t="s">
        <v>745</v>
      </c>
    </row>
    <row r="26" spans="1:26" outlineLevel="1" x14ac:dyDescent="0.25">
      <c r="A26" s="5">
        <v>23</v>
      </c>
      <c r="B26" s="9"/>
      <c r="C26" s="7" t="s">
        <v>56</v>
      </c>
      <c r="D26" s="1">
        <v>1890203.39</v>
      </c>
      <c r="E26" s="1">
        <v>154996.68</v>
      </c>
      <c r="F26" s="1">
        <v>49084.800000000003</v>
      </c>
      <c r="G26" s="1">
        <v>2094284.87</v>
      </c>
      <c r="H26" s="1"/>
      <c r="I26" s="8">
        <v>1.2</v>
      </c>
      <c r="J26" s="10">
        <v>0</v>
      </c>
      <c r="K26" s="10">
        <v>0</v>
      </c>
      <c r="L26" s="10">
        <v>0</v>
      </c>
      <c r="M26" s="10">
        <f t="shared" ref="M26:M28" si="4">J26-K26-L26</f>
        <v>0</v>
      </c>
      <c r="N26" s="10"/>
      <c r="O26" s="10">
        <v>0</v>
      </c>
      <c r="P26" s="23">
        <v>4000000</v>
      </c>
      <c r="Q26" s="23">
        <f t="shared" si="2"/>
        <v>4000000</v>
      </c>
      <c r="R26" s="38">
        <f>Q26</f>
        <v>4000000</v>
      </c>
      <c r="S26" s="31"/>
      <c r="T26" s="47" t="s">
        <v>737</v>
      </c>
      <c r="U26" s="136"/>
      <c r="V26" s="140">
        <v>45279</v>
      </c>
      <c r="W26" s="140">
        <v>45281</v>
      </c>
      <c r="X26" s="190" t="s">
        <v>738</v>
      </c>
      <c r="Y26" s="151"/>
      <c r="Z26" s="4" t="s">
        <v>745</v>
      </c>
    </row>
    <row r="27" spans="1:26" outlineLevel="1" x14ac:dyDescent="0.25">
      <c r="A27" s="5">
        <v>24</v>
      </c>
      <c r="B27" s="9"/>
      <c r="C27" s="7" t="s">
        <v>57</v>
      </c>
      <c r="D27" s="1">
        <v>4003449.34</v>
      </c>
      <c r="E27" s="1">
        <v>328282.84999999998</v>
      </c>
      <c r="F27" s="1">
        <v>103961.57</v>
      </c>
      <c r="G27" s="1">
        <v>4435693.76</v>
      </c>
      <c r="H27" s="1"/>
      <c r="I27" s="8">
        <v>1.2</v>
      </c>
      <c r="J27" s="10">
        <v>0</v>
      </c>
      <c r="K27" s="10">
        <v>0</v>
      </c>
      <c r="L27" s="10">
        <v>0</v>
      </c>
      <c r="M27" s="10">
        <f t="shared" si="4"/>
        <v>0</v>
      </c>
      <c r="N27" s="10"/>
      <c r="O27" s="10">
        <v>0</v>
      </c>
      <c r="P27" s="23"/>
      <c r="Q27" s="23">
        <f t="shared" si="2"/>
        <v>0</v>
      </c>
      <c r="R27" s="31"/>
      <c r="S27" s="31"/>
      <c r="T27" s="47"/>
      <c r="U27" s="136"/>
      <c r="V27" s="31"/>
      <c r="W27" s="31"/>
      <c r="X27" s="190"/>
      <c r="Y27" s="31"/>
    </row>
    <row r="28" spans="1:26" outlineLevel="1" x14ac:dyDescent="0.25">
      <c r="A28" s="5">
        <v>25</v>
      </c>
      <c r="B28" s="9"/>
      <c r="C28" s="7" t="s">
        <v>58</v>
      </c>
      <c r="D28" s="1">
        <v>8291915.46</v>
      </c>
      <c r="E28" s="1">
        <v>679937.07</v>
      </c>
      <c r="F28" s="1">
        <v>215324.46</v>
      </c>
      <c r="G28" s="1">
        <v>9187176.9900000002</v>
      </c>
      <c r="H28" s="1"/>
      <c r="I28" s="8">
        <v>1.2</v>
      </c>
      <c r="J28" s="10">
        <v>0</v>
      </c>
      <c r="K28" s="10">
        <v>0</v>
      </c>
      <c r="L28" s="10">
        <v>0</v>
      </c>
      <c r="M28" s="10">
        <f t="shared" si="4"/>
        <v>0</v>
      </c>
      <c r="N28" s="10"/>
      <c r="O28" s="10">
        <v>0</v>
      </c>
      <c r="P28" s="23">
        <v>2100000</v>
      </c>
      <c r="Q28" s="23">
        <f t="shared" si="2"/>
        <v>2100000</v>
      </c>
      <c r="R28" s="38">
        <f>Q28</f>
        <v>2100000</v>
      </c>
      <c r="S28" s="31"/>
      <c r="T28" s="47" t="s">
        <v>93</v>
      </c>
      <c r="U28" s="136">
        <v>2168448</v>
      </c>
      <c r="V28" s="31"/>
      <c r="W28" s="31"/>
      <c r="X28" s="190" t="s">
        <v>740</v>
      </c>
      <c r="Y28" s="32">
        <f>Мазутопровод!O140</f>
        <v>2168446.96</v>
      </c>
    </row>
    <row r="29" spans="1:26" outlineLevel="1" x14ac:dyDescent="0.25">
      <c r="A29" s="5">
        <v>26</v>
      </c>
      <c r="B29" s="9"/>
      <c r="C29" s="7" t="s">
        <v>59</v>
      </c>
      <c r="D29" s="1">
        <v>5005903.75</v>
      </c>
      <c r="E29" s="1">
        <v>410484.11</v>
      </c>
      <c r="F29" s="1">
        <v>129993.31</v>
      </c>
      <c r="G29" s="1">
        <v>5546381.1699999999</v>
      </c>
      <c r="H29" s="1"/>
      <c r="I29" s="8">
        <v>1.2</v>
      </c>
      <c r="J29" s="10">
        <v>0</v>
      </c>
      <c r="K29" s="10">
        <v>0</v>
      </c>
      <c r="L29" s="10">
        <v>0</v>
      </c>
      <c r="M29" s="10">
        <v>0</v>
      </c>
      <c r="N29" s="10"/>
      <c r="O29" s="10">
        <v>0</v>
      </c>
      <c r="P29" s="23">
        <v>4600000</v>
      </c>
      <c r="Q29" s="23">
        <f t="shared" si="2"/>
        <v>4600000</v>
      </c>
      <c r="R29" s="32">
        <f>Q29-400000</f>
        <v>4200000</v>
      </c>
      <c r="S29" s="42"/>
      <c r="T29" s="47"/>
      <c r="U29" s="135">
        <v>4216719.66</v>
      </c>
      <c r="V29" s="363">
        <v>45279</v>
      </c>
      <c r="W29" s="364"/>
      <c r="X29" s="190" t="s">
        <v>739</v>
      </c>
      <c r="Y29" s="31"/>
    </row>
    <row r="30" spans="1:26" outlineLevel="1" x14ac:dyDescent="0.25">
      <c r="A30" s="5">
        <v>28</v>
      </c>
      <c r="B30" s="9"/>
      <c r="C30" s="7" t="s">
        <v>60</v>
      </c>
      <c r="D30" s="1">
        <v>1890203.39</v>
      </c>
      <c r="E30" s="1">
        <v>154996.68</v>
      </c>
      <c r="F30" s="1">
        <v>49084.800000000003</v>
      </c>
      <c r="G30" s="1">
        <v>2094284.87</v>
      </c>
      <c r="H30" s="1"/>
      <c r="I30" s="8">
        <v>1.2</v>
      </c>
      <c r="J30" s="10">
        <v>0</v>
      </c>
      <c r="K30" s="10">
        <v>0</v>
      </c>
      <c r="L30" s="10">
        <v>0</v>
      </c>
      <c r="M30" s="10">
        <f t="shared" ref="M30:M32" si="5">J30-K30-L30</f>
        <v>0</v>
      </c>
      <c r="N30" s="10"/>
      <c r="O30" s="10">
        <v>0</v>
      </c>
      <c r="P30" s="23">
        <v>1800000</v>
      </c>
      <c r="Q30" s="23">
        <f t="shared" si="2"/>
        <v>1800000</v>
      </c>
      <c r="R30" s="31"/>
      <c r="S30" s="31"/>
      <c r="T30" s="47" t="s">
        <v>103</v>
      </c>
      <c r="U30" s="136"/>
      <c r="V30" s="31"/>
      <c r="W30" s="31"/>
      <c r="X30" s="190"/>
      <c r="Y30" s="31"/>
    </row>
    <row r="31" spans="1:26" outlineLevel="1" x14ac:dyDescent="0.25">
      <c r="A31" s="5">
        <v>29</v>
      </c>
      <c r="B31" s="9"/>
      <c r="C31" s="7" t="s">
        <v>61</v>
      </c>
      <c r="D31" s="1">
        <v>4003449.34</v>
      </c>
      <c r="E31" s="1">
        <v>328282.84999999998</v>
      </c>
      <c r="F31" s="1">
        <v>103961.57</v>
      </c>
      <c r="G31" s="1">
        <v>4435693.76</v>
      </c>
      <c r="H31" s="1"/>
      <c r="I31" s="8">
        <v>1.2</v>
      </c>
      <c r="J31" s="10">
        <v>0</v>
      </c>
      <c r="K31" s="10">
        <v>0</v>
      </c>
      <c r="L31" s="10">
        <v>0</v>
      </c>
      <c r="M31" s="10">
        <f t="shared" si="5"/>
        <v>0</v>
      </c>
      <c r="N31" s="10"/>
      <c r="O31" s="10">
        <v>0</v>
      </c>
      <c r="P31" s="23">
        <v>1000000</v>
      </c>
      <c r="Q31" s="23">
        <f t="shared" si="2"/>
        <v>1000000</v>
      </c>
      <c r="R31" s="31"/>
      <c r="S31" s="31"/>
      <c r="T31" s="47" t="s">
        <v>103</v>
      </c>
      <c r="U31" s="136"/>
      <c r="V31" s="31"/>
      <c r="W31" s="31"/>
      <c r="X31" s="190"/>
      <c r="Y31" s="31"/>
    </row>
    <row r="32" spans="1:26" outlineLevel="1" x14ac:dyDescent="0.25">
      <c r="A32" s="5">
        <v>30</v>
      </c>
      <c r="B32" s="9"/>
      <c r="C32" s="7" t="s">
        <v>62</v>
      </c>
      <c r="D32" s="1">
        <v>8291915.46</v>
      </c>
      <c r="E32" s="1">
        <v>679937.07</v>
      </c>
      <c r="F32" s="1">
        <v>215324.46</v>
      </c>
      <c r="G32" s="1">
        <v>9187176.9900000002</v>
      </c>
      <c r="H32" s="1"/>
      <c r="I32" s="8">
        <v>1.2</v>
      </c>
      <c r="J32" s="10">
        <v>0</v>
      </c>
      <c r="K32" s="10">
        <v>0</v>
      </c>
      <c r="L32" s="10">
        <v>0</v>
      </c>
      <c r="M32" s="10">
        <f t="shared" si="5"/>
        <v>0</v>
      </c>
      <c r="N32" s="10"/>
      <c r="O32" s="10">
        <v>0</v>
      </c>
      <c r="P32" s="23">
        <v>800000</v>
      </c>
      <c r="Q32" s="23">
        <f t="shared" si="2"/>
        <v>800000</v>
      </c>
      <c r="R32" s="31"/>
      <c r="S32" s="31"/>
      <c r="T32" s="47" t="s">
        <v>103</v>
      </c>
      <c r="U32" s="136"/>
      <c r="V32" s="31"/>
      <c r="W32" s="31"/>
      <c r="X32" s="190"/>
      <c r="Y32" s="31"/>
    </row>
    <row r="33" spans="1:25" outlineLevel="1" x14ac:dyDescent="0.25">
      <c r="A33" s="144">
        <v>31</v>
      </c>
      <c r="B33" s="145"/>
      <c r="C33" s="146" t="s">
        <v>63</v>
      </c>
      <c r="D33" s="147">
        <v>5005903.75</v>
      </c>
      <c r="E33" s="147">
        <v>410484.11</v>
      </c>
      <c r="F33" s="147">
        <v>129993.31</v>
      </c>
      <c r="G33" s="147">
        <v>5546381.1699999999</v>
      </c>
      <c r="H33" s="147"/>
      <c r="I33" s="148">
        <v>1.2</v>
      </c>
      <c r="J33" s="149">
        <v>0</v>
      </c>
      <c r="K33" s="149">
        <v>0</v>
      </c>
      <c r="L33" s="149">
        <v>0</v>
      </c>
      <c r="M33" s="149">
        <v>0</v>
      </c>
      <c r="N33" s="149"/>
      <c r="O33" s="149">
        <v>0</v>
      </c>
      <c r="P33" s="150">
        <v>800000</v>
      </c>
      <c r="Q33" s="150">
        <f t="shared" si="2"/>
        <v>800000</v>
      </c>
      <c r="R33" s="151"/>
      <c r="S33" s="151"/>
      <c r="T33" s="152" t="s">
        <v>103</v>
      </c>
      <c r="U33" s="135"/>
      <c r="V33" s="153">
        <v>45281</v>
      </c>
      <c r="W33" s="153">
        <v>45285</v>
      </c>
      <c r="X33" s="139" t="s">
        <v>735</v>
      </c>
      <c r="Y33" s="31"/>
    </row>
    <row r="34" spans="1:25" outlineLevel="1" x14ac:dyDescent="0.25">
      <c r="A34" s="144">
        <v>32</v>
      </c>
      <c r="B34" s="145"/>
      <c r="C34" s="146" t="s">
        <v>64</v>
      </c>
      <c r="D34" s="147">
        <v>48898423.600000001</v>
      </c>
      <c r="E34" s="147">
        <v>4009670.74</v>
      </c>
      <c r="F34" s="147">
        <v>1269794.26</v>
      </c>
      <c r="G34" s="147">
        <v>54177888.600000001</v>
      </c>
      <c r="H34" s="147"/>
      <c r="I34" s="148">
        <v>1.2</v>
      </c>
      <c r="J34" s="149">
        <v>0</v>
      </c>
      <c r="K34" s="149">
        <v>0</v>
      </c>
      <c r="L34" s="149">
        <v>0</v>
      </c>
      <c r="M34" s="149">
        <v>0</v>
      </c>
      <c r="N34" s="149"/>
      <c r="O34" s="149">
        <v>0</v>
      </c>
      <c r="P34" s="150">
        <v>600000</v>
      </c>
      <c r="Q34" s="150">
        <f t="shared" si="2"/>
        <v>600000</v>
      </c>
      <c r="R34" s="151"/>
      <c r="S34" s="151"/>
      <c r="T34" s="152" t="s">
        <v>103</v>
      </c>
      <c r="U34" s="135"/>
      <c r="V34" s="153">
        <v>45281</v>
      </c>
      <c r="W34" s="153">
        <v>45285</v>
      </c>
      <c r="X34" s="139" t="s">
        <v>735</v>
      </c>
      <c r="Y34" s="31"/>
    </row>
    <row r="35" spans="1:25" outlineLevel="1" x14ac:dyDescent="0.25">
      <c r="A35" s="5">
        <v>33</v>
      </c>
      <c r="B35" s="9"/>
      <c r="C35" s="7" t="s">
        <v>65</v>
      </c>
      <c r="D35" s="1">
        <v>5005903.75</v>
      </c>
      <c r="E35" s="1">
        <v>410484.11</v>
      </c>
      <c r="F35" s="1">
        <v>129993.31</v>
      </c>
      <c r="G35" s="1">
        <v>5546381.1699999999</v>
      </c>
      <c r="H35" s="1"/>
      <c r="I35" s="8">
        <v>1.2</v>
      </c>
      <c r="J35" s="10">
        <v>0</v>
      </c>
      <c r="K35" s="10">
        <v>0</v>
      </c>
      <c r="L35" s="10">
        <v>0</v>
      </c>
      <c r="M35" s="10">
        <v>0</v>
      </c>
      <c r="N35" s="10"/>
      <c r="O35" s="10">
        <v>0</v>
      </c>
      <c r="P35" s="23">
        <v>350000</v>
      </c>
      <c r="Q35" s="23">
        <f t="shared" si="2"/>
        <v>350000</v>
      </c>
      <c r="R35" s="31"/>
      <c r="S35" s="31"/>
      <c r="T35" s="47" t="s">
        <v>103</v>
      </c>
      <c r="U35" s="136"/>
      <c r="V35" s="31"/>
      <c r="W35" s="31"/>
      <c r="X35" s="190"/>
      <c r="Y35" s="31"/>
    </row>
    <row r="36" spans="1:25" outlineLevel="1" x14ac:dyDescent="0.25">
      <c r="A36" s="5">
        <v>34</v>
      </c>
      <c r="B36" s="9"/>
      <c r="C36" s="7" t="s">
        <v>66</v>
      </c>
      <c r="D36" s="1">
        <v>4859580.66</v>
      </c>
      <c r="E36" s="1">
        <v>398485.61</v>
      </c>
      <c r="F36" s="1">
        <v>126193.59</v>
      </c>
      <c r="G36" s="1">
        <v>5384259.8600000003</v>
      </c>
      <c r="H36" s="1"/>
      <c r="I36" s="8">
        <v>1.2</v>
      </c>
      <c r="J36" s="10">
        <v>0</v>
      </c>
      <c r="K36" s="10">
        <v>0</v>
      </c>
      <c r="L36" s="10">
        <v>0</v>
      </c>
      <c r="M36" s="10">
        <f t="shared" ref="M36:M39" si="6">J36-K36-L36</f>
        <v>0</v>
      </c>
      <c r="N36" s="10"/>
      <c r="O36" s="10">
        <v>0</v>
      </c>
      <c r="P36" s="23">
        <v>650000</v>
      </c>
      <c r="Q36" s="23">
        <f t="shared" si="2"/>
        <v>650000</v>
      </c>
      <c r="R36" s="31"/>
      <c r="S36" s="31"/>
      <c r="T36" s="47" t="s">
        <v>103</v>
      </c>
      <c r="U36" s="136"/>
      <c r="V36" s="31"/>
      <c r="W36" s="31"/>
      <c r="X36" s="190"/>
      <c r="Y36" s="31"/>
    </row>
    <row r="37" spans="1:25" outlineLevel="1" x14ac:dyDescent="0.25">
      <c r="A37" s="144">
        <v>35</v>
      </c>
      <c r="B37" s="145"/>
      <c r="C37" s="146" t="s">
        <v>67</v>
      </c>
      <c r="D37" s="147">
        <v>1890203.39</v>
      </c>
      <c r="E37" s="147">
        <v>154996.68</v>
      </c>
      <c r="F37" s="147">
        <v>49084.800000000003</v>
      </c>
      <c r="G37" s="147">
        <v>2094284.87</v>
      </c>
      <c r="H37" s="147"/>
      <c r="I37" s="148">
        <v>1.2</v>
      </c>
      <c r="J37" s="149">
        <v>0</v>
      </c>
      <c r="K37" s="149">
        <v>0</v>
      </c>
      <c r="L37" s="149">
        <v>0</v>
      </c>
      <c r="M37" s="149">
        <f t="shared" si="6"/>
        <v>0</v>
      </c>
      <c r="N37" s="149"/>
      <c r="O37" s="149">
        <v>0</v>
      </c>
      <c r="P37" s="150">
        <v>900000</v>
      </c>
      <c r="Q37" s="150">
        <f t="shared" si="2"/>
        <v>900000</v>
      </c>
      <c r="R37" s="151"/>
      <c r="S37" s="151"/>
      <c r="T37" s="152" t="s">
        <v>103</v>
      </c>
      <c r="U37" s="135"/>
      <c r="V37" s="153">
        <v>45281</v>
      </c>
      <c r="W37" s="153">
        <v>45285</v>
      </c>
      <c r="X37" s="139" t="s">
        <v>735</v>
      </c>
      <c r="Y37" s="31"/>
    </row>
    <row r="38" spans="1:25" outlineLevel="1" x14ac:dyDescent="0.25">
      <c r="A38" s="5">
        <v>36</v>
      </c>
      <c r="B38" s="9"/>
      <c r="C38" s="7" t="s">
        <v>68</v>
      </c>
      <c r="D38" s="1">
        <v>4003449.34</v>
      </c>
      <c r="E38" s="1">
        <v>328282.84999999998</v>
      </c>
      <c r="F38" s="1">
        <v>103961.57</v>
      </c>
      <c r="G38" s="1">
        <v>4435693.76</v>
      </c>
      <c r="H38" s="1"/>
      <c r="I38" s="8">
        <v>1.2</v>
      </c>
      <c r="J38" s="10">
        <v>0</v>
      </c>
      <c r="K38" s="10">
        <v>0</v>
      </c>
      <c r="L38" s="10">
        <v>0</v>
      </c>
      <c r="M38" s="10">
        <f t="shared" si="6"/>
        <v>0</v>
      </c>
      <c r="N38" s="10"/>
      <c r="O38" s="10">
        <v>0</v>
      </c>
      <c r="P38" s="23">
        <v>350000</v>
      </c>
      <c r="Q38" s="23">
        <f t="shared" si="2"/>
        <v>350000</v>
      </c>
      <c r="R38" s="31"/>
      <c r="S38" s="31"/>
      <c r="T38" s="47" t="s">
        <v>103</v>
      </c>
      <c r="U38" s="136"/>
      <c r="V38" s="31"/>
      <c r="W38" s="31"/>
      <c r="X38" s="190"/>
      <c r="Y38" s="31"/>
    </row>
    <row r="39" spans="1:25" outlineLevel="1" x14ac:dyDescent="0.25">
      <c r="A39" s="5">
        <v>37</v>
      </c>
      <c r="B39" s="9"/>
      <c r="C39" s="7" t="s">
        <v>69</v>
      </c>
      <c r="D39" s="1">
        <v>8291915.46</v>
      </c>
      <c r="E39" s="1">
        <v>679937.07</v>
      </c>
      <c r="F39" s="1">
        <v>215324.46</v>
      </c>
      <c r="G39" s="1">
        <v>9187176.9900000002</v>
      </c>
      <c r="H39" s="1"/>
      <c r="I39" s="8">
        <v>1.2</v>
      </c>
      <c r="J39" s="10">
        <v>0</v>
      </c>
      <c r="K39" s="10">
        <v>0</v>
      </c>
      <c r="L39" s="10">
        <v>0</v>
      </c>
      <c r="M39" s="10">
        <f t="shared" si="6"/>
        <v>0</v>
      </c>
      <c r="N39" s="10"/>
      <c r="O39" s="10">
        <v>0</v>
      </c>
      <c r="P39" s="23">
        <v>150000</v>
      </c>
      <c r="Q39" s="23">
        <f t="shared" si="2"/>
        <v>150000</v>
      </c>
      <c r="R39" s="31"/>
      <c r="S39" s="31"/>
      <c r="T39" s="47" t="s">
        <v>103</v>
      </c>
      <c r="U39" s="136"/>
      <c r="V39" s="31"/>
      <c r="W39" s="31"/>
      <c r="X39" s="190"/>
      <c r="Y39" s="31"/>
    </row>
    <row r="40" spans="1:25" outlineLevel="1" x14ac:dyDescent="0.25">
      <c r="A40" s="5">
        <v>38</v>
      </c>
      <c r="B40" s="9"/>
      <c r="C40" s="7" t="s">
        <v>70</v>
      </c>
      <c r="D40" s="1">
        <v>5005903.75</v>
      </c>
      <c r="E40" s="1">
        <v>410484.11</v>
      </c>
      <c r="F40" s="1">
        <v>129993.31</v>
      </c>
      <c r="G40" s="1">
        <v>5546381.1699999999</v>
      </c>
      <c r="H40" s="1"/>
      <c r="I40" s="8">
        <v>1.2</v>
      </c>
      <c r="J40" s="10">
        <v>0</v>
      </c>
      <c r="K40" s="10">
        <v>0</v>
      </c>
      <c r="L40" s="10">
        <v>0</v>
      </c>
      <c r="M40" s="10">
        <v>0</v>
      </c>
      <c r="N40" s="10"/>
      <c r="O40" s="10">
        <v>0</v>
      </c>
      <c r="P40" s="23">
        <v>300000</v>
      </c>
      <c r="Q40" s="23">
        <f t="shared" si="2"/>
        <v>300000</v>
      </c>
      <c r="R40" s="31"/>
      <c r="S40" s="31"/>
      <c r="T40" s="47" t="s">
        <v>103</v>
      </c>
      <c r="U40" s="136"/>
      <c r="V40" s="31"/>
      <c r="W40" s="31"/>
      <c r="X40" s="190"/>
      <c r="Y40" s="31"/>
    </row>
    <row r="41" spans="1:25" outlineLevel="1" x14ac:dyDescent="0.25">
      <c r="A41" s="5">
        <v>39</v>
      </c>
      <c r="B41" s="9"/>
      <c r="C41" s="7" t="s">
        <v>71</v>
      </c>
      <c r="D41" s="1">
        <v>48898423.600000001</v>
      </c>
      <c r="E41" s="1">
        <v>4009670.74</v>
      </c>
      <c r="F41" s="1">
        <v>1269794.26</v>
      </c>
      <c r="G41" s="1">
        <v>54177888.600000001</v>
      </c>
      <c r="H41" s="1"/>
      <c r="I41" s="8">
        <v>1.2</v>
      </c>
      <c r="J41" s="10">
        <v>0</v>
      </c>
      <c r="K41" s="10">
        <v>0</v>
      </c>
      <c r="L41" s="10">
        <v>0</v>
      </c>
      <c r="M41" s="10">
        <v>0</v>
      </c>
      <c r="N41" s="10"/>
      <c r="O41" s="10">
        <v>0</v>
      </c>
      <c r="P41" s="23">
        <v>2000000</v>
      </c>
      <c r="Q41" s="23">
        <f t="shared" si="2"/>
        <v>2000000</v>
      </c>
      <c r="R41" s="31"/>
      <c r="S41" s="31"/>
      <c r="T41" s="47" t="s">
        <v>103</v>
      </c>
      <c r="U41" s="136"/>
      <c r="V41" s="31"/>
      <c r="W41" s="31"/>
      <c r="X41" s="190"/>
      <c r="Y41" s="31"/>
    </row>
    <row r="42" spans="1:25" outlineLevel="1" x14ac:dyDescent="0.25">
      <c r="A42" s="5">
        <v>40</v>
      </c>
      <c r="B42" s="9"/>
      <c r="C42" s="7" t="s">
        <v>72</v>
      </c>
      <c r="D42" s="1">
        <v>48898423.600000001</v>
      </c>
      <c r="E42" s="1">
        <v>4009670.74</v>
      </c>
      <c r="F42" s="1">
        <v>1269794.26</v>
      </c>
      <c r="G42" s="1">
        <v>54177888.600000001</v>
      </c>
      <c r="H42" s="1"/>
      <c r="I42" s="8">
        <v>1.2</v>
      </c>
      <c r="J42" s="10">
        <v>0</v>
      </c>
      <c r="K42" s="10">
        <v>0</v>
      </c>
      <c r="L42" s="10">
        <v>0</v>
      </c>
      <c r="M42" s="10">
        <v>0</v>
      </c>
      <c r="N42" s="10"/>
      <c r="O42" s="10">
        <v>0</v>
      </c>
      <c r="P42" s="23">
        <v>800000</v>
      </c>
      <c r="Q42" s="23">
        <f t="shared" si="2"/>
        <v>800000</v>
      </c>
      <c r="R42" s="31"/>
      <c r="S42" s="31"/>
      <c r="T42" s="47" t="s">
        <v>103</v>
      </c>
      <c r="U42" s="136"/>
      <c r="V42" s="31"/>
      <c r="W42" s="31"/>
      <c r="X42" s="190"/>
      <c r="Y42" s="31"/>
    </row>
    <row r="43" spans="1:25" outlineLevel="1" x14ac:dyDescent="0.25">
      <c r="A43" s="5">
        <v>41</v>
      </c>
      <c r="B43" s="9"/>
      <c r="C43" s="7" t="s">
        <v>73</v>
      </c>
      <c r="D43" s="1">
        <v>5005903.75</v>
      </c>
      <c r="E43" s="1">
        <v>410484.11</v>
      </c>
      <c r="F43" s="1">
        <v>129993.31</v>
      </c>
      <c r="G43" s="1">
        <v>5546381.1699999999</v>
      </c>
      <c r="H43" s="1"/>
      <c r="I43" s="8">
        <v>1.2</v>
      </c>
      <c r="J43" s="10">
        <v>0</v>
      </c>
      <c r="K43" s="10">
        <v>0</v>
      </c>
      <c r="L43" s="10">
        <v>0</v>
      </c>
      <c r="M43" s="10">
        <v>0</v>
      </c>
      <c r="N43" s="10"/>
      <c r="O43" s="10">
        <v>0</v>
      </c>
      <c r="P43" s="23">
        <v>2100000</v>
      </c>
      <c r="Q43" s="23">
        <f t="shared" si="2"/>
        <v>2100000</v>
      </c>
      <c r="R43" s="31"/>
      <c r="S43" s="31"/>
      <c r="T43" s="47" t="s">
        <v>103</v>
      </c>
      <c r="U43" s="136"/>
      <c r="V43" s="31"/>
      <c r="W43" s="31"/>
      <c r="X43" s="190"/>
      <c r="Y43" s="31"/>
    </row>
    <row r="44" spans="1:25" outlineLevel="1" x14ac:dyDescent="0.25">
      <c r="A44" s="5">
        <v>42</v>
      </c>
      <c r="B44" s="9"/>
      <c r="C44" s="7" t="s">
        <v>74</v>
      </c>
      <c r="D44" s="1">
        <v>4859580.66</v>
      </c>
      <c r="E44" s="1">
        <v>398485.61</v>
      </c>
      <c r="F44" s="1">
        <v>126193.59</v>
      </c>
      <c r="G44" s="1">
        <v>5384259.8600000003</v>
      </c>
      <c r="H44" s="1"/>
      <c r="I44" s="8">
        <v>1.2</v>
      </c>
      <c r="J44" s="10">
        <v>0</v>
      </c>
      <c r="K44" s="10">
        <v>0</v>
      </c>
      <c r="L44" s="10">
        <v>0</v>
      </c>
      <c r="M44" s="10">
        <f t="shared" ref="M44:M46" si="7">J44-K44-L44</f>
        <v>0</v>
      </c>
      <c r="N44" s="10"/>
      <c r="O44" s="10">
        <v>0</v>
      </c>
      <c r="P44" s="23">
        <v>1800000</v>
      </c>
      <c r="Q44" s="23">
        <f t="shared" si="2"/>
        <v>1800000</v>
      </c>
      <c r="R44" s="31"/>
      <c r="S44" s="31"/>
      <c r="T44" s="47" t="s">
        <v>103</v>
      </c>
      <c r="U44" s="136"/>
      <c r="V44" s="31"/>
      <c r="W44" s="31"/>
      <c r="X44" s="190"/>
      <c r="Y44" s="31"/>
    </row>
    <row r="45" spans="1:25" ht="30" outlineLevel="1" x14ac:dyDescent="0.25">
      <c r="A45" s="5">
        <v>43</v>
      </c>
      <c r="B45" s="9"/>
      <c r="C45" s="7" t="s">
        <v>81</v>
      </c>
      <c r="D45" s="1">
        <v>1890203.39</v>
      </c>
      <c r="E45" s="1">
        <v>154996.68</v>
      </c>
      <c r="F45" s="1">
        <v>49084.800000000003</v>
      </c>
      <c r="G45" s="1">
        <v>2094284.87</v>
      </c>
      <c r="H45" s="1"/>
      <c r="I45" s="8">
        <v>1.2</v>
      </c>
      <c r="J45" s="10">
        <v>0</v>
      </c>
      <c r="K45" s="10">
        <v>0</v>
      </c>
      <c r="L45" s="10">
        <v>0</v>
      </c>
      <c r="M45" s="10">
        <f t="shared" si="7"/>
        <v>0</v>
      </c>
      <c r="N45" s="10"/>
      <c r="O45" s="10">
        <v>0</v>
      </c>
      <c r="P45" s="23">
        <v>600000</v>
      </c>
      <c r="Q45" s="23">
        <f t="shared" si="2"/>
        <v>600000</v>
      </c>
      <c r="R45" s="31"/>
      <c r="S45" s="31"/>
      <c r="T45" s="47" t="s">
        <v>103</v>
      </c>
      <c r="U45" s="136"/>
      <c r="V45" s="31"/>
      <c r="W45" s="31"/>
      <c r="X45" s="190"/>
      <c r="Y45" s="31"/>
    </row>
    <row r="46" spans="1:25" ht="30" outlineLevel="1" x14ac:dyDescent="0.25">
      <c r="A46" s="5">
        <v>44</v>
      </c>
      <c r="B46" s="9"/>
      <c r="C46" s="7" t="s">
        <v>82</v>
      </c>
      <c r="D46" s="1">
        <v>4003449.34</v>
      </c>
      <c r="E46" s="1">
        <v>328282.84999999998</v>
      </c>
      <c r="F46" s="1">
        <v>103961.57</v>
      </c>
      <c r="G46" s="1">
        <v>4435693.76</v>
      </c>
      <c r="H46" s="1"/>
      <c r="I46" s="8">
        <v>1.2</v>
      </c>
      <c r="J46" s="10">
        <v>0</v>
      </c>
      <c r="K46" s="10">
        <v>0</v>
      </c>
      <c r="L46" s="10">
        <v>0</v>
      </c>
      <c r="M46" s="10">
        <f t="shared" si="7"/>
        <v>0</v>
      </c>
      <c r="N46" s="10"/>
      <c r="O46" s="10">
        <v>0</v>
      </c>
      <c r="P46" s="23">
        <v>350000</v>
      </c>
      <c r="Q46" s="23">
        <f t="shared" si="2"/>
        <v>350000</v>
      </c>
      <c r="R46" s="31"/>
      <c r="S46" s="31"/>
      <c r="T46" s="47" t="s">
        <v>103</v>
      </c>
      <c r="U46" s="136"/>
      <c r="V46" s="31"/>
      <c r="W46" s="31"/>
      <c r="X46" s="190"/>
      <c r="Y46" s="31"/>
    </row>
    <row r="47" spans="1:25" x14ac:dyDescent="0.25">
      <c r="A47" s="341" t="s">
        <v>51</v>
      </c>
      <c r="B47" s="342"/>
      <c r="C47" s="343"/>
      <c r="D47" s="16">
        <f>SUM(D3:D23)</f>
        <v>392033916.05999994</v>
      </c>
      <c r="E47" s="17"/>
      <c r="F47" s="18"/>
      <c r="G47" s="16">
        <f>SUM(G3:G23)</f>
        <v>434361033.93000001</v>
      </c>
      <c r="H47" s="16">
        <f>SUM(H3:H23)</f>
        <v>456670000.01000005</v>
      </c>
      <c r="I47" s="16"/>
      <c r="J47" s="16">
        <f>SUM(J3:J46)</f>
        <v>548004000.01199996</v>
      </c>
      <c r="K47" s="16">
        <f>SUM(K3:K46)</f>
        <v>210417570.36000001</v>
      </c>
      <c r="L47" s="16">
        <f>SUM(L3:L46)</f>
        <v>79978331.200000003</v>
      </c>
      <c r="M47" s="16">
        <f>SUM(M3:M46)</f>
        <v>257608098.45199996</v>
      </c>
      <c r="N47" s="16"/>
      <c r="O47" s="16">
        <f>SUM(O3:O46)</f>
        <v>29575288.4212</v>
      </c>
      <c r="P47" s="16">
        <f>SUM(P3:P46)</f>
        <v>54650000</v>
      </c>
      <c r="Q47" s="16">
        <f>SUM(Q3:Q46)</f>
        <v>573078711.59079993</v>
      </c>
      <c r="R47" s="31"/>
      <c r="S47" s="31"/>
      <c r="T47" s="47"/>
      <c r="U47" s="138">
        <f>SUM(U3:U46)</f>
        <v>112845769.0070466</v>
      </c>
      <c r="V47" s="31"/>
      <c r="W47" s="31"/>
      <c r="X47" s="190"/>
      <c r="Y47" s="187">
        <f>SUM(Y3:Y41)</f>
        <v>6756341.0358086526</v>
      </c>
    </row>
    <row r="48" spans="1:25" hidden="1" x14ac:dyDescent="0.25">
      <c r="A48" s="362" t="s">
        <v>54</v>
      </c>
      <c r="B48" s="362"/>
      <c r="C48" s="362"/>
      <c r="D48" s="362"/>
      <c r="E48" s="362"/>
      <c r="F48" s="362"/>
      <c r="G48" s="362"/>
      <c r="H48" s="362"/>
      <c r="I48" s="362"/>
      <c r="J48" s="362"/>
      <c r="K48" s="2">
        <f>K47/2</f>
        <v>105208785.18000001</v>
      </c>
      <c r="L48" s="2">
        <f t="shared" ref="L48:M48" si="8">L47/2</f>
        <v>39989165.600000001</v>
      </c>
      <c r="M48" s="2">
        <f t="shared" si="8"/>
        <v>128804049.22599998</v>
      </c>
      <c r="N48" s="2"/>
      <c r="O48" s="11">
        <f t="shared" ref="O48:P48" si="9">O47/2</f>
        <v>14787644.2106</v>
      </c>
      <c r="P48" s="11">
        <f t="shared" si="9"/>
        <v>27325000</v>
      </c>
      <c r="Q48" s="11">
        <f t="shared" ref="Q48" si="10">Q47/2</f>
        <v>286539355.79539996</v>
      </c>
    </row>
    <row r="49" spans="1:16" ht="15.75" thickBot="1" x14ac:dyDescent="0.3">
      <c r="M49" s="3"/>
    </row>
    <row r="50" spans="1:16" x14ac:dyDescent="0.25">
      <c r="A50" s="354" t="s">
        <v>84</v>
      </c>
      <c r="B50" s="355"/>
      <c r="C50" s="355"/>
      <c r="D50" s="355"/>
      <c r="E50" s="355"/>
      <c r="F50" s="355"/>
      <c r="G50" s="355"/>
      <c r="H50" s="355"/>
      <c r="I50" s="355"/>
      <c r="J50" s="355"/>
      <c r="K50" s="355"/>
      <c r="L50" s="355"/>
      <c r="M50" s="355"/>
      <c r="N50" s="355"/>
      <c r="O50" s="355"/>
      <c r="P50" s="12">
        <f>Q47</f>
        <v>573078711.59079993</v>
      </c>
    </row>
    <row r="51" spans="1:16" ht="15.75" thickBot="1" x14ac:dyDescent="0.3">
      <c r="A51" s="356" t="s">
        <v>85</v>
      </c>
      <c r="B51" s="357"/>
      <c r="C51" s="357"/>
      <c r="D51" s="357"/>
      <c r="E51" s="357"/>
      <c r="F51" s="357"/>
      <c r="G51" s="357"/>
      <c r="H51" s="357"/>
      <c r="I51" s="357"/>
      <c r="J51" s="357"/>
      <c r="K51" s="357"/>
      <c r="L51" s="357"/>
      <c r="M51" s="357"/>
      <c r="N51" s="357"/>
      <c r="O51" s="357"/>
      <c r="P51" s="13">
        <f>Q47-J47</f>
        <v>25074711.578799963</v>
      </c>
    </row>
    <row r="52" spans="1:16" x14ac:dyDescent="0.25">
      <c r="L52" s="3"/>
    </row>
    <row r="53" spans="1:16" x14ac:dyDescent="0.25">
      <c r="A53" s="358" t="s">
        <v>97</v>
      </c>
      <c r="B53" s="358"/>
      <c r="C53" s="358"/>
      <c r="D53" s="358"/>
      <c r="E53" s="358"/>
      <c r="F53" s="358"/>
      <c r="G53" s="358"/>
      <c r="H53" s="358"/>
      <c r="I53" s="358"/>
      <c r="J53" s="358"/>
      <c r="K53" s="358"/>
      <c r="L53" s="358"/>
      <c r="M53" s="358"/>
      <c r="N53" s="358"/>
      <c r="O53" s="358"/>
      <c r="P53" s="35">
        <f>R4+R5+R6+R7+R9+R12+R16+R15+R17+R18+R23+R29</f>
        <v>113093426.92599998</v>
      </c>
    </row>
    <row r="54" spans="1:16" x14ac:dyDescent="0.25">
      <c r="A54" s="359" t="s">
        <v>100</v>
      </c>
      <c r="B54" s="359"/>
      <c r="C54" s="359"/>
      <c r="D54" s="359"/>
      <c r="E54" s="359"/>
      <c r="F54" s="359"/>
      <c r="G54" s="359"/>
      <c r="H54" s="359"/>
      <c r="I54" s="359"/>
      <c r="J54" s="359"/>
      <c r="K54" s="359"/>
      <c r="L54" s="359"/>
      <c r="M54" s="359"/>
      <c r="N54" s="359"/>
      <c r="O54" s="359"/>
      <c r="P54" s="36">
        <f>R10+R11+R13+R19+R20+R21</f>
        <v>36493295.811999999</v>
      </c>
    </row>
    <row r="55" spans="1:16" x14ac:dyDescent="0.25">
      <c r="A55" s="344" t="s">
        <v>99</v>
      </c>
      <c r="B55" s="344"/>
      <c r="C55" s="344"/>
      <c r="D55" s="344"/>
      <c r="E55" s="344"/>
      <c r="F55" s="344"/>
      <c r="G55" s="344"/>
      <c r="H55" s="344"/>
      <c r="I55" s="344"/>
      <c r="J55" s="344"/>
      <c r="K55" s="344"/>
      <c r="L55" s="344"/>
      <c r="M55" s="344"/>
      <c r="N55" s="344"/>
      <c r="O55" s="344"/>
      <c r="P55" s="46">
        <f>S14+S15+S13+S11+S3</f>
        <v>35654883.412799999</v>
      </c>
    </row>
    <row r="56" spans="1:16" x14ac:dyDescent="0.25">
      <c r="A56" s="33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 t="s">
        <v>101</v>
      </c>
      <c r="P56" s="19">
        <f>SUM(P53:P55)</f>
        <v>185241606.15079999</v>
      </c>
    </row>
    <row r="57" spans="1:16" x14ac:dyDescent="0.25">
      <c r="A57" s="39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 t="s">
        <v>102</v>
      </c>
      <c r="P57" s="40">
        <f>R25+R26+R28</f>
        <v>18100000</v>
      </c>
    </row>
    <row r="58" spans="1:16" x14ac:dyDescent="0.25">
      <c r="A58" s="34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 t="s">
        <v>98</v>
      </c>
      <c r="P58" s="37">
        <f>SUM(N3:N23)</f>
        <v>62991203.880000003</v>
      </c>
    </row>
    <row r="59" spans="1:16" x14ac:dyDescent="0.25">
      <c r="L59" s="3"/>
      <c r="O59" s="33" t="s">
        <v>94</v>
      </c>
      <c r="P59" s="3">
        <f>SUM(P25:P46)</f>
        <v>38050000</v>
      </c>
    </row>
    <row r="60" spans="1:16" x14ac:dyDescent="0.25">
      <c r="L60" s="3"/>
      <c r="O60" s="33" t="s">
        <v>95</v>
      </c>
      <c r="P60" s="3">
        <f>Q29</f>
        <v>4600000</v>
      </c>
    </row>
    <row r="61" spans="1:16" x14ac:dyDescent="0.25">
      <c r="O61" s="33" t="s">
        <v>96</v>
      </c>
      <c r="P61" s="3">
        <f>P59-P60-P57</f>
        <v>15350000</v>
      </c>
    </row>
  </sheetData>
  <mergeCells count="11">
    <mergeCell ref="V9:W9"/>
    <mergeCell ref="A2:Q2"/>
    <mergeCell ref="A53:O53"/>
    <mergeCell ref="A54:O54"/>
    <mergeCell ref="A55:O55"/>
    <mergeCell ref="A51:O51"/>
    <mergeCell ref="A50:O50"/>
    <mergeCell ref="A47:C47"/>
    <mergeCell ref="A48:J48"/>
    <mergeCell ref="A24:Q24"/>
    <mergeCell ref="V29:W29"/>
  </mergeCells>
  <pageMargins left="0.70866141732283472" right="0.70866141732283472" top="0.74803149606299213" bottom="0.74803149606299213" header="0.31496062992125984" footer="0.31496062992125984"/>
  <pageSetup paperSize="9" scale="6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F0"/>
    <pageSetUpPr fitToPage="1"/>
  </sheetPr>
  <dimension ref="A1:L45"/>
  <sheetViews>
    <sheetView zoomScale="130" zoomScaleNormal="130" workbookViewId="0">
      <pane ySplit="1" topLeftCell="A2" activePane="bottomLeft" state="frozen"/>
      <selection activeCell="I11" sqref="I11"/>
      <selection pane="bottomLeft" activeCell="I11" sqref="I11"/>
    </sheetView>
  </sheetViews>
  <sheetFormatPr defaultColWidth="9.140625" defaultRowHeight="11.25" x14ac:dyDescent="0.2"/>
  <cols>
    <col min="1" max="1" width="5.140625" style="89" customWidth="1"/>
    <col min="2" max="2" width="5.140625" style="90" customWidth="1"/>
    <col min="3" max="3" width="52.28515625" style="90" customWidth="1"/>
    <col min="4" max="4" width="8.5703125" style="90" customWidth="1"/>
    <col min="5" max="5" width="10.5703125" style="90" customWidth="1"/>
    <col min="6" max="6" width="9.85546875" style="90" customWidth="1"/>
    <col min="7" max="7" width="10.42578125" style="90" customWidth="1"/>
    <col min="8" max="9" width="12.28515625" style="90" customWidth="1"/>
    <col min="10" max="10" width="17" style="178" customWidth="1"/>
    <col min="11" max="12" width="9.140625" style="169"/>
    <col min="13" max="16384" width="9.140625" style="90"/>
  </cols>
  <sheetData>
    <row r="1" spans="1:12" s="87" customFormat="1" ht="22.5" x14ac:dyDescent="0.2">
      <c r="A1" s="94" t="s">
        <v>0</v>
      </c>
      <c r="B1" s="95" t="s">
        <v>243</v>
      </c>
      <c r="C1" s="95" t="s">
        <v>242</v>
      </c>
      <c r="D1" s="91" t="s">
        <v>234</v>
      </c>
      <c r="E1" s="91" t="s">
        <v>235</v>
      </c>
      <c r="F1" s="95" t="s">
        <v>244</v>
      </c>
      <c r="G1" s="96" t="s">
        <v>245</v>
      </c>
      <c r="H1" s="117" t="s">
        <v>744</v>
      </c>
      <c r="I1" s="117" t="s">
        <v>723</v>
      </c>
      <c r="J1" s="173" t="s">
        <v>695</v>
      </c>
      <c r="K1" s="167"/>
      <c r="L1" s="167"/>
    </row>
    <row r="2" spans="1:12" s="115" customFormat="1" x14ac:dyDescent="0.2">
      <c r="A2" s="98" t="s">
        <v>255</v>
      </c>
      <c r="B2" s="98"/>
      <c r="C2" s="98"/>
      <c r="D2" s="98"/>
      <c r="E2" s="98"/>
      <c r="F2" s="98"/>
      <c r="G2" s="113"/>
      <c r="H2" s="114"/>
      <c r="I2" s="114"/>
      <c r="J2" s="174"/>
      <c r="K2" s="168" t="s">
        <v>742</v>
      </c>
      <c r="L2" s="168" t="s">
        <v>743</v>
      </c>
    </row>
    <row r="3" spans="1:12" x14ac:dyDescent="0.2">
      <c r="A3" s="107" t="s">
        <v>104</v>
      </c>
      <c r="B3" s="108" t="s">
        <v>697</v>
      </c>
      <c r="C3" s="109" t="s">
        <v>698</v>
      </c>
      <c r="D3" s="107" t="s">
        <v>110</v>
      </c>
      <c r="E3" s="110">
        <v>0.19350000000000001</v>
      </c>
      <c r="F3" s="111">
        <f>G3/E3</f>
        <v>73798.759689922474</v>
      </c>
      <c r="G3" s="99">
        <v>14280.06</v>
      </c>
      <c r="H3" s="106"/>
      <c r="I3" s="106"/>
      <c r="J3" s="175">
        <f>F3*I3</f>
        <v>0</v>
      </c>
      <c r="K3" s="169">
        <v>29.29</v>
      </c>
      <c r="L3" s="169">
        <v>0.6</v>
      </c>
    </row>
    <row r="4" spans="1:12" x14ac:dyDescent="0.2">
      <c r="A4" s="107" t="s">
        <v>106</v>
      </c>
      <c r="B4" s="108" t="s">
        <v>258</v>
      </c>
      <c r="C4" s="109" t="s">
        <v>240</v>
      </c>
      <c r="D4" s="107" t="s">
        <v>110</v>
      </c>
      <c r="E4" s="110">
        <v>5.3600000000000002E-2</v>
      </c>
      <c r="F4" s="111">
        <f t="shared" ref="F4:F39" si="0">G4/E4</f>
        <v>100714.1791044776</v>
      </c>
      <c r="G4" s="99">
        <v>5398.28</v>
      </c>
      <c r="H4" s="106">
        <f>29.29/1000</f>
        <v>2.929E-2</v>
      </c>
      <c r="I4" s="106">
        <f>H4</f>
        <v>2.929E-2</v>
      </c>
      <c r="J4" s="175">
        <f t="shared" ref="J4:J39" si="1">F4*I4</f>
        <v>2949.918305970149</v>
      </c>
      <c r="L4" s="169">
        <v>3.5</v>
      </c>
    </row>
    <row r="5" spans="1:12" x14ac:dyDescent="0.2">
      <c r="A5" s="107" t="s">
        <v>108</v>
      </c>
      <c r="B5" s="108" t="s">
        <v>259</v>
      </c>
      <c r="C5" s="109" t="s">
        <v>699</v>
      </c>
      <c r="D5" s="107" t="s">
        <v>107</v>
      </c>
      <c r="E5" s="110">
        <v>4.9000000000000002E-2</v>
      </c>
      <c r="F5" s="111">
        <f t="shared" si="0"/>
        <v>158598.57142857142</v>
      </c>
      <c r="G5" s="99">
        <v>7771.33</v>
      </c>
      <c r="H5" s="106">
        <f>(3.5+0.6)/100</f>
        <v>4.0999999999999995E-2</v>
      </c>
      <c r="I5" s="106">
        <f>H5</f>
        <v>4.0999999999999995E-2</v>
      </c>
      <c r="J5" s="175">
        <f t="shared" si="1"/>
        <v>6502.5414285714278</v>
      </c>
    </row>
    <row r="6" spans="1:12" x14ac:dyDescent="0.2">
      <c r="A6" s="107" t="s">
        <v>109</v>
      </c>
      <c r="B6" s="108" t="s">
        <v>118</v>
      </c>
      <c r="C6" s="109" t="s">
        <v>119</v>
      </c>
      <c r="D6" s="107" t="s">
        <v>120</v>
      </c>
      <c r="E6" s="110">
        <v>53.6</v>
      </c>
      <c r="F6" s="111">
        <f t="shared" si="0"/>
        <v>1325.0210820895522</v>
      </c>
      <c r="G6" s="99">
        <v>71021.13</v>
      </c>
      <c r="H6" s="106">
        <f>H4*1000+H5*100</f>
        <v>33.39</v>
      </c>
      <c r="I6" s="106">
        <f>H6</f>
        <v>33.39</v>
      </c>
      <c r="J6" s="175">
        <f t="shared" si="1"/>
        <v>44242.45393097015</v>
      </c>
    </row>
    <row r="7" spans="1:12" x14ac:dyDescent="0.2">
      <c r="A7" s="107" t="s">
        <v>111</v>
      </c>
      <c r="B7" s="108" t="s">
        <v>700</v>
      </c>
      <c r="C7" s="109" t="s">
        <v>701</v>
      </c>
      <c r="D7" s="107" t="s">
        <v>110</v>
      </c>
      <c r="E7" s="110">
        <v>0.14879999999999999</v>
      </c>
      <c r="F7" s="111">
        <f t="shared" si="0"/>
        <v>15730.174731182798</v>
      </c>
      <c r="G7" s="99">
        <v>2340.65</v>
      </c>
      <c r="H7" s="106">
        <v>0</v>
      </c>
      <c r="I7" s="106">
        <f t="shared" ref="I7:I9" si="2">H7</f>
        <v>0</v>
      </c>
      <c r="J7" s="175">
        <f t="shared" si="1"/>
        <v>0</v>
      </c>
    </row>
    <row r="8" spans="1:12" x14ac:dyDescent="0.2">
      <c r="A8" s="107" t="s">
        <v>114</v>
      </c>
      <c r="B8" s="108" t="s">
        <v>263</v>
      </c>
      <c r="C8" s="109" t="s">
        <v>264</v>
      </c>
      <c r="D8" s="107" t="s">
        <v>107</v>
      </c>
      <c r="E8" s="110">
        <v>0.496</v>
      </c>
      <c r="F8" s="111">
        <f t="shared" si="0"/>
        <v>87637.237903225803</v>
      </c>
      <c r="G8" s="99">
        <v>43468.07</v>
      </c>
      <c r="H8" s="106">
        <v>0</v>
      </c>
      <c r="I8" s="106">
        <f t="shared" si="2"/>
        <v>0</v>
      </c>
      <c r="J8" s="175">
        <f t="shared" si="1"/>
        <v>0</v>
      </c>
    </row>
    <row r="9" spans="1:12" x14ac:dyDescent="0.2">
      <c r="A9" s="107" t="s">
        <v>117</v>
      </c>
      <c r="B9" s="108" t="s">
        <v>501</v>
      </c>
      <c r="C9" s="109" t="s">
        <v>503</v>
      </c>
      <c r="D9" s="107" t="s">
        <v>107</v>
      </c>
      <c r="E9" s="110">
        <v>1.488</v>
      </c>
      <c r="F9" s="111">
        <f t="shared" si="0"/>
        <v>21446.391129032258</v>
      </c>
      <c r="G9" s="99">
        <v>31912.23</v>
      </c>
      <c r="H9" s="106">
        <v>0</v>
      </c>
      <c r="I9" s="106">
        <f t="shared" si="2"/>
        <v>0</v>
      </c>
      <c r="J9" s="175">
        <f t="shared" si="1"/>
        <v>0</v>
      </c>
    </row>
    <row r="10" spans="1:12" x14ac:dyDescent="0.2">
      <c r="A10" s="107"/>
      <c r="B10" s="112"/>
      <c r="C10" s="112"/>
      <c r="D10" s="110"/>
      <c r="E10" s="110"/>
      <c r="F10" s="111"/>
      <c r="G10" s="99"/>
      <c r="H10" s="106"/>
      <c r="I10" s="106"/>
      <c r="J10" s="175"/>
    </row>
    <row r="11" spans="1:12" s="115" customFormat="1" x14ac:dyDescent="0.2">
      <c r="A11" s="98" t="s">
        <v>702</v>
      </c>
      <c r="B11" s="98"/>
      <c r="C11" s="98"/>
      <c r="D11" s="98"/>
      <c r="E11" s="98"/>
      <c r="F11" s="97"/>
      <c r="G11" s="116"/>
      <c r="H11" s="114"/>
      <c r="I11" s="114"/>
      <c r="J11" s="174"/>
      <c r="K11" s="168"/>
      <c r="L11" s="168"/>
    </row>
    <row r="12" spans="1:12" x14ac:dyDescent="0.2">
      <c r="A12" s="107" t="s">
        <v>121</v>
      </c>
      <c r="B12" s="108" t="s">
        <v>181</v>
      </c>
      <c r="C12" s="109" t="s">
        <v>182</v>
      </c>
      <c r="D12" s="107" t="s">
        <v>120</v>
      </c>
      <c r="E12" s="110">
        <v>6.4</v>
      </c>
      <c r="F12" s="111">
        <f t="shared" si="0"/>
        <v>1322.3374999999999</v>
      </c>
      <c r="G12" s="99">
        <v>8462.9599999999991</v>
      </c>
      <c r="H12" s="172">
        <v>3.5</v>
      </c>
      <c r="I12" s="172">
        <f t="shared" ref="I12:I17" si="3">H12</f>
        <v>3.5</v>
      </c>
      <c r="J12" s="175">
        <f t="shared" si="1"/>
        <v>4628.1812499999996</v>
      </c>
      <c r="K12" s="168"/>
    </row>
    <row r="13" spans="1:12" x14ac:dyDescent="0.2">
      <c r="A13" s="107" t="s">
        <v>122</v>
      </c>
      <c r="B13" s="108" t="s">
        <v>265</v>
      </c>
      <c r="C13" s="109" t="s">
        <v>703</v>
      </c>
      <c r="D13" s="107" t="s">
        <v>120</v>
      </c>
      <c r="E13" s="110">
        <v>7.36</v>
      </c>
      <c r="F13" s="111">
        <f t="shared" si="0"/>
        <v>2564.9891304347825</v>
      </c>
      <c r="G13" s="99">
        <v>18878.32</v>
      </c>
      <c r="H13" s="172">
        <f>1.15*H12</f>
        <v>4.0249999999999995</v>
      </c>
      <c r="I13" s="172">
        <f t="shared" si="3"/>
        <v>4.0249999999999995</v>
      </c>
      <c r="J13" s="175">
        <f t="shared" si="1"/>
        <v>10324.081249999997</v>
      </c>
      <c r="K13" s="168"/>
    </row>
    <row r="14" spans="1:12" x14ac:dyDescent="0.2">
      <c r="A14" s="107" t="s">
        <v>123</v>
      </c>
      <c r="B14" s="108" t="s">
        <v>185</v>
      </c>
      <c r="C14" s="109" t="s">
        <v>186</v>
      </c>
      <c r="D14" s="107" t="s">
        <v>105</v>
      </c>
      <c r="E14" s="110">
        <v>0.65</v>
      </c>
      <c r="F14" s="111">
        <f t="shared" si="0"/>
        <v>259225.43076923076</v>
      </c>
      <c r="G14" s="99">
        <v>168496.53</v>
      </c>
      <c r="H14" s="172">
        <f>37.5/100</f>
        <v>0.375</v>
      </c>
      <c r="I14" s="172">
        <f t="shared" si="3"/>
        <v>0.375</v>
      </c>
      <c r="J14" s="175">
        <f t="shared" si="1"/>
        <v>97209.536538461543</v>
      </c>
      <c r="K14" s="168"/>
    </row>
    <row r="15" spans="1:12" x14ac:dyDescent="0.2">
      <c r="A15" s="107" t="s">
        <v>124</v>
      </c>
      <c r="B15" s="108" t="s">
        <v>190</v>
      </c>
      <c r="C15" s="109" t="s">
        <v>696</v>
      </c>
      <c r="D15" s="107" t="s">
        <v>120</v>
      </c>
      <c r="E15" s="110">
        <v>0.29249999999999998</v>
      </c>
      <c r="F15" s="111">
        <f t="shared" si="0"/>
        <v>5426.3247863247871</v>
      </c>
      <c r="G15" s="99">
        <v>1587.2</v>
      </c>
      <c r="H15" s="172">
        <v>0</v>
      </c>
      <c r="I15" s="172">
        <f t="shared" si="3"/>
        <v>0</v>
      </c>
      <c r="J15" s="175">
        <f t="shared" si="1"/>
        <v>0</v>
      </c>
      <c r="K15" s="168"/>
    </row>
    <row r="16" spans="1:12" x14ac:dyDescent="0.2">
      <c r="A16" s="107" t="s">
        <v>125</v>
      </c>
      <c r="B16" s="108" t="s">
        <v>704</v>
      </c>
      <c r="C16" s="109" t="s">
        <v>705</v>
      </c>
      <c r="D16" s="107" t="s">
        <v>158</v>
      </c>
      <c r="E16" s="110">
        <v>26</v>
      </c>
      <c r="F16" s="111">
        <f t="shared" si="0"/>
        <v>11592.177692307692</v>
      </c>
      <c r="G16" s="99">
        <v>301396.62</v>
      </c>
      <c r="H16" s="172">
        <v>15</v>
      </c>
      <c r="I16" s="172">
        <f t="shared" si="3"/>
        <v>15</v>
      </c>
      <c r="J16" s="175">
        <f t="shared" si="1"/>
        <v>173882.66538461539</v>
      </c>
      <c r="K16" s="168"/>
    </row>
    <row r="17" spans="1:12" x14ac:dyDescent="0.2">
      <c r="A17" s="107" t="s">
        <v>126</v>
      </c>
      <c r="B17" s="108" t="s">
        <v>706</v>
      </c>
      <c r="C17" s="109" t="s">
        <v>707</v>
      </c>
      <c r="D17" s="107" t="s">
        <v>158</v>
      </c>
      <c r="E17" s="110">
        <v>27</v>
      </c>
      <c r="F17" s="111">
        <f t="shared" si="0"/>
        <v>3824.3470370370369</v>
      </c>
      <c r="G17" s="99">
        <v>103257.37</v>
      </c>
      <c r="H17" s="172">
        <v>16</v>
      </c>
      <c r="I17" s="172">
        <f t="shared" si="3"/>
        <v>16</v>
      </c>
      <c r="J17" s="175">
        <f t="shared" si="1"/>
        <v>61189.55259259259</v>
      </c>
      <c r="K17" s="168"/>
    </row>
    <row r="18" spans="1:12" s="123" customFormat="1" x14ac:dyDescent="0.2">
      <c r="A18" s="119" t="s">
        <v>194</v>
      </c>
      <c r="B18" s="119"/>
      <c r="C18" s="119"/>
      <c r="D18" s="119"/>
      <c r="E18" s="119"/>
      <c r="F18" s="120"/>
      <c r="G18" s="121"/>
      <c r="H18" s="122"/>
      <c r="I18" s="122"/>
      <c r="J18" s="176"/>
      <c r="K18" s="168"/>
      <c r="L18" s="170"/>
    </row>
    <row r="19" spans="1:12" s="131" customFormat="1" x14ac:dyDescent="0.2">
      <c r="A19" s="124" t="s">
        <v>127</v>
      </c>
      <c r="B19" s="125" t="s">
        <v>196</v>
      </c>
      <c r="C19" s="126" t="s">
        <v>197</v>
      </c>
      <c r="D19" s="124" t="s">
        <v>107</v>
      </c>
      <c r="E19" s="127">
        <v>2.5000000000000001E-2</v>
      </c>
      <c r="F19" s="128">
        <f t="shared" si="0"/>
        <v>678700</v>
      </c>
      <c r="G19" s="129">
        <v>16967.5</v>
      </c>
      <c r="H19" s="130"/>
      <c r="I19" s="130">
        <v>0</v>
      </c>
      <c r="J19" s="177">
        <f t="shared" si="1"/>
        <v>0</v>
      </c>
      <c r="K19" s="168"/>
      <c r="L19" s="171"/>
    </row>
    <row r="20" spans="1:12" s="131" customFormat="1" x14ac:dyDescent="0.2">
      <c r="A20" s="124" t="s">
        <v>128</v>
      </c>
      <c r="B20" s="125" t="s">
        <v>190</v>
      </c>
      <c r="C20" s="126" t="s">
        <v>696</v>
      </c>
      <c r="D20" s="124" t="s">
        <v>120</v>
      </c>
      <c r="E20" s="127">
        <v>2.2440000000000002</v>
      </c>
      <c r="F20" s="128">
        <f t="shared" si="0"/>
        <v>5426.3992869875219</v>
      </c>
      <c r="G20" s="129">
        <v>12176.84</v>
      </c>
      <c r="H20" s="130"/>
      <c r="I20" s="130">
        <v>0</v>
      </c>
      <c r="J20" s="177">
        <f t="shared" si="1"/>
        <v>0</v>
      </c>
      <c r="K20" s="171"/>
      <c r="L20" s="171"/>
    </row>
    <row r="21" spans="1:12" s="131" customFormat="1" x14ac:dyDescent="0.2">
      <c r="A21" s="124" t="s">
        <v>129</v>
      </c>
      <c r="B21" s="125" t="s">
        <v>201</v>
      </c>
      <c r="C21" s="126" t="s">
        <v>202</v>
      </c>
      <c r="D21" s="124" t="s">
        <v>120</v>
      </c>
      <c r="E21" s="127">
        <v>1.7</v>
      </c>
      <c r="F21" s="128">
        <f t="shared" si="0"/>
        <v>7258.8235294117649</v>
      </c>
      <c r="G21" s="129">
        <v>12340</v>
      </c>
      <c r="H21" s="130"/>
      <c r="I21" s="130">
        <v>0</v>
      </c>
      <c r="J21" s="177">
        <f t="shared" si="1"/>
        <v>0</v>
      </c>
      <c r="K21" s="171"/>
      <c r="L21" s="171"/>
    </row>
    <row r="22" spans="1:12" s="131" customFormat="1" x14ac:dyDescent="0.2">
      <c r="A22" s="124" t="s">
        <v>130</v>
      </c>
      <c r="B22" s="125" t="s">
        <v>708</v>
      </c>
      <c r="C22" s="126" t="s">
        <v>709</v>
      </c>
      <c r="D22" s="124" t="s">
        <v>205</v>
      </c>
      <c r="E22" s="127">
        <v>0.497</v>
      </c>
      <c r="F22" s="128">
        <f t="shared" si="0"/>
        <v>8930.6841046277677</v>
      </c>
      <c r="G22" s="129">
        <v>4438.55</v>
      </c>
      <c r="H22" s="130"/>
      <c r="I22" s="130">
        <v>0</v>
      </c>
      <c r="J22" s="177">
        <f t="shared" si="1"/>
        <v>0</v>
      </c>
      <c r="K22" s="171"/>
      <c r="L22" s="171"/>
    </row>
    <row r="23" spans="1:12" s="131" customFormat="1" x14ac:dyDescent="0.2">
      <c r="A23" s="124" t="s">
        <v>131</v>
      </c>
      <c r="B23" s="125" t="s">
        <v>710</v>
      </c>
      <c r="C23" s="126" t="s">
        <v>711</v>
      </c>
      <c r="D23" s="124" t="s">
        <v>120</v>
      </c>
      <c r="E23" s="127">
        <v>0.37</v>
      </c>
      <c r="F23" s="128">
        <f t="shared" si="0"/>
        <v>4319.9459459459467</v>
      </c>
      <c r="G23" s="129">
        <v>1598.38</v>
      </c>
      <c r="H23" s="130"/>
      <c r="I23" s="130">
        <v>0</v>
      </c>
      <c r="J23" s="177">
        <f t="shared" si="1"/>
        <v>0</v>
      </c>
      <c r="K23" s="171"/>
      <c r="L23" s="171"/>
    </row>
    <row r="24" spans="1:12" s="131" customFormat="1" x14ac:dyDescent="0.2">
      <c r="A24" s="124" t="s">
        <v>132</v>
      </c>
      <c r="B24" s="125" t="s">
        <v>207</v>
      </c>
      <c r="C24" s="126" t="s">
        <v>208</v>
      </c>
      <c r="D24" s="124" t="s">
        <v>160</v>
      </c>
      <c r="E24" s="127">
        <v>7.1440000000000002E-3</v>
      </c>
      <c r="F24" s="128">
        <f t="shared" si="0"/>
        <v>47508.398656215002</v>
      </c>
      <c r="G24" s="129">
        <v>339.4</v>
      </c>
      <c r="H24" s="130"/>
      <c r="I24" s="130">
        <v>0</v>
      </c>
      <c r="J24" s="177">
        <f t="shared" si="1"/>
        <v>0</v>
      </c>
      <c r="K24" s="171"/>
      <c r="L24" s="171"/>
    </row>
    <row r="25" spans="1:12" s="131" customFormat="1" x14ac:dyDescent="0.2">
      <c r="A25" s="124" t="s">
        <v>133</v>
      </c>
      <c r="B25" s="125" t="s">
        <v>210</v>
      </c>
      <c r="C25" s="126" t="s">
        <v>712</v>
      </c>
      <c r="D25" s="124" t="s">
        <v>160</v>
      </c>
      <c r="E25" s="127">
        <v>-7.1440000000000002E-3</v>
      </c>
      <c r="F25" s="128">
        <f t="shared" si="0"/>
        <v>963.04591265397528</v>
      </c>
      <c r="G25" s="129">
        <v>-6.88</v>
      </c>
      <c r="H25" s="130"/>
      <c r="I25" s="130">
        <v>0</v>
      </c>
      <c r="J25" s="177">
        <f t="shared" si="1"/>
        <v>0</v>
      </c>
      <c r="K25" s="171"/>
      <c r="L25" s="171"/>
    </row>
    <row r="26" spans="1:12" s="131" customFormat="1" x14ac:dyDescent="0.2">
      <c r="A26" s="124" t="s">
        <v>134</v>
      </c>
      <c r="B26" s="125" t="s">
        <v>713</v>
      </c>
      <c r="C26" s="126" t="s">
        <v>714</v>
      </c>
      <c r="D26" s="124" t="s">
        <v>120</v>
      </c>
      <c r="E26" s="127">
        <v>1.45738E-2</v>
      </c>
      <c r="F26" s="128">
        <f t="shared" si="0"/>
        <v>3465.8085056745667</v>
      </c>
      <c r="G26" s="129">
        <v>50.51</v>
      </c>
      <c r="H26" s="130"/>
      <c r="I26" s="130">
        <v>0</v>
      </c>
      <c r="J26" s="177">
        <f t="shared" si="1"/>
        <v>0</v>
      </c>
      <c r="K26" s="171"/>
      <c r="L26" s="171"/>
    </row>
    <row r="27" spans="1:12" x14ac:dyDescent="0.2">
      <c r="A27" s="107"/>
      <c r="B27" s="112"/>
      <c r="C27" s="112"/>
      <c r="D27" s="110"/>
      <c r="E27" s="110"/>
      <c r="F27" s="111"/>
      <c r="G27" s="99"/>
      <c r="H27" s="106"/>
      <c r="I27" s="106"/>
      <c r="J27" s="175"/>
    </row>
    <row r="28" spans="1:12" s="115" customFormat="1" x14ac:dyDescent="0.2">
      <c r="A28" s="98" t="s">
        <v>715</v>
      </c>
      <c r="B28" s="98"/>
      <c r="C28" s="98"/>
      <c r="D28" s="98"/>
      <c r="E28" s="98"/>
      <c r="F28" s="97"/>
      <c r="G28" s="116"/>
      <c r="H28" s="114"/>
      <c r="I28" s="114"/>
      <c r="J28" s="174"/>
      <c r="K28" s="168"/>
      <c r="L28" s="168"/>
    </row>
    <row r="29" spans="1:12" x14ac:dyDescent="0.2">
      <c r="A29" s="107" t="s">
        <v>135</v>
      </c>
      <c r="B29" s="108" t="s">
        <v>686</v>
      </c>
      <c r="C29" s="109" t="s">
        <v>687</v>
      </c>
      <c r="D29" s="107" t="s">
        <v>107</v>
      </c>
      <c r="E29" s="110">
        <v>7.2999999999999995E-2</v>
      </c>
      <c r="F29" s="111">
        <f t="shared" si="0"/>
        <v>217704.65753424659</v>
      </c>
      <c r="G29" s="99">
        <v>15892.44</v>
      </c>
      <c r="H29" s="130">
        <f>7.47/100</f>
        <v>7.4700000000000003E-2</v>
      </c>
      <c r="I29" s="106">
        <f>E29</f>
        <v>7.2999999999999995E-2</v>
      </c>
      <c r="J29" s="175">
        <f t="shared" si="1"/>
        <v>15892.44</v>
      </c>
    </row>
    <row r="30" spans="1:12" x14ac:dyDescent="0.2">
      <c r="A30" s="107" t="s">
        <v>136</v>
      </c>
      <c r="B30" s="108" t="s">
        <v>690</v>
      </c>
      <c r="C30" s="109" t="s">
        <v>691</v>
      </c>
      <c r="D30" s="107" t="s">
        <v>120</v>
      </c>
      <c r="E30" s="110">
        <v>7.4459999999999997</v>
      </c>
      <c r="F30" s="111">
        <f t="shared" si="0"/>
        <v>4569.599785119527</v>
      </c>
      <c r="G30" s="99">
        <v>34025.24</v>
      </c>
      <c r="H30" s="130">
        <f>H29*1.02*100</f>
        <v>7.6193999999999997</v>
      </c>
      <c r="I30" s="106">
        <f>E30</f>
        <v>7.4459999999999997</v>
      </c>
      <c r="J30" s="175">
        <f t="shared" si="1"/>
        <v>34025.24</v>
      </c>
    </row>
    <row r="31" spans="1:12" x14ac:dyDescent="0.2">
      <c r="A31" s="107" t="s">
        <v>137</v>
      </c>
      <c r="B31" s="108" t="s">
        <v>716</v>
      </c>
      <c r="C31" s="109" t="s">
        <v>717</v>
      </c>
      <c r="D31" s="107" t="s">
        <v>107</v>
      </c>
      <c r="E31" s="110">
        <v>0.25700000000000001</v>
      </c>
      <c r="F31" s="111">
        <f t="shared" si="0"/>
        <v>1379147.6653696499</v>
      </c>
      <c r="G31" s="99">
        <v>354440.95</v>
      </c>
      <c r="H31" s="130">
        <f>(12.81+13.88)/100</f>
        <v>0.26690000000000003</v>
      </c>
      <c r="I31" s="106">
        <f>E31</f>
        <v>0.25700000000000001</v>
      </c>
      <c r="J31" s="175">
        <f t="shared" si="1"/>
        <v>354440.95</v>
      </c>
    </row>
    <row r="32" spans="1:12" x14ac:dyDescent="0.2">
      <c r="A32" s="107" t="s">
        <v>138</v>
      </c>
      <c r="B32" s="108" t="s">
        <v>688</v>
      </c>
      <c r="C32" s="109" t="s">
        <v>689</v>
      </c>
      <c r="D32" s="107" t="s">
        <v>120</v>
      </c>
      <c r="E32" s="110">
        <v>26.0855</v>
      </c>
      <c r="F32" s="111">
        <f t="shared" si="0"/>
        <v>5921.6315577619753</v>
      </c>
      <c r="G32" s="99">
        <v>154468.72</v>
      </c>
      <c r="H32" s="106">
        <f>1.015*12.81</f>
        <v>13.002149999999999</v>
      </c>
      <c r="I32" s="106">
        <f>H32</f>
        <v>13.002149999999999</v>
      </c>
      <c r="J32" s="175">
        <f t="shared" si="1"/>
        <v>76993.941758754852</v>
      </c>
    </row>
    <row r="33" spans="1:12" x14ac:dyDescent="0.2">
      <c r="A33" s="107" t="s">
        <v>140</v>
      </c>
      <c r="B33" s="108" t="s">
        <v>694</v>
      </c>
      <c r="C33" s="109" t="s">
        <v>689</v>
      </c>
      <c r="D33" s="107" t="s">
        <v>120</v>
      </c>
      <c r="E33" s="110">
        <v>26.0855</v>
      </c>
      <c r="F33" s="111">
        <f t="shared" si="0"/>
        <v>158.07287573556189</v>
      </c>
      <c r="G33" s="99">
        <v>4123.41</v>
      </c>
      <c r="H33" s="172">
        <f>1.015*13.88</f>
        <v>14.088199999999999</v>
      </c>
      <c r="I33" s="172">
        <f>H33</f>
        <v>14.088199999999999</v>
      </c>
      <c r="J33" s="175">
        <f t="shared" si="1"/>
        <v>2226.962287937743</v>
      </c>
    </row>
    <row r="34" spans="1:12" x14ac:dyDescent="0.2">
      <c r="A34" s="107" t="s">
        <v>141</v>
      </c>
      <c r="B34" s="108" t="s">
        <v>692</v>
      </c>
      <c r="C34" s="109" t="s">
        <v>693</v>
      </c>
      <c r="D34" s="107" t="s">
        <v>152</v>
      </c>
      <c r="E34" s="110">
        <v>1.98</v>
      </c>
      <c r="F34" s="111">
        <f t="shared" si="0"/>
        <v>51138.636363636368</v>
      </c>
      <c r="G34" s="99">
        <v>101254.5</v>
      </c>
      <c r="H34" s="106">
        <f>(335.07+272.08+366.6+58.93+60.12+740.4)/1000</f>
        <v>1.8331999999999997</v>
      </c>
      <c r="I34" s="106">
        <f>H34</f>
        <v>1.8331999999999997</v>
      </c>
      <c r="J34" s="175">
        <f t="shared" si="1"/>
        <v>93747.348181818175</v>
      </c>
    </row>
    <row r="35" spans="1:12" x14ac:dyDescent="0.2">
      <c r="A35" s="107" t="s">
        <v>143</v>
      </c>
      <c r="B35" s="108" t="s">
        <v>718</v>
      </c>
      <c r="C35" s="109" t="s">
        <v>719</v>
      </c>
      <c r="D35" s="107" t="s">
        <v>152</v>
      </c>
      <c r="E35" s="110">
        <v>0.68400000000000005</v>
      </c>
      <c r="F35" s="111">
        <f t="shared" si="0"/>
        <v>54885.65789473684</v>
      </c>
      <c r="G35" s="99">
        <v>37541.79</v>
      </c>
      <c r="H35" s="106">
        <f>(74.77+139.78+281.52+137.27)/1000</f>
        <v>0.63334000000000001</v>
      </c>
      <c r="I35" s="106">
        <f>H35</f>
        <v>0.63334000000000001</v>
      </c>
      <c r="J35" s="175">
        <f t="shared" si="1"/>
        <v>34761.28257105263</v>
      </c>
    </row>
    <row r="36" spans="1:12" x14ac:dyDescent="0.2">
      <c r="A36" s="107" t="s">
        <v>144</v>
      </c>
      <c r="B36" s="108" t="s">
        <v>720</v>
      </c>
      <c r="C36" s="109" t="s">
        <v>721</v>
      </c>
      <c r="D36" s="107" t="s">
        <v>152</v>
      </c>
      <c r="E36" s="110">
        <v>1.7999999999999999E-2</v>
      </c>
      <c r="F36" s="111">
        <f t="shared" si="0"/>
        <v>55325.000000000007</v>
      </c>
      <c r="G36" s="99">
        <v>995.85</v>
      </c>
      <c r="H36" s="106">
        <f>17.52/1000</f>
        <v>1.7520000000000001E-2</v>
      </c>
      <c r="I36" s="106">
        <f>H36</f>
        <v>1.7520000000000001E-2</v>
      </c>
      <c r="J36" s="175">
        <f t="shared" si="1"/>
        <v>969.29400000000021</v>
      </c>
    </row>
    <row r="37" spans="1:12" x14ac:dyDescent="0.2">
      <c r="A37" s="107" t="s">
        <v>145</v>
      </c>
      <c r="B37" s="108" t="s">
        <v>220</v>
      </c>
      <c r="C37" s="109" t="s">
        <v>221</v>
      </c>
      <c r="D37" s="107" t="s">
        <v>160</v>
      </c>
      <c r="E37" s="110">
        <v>1.7</v>
      </c>
      <c r="F37" s="111">
        <f t="shared" si="0"/>
        <v>34196.141176470592</v>
      </c>
      <c r="G37" s="99">
        <v>58133.440000000002</v>
      </c>
      <c r="H37" s="130">
        <f>225.19/100</f>
        <v>2.2519</v>
      </c>
      <c r="I37" s="106">
        <f>E37</f>
        <v>1.7</v>
      </c>
      <c r="J37" s="175">
        <f t="shared" si="1"/>
        <v>58133.440000000002</v>
      </c>
    </row>
    <row r="38" spans="1:12" x14ac:dyDescent="0.2">
      <c r="A38" s="107" t="s">
        <v>146</v>
      </c>
      <c r="B38" s="108" t="s">
        <v>223</v>
      </c>
      <c r="C38" s="109" t="s">
        <v>224</v>
      </c>
      <c r="D38" s="107" t="s">
        <v>152</v>
      </c>
      <c r="E38" s="110">
        <v>2.7199999999999998E-2</v>
      </c>
      <c r="F38" s="111">
        <f t="shared" si="0"/>
        <v>96983.823529411777</v>
      </c>
      <c r="G38" s="99">
        <v>2637.96</v>
      </c>
      <c r="H38" s="106"/>
      <c r="I38" s="106">
        <f>E38</f>
        <v>2.7199999999999998E-2</v>
      </c>
      <c r="J38" s="175">
        <f t="shared" si="1"/>
        <v>2637.96</v>
      </c>
    </row>
    <row r="39" spans="1:12" x14ac:dyDescent="0.2">
      <c r="A39" s="107" t="s">
        <v>147</v>
      </c>
      <c r="B39" s="108" t="s">
        <v>226</v>
      </c>
      <c r="C39" s="109" t="s">
        <v>227</v>
      </c>
      <c r="D39" s="107" t="s">
        <v>152</v>
      </c>
      <c r="E39" s="110">
        <v>0.40799999999999997</v>
      </c>
      <c r="F39" s="111">
        <f t="shared" si="0"/>
        <v>62584.607843137259</v>
      </c>
      <c r="G39" s="99">
        <v>25534.52</v>
      </c>
      <c r="H39" s="106"/>
      <c r="I39" s="106">
        <f>E39</f>
        <v>0.40799999999999997</v>
      </c>
      <c r="J39" s="175">
        <f t="shared" si="1"/>
        <v>25534.52</v>
      </c>
    </row>
    <row r="40" spans="1:12" x14ac:dyDescent="0.2">
      <c r="A40" s="88"/>
      <c r="B40" s="88"/>
      <c r="C40" s="88"/>
      <c r="D40" s="88"/>
      <c r="E40" s="88"/>
      <c r="F40" s="100" t="s">
        <v>228</v>
      </c>
      <c r="G40" s="101">
        <f>SUM(G3:G39)</f>
        <v>1615223.8699999999</v>
      </c>
      <c r="J40" s="101">
        <f>SUM(J3:J39)</f>
        <v>1100292.3094807446</v>
      </c>
    </row>
    <row r="41" spans="1:12" x14ac:dyDescent="0.2">
      <c r="A41" s="90"/>
      <c r="F41" s="102" t="s">
        <v>229</v>
      </c>
      <c r="G41" s="103">
        <f>G40*0.082+G40</f>
        <v>1747672.2273399998</v>
      </c>
      <c r="J41" s="102">
        <f>J40*0.082+J40</f>
        <v>1190516.2788581657</v>
      </c>
    </row>
    <row r="42" spans="1:12" x14ac:dyDescent="0.2">
      <c r="A42" s="90"/>
      <c r="B42" s="88"/>
      <c r="D42" s="88"/>
      <c r="F42" s="102" t="s">
        <v>230</v>
      </c>
      <c r="G42" s="103">
        <f>G41*0.024+G41</f>
        <v>1789616.3607961598</v>
      </c>
      <c r="J42" s="102">
        <f>J41*0.024+J41</f>
        <v>1219088.6695507618</v>
      </c>
    </row>
    <row r="43" spans="1:12" x14ac:dyDescent="0.2">
      <c r="F43" s="102" t="s">
        <v>231</v>
      </c>
      <c r="G43" s="103">
        <f>G42*1.05136042</f>
        <v>1881531.8087255221</v>
      </c>
      <c r="J43" s="102">
        <f>J42*1.05136042</f>
        <v>1281701.5756361301</v>
      </c>
    </row>
    <row r="44" spans="1:12" x14ac:dyDescent="0.2">
      <c r="D44" s="90">
        <f>E13/E12</f>
        <v>1.1499999999999999</v>
      </c>
      <c r="F44" s="102" t="s">
        <v>232</v>
      </c>
      <c r="G44" s="103">
        <f>G43*0.2</f>
        <v>376306.36174510443</v>
      </c>
      <c r="J44" s="102">
        <f>J43*0.2</f>
        <v>256340.31512722603</v>
      </c>
    </row>
    <row r="45" spans="1:12" s="115" customFormat="1" x14ac:dyDescent="0.2">
      <c r="A45" s="118"/>
      <c r="F45" s="104" t="s">
        <v>233</v>
      </c>
      <c r="G45" s="105">
        <f>G43+G44</f>
        <v>2257838.1704706266</v>
      </c>
      <c r="J45" s="133">
        <f>J43+J44</f>
        <v>1538041.8907633561</v>
      </c>
      <c r="K45" s="168"/>
      <c r="L45" s="168"/>
    </row>
  </sheetData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  <pageSetUpPr fitToPage="1"/>
  </sheetPr>
  <dimension ref="A1:L381"/>
  <sheetViews>
    <sheetView zoomScaleNormal="100" workbookViewId="0">
      <pane ySplit="1" topLeftCell="A179" activePane="bottomLeft" state="frozen"/>
      <selection activeCell="I11" sqref="I11"/>
      <selection pane="bottomLeft" activeCell="D222" sqref="D222"/>
    </sheetView>
  </sheetViews>
  <sheetFormatPr defaultColWidth="9.140625" defaultRowHeight="11.25" x14ac:dyDescent="0.2"/>
  <cols>
    <col min="1" max="1" width="9.140625" style="62" customWidth="1"/>
    <col min="2" max="2" width="15.7109375" style="51" customWidth="1"/>
    <col min="3" max="3" width="18.5703125" style="51" customWidth="1"/>
    <col min="4" max="4" width="29.28515625" style="51" customWidth="1"/>
    <col min="5" max="5" width="8.5703125" style="51" customWidth="1"/>
    <col min="6" max="6" width="10.5703125" style="51" customWidth="1"/>
    <col min="7" max="7" width="13.42578125" style="51" customWidth="1"/>
    <col min="8" max="8" width="13.42578125" style="72" customWidth="1"/>
    <col min="9" max="9" width="21.85546875" style="72" customWidth="1"/>
    <col min="10" max="10" width="25.28515625" style="51" customWidth="1"/>
    <col min="11" max="11" width="28.5703125" style="72" customWidth="1"/>
    <col min="12" max="12" width="30.7109375" style="51" customWidth="1"/>
    <col min="13" max="16384" width="9.140625" style="51"/>
  </cols>
  <sheetData>
    <row r="1" spans="1:12" s="76" customFormat="1" ht="24" x14ac:dyDescent="0.2">
      <c r="A1" s="48" t="s">
        <v>0</v>
      </c>
      <c r="B1" s="48" t="s">
        <v>243</v>
      </c>
      <c r="C1" s="49" t="s">
        <v>247</v>
      </c>
      <c r="D1" s="48" t="s">
        <v>248</v>
      </c>
      <c r="E1" s="48" t="s">
        <v>249</v>
      </c>
      <c r="F1" s="48" t="s">
        <v>250</v>
      </c>
      <c r="G1" s="50" t="s">
        <v>251</v>
      </c>
      <c r="H1" s="50" t="s">
        <v>252</v>
      </c>
      <c r="I1" s="50" t="s">
        <v>746</v>
      </c>
      <c r="J1" s="50" t="s">
        <v>253</v>
      </c>
      <c r="K1" s="50" t="s">
        <v>254</v>
      </c>
      <c r="L1" s="50" t="s">
        <v>246</v>
      </c>
    </row>
    <row r="2" spans="1:12" x14ac:dyDescent="0.2">
      <c r="A2" s="70" t="s">
        <v>453</v>
      </c>
      <c r="B2" s="70"/>
      <c r="C2" s="77"/>
      <c r="D2" s="70"/>
      <c r="E2" s="70"/>
      <c r="F2" s="70"/>
      <c r="G2" s="70"/>
      <c r="H2" s="71"/>
      <c r="I2" s="58"/>
      <c r="J2" s="77"/>
      <c r="K2" s="58"/>
      <c r="L2" s="77"/>
    </row>
    <row r="3" spans="1:12" x14ac:dyDescent="0.2">
      <c r="A3" s="70" t="s">
        <v>239</v>
      </c>
      <c r="B3" s="70"/>
      <c r="C3" s="77"/>
      <c r="D3" s="70"/>
      <c r="E3" s="70"/>
      <c r="F3" s="70"/>
      <c r="G3" s="70"/>
      <c r="H3" s="71"/>
      <c r="I3" s="78"/>
      <c r="J3" s="79"/>
      <c r="K3" s="58"/>
      <c r="L3" s="77"/>
    </row>
    <row r="4" spans="1:12" x14ac:dyDescent="0.2">
      <c r="A4" s="55" t="s">
        <v>104</v>
      </c>
      <c r="B4" s="55" t="s">
        <v>256</v>
      </c>
      <c r="C4" s="66" t="s">
        <v>454</v>
      </c>
      <c r="D4" s="55" t="s">
        <v>257</v>
      </c>
      <c r="E4" s="55" t="s">
        <v>110</v>
      </c>
      <c r="F4" s="56">
        <v>1.2E-2</v>
      </c>
      <c r="G4" s="56">
        <f>H4/F4</f>
        <v>77589.166666666672</v>
      </c>
      <c r="H4" s="61">
        <v>931.07</v>
      </c>
      <c r="I4" s="58"/>
      <c r="J4" s="80"/>
      <c r="K4" s="58"/>
      <c r="L4" s="77"/>
    </row>
    <row r="5" spans="1:12" x14ac:dyDescent="0.2">
      <c r="A5" s="59" t="s">
        <v>106</v>
      </c>
      <c r="B5" s="54" t="s">
        <v>455</v>
      </c>
      <c r="C5" s="66" t="s">
        <v>456</v>
      </c>
      <c r="D5" s="55" t="s">
        <v>457</v>
      </c>
      <c r="E5" s="59" t="s">
        <v>107</v>
      </c>
      <c r="F5" s="60">
        <v>4.7999999999999996E-3</v>
      </c>
      <c r="G5" s="56">
        <f t="shared" ref="G5:G68" si="0">H5/F5</f>
        <v>393106.25000000006</v>
      </c>
      <c r="H5" s="57">
        <v>1886.91</v>
      </c>
      <c r="I5" s="58"/>
      <c r="J5" s="80"/>
      <c r="K5" s="81"/>
      <c r="L5" s="77"/>
    </row>
    <row r="6" spans="1:12" x14ac:dyDescent="0.2">
      <c r="A6" s="59" t="s">
        <v>108</v>
      </c>
      <c r="B6" s="54" t="s">
        <v>455</v>
      </c>
      <c r="C6" s="66" t="s">
        <v>458</v>
      </c>
      <c r="D6" s="55" t="s">
        <v>457</v>
      </c>
      <c r="E6" s="59" t="s">
        <v>107</v>
      </c>
      <c r="F6" s="60">
        <v>9.4899999999999998E-2</v>
      </c>
      <c r="G6" s="56">
        <f t="shared" si="0"/>
        <v>376635.30031612224</v>
      </c>
      <c r="H6" s="57">
        <v>35742.69</v>
      </c>
      <c r="I6" s="58"/>
      <c r="J6" s="80"/>
      <c r="K6" s="81"/>
      <c r="L6" s="77"/>
    </row>
    <row r="7" spans="1:12" x14ac:dyDescent="0.2">
      <c r="A7" s="59" t="s">
        <v>109</v>
      </c>
      <c r="B7" s="54" t="s">
        <v>260</v>
      </c>
      <c r="C7" s="66" t="s">
        <v>459</v>
      </c>
      <c r="D7" s="55" t="s">
        <v>241</v>
      </c>
      <c r="E7" s="59" t="s">
        <v>110</v>
      </c>
      <c r="F7" s="60">
        <v>2.1000000000000001E-2</v>
      </c>
      <c r="G7" s="56">
        <f t="shared" si="0"/>
        <v>17004.285714285714</v>
      </c>
      <c r="H7" s="57">
        <v>357.09</v>
      </c>
      <c r="I7" s="58"/>
      <c r="J7" s="80"/>
      <c r="K7" s="81"/>
      <c r="L7" s="77"/>
    </row>
    <row r="8" spans="1:12" x14ac:dyDescent="0.2">
      <c r="A8" s="59" t="s">
        <v>111</v>
      </c>
      <c r="B8" s="54" t="s">
        <v>261</v>
      </c>
      <c r="C8" s="66" t="s">
        <v>460</v>
      </c>
      <c r="D8" s="55" t="s">
        <v>262</v>
      </c>
      <c r="E8" s="59" t="s">
        <v>107</v>
      </c>
      <c r="F8" s="60">
        <v>3.0000000000000001E-3</v>
      </c>
      <c r="G8" s="56">
        <f t="shared" si="0"/>
        <v>96180</v>
      </c>
      <c r="H8" s="57">
        <v>288.54000000000002</v>
      </c>
      <c r="I8" s="58"/>
      <c r="J8" s="80"/>
      <c r="K8" s="81"/>
      <c r="L8" s="77"/>
    </row>
    <row r="9" spans="1:12" x14ac:dyDescent="0.2">
      <c r="A9" s="70" t="s">
        <v>304</v>
      </c>
      <c r="B9" s="70"/>
      <c r="C9" s="66"/>
      <c r="D9" s="70"/>
      <c r="E9" s="70"/>
      <c r="F9" s="70"/>
      <c r="G9" s="56"/>
      <c r="H9" s="71"/>
      <c r="I9" s="58"/>
      <c r="J9" s="80"/>
      <c r="K9" s="81"/>
      <c r="L9" s="77"/>
    </row>
    <row r="10" spans="1:12" x14ac:dyDescent="0.2">
      <c r="A10" s="59" t="s">
        <v>114</v>
      </c>
      <c r="B10" s="54" t="s">
        <v>305</v>
      </c>
      <c r="C10" s="66" t="s">
        <v>461</v>
      </c>
      <c r="D10" s="55" t="s">
        <v>306</v>
      </c>
      <c r="E10" s="59" t="s">
        <v>268</v>
      </c>
      <c r="F10" s="60">
        <v>0.14599999999999999</v>
      </c>
      <c r="G10" s="56">
        <f t="shared" si="0"/>
        <v>145670.13698630137</v>
      </c>
      <c r="H10" s="57">
        <v>21267.84</v>
      </c>
      <c r="I10" s="58"/>
      <c r="J10" s="80"/>
      <c r="K10" s="81"/>
      <c r="L10" s="77"/>
    </row>
    <row r="11" spans="1:12" x14ac:dyDescent="0.2">
      <c r="A11" s="59" t="s">
        <v>117</v>
      </c>
      <c r="B11" s="54" t="s">
        <v>112</v>
      </c>
      <c r="C11" s="66" t="s">
        <v>462</v>
      </c>
      <c r="D11" s="55" t="s">
        <v>238</v>
      </c>
      <c r="E11" s="59" t="s">
        <v>113</v>
      </c>
      <c r="F11" s="60">
        <v>2.0339999999999998</v>
      </c>
      <c r="G11" s="56">
        <f t="shared" si="0"/>
        <v>43.416912487708956</v>
      </c>
      <c r="H11" s="57">
        <v>88.31</v>
      </c>
      <c r="I11" s="58"/>
      <c r="J11" s="80"/>
      <c r="K11" s="81"/>
      <c r="L11" s="77"/>
    </row>
    <row r="12" spans="1:12" x14ac:dyDescent="0.2">
      <c r="A12" s="59" t="s">
        <v>121</v>
      </c>
      <c r="B12" s="54" t="s">
        <v>115</v>
      </c>
      <c r="C12" s="66" t="s">
        <v>463</v>
      </c>
      <c r="D12" s="55" t="s">
        <v>116</v>
      </c>
      <c r="E12" s="59" t="s">
        <v>113</v>
      </c>
      <c r="F12" s="60">
        <v>0.495</v>
      </c>
      <c r="G12" s="56">
        <f t="shared" si="0"/>
        <v>569.19191919191917</v>
      </c>
      <c r="H12" s="57">
        <v>281.75</v>
      </c>
      <c r="I12" s="58"/>
      <c r="J12" s="80"/>
      <c r="K12" s="81"/>
      <c r="L12" s="77"/>
    </row>
    <row r="13" spans="1:12" x14ac:dyDescent="0.2">
      <c r="A13" s="59" t="s">
        <v>122</v>
      </c>
      <c r="B13" s="54" t="s">
        <v>307</v>
      </c>
      <c r="C13" s="66" t="s">
        <v>464</v>
      </c>
      <c r="D13" s="55" t="s">
        <v>237</v>
      </c>
      <c r="E13" s="59" t="s">
        <v>113</v>
      </c>
      <c r="F13" s="60">
        <v>0.13619999999999999</v>
      </c>
      <c r="G13" s="56">
        <f t="shared" si="0"/>
        <v>40.014684287812045</v>
      </c>
      <c r="H13" s="57">
        <v>5.45</v>
      </c>
      <c r="I13" s="58"/>
      <c r="J13" s="80"/>
      <c r="K13" s="81"/>
      <c r="L13" s="77"/>
    </row>
    <row r="14" spans="1:12" x14ac:dyDescent="0.2">
      <c r="A14" s="59" t="s">
        <v>123</v>
      </c>
      <c r="B14" s="54" t="s">
        <v>118</v>
      </c>
      <c r="C14" s="66"/>
      <c r="D14" s="55" t="s">
        <v>119</v>
      </c>
      <c r="E14" s="59" t="s">
        <v>120</v>
      </c>
      <c r="F14" s="60">
        <v>1.46</v>
      </c>
      <c r="G14" s="56">
        <f t="shared" si="0"/>
        <v>162.37671232876713</v>
      </c>
      <c r="H14" s="57">
        <v>237.07</v>
      </c>
      <c r="I14" s="58"/>
      <c r="J14" s="80"/>
      <c r="K14" s="81"/>
      <c r="L14" s="77"/>
    </row>
    <row r="15" spans="1:12" x14ac:dyDescent="0.2">
      <c r="A15" s="70" t="s">
        <v>465</v>
      </c>
      <c r="B15" s="70"/>
      <c r="C15" s="66"/>
      <c r="D15" s="70"/>
      <c r="E15" s="70"/>
      <c r="F15" s="70"/>
      <c r="G15" s="56"/>
      <c r="H15" s="71"/>
      <c r="I15" s="58"/>
      <c r="J15" s="80"/>
      <c r="K15" s="81"/>
      <c r="L15" s="77"/>
    </row>
    <row r="16" spans="1:12" x14ac:dyDescent="0.2">
      <c r="A16" s="59" t="s">
        <v>124</v>
      </c>
      <c r="B16" s="54" t="s">
        <v>305</v>
      </c>
      <c r="C16" s="66" t="s">
        <v>466</v>
      </c>
      <c r="D16" s="55" t="s">
        <v>318</v>
      </c>
      <c r="E16" s="59" t="s">
        <v>268</v>
      </c>
      <c r="F16" s="60">
        <v>0.13</v>
      </c>
      <c r="G16" s="56">
        <f t="shared" si="0"/>
        <v>309982</v>
      </c>
      <c r="H16" s="57">
        <v>40297.660000000003</v>
      </c>
      <c r="I16" s="58"/>
      <c r="J16" s="80"/>
      <c r="K16" s="81"/>
      <c r="L16" s="77"/>
    </row>
    <row r="17" spans="1:12" x14ac:dyDescent="0.2">
      <c r="A17" s="59" t="s">
        <v>125</v>
      </c>
      <c r="B17" s="54" t="s">
        <v>319</v>
      </c>
      <c r="C17" s="66"/>
      <c r="D17" s="55" t="s">
        <v>320</v>
      </c>
      <c r="E17" s="59" t="s">
        <v>158</v>
      </c>
      <c r="F17" s="60">
        <v>1</v>
      </c>
      <c r="G17" s="56">
        <f t="shared" si="0"/>
        <v>1758.32</v>
      </c>
      <c r="H17" s="57">
        <v>1758.32</v>
      </c>
      <c r="I17" s="58"/>
      <c r="J17" s="80"/>
      <c r="K17" s="81"/>
      <c r="L17" s="77"/>
    </row>
    <row r="18" spans="1:12" x14ac:dyDescent="0.2">
      <c r="A18" s="59" t="s">
        <v>126</v>
      </c>
      <c r="B18" s="54" t="s">
        <v>321</v>
      </c>
      <c r="C18" s="66"/>
      <c r="D18" s="55" t="s">
        <v>322</v>
      </c>
      <c r="E18" s="59" t="s">
        <v>158</v>
      </c>
      <c r="F18" s="60">
        <v>1</v>
      </c>
      <c r="G18" s="56">
        <f t="shared" si="0"/>
        <v>1432.65</v>
      </c>
      <c r="H18" s="57">
        <v>1432.65</v>
      </c>
      <c r="I18" s="58"/>
      <c r="J18" s="80"/>
      <c r="K18" s="81"/>
      <c r="L18" s="77"/>
    </row>
    <row r="19" spans="1:12" x14ac:dyDescent="0.2">
      <c r="A19" s="59" t="s">
        <v>127</v>
      </c>
      <c r="B19" s="54" t="s">
        <v>323</v>
      </c>
      <c r="C19" s="66"/>
      <c r="D19" s="55" t="s">
        <v>324</v>
      </c>
      <c r="E19" s="59" t="s">
        <v>158</v>
      </c>
      <c r="F19" s="60">
        <v>1</v>
      </c>
      <c r="G19" s="56">
        <f t="shared" si="0"/>
        <v>2954.74</v>
      </c>
      <c r="H19" s="57">
        <v>2954.74</v>
      </c>
      <c r="I19" s="58"/>
      <c r="J19" s="80"/>
      <c r="K19" s="81"/>
      <c r="L19" s="77"/>
    </row>
    <row r="20" spans="1:12" x14ac:dyDescent="0.2">
      <c r="A20" s="59" t="s">
        <v>128</v>
      </c>
      <c r="B20" s="54" t="s">
        <v>325</v>
      </c>
      <c r="C20" s="66"/>
      <c r="D20" s="55" t="s">
        <v>326</v>
      </c>
      <c r="E20" s="59" t="s">
        <v>158</v>
      </c>
      <c r="F20" s="60">
        <v>1</v>
      </c>
      <c r="G20" s="56">
        <f t="shared" si="0"/>
        <v>1982.39</v>
      </c>
      <c r="H20" s="57">
        <v>1982.39</v>
      </c>
      <c r="I20" s="58"/>
      <c r="J20" s="80"/>
      <c r="K20" s="81"/>
      <c r="L20" s="77"/>
    </row>
    <row r="21" spans="1:12" x14ac:dyDescent="0.2">
      <c r="A21" s="59" t="s">
        <v>129</v>
      </c>
      <c r="B21" s="54" t="s">
        <v>297</v>
      </c>
      <c r="C21" s="66"/>
      <c r="D21" s="55" t="s">
        <v>298</v>
      </c>
      <c r="E21" s="59" t="s">
        <v>158</v>
      </c>
      <c r="F21" s="60">
        <v>1</v>
      </c>
      <c r="G21" s="56">
        <f t="shared" si="0"/>
        <v>256.47000000000003</v>
      </c>
      <c r="H21" s="57">
        <v>256.47000000000003</v>
      </c>
      <c r="I21" s="58"/>
      <c r="J21" s="80"/>
      <c r="K21" s="81"/>
      <c r="L21" s="77"/>
    </row>
    <row r="22" spans="1:12" x14ac:dyDescent="0.2">
      <c r="A22" s="59" t="s">
        <v>130</v>
      </c>
      <c r="B22" s="54" t="s">
        <v>327</v>
      </c>
      <c r="C22" s="66"/>
      <c r="D22" s="55" t="s">
        <v>328</v>
      </c>
      <c r="E22" s="59" t="s">
        <v>158</v>
      </c>
      <c r="F22" s="60">
        <v>1</v>
      </c>
      <c r="G22" s="56">
        <f t="shared" si="0"/>
        <v>641.04999999999995</v>
      </c>
      <c r="H22" s="57">
        <v>641.04999999999995</v>
      </c>
      <c r="I22" s="58"/>
      <c r="J22" s="80"/>
      <c r="K22" s="81"/>
      <c r="L22" s="77"/>
    </row>
    <row r="23" spans="1:12" x14ac:dyDescent="0.2">
      <c r="A23" s="59" t="s">
        <v>131</v>
      </c>
      <c r="B23" s="54" t="s">
        <v>329</v>
      </c>
      <c r="C23" s="66"/>
      <c r="D23" s="55" t="s">
        <v>330</v>
      </c>
      <c r="E23" s="59" t="s">
        <v>158</v>
      </c>
      <c r="F23" s="60">
        <v>1</v>
      </c>
      <c r="G23" s="56">
        <f t="shared" si="0"/>
        <v>4863.6899999999996</v>
      </c>
      <c r="H23" s="57">
        <v>4863.6899999999996</v>
      </c>
      <c r="I23" s="58"/>
      <c r="J23" s="80"/>
      <c r="K23" s="81"/>
      <c r="L23" s="77"/>
    </row>
    <row r="24" spans="1:12" x14ac:dyDescent="0.2">
      <c r="A24" s="59" t="s">
        <v>132</v>
      </c>
      <c r="B24" s="54" t="s">
        <v>331</v>
      </c>
      <c r="C24" s="66"/>
      <c r="D24" s="55" t="s">
        <v>332</v>
      </c>
      <c r="E24" s="59" t="s">
        <v>152</v>
      </c>
      <c r="F24" s="60">
        <v>1.6199999999999999E-2</v>
      </c>
      <c r="G24" s="56">
        <f t="shared" si="0"/>
        <v>85745.679012345674</v>
      </c>
      <c r="H24" s="57">
        <v>1389.08</v>
      </c>
      <c r="I24" s="58"/>
      <c r="J24" s="80"/>
      <c r="K24" s="81"/>
      <c r="L24" s="77"/>
    </row>
    <row r="25" spans="1:12" x14ac:dyDescent="0.2">
      <c r="A25" s="59" t="s">
        <v>133</v>
      </c>
      <c r="B25" s="54" t="s">
        <v>302</v>
      </c>
      <c r="C25" s="66" t="s">
        <v>467</v>
      </c>
      <c r="D25" s="55" t="s">
        <v>303</v>
      </c>
      <c r="E25" s="59" t="s">
        <v>236</v>
      </c>
      <c r="F25" s="60">
        <v>4.2</v>
      </c>
      <c r="G25" s="56">
        <f t="shared" si="0"/>
        <v>12624.65</v>
      </c>
      <c r="H25" s="57">
        <v>53023.53</v>
      </c>
      <c r="I25" s="58"/>
      <c r="J25" s="80"/>
      <c r="K25" s="81"/>
      <c r="L25" s="77"/>
    </row>
    <row r="26" spans="1:12" x14ac:dyDescent="0.2">
      <c r="A26" s="59" t="s">
        <v>134</v>
      </c>
      <c r="B26" s="54" t="s">
        <v>400</v>
      </c>
      <c r="C26" s="66"/>
      <c r="D26" s="55" t="s">
        <v>468</v>
      </c>
      <c r="E26" s="59" t="s">
        <v>158</v>
      </c>
      <c r="F26" s="60">
        <v>2</v>
      </c>
      <c r="G26" s="56">
        <f t="shared" si="0"/>
        <v>6428.7049999999999</v>
      </c>
      <c r="H26" s="57">
        <v>12857.41</v>
      </c>
      <c r="I26" s="58"/>
      <c r="J26" s="80"/>
      <c r="K26" s="81"/>
      <c r="L26" s="77"/>
    </row>
    <row r="27" spans="1:12" x14ac:dyDescent="0.2">
      <c r="A27" s="59" t="s">
        <v>135</v>
      </c>
      <c r="B27" s="54" t="s">
        <v>469</v>
      </c>
      <c r="C27" s="66"/>
      <c r="D27" s="55" t="s">
        <v>470</v>
      </c>
      <c r="E27" s="59" t="s">
        <v>158</v>
      </c>
      <c r="F27" s="60">
        <v>2</v>
      </c>
      <c r="G27" s="56">
        <f t="shared" si="0"/>
        <v>11705.844999999999</v>
      </c>
      <c r="H27" s="57">
        <v>23411.69</v>
      </c>
      <c r="I27" s="58"/>
      <c r="J27" s="80"/>
      <c r="K27" s="81"/>
      <c r="L27" s="77"/>
    </row>
    <row r="28" spans="1:12" x14ac:dyDescent="0.2">
      <c r="A28" s="59" t="s">
        <v>136</v>
      </c>
      <c r="B28" s="54" t="s">
        <v>220</v>
      </c>
      <c r="C28" s="66" t="s">
        <v>471</v>
      </c>
      <c r="D28" s="55" t="s">
        <v>221</v>
      </c>
      <c r="E28" s="59" t="s">
        <v>160</v>
      </c>
      <c r="F28" s="60">
        <v>7.7600000000000002E-2</v>
      </c>
      <c r="G28" s="56">
        <f t="shared" si="0"/>
        <v>34196.391752577314</v>
      </c>
      <c r="H28" s="57">
        <v>2653.64</v>
      </c>
      <c r="I28" s="58"/>
      <c r="J28" s="80"/>
      <c r="K28" s="81"/>
      <c r="L28" s="77"/>
    </row>
    <row r="29" spans="1:12" x14ac:dyDescent="0.2">
      <c r="A29" s="59" t="s">
        <v>137</v>
      </c>
      <c r="B29" s="54" t="s">
        <v>301</v>
      </c>
      <c r="C29" s="66"/>
      <c r="D29" s="55" t="s">
        <v>333</v>
      </c>
      <c r="E29" s="59" t="s">
        <v>152</v>
      </c>
      <c r="F29" s="60">
        <v>1.8624000000000002E-2</v>
      </c>
      <c r="G29" s="56">
        <f t="shared" si="0"/>
        <v>176239.26116838487</v>
      </c>
      <c r="H29" s="57">
        <v>3282.28</v>
      </c>
      <c r="I29" s="58"/>
      <c r="J29" s="80"/>
      <c r="K29" s="81"/>
      <c r="L29" s="77"/>
    </row>
    <row r="30" spans="1:12" x14ac:dyDescent="0.2">
      <c r="A30" s="59" t="s">
        <v>138</v>
      </c>
      <c r="B30" s="54" t="s">
        <v>223</v>
      </c>
      <c r="C30" s="66"/>
      <c r="D30" s="55" t="s">
        <v>224</v>
      </c>
      <c r="E30" s="59" t="s">
        <v>152</v>
      </c>
      <c r="F30" s="60">
        <v>2.7000000000000001E-3</v>
      </c>
      <c r="G30" s="56">
        <f t="shared" si="0"/>
        <v>96981.481481481489</v>
      </c>
      <c r="H30" s="57">
        <v>261.85000000000002</v>
      </c>
      <c r="I30" s="58"/>
      <c r="J30" s="80"/>
      <c r="K30" s="81"/>
      <c r="L30" s="77"/>
    </row>
    <row r="31" spans="1:12" x14ac:dyDescent="0.2">
      <c r="A31" s="70" t="s">
        <v>472</v>
      </c>
      <c r="B31" s="70"/>
      <c r="C31" s="66"/>
      <c r="D31" s="70"/>
      <c r="E31" s="70"/>
      <c r="F31" s="70"/>
      <c r="G31" s="56"/>
      <c r="H31" s="71"/>
      <c r="I31" s="58"/>
      <c r="J31" s="80"/>
      <c r="K31" s="81"/>
      <c r="L31" s="77"/>
    </row>
    <row r="32" spans="1:12" x14ac:dyDescent="0.2">
      <c r="A32" s="70" t="s">
        <v>473</v>
      </c>
      <c r="B32" s="70"/>
      <c r="C32" s="66"/>
      <c r="D32" s="70"/>
      <c r="E32" s="70"/>
      <c r="F32" s="70"/>
      <c r="G32" s="56"/>
      <c r="H32" s="71"/>
      <c r="I32" s="58"/>
      <c r="J32" s="80"/>
      <c r="K32" s="81"/>
      <c r="L32" s="77"/>
    </row>
    <row r="33" spans="1:12" x14ac:dyDescent="0.2">
      <c r="A33" s="70" t="s">
        <v>474</v>
      </c>
      <c r="B33" s="70"/>
      <c r="C33" s="66" t="s">
        <v>475</v>
      </c>
      <c r="D33" s="70"/>
      <c r="E33" s="70"/>
      <c r="F33" s="70"/>
      <c r="G33" s="56"/>
      <c r="H33" s="71"/>
      <c r="I33" s="58"/>
      <c r="J33" s="80"/>
      <c r="K33" s="81"/>
      <c r="L33" s="77"/>
    </row>
    <row r="34" spans="1:12" x14ac:dyDescent="0.2">
      <c r="A34" s="59" t="s">
        <v>140</v>
      </c>
      <c r="B34" s="54" t="s">
        <v>476</v>
      </c>
      <c r="C34" s="66" t="s">
        <v>477</v>
      </c>
      <c r="D34" s="55" t="s">
        <v>475</v>
      </c>
      <c r="E34" s="59" t="s">
        <v>110</v>
      </c>
      <c r="F34" s="60">
        <v>0.11720999999999999</v>
      </c>
      <c r="G34" s="56">
        <f t="shared" si="0"/>
        <v>80740.721781417975</v>
      </c>
      <c r="H34" s="57">
        <v>9463.6200000000008</v>
      </c>
      <c r="I34" s="58"/>
      <c r="J34" s="80"/>
      <c r="K34" s="81"/>
      <c r="L34" s="77"/>
    </row>
    <row r="35" spans="1:12" x14ac:dyDescent="0.2">
      <c r="A35" s="59" t="s">
        <v>141</v>
      </c>
      <c r="B35" s="54" t="s">
        <v>478</v>
      </c>
      <c r="C35" s="66" t="s">
        <v>479</v>
      </c>
      <c r="D35" s="55" t="s">
        <v>480</v>
      </c>
      <c r="E35" s="59" t="s">
        <v>110</v>
      </c>
      <c r="F35" s="60">
        <v>4.9270000000000001E-2</v>
      </c>
      <c r="G35" s="56">
        <f t="shared" si="0"/>
        <v>99284.554495636286</v>
      </c>
      <c r="H35" s="57">
        <v>4891.75</v>
      </c>
      <c r="I35" s="58"/>
      <c r="J35" s="80"/>
      <c r="K35" s="81"/>
      <c r="L35" s="77"/>
    </row>
    <row r="36" spans="1:12" x14ac:dyDescent="0.2">
      <c r="A36" s="59" t="s">
        <v>143</v>
      </c>
      <c r="B36" s="54" t="s">
        <v>455</v>
      </c>
      <c r="C36" s="66" t="s">
        <v>481</v>
      </c>
      <c r="D36" s="55" t="s">
        <v>457</v>
      </c>
      <c r="E36" s="59" t="s">
        <v>107</v>
      </c>
      <c r="F36" s="60">
        <v>9.5999999999999992E-3</v>
      </c>
      <c r="G36" s="56">
        <f t="shared" si="0"/>
        <v>393005.20833333337</v>
      </c>
      <c r="H36" s="57">
        <v>3772.85</v>
      </c>
      <c r="I36" s="58"/>
      <c r="J36" s="80"/>
      <c r="K36" s="81"/>
      <c r="L36" s="77"/>
    </row>
    <row r="37" spans="1:12" x14ac:dyDescent="0.2">
      <c r="A37" s="59" t="s">
        <v>144</v>
      </c>
      <c r="B37" s="54" t="s">
        <v>482</v>
      </c>
      <c r="C37" s="66" t="s">
        <v>483</v>
      </c>
      <c r="D37" s="55" t="s">
        <v>484</v>
      </c>
      <c r="E37" s="59" t="s">
        <v>107</v>
      </c>
      <c r="F37" s="60">
        <v>5.0999999999999997E-2</v>
      </c>
      <c r="G37" s="56">
        <f t="shared" si="0"/>
        <v>383313.13725490199</v>
      </c>
      <c r="H37" s="57">
        <v>19548.97</v>
      </c>
      <c r="I37" s="58"/>
      <c r="J37" s="80"/>
      <c r="K37" s="81"/>
      <c r="L37" s="77"/>
    </row>
    <row r="38" spans="1:12" x14ac:dyDescent="0.2">
      <c r="A38" s="59" t="s">
        <v>145</v>
      </c>
      <c r="B38" s="54" t="s">
        <v>455</v>
      </c>
      <c r="C38" s="66" t="s">
        <v>485</v>
      </c>
      <c r="D38" s="55" t="s">
        <v>457</v>
      </c>
      <c r="E38" s="59" t="s">
        <v>107</v>
      </c>
      <c r="F38" s="60">
        <v>0.25230000000000002</v>
      </c>
      <c r="G38" s="56">
        <f t="shared" si="0"/>
        <v>376634.79984145856</v>
      </c>
      <c r="H38" s="57">
        <v>95024.960000000006</v>
      </c>
      <c r="I38" s="58"/>
      <c r="J38" s="80"/>
      <c r="K38" s="81"/>
      <c r="L38" s="77"/>
    </row>
    <row r="39" spans="1:12" x14ac:dyDescent="0.2">
      <c r="A39" s="59" t="s">
        <v>146</v>
      </c>
      <c r="B39" s="54" t="s">
        <v>260</v>
      </c>
      <c r="C39" s="66" t="s">
        <v>486</v>
      </c>
      <c r="D39" s="55" t="s">
        <v>241</v>
      </c>
      <c r="E39" s="59" t="s">
        <v>110</v>
      </c>
      <c r="F39" s="60">
        <v>0.17399999999999999</v>
      </c>
      <c r="G39" s="56">
        <f t="shared" si="0"/>
        <v>17012.528735632182</v>
      </c>
      <c r="H39" s="57">
        <v>2960.18</v>
      </c>
      <c r="I39" s="58"/>
      <c r="J39" s="80"/>
      <c r="K39" s="81"/>
      <c r="L39" s="77"/>
    </row>
    <row r="40" spans="1:12" x14ac:dyDescent="0.2">
      <c r="A40" s="59" t="s">
        <v>147</v>
      </c>
      <c r="B40" s="54" t="s">
        <v>261</v>
      </c>
      <c r="C40" s="66" t="s">
        <v>487</v>
      </c>
      <c r="D40" s="55" t="s">
        <v>262</v>
      </c>
      <c r="E40" s="59" t="s">
        <v>107</v>
      </c>
      <c r="F40" s="60">
        <v>5.3999999999999999E-2</v>
      </c>
      <c r="G40" s="56">
        <f t="shared" si="0"/>
        <v>96250.555555555547</v>
      </c>
      <c r="H40" s="57">
        <v>5197.53</v>
      </c>
      <c r="I40" s="58"/>
      <c r="J40" s="80"/>
      <c r="K40" s="81"/>
      <c r="L40" s="77"/>
    </row>
    <row r="41" spans="1:12" x14ac:dyDescent="0.2">
      <c r="A41" s="59" t="s">
        <v>148</v>
      </c>
      <c r="B41" s="54" t="s">
        <v>118</v>
      </c>
      <c r="C41" s="66"/>
      <c r="D41" s="55" t="s">
        <v>119</v>
      </c>
      <c r="E41" s="59" t="s">
        <v>120</v>
      </c>
      <c r="F41" s="60">
        <v>49.27</v>
      </c>
      <c r="G41" s="56">
        <f t="shared" si="0"/>
        <v>1325.0202963263648</v>
      </c>
      <c r="H41" s="57">
        <v>65283.75</v>
      </c>
      <c r="I41" s="58"/>
      <c r="J41" s="80"/>
      <c r="K41" s="81"/>
      <c r="L41" s="77"/>
    </row>
    <row r="42" spans="1:12" x14ac:dyDescent="0.2">
      <c r="A42" s="59" t="s">
        <v>149</v>
      </c>
      <c r="B42" s="54" t="s">
        <v>488</v>
      </c>
      <c r="C42" s="66" t="s">
        <v>489</v>
      </c>
      <c r="D42" s="55" t="s">
        <v>490</v>
      </c>
      <c r="E42" s="59" t="s">
        <v>160</v>
      </c>
      <c r="F42" s="60">
        <v>3.01</v>
      </c>
      <c r="G42" s="56">
        <f t="shared" si="0"/>
        <v>68955.046511627908</v>
      </c>
      <c r="H42" s="57">
        <v>207554.69</v>
      </c>
      <c r="I42" s="58"/>
      <c r="J42" s="80"/>
      <c r="K42" s="81"/>
      <c r="L42" s="77"/>
    </row>
    <row r="43" spans="1:12" x14ac:dyDescent="0.2">
      <c r="A43" s="70" t="s">
        <v>491</v>
      </c>
      <c r="B43" s="70"/>
      <c r="C43" s="66"/>
      <c r="D43" s="70"/>
      <c r="E43" s="70"/>
      <c r="F43" s="70"/>
      <c r="G43" s="56"/>
      <c r="H43" s="71"/>
      <c r="I43" s="58"/>
      <c r="J43" s="80"/>
      <c r="K43" s="81"/>
      <c r="L43" s="77"/>
    </row>
    <row r="44" spans="1:12" x14ac:dyDescent="0.2">
      <c r="A44" s="59" t="s">
        <v>150</v>
      </c>
      <c r="B44" s="54" t="s">
        <v>308</v>
      </c>
      <c r="C44" s="66" t="s">
        <v>492</v>
      </c>
      <c r="D44" s="55" t="s">
        <v>309</v>
      </c>
      <c r="E44" s="59" t="s">
        <v>110</v>
      </c>
      <c r="F44" s="60">
        <v>0.64837</v>
      </c>
      <c r="G44" s="56">
        <f t="shared" si="0"/>
        <v>124555.315637676</v>
      </c>
      <c r="H44" s="57">
        <v>80757.929999999993</v>
      </c>
      <c r="I44" s="58"/>
      <c r="J44" s="80"/>
      <c r="K44" s="81"/>
      <c r="L44" s="77"/>
    </row>
    <row r="45" spans="1:12" x14ac:dyDescent="0.2">
      <c r="A45" s="59" t="s">
        <v>151</v>
      </c>
      <c r="B45" s="54" t="s">
        <v>493</v>
      </c>
      <c r="C45" s="66" t="s">
        <v>494</v>
      </c>
      <c r="D45" s="55" t="s">
        <v>495</v>
      </c>
      <c r="E45" s="59" t="s">
        <v>107</v>
      </c>
      <c r="F45" s="60">
        <v>8.5300000000000001E-2</v>
      </c>
      <c r="G45" s="56">
        <f t="shared" si="0"/>
        <v>350518.28839390387</v>
      </c>
      <c r="H45" s="57">
        <v>29899.21</v>
      </c>
      <c r="I45" s="58"/>
      <c r="J45" s="80"/>
      <c r="K45" s="81"/>
      <c r="L45" s="77"/>
    </row>
    <row r="46" spans="1:12" x14ac:dyDescent="0.2">
      <c r="A46" s="59" t="s">
        <v>153</v>
      </c>
      <c r="B46" s="54" t="s">
        <v>482</v>
      </c>
      <c r="C46" s="66" t="s">
        <v>496</v>
      </c>
      <c r="D46" s="55" t="s">
        <v>484</v>
      </c>
      <c r="E46" s="59" t="s">
        <v>107</v>
      </c>
      <c r="F46" s="60">
        <v>0.1454</v>
      </c>
      <c r="G46" s="56">
        <f t="shared" si="0"/>
        <v>383304.8143053645</v>
      </c>
      <c r="H46" s="57">
        <v>55732.52</v>
      </c>
      <c r="I46" s="58"/>
      <c r="J46" s="80"/>
      <c r="K46" s="81"/>
      <c r="L46" s="77"/>
    </row>
    <row r="47" spans="1:12" x14ac:dyDescent="0.2">
      <c r="A47" s="59" t="s">
        <v>154</v>
      </c>
      <c r="B47" s="54" t="s">
        <v>482</v>
      </c>
      <c r="C47" s="66" t="s">
        <v>497</v>
      </c>
      <c r="D47" s="55" t="s">
        <v>484</v>
      </c>
      <c r="E47" s="59" t="s">
        <v>107</v>
      </c>
      <c r="F47" s="60">
        <v>0.94299999999999995</v>
      </c>
      <c r="G47" s="56">
        <f t="shared" si="0"/>
        <v>383306.4687168611</v>
      </c>
      <c r="H47" s="57">
        <v>361458</v>
      </c>
      <c r="I47" s="58"/>
      <c r="J47" s="80"/>
      <c r="K47" s="81"/>
      <c r="L47" s="77"/>
    </row>
    <row r="48" spans="1:12" x14ac:dyDescent="0.2">
      <c r="A48" s="59" t="s">
        <v>155</v>
      </c>
      <c r="B48" s="54" t="s">
        <v>118</v>
      </c>
      <c r="C48" s="66"/>
      <c r="D48" s="55" t="s">
        <v>119</v>
      </c>
      <c r="E48" s="59" t="s">
        <v>120</v>
      </c>
      <c r="F48" s="60">
        <v>648.37</v>
      </c>
      <c r="G48" s="56">
        <f t="shared" si="0"/>
        <v>1325.020790597961</v>
      </c>
      <c r="H48" s="57">
        <v>859103.73</v>
      </c>
      <c r="I48" s="58"/>
      <c r="J48" s="80"/>
      <c r="K48" s="81"/>
      <c r="L48" s="77"/>
    </row>
    <row r="49" spans="1:12" x14ac:dyDescent="0.2">
      <c r="A49" s="59" t="s">
        <v>156</v>
      </c>
      <c r="B49" s="54" t="s">
        <v>266</v>
      </c>
      <c r="C49" s="66" t="s">
        <v>498</v>
      </c>
      <c r="D49" s="55" t="s">
        <v>267</v>
      </c>
      <c r="E49" s="59" t="s">
        <v>268</v>
      </c>
      <c r="F49" s="60">
        <v>3.5960000000000001</v>
      </c>
      <c r="G49" s="56">
        <f t="shared" si="0"/>
        <v>14730.483870967742</v>
      </c>
      <c r="H49" s="57">
        <v>52970.82</v>
      </c>
      <c r="I49" s="58"/>
      <c r="J49" s="80"/>
      <c r="K49" s="81"/>
      <c r="L49" s="77"/>
    </row>
    <row r="50" spans="1:12" x14ac:dyDescent="0.2">
      <c r="A50" s="59" t="s">
        <v>157</v>
      </c>
      <c r="B50" s="54" t="s">
        <v>261</v>
      </c>
      <c r="C50" s="66" t="s">
        <v>499</v>
      </c>
      <c r="D50" s="55" t="s">
        <v>262</v>
      </c>
      <c r="E50" s="59" t="s">
        <v>107</v>
      </c>
      <c r="F50" s="60">
        <v>0.995</v>
      </c>
      <c r="G50" s="56">
        <f t="shared" si="0"/>
        <v>96253.005025125633</v>
      </c>
      <c r="H50" s="57">
        <v>95771.74</v>
      </c>
      <c r="I50" s="58"/>
      <c r="J50" s="80"/>
      <c r="K50" s="81"/>
      <c r="L50" s="77"/>
    </row>
    <row r="51" spans="1:12" x14ac:dyDescent="0.2">
      <c r="A51" s="59" t="s">
        <v>159</v>
      </c>
      <c r="B51" s="54" t="s">
        <v>260</v>
      </c>
      <c r="C51" s="66" t="s">
        <v>500</v>
      </c>
      <c r="D51" s="55" t="s">
        <v>241</v>
      </c>
      <c r="E51" s="59" t="s">
        <v>110</v>
      </c>
      <c r="F51" s="60">
        <v>0.111</v>
      </c>
      <c r="G51" s="56">
        <f t="shared" si="0"/>
        <v>17011.801801801801</v>
      </c>
      <c r="H51" s="57">
        <v>1888.31</v>
      </c>
      <c r="I51" s="58"/>
      <c r="J51" s="80"/>
      <c r="K51" s="81"/>
      <c r="L51" s="77"/>
    </row>
    <row r="52" spans="1:12" x14ac:dyDescent="0.2">
      <c r="A52" s="59" t="s">
        <v>161</v>
      </c>
      <c r="B52" s="54" t="s">
        <v>501</v>
      </c>
      <c r="C52" s="66" t="s">
        <v>502</v>
      </c>
      <c r="D52" s="55" t="s">
        <v>503</v>
      </c>
      <c r="E52" s="59" t="s">
        <v>107</v>
      </c>
      <c r="F52" s="60">
        <v>4.9823000000000004</v>
      </c>
      <c r="G52" s="56">
        <f t="shared" si="0"/>
        <v>21446.28384481063</v>
      </c>
      <c r="H52" s="57">
        <v>106851.82</v>
      </c>
      <c r="I52" s="58"/>
      <c r="J52" s="80"/>
      <c r="K52" s="81"/>
      <c r="L52" s="77"/>
    </row>
    <row r="53" spans="1:12" x14ac:dyDescent="0.2">
      <c r="A53" s="59" t="s">
        <v>162</v>
      </c>
      <c r="B53" s="54" t="s">
        <v>139</v>
      </c>
      <c r="C53" s="66"/>
      <c r="D53" s="55" t="s">
        <v>142</v>
      </c>
      <c r="E53" s="59" t="s">
        <v>120</v>
      </c>
      <c r="F53" s="60">
        <v>697.06</v>
      </c>
      <c r="G53" s="56">
        <f t="shared" si="0"/>
        <v>825.62680400539421</v>
      </c>
      <c r="H53" s="57">
        <v>575511.42000000004</v>
      </c>
      <c r="I53" s="58"/>
      <c r="J53" s="80"/>
      <c r="K53" s="81"/>
      <c r="L53" s="77"/>
    </row>
    <row r="54" spans="1:12" x14ac:dyDescent="0.2">
      <c r="A54" s="59" t="s">
        <v>163</v>
      </c>
      <c r="B54" s="54" t="s">
        <v>269</v>
      </c>
      <c r="C54" s="66" t="s">
        <v>504</v>
      </c>
      <c r="D54" s="55" t="s">
        <v>270</v>
      </c>
      <c r="E54" s="59" t="s">
        <v>160</v>
      </c>
      <c r="F54" s="60">
        <v>12.145</v>
      </c>
      <c r="G54" s="56">
        <f t="shared" si="0"/>
        <v>25351.665706051874</v>
      </c>
      <c r="H54" s="57">
        <v>307895.98</v>
      </c>
      <c r="I54" s="58"/>
      <c r="J54" s="80"/>
      <c r="K54" s="81"/>
      <c r="L54" s="77"/>
    </row>
    <row r="55" spans="1:12" x14ac:dyDescent="0.2">
      <c r="A55" s="59" t="s">
        <v>164</v>
      </c>
      <c r="B55" s="54" t="s">
        <v>271</v>
      </c>
      <c r="C55" s="66"/>
      <c r="D55" s="55" t="s">
        <v>272</v>
      </c>
      <c r="E55" s="59" t="s">
        <v>218</v>
      </c>
      <c r="F55" s="60">
        <v>267.19</v>
      </c>
      <c r="G55" s="56">
        <f t="shared" si="0"/>
        <v>289.92477263370637</v>
      </c>
      <c r="H55" s="57">
        <v>77465</v>
      </c>
      <c r="I55" s="58"/>
      <c r="J55" s="80"/>
      <c r="K55" s="81"/>
      <c r="L55" s="77"/>
    </row>
    <row r="56" spans="1:12" x14ac:dyDescent="0.2">
      <c r="A56" s="70" t="s">
        <v>304</v>
      </c>
      <c r="B56" s="70"/>
      <c r="C56" s="66"/>
      <c r="D56" s="70"/>
      <c r="E56" s="70"/>
      <c r="F56" s="70"/>
      <c r="G56" s="56"/>
      <c r="H56" s="71"/>
      <c r="I56" s="58"/>
      <c r="J56" s="80"/>
      <c r="K56" s="81"/>
      <c r="L56" s="77"/>
    </row>
    <row r="57" spans="1:12" x14ac:dyDescent="0.2">
      <c r="A57" s="59" t="s">
        <v>165</v>
      </c>
      <c r="B57" s="54" t="s">
        <v>335</v>
      </c>
      <c r="C57" s="66" t="s">
        <v>505</v>
      </c>
      <c r="D57" s="55" t="s">
        <v>336</v>
      </c>
      <c r="E57" s="59" t="s">
        <v>105</v>
      </c>
      <c r="F57" s="60">
        <v>2.2999999999999998</v>
      </c>
      <c r="G57" s="56">
        <f t="shared" si="0"/>
        <v>165487.51739130434</v>
      </c>
      <c r="H57" s="57">
        <v>380621.29</v>
      </c>
      <c r="I57" s="58"/>
      <c r="J57" s="80"/>
      <c r="K57" s="81"/>
      <c r="L57" s="77"/>
    </row>
    <row r="58" spans="1:12" x14ac:dyDescent="0.2">
      <c r="A58" s="59" t="s">
        <v>166</v>
      </c>
      <c r="B58" s="54" t="s">
        <v>305</v>
      </c>
      <c r="C58" s="66" t="s">
        <v>506</v>
      </c>
      <c r="D58" s="55" t="s">
        <v>306</v>
      </c>
      <c r="E58" s="59" t="s">
        <v>268</v>
      </c>
      <c r="F58" s="60">
        <v>1.0940000000000001</v>
      </c>
      <c r="G58" s="56">
        <f t="shared" si="0"/>
        <v>194227.26691042047</v>
      </c>
      <c r="H58" s="57">
        <v>212484.63</v>
      </c>
      <c r="I58" s="58"/>
      <c r="J58" s="80"/>
      <c r="K58" s="81"/>
      <c r="L58" s="77"/>
    </row>
    <row r="59" spans="1:12" x14ac:dyDescent="0.2">
      <c r="A59" s="59" t="s">
        <v>167</v>
      </c>
      <c r="B59" s="54" t="s">
        <v>112</v>
      </c>
      <c r="C59" s="66" t="s">
        <v>507</v>
      </c>
      <c r="D59" s="55" t="s">
        <v>238</v>
      </c>
      <c r="E59" s="59" t="s">
        <v>113</v>
      </c>
      <c r="F59" s="60">
        <v>40.030999999999999</v>
      </c>
      <c r="G59" s="56">
        <f t="shared" si="0"/>
        <v>43.42659438934826</v>
      </c>
      <c r="H59" s="57">
        <v>1738.41</v>
      </c>
      <c r="I59" s="58"/>
      <c r="J59" s="80"/>
      <c r="K59" s="81"/>
      <c r="L59" s="77"/>
    </row>
    <row r="60" spans="1:12" x14ac:dyDescent="0.2">
      <c r="A60" s="59" t="s">
        <v>168</v>
      </c>
      <c r="B60" s="54" t="s">
        <v>115</v>
      </c>
      <c r="C60" s="66" t="s">
        <v>508</v>
      </c>
      <c r="D60" s="55" t="s">
        <v>116</v>
      </c>
      <c r="E60" s="59" t="s">
        <v>113</v>
      </c>
      <c r="F60" s="60">
        <v>10.007999999999999</v>
      </c>
      <c r="G60" s="56">
        <f t="shared" si="0"/>
        <v>569.04976019184664</v>
      </c>
      <c r="H60" s="57">
        <v>5695.05</v>
      </c>
      <c r="I60" s="58"/>
      <c r="J60" s="80"/>
      <c r="K60" s="81"/>
      <c r="L60" s="77"/>
    </row>
    <row r="61" spans="1:12" x14ac:dyDescent="0.2">
      <c r="A61" s="59" t="s">
        <v>169</v>
      </c>
      <c r="B61" s="54" t="s">
        <v>307</v>
      </c>
      <c r="C61" s="66" t="s">
        <v>509</v>
      </c>
      <c r="D61" s="55" t="s">
        <v>237</v>
      </c>
      <c r="E61" s="59" t="s">
        <v>113</v>
      </c>
      <c r="F61" s="60">
        <v>22.689</v>
      </c>
      <c r="G61" s="56">
        <f t="shared" si="0"/>
        <v>39.631098770329238</v>
      </c>
      <c r="H61" s="57">
        <v>899.19</v>
      </c>
      <c r="I61" s="58"/>
      <c r="J61" s="80"/>
      <c r="K61" s="81"/>
      <c r="L61" s="77"/>
    </row>
    <row r="62" spans="1:12" x14ac:dyDescent="0.2">
      <c r="A62" s="59" t="s">
        <v>170</v>
      </c>
      <c r="B62" s="54" t="s">
        <v>118</v>
      </c>
      <c r="C62" s="66"/>
      <c r="D62" s="55" t="s">
        <v>119</v>
      </c>
      <c r="E62" s="59" t="s">
        <v>120</v>
      </c>
      <c r="F62" s="60">
        <v>10.94</v>
      </c>
      <c r="G62" s="56">
        <f t="shared" si="0"/>
        <v>1325.0228519195614</v>
      </c>
      <c r="H62" s="57">
        <v>14495.75</v>
      </c>
      <c r="I62" s="58"/>
      <c r="J62" s="80"/>
      <c r="K62" s="81"/>
      <c r="L62" s="77"/>
    </row>
    <row r="63" spans="1:12" x14ac:dyDescent="0.2">
      <c r="A63" s="70" t="s">
        <v>311</v>
      </c>
      <c r="B63" s="70"/>
      <c r="C63" s="66"/>
      <c r="D63" s="70"/>
      <c r="E63" s="70"/>
      <c r="F63" s="70"/>
      <c r="G63" s="56"/>
      <c r="H63" s="71"/>
      <c r="I63" s="58"/>
      <c r="J63" s="80"/>
      <c r="K63" s="81"/>
      <c r="L63" s="77"/>
    </row>
    <row r="64" spans="1:12" x14ac:dyDescent="0.2">
      <c r="A64" s="59" t="s">
        <v>171</v>
      </c>
      <c r="B64" s="54" t="s">
        <v>283</v>
      </c>
      <c r="C64" s="66" t="s">
        <v>510</v>
      </c>
      <c r="D64" s="55" t="s">
        <v>284</v>
      </c>
      <c r="E64" s="59" t="s">
        <v>105</v>
      </c>
      <c r="F64" s="60">
        <v>0.31</v>
      </c>
      <c r="G64" s="56">
        <f t="shared" si="0"/>
        <v>166709.54838709676</v>
      </c>
      <c r="H64" s="57">
        <v>51679.96</v>
      </c>
      <c r="I64" s="58"/>
      <c r="J64" s="80"/>
      <c r="K64" s="81"/>
      <c r="L64" s="77"/>
    </row>
    <row r="65" spans="1:12" x14ac:dyDescent="0.2">
      <c r="A65" s="59" t="s">
        <v>172</v>
      </c>
      <c r="B65" s="54" t="s">
        <v>357</v>
      </c>
      <c r="C65" s="66"/>
      <c r="D65" s="55" t="s">
        <v>358</v>
      </c>
      <c r="E65" s="59" t="s">
        <v>236</v>
      </c>
      <c r="F65" s="60">
        <v>31.31</v>
      </c>
      <c r="G65" s="56">
        <f t="shared" si="0"/>
        <v>7522.704247844139</v>
      </c>
      <c r="H65" s="57">
        <v>235535.87</v>
      </c>
      <c r="I65" s="58"/>
      <c r="J65" s="80"/>
      <c r="K65" s="81"/>
      <c r="L65" s="77"/>
    </row>
    <row r="66" spans="1:12" x14ac:dyDescent="0.2">
      <c r="A66" s="59" t="s">
        <v>173</v>
      </c>
      <c r="B66" s="54" t="s">
        <v>360</v>
      </c>
      <c r="C66" s="66" t="s">
        <v>511</v>
      </c>
      <c r="D66" s="55" t="s">
        <v>361</v>
      </c>
      <c r="E66" s="59" t="s">
        <v>273</v>
      </c>
      <c r="F66" s="60">
        <v>3.1E-2</v>
      </c>
      <c r="G66" s="56">
        <f t="shared" si="0"/>
        <v>324795.48387096776</v>
      </c>
      <c r="H66" s="57">
        <v>10068.66</v>
      </c>
      <c r="I66" s="58"/>
      <c r="J66" s="80"/>
      <c r="K66" s="81"/>
      <c r="L66" s="77"/>
    </row>
    <row r="67" spans="1:12" x14ac:dyDescent="0.2">
      <c r="A67" s="59" t="s">
        <v>174</v>
      </c>
      <c r="B67" s="54" t="s">
        <v>363</v>
      </c>
      <c r="C67" s="66" t="s">
        <v>511</v>
      </c>
      <c r="D67" s="55" t="s">
        <v>364</v>
      </c>
      <c r="E67" s="59" t="s">
        <v>273</v>
      </c>
      <c r="F67" s="60">
        <v>3.1E-2</v>
      </c>
      <c r="G67" s="56">
        <f t="shared" si="0"/>
        <v>270553.22580645158</v>
      </c>
      <c r="H67" s="57">
        <v>8387.15</v>
      </c>
      <c r="I67" s="58"/>
      <c r="J67" s="80"/>
      <c r="K67" s="81"/>
      <c r="L67" s="77"/>
    </row>
    <row r="68" spans="1:12" x14ac:dyDescent="0.2">
      <c r="A68" s="59" t="s">
        <v>175</v>
      </c>
      <c r="B68" s="54" t="s">
        <v>274</v>
      </c>
      <c r="C68" s="66"/>
      <c r="D68" s="55" t="s">
        <v>275</v>
      </c>
      <c r="E68" s="59" t="s">
        <v>152</v>
      </c>
      <c r="F68" s="60">
        <v>7.5999999999999998E-2</v>
      </c>
      <c r="G68" s="56">
        <f t="shared" si="0"/>
        <v>358896.18421052635</v>
      </c>
      <c r="H68" s="57">
        <v>27276.11</v>
      </c>
      <c r="I68" s="58"/>
      <c r="J68" s="80"/>
      <c r="K68" s="81"/>
      <c r="L68" s="77"/>
    </row>
    <row r="69" spans="1:12" x14ac:dyDescent="0.2">
      <c r="A69" s="59" t="s">
        <v>176</v>
      </c>
      <c r="B69" s="54" t="s">
        <v>276</v>
      </c>
      <c r="C69" s="66"/>
      <c r="D69" s="55" t="s">
        <v>277</v>
      </c>
      <c r="E69" s="59" t="s">
        <v>218</v>
      </c>
      <c r="F69" s="60">
        <v>5.89</v>
      </c>
      <c r="G69" s="56">
        <f t="shared" ref="G69:G132" si="1">H69/F69</f>
        <v>100.94057724957555</v>
      </c>
      <c r="H69" s="57">
        <v>594.54</v>
      </c>
      <c r="I69" s="58"/>
      <c r="J69" s="80"/>
      <c r="K69" s="81"/>
      <c r="L69" s="77"/>
    </row>
    <row r="70" spans="1:12" x14ac:dyDescent="0.2">
      <c r="A70" s="59" t="s">
        <v>177</v>
      </c>
      <c r="B70" s="54" t="s">
        <v>279</v>
      </c>
      <c r="C70" s="66"/>
      <c r="D70" s="55" t="s">
        <v>280</v>
      </c>
      <c r="E70" s="59" t="s">
        <v>120</v>
      </c>
      <c r="F70" s="60">
        <v>4.62</v>
      </c>
      <c r="G70" s="56">
        <f t="shared" si="1"/>
        <v>9007.3419913419912</v>
      </c>
      <c r="H70" s="57">
        <v>41613.919999999998</v>
      </c>
      <c r="I70" s="58"/>
      <c r="J70" s="80"/>
      <c r="K70" s="81"/>
      <c r="L70" s="77"/>
    </row>
    <row r="71" spans="1:12" x14ac:dyDescent="0.2">
      <c r="A71" s="59" t="s">
        <v>178</v>
      </c>
      <c r="B71" s="54" t="s">
        <v>281</v>
      </c>
      <c r="C71" s="66"/>
      <c r="D71" s="55" t="s">
        <v>282</v>
      </c>
      <c r="E71" s="59" t="s">
        <v>120</v>
      </c>
      <c r="F71" s="60">
        <v>-4.6893000000000002</v>
      </c>
      <c r="G71" s="56">
        <f t="shared" si="1"/>
        <v>3780.5237455483757</v>
      </c>
      <c r="H71" s="57">
        <v>-17728.009999999998</v>
      </c>
      <c r="I71" s="58"/>
      <c r="J71" s="80"/>
      <c r="K71" s="81"/>
      <c r="L71" s="77"/>
    </row>
    <row r="72" spans="1:12" x14ac:dyDescent="0.2">
      <c r="A72" s="59" t="s">
        <v>179</v>
      </c>
      <c r="B72" s="54" t="s">
        <v>212</v>
      </c>
      <c r="C72" s="66"/>
      <c r="D72" s="55" t="s">
        <v>213</v>
      </c>
      <c r="E72" s="59" t="s">
        <v>120</v>
      </c>
      <c r="F72" s="60">
        <v>4.6900000000000004</v>
      </c>
      <c r="G72" s="56">
        <f t="shared" si="1"/>
        <v>4241.5650319829419</v>
      </c>
      <c r="H72" s="57">
        <v>19892.939999999999</v>
      </c>
      <c r="I72" s="58"/>
      <c r="J72" s="80"/>
      <c r="K72" s="81"/>
      <c r="L72" s="77"/>
    </row>
    <row r="73" spans="1:12" x14ac:dyDescent="0.2">
      <c r="A73" s="59" t="s">
        <v>180</v>
      </c>
      <c r="B73" s="54" t="s">
        <v>285</v>
      </c>
      <c r="C73" s="66" t="s">
        <v>334</v>
      </c>
      <c r="D73" s="55" t="s">
        <v>286</v>
      </c>
      <c r="E73" s="59" t="s">
        <v>278</v>
      </c>
      <c r="F73" s="60">
        <v>0.31</v>
      </c>
      <c r="G73" s="56">
        <f t="shared" si="1"/>
        <v>154313.74193548388</v>
      </c>
      <c r="H73" s="57">
        <v>47837.26</v>
      </c>
      <c r="I73" s="58"/>
      <c r="J73" s="80"/>
      <c r="K73" s="81"/>
      <c r="L73" s="77"/>
    </row>
    <row r="74" spans="1:12" x14ac:dyDescent="0.2">
      <c r="A74" s="59" t="s">
        <v>183</v>
      </c>
      <c r="B74" s="54" t="s">
        <v>287</v>
      </c>
      <c r="C74" s="66"/>
      <c r="D74" s="55" t="s">
        <v>288</v>
      </c>
      <c r="E74" s="59" t="s">
        <v>158</v>
      </c>
      <c r="F74" s="60">
        <v>10</v>
      </c>
      <c r="G74" s="56">
        <f t="shared" si="1"/>
        <v>87.149000000000001</v>
      </c>
      <c r="H74" s="57">
        <v>871.49</v>
      </c>
      <c r="I74" s="58"/>
      <c r="J74" s="80"/>
      <c r="K74" s="81"/>
      <c r="L74" s="77"/>
    </row>
    <row r="75" spans="1:12" x14ac:dyDescent="0.2">
      <c r="A75" s="59" t="s">
        <v>184</v>
      </c>
      <c r="B75" s="54" t="s">
        <v>512</v>
      </c>
      <c r="C75" s="66"/>
      <c r="D75" s="55" t="s">
        <v>513</v>
      </c>
      <c r="E75" s="59" t="s">
        <v>312</v>
      </c>
      <c r="F75" s="60">
        <v>2</v>
      </c>
      <c r="G75" s="56">
        <f t="shared" si="1"/>
        <v>9266.4500000000007</v>
      </c>
      <c r="H75" s="57">
        <v>18532.900000000001</v>
      </c>
      <c r="I75" s="58"/>
      <c r="J75" s="80"/>
      <c r="K75" s="81"/>
      <c r="L75" s="77"/>
    </row>
    <row r="76" spans="1:12" x14ac:dyDescent="0.2">
      <c r="A76" s="70" t="s">
        <v>313</v>
      </c>
      <c r="B76" s="70"/>
      <c r="C76" s="66"/>
      <c r="D76" s="70"/>
      <c r="E76" s="70"/>
      <c r="F76" s="70"/>
      <c r="G76" s="56"/>
      <c r="H76" s="71"/>
      <c r="I76" s="58"/>
      <c r="J76" s="80"/>
      <c r="K76" s="81"/>
      <c r="L76" s="77"/>
    </row>
    <row r="77" spans="1:12" x14ac:dyDescent="0.2">
      <c r="A77" s="59" t="s">
        <v>187</v>
      </c>
      <c r="B77" s="54" t="s">
        <v>314</v>
      </c>
      <c r="C77" s="66" t="s">
        <v>514</v>
      </c>
      <c r="D77" s="55" t="s">
        <v>315</v>
      </c>
      <c r="E77" s="59" t="s">
        <v>268</v>
      </c>
      <c r="F77" s="60">
        <v>0.47299999999999998</v>
      </c>
      <c r="G77" s="56">
        <f t="shared" si="1"/>
        <v>15164.038054968289</v>
      </c>
      <c r="H77" s="57">
        <v>7172.59</v>
      </c>
      <c r="I77" s="58"/>
      <c r="J77" s="80"/>
      <c r="K77" s="81"/>
      <c r="L77" s="77"/>
    </row>
    <row r="78" spans="1:12" x14ac:dyDescent="0.2">
      <c r="A78" s="59" t="s">
        <v>188</v>
      </c>
      <c r="B78" s="54" t="s">
        <v>515</v>
      </c>
      <c r="C78" s="66"/>
      <c r="D78" s="55" t="s">
        <v>316</v>
      </c>
      <c r="E78" s="59" t="s">
        <v>120</v>
      </c>
      <c r="F78" s="60">
        <v>5.9124999999999996</v>
      </c>
      <c r="G78" s="56">
        <f t="shared" si="1"/>
        <v>2685.5610993657506</v>
      </c>
      <c r="H78" s="57">
        <v>15878.38</v>
      </c>
      <c r="I78" s="58"/>
      <c r="J78" s="80"/>
      <c r="K78" s="81"/>
      <c r="L78" s="77"/>
    </row>
    <row r="79" spans="1:12" x14ac:dyDescent="0.2">
      <c r="A79" s="59" t="s">
        <v>189</v>
      </c>
      <c r="B79" s="54" t="s">
        <v>382</v>
      </c>
      <c r="C79" s="66" t="s">
        <v>516</v>
      </c>
      <c r="D79" s="55" t="s">
        <v>383</v>
      </c>
      <c r="E79" s="59" t="s">
        <v>105</v>
      </c>
      <c r="F79" s="60">
        <v>2.15</v>
      </c>
      <c r="G79" s="56">
        <f t="shared" si="1"/>
        <v>62433.2046511628</v>
      </c>
      <c r="H79" s="57">
        <v>134231.39000000001</v>
      </c>
      <c r="I79" s="58"/>
      <c r="J79" s="80"/>
      <c r="K79" s="81"/>
      <c r="L79" s="77"/>
    </row>
    <row r="80" spans="1:12" x14ac:dyDescent="0.2">
      <c r="A80" s="59" t="s">
        <v>191</v>
      </c>
      <c r="B80" s="54" t="s">
        <v>385</v>
      </c>
      <c r="C80" s="66"/>
      <c r="D80" s="55" t="s">
        <v>386</v>
      </c>
      <c r="E80" s="59" t="s">
        <v>236</v>
      </c>
      <c r="F80" s="60">
        <v>215</v>
      </c>
      <c r="G80" s="56">
        <f t="shared" si="1"/>
        <v>2877.297581395349</v>
      </c>
      <c r="H80" s="57">
        <v>618618.98</v>
      </c>
      <c r="I80" s="58"/>
      <c r="J80" s="80"/>
      <c r="K80" s="81"/>
      <c r="L80" s="77"/>
    </row>
    <row r="81" spans="1:12" x14ac:dyDescent="0.2">
      <c r="A81" s="70" t="s">
        <v>517</v>
      </c>
      <c r="B81" s="70"/>
      <c r="C81" s="66"/>
      <c r="D81" s="70"/>
      <c r="E81" s="70"/>
      <c r="F81" s="70"/>
      <c r="G81" s="56"/>
      <c r="H81" s="71"/>
      <c r="I81" s="58"/>
      <c r="J81" s="80"/>
      <c r="K81" s="81"/>
      <c r="L81" s="77"/>
    </row>
    <row r="82" spans="1:12" x14ac:dyDescent="0.2">
      <c r="A82" s="59" t="s">
        <v>192</v>
      </c>
      <c r="B82" s="54" t="s">
        <v>305</v>
      </c>
      <c r="C82" s="66" t="s">
        <v>518</v>
      </c>
      <c r="D82" s="55" t="s">
        <v>318</v>
      </c>
      <c r="E82" s="59" t="s">
        <v>268</v>
      </c>
      <c r="F82" s="60">
        <v>0.61780000000000002</v>
      </c>
      <c r="G82" s="56">
        <f t="shared" si="1"/>
        <v>309978.92521851731</v>
      </c>
      <c r="H82" s="57">
        <v>191504.98</v>
      </c>
      <c r="I82" s="58"/>
      <c r="J82" s="80"/>
      <c r="K82" s="81"/>
      <c r="L82" s="77"/>
    </row>
    <row r="83" spans="1:12" x14ac:dyDescent="0.2">
      <c r="A83" s="59" t="s">
        <v>193</v>
      </c>
      <c r="B83" s="54" t="s">
        <v>319</v>
      </c>
      <c r="C83" s="66"/>
      <c r="D83" s="55" t="s">
        <v>320</v>
      </c>
      <c r="E83" s="59" t="s">
        <v>158</v>
      </c>
      <c r="F83" s="60">
        <v>4</v>
      </c>
      <c r="G83" s="56">
        <f t="shared" si="1"/>
        <v>1758.3175000000001</v>
      </c>
      <c r="H83" s="57">
        <v>7033.27</v>
      </c>
      <c r="I83" s="58"/>
      <c r="J83" s="80"/>
      <c r="K83" s="81"/>
      <c r="L83" s="77"/>
    </row>
    <row r="84" spans="1:12" x14ac:dyDescent="0.2">
      <c r="A84" s="59" t="s">
        <v>195</v>
      </c>
      <c r="B84" s="54" t="s">
        <v>321</v>
      </c>
      <c r="C84" s="66"/>
      <c r="D84" s="55" t="s">
        <v>322</v>
      </c>
      <c r="E84" s="59" t="s">
        <v>158</v>
      </c>
      <c r="F84" s="60">
        <v>5</v>
      </c>
      <c r="G84" s="56">
        <f t="shared" si="1"/>
        <v>1432.652</v>
      </c>
      <c r="H84" s="57">
        <v>7163.26</v>
      </c>
      <c r="I84" s="58"/>
      <c r="J84" s="80"/>
      <c r="K84" s="81"/>
      <c r="L84" s="77"/>
    </row>
    <row r="85" spans="1:12" x14ac:dyDescent="0.2">
      <c r="A85" s="59" t="s">
        <v>198</v>
      </c>
      <c r="B85" s="54" t="s">
        <v>323</v>
      </c>
      <c r="C85" s="66"/>
      <c r="D85" s="55" t="s">
        <v>324</v>
      </c>
      <c r="E85" s="59" t="s">
        <v>158</v>
      </c>
      <c r="F85" s="60">
        <v>7</v>
      </c>
      <c r="G85" s="56">
        <f t="shared" si="1"/>
        <v>2954.7357142857145</v>
      </c>
      <c r="H85" s="57">
        <v>20683.150000000001</v>
      </c>
      <c r="I85" s="58"/>
      <c r="J85" s="80"/>
      <c r="K85" s="81"/>
      <c r="L85" s="77"/>
    </row>
    <row r="86" spans="1:12" x14ac:dyDescent="0.2">
      <c r="A86" s="59" t="s">
        <v>199</v>
      </c>
      <c r="B86" s="54" t="s">
        <v>325</v>
      </c>
      <c r="C86" s="66"/>
      <c r="D86" s="55" t="s">
        <v>326</v>
      </c>
      <c r="E86" s="59" t="s">
        <v>158</v>
      </c>
      <c r="F86" s="60">
        <v>1</v>
      </c>
      <c r="G86" s="56">
        <f t="shared" si="1"/>
        <v>1982.39</v>
      </c>
      <c r="H86" s="57">
        <v>1982.39</v>
      </c>
      <c r="I86" s="58"/>
      <c r="J86" s="80"/>
      <c r="K86" s="81"/>
      <c r="L86" s="77"/>
    </row>
    <row r="87" spans="1:12" x14ac:dyDescent="0.2">
      <c r="A87" s="59" t="s">
        <v>200</v>
      </c>
      <c r="B87" s="54" t="s">
        <v>327</v>
      </c>
      <c r="C87" s="66"/>
      <c r="D87" s="55" t="s">
        <v>328</v>
      </c>
      <c r="E87" s="59" t="s">
        <v>158</v>
      </c>
      <c r="F87" s="60">
        <v>1</v>
      </c>
      <c r="G87" s="56">
        <f t="shared" si="1"/>
        <v>641.04999999999995</v>
      </c>
      <c r="H87" s="57">
        <v>641.04999999999995</v>
      </c>
      <c r="I87" s="58"/>
      <c r="J87" s="80"/>
      <c r="K87" s="81"/>
      <c r="L87" s="77"/>
    </row>
    <row r="88" spans="1:12" x14ac:dyDescent="0.2">
      <c r="A88" s="59" t="s">
        <v>203</v>
      </c>
      <c r="B88" s="54" t="s">
        <v>329</v>
      </c>
      <c r="C88" s="66"/>
      <c r="D88" s="55" t="s">
        <v>330</v>
      </c>
      <c r="E88" s="59" t="s">
        <v>158</v>
      </c>
      <c r="F88" s="60">
        <v>4</v>
      </c>
      <c r="G88" s="56">
        <f t="shared" si="1"/>
        <v>4863.6875</v>
      </c>
      <c r="H88" s="57">
        <v>19454.75</v>
      </c>
      <c r="I88" s="58"/>
      <c r="J88" s="80"/>
      <c r="K88" s="81"/>
      <c r="L88" s="77"/>
    </row>
    <row r="89" spans="1:12" x14ac:dyDescent="0.2">
      <c r="A89" s="59" t="s">
        <v>204</v>
      </c>
      <c r="B89" s="54" t="s">
        <v>519</v>
      </c>
      <c r="C89" s="66"/>
      <c r="D89" s="55" t="s">
        <v>520</v>
      </c>
      <c r="E89" s="59" t="s">
        <v>152</v>
      </c>
      <c r="F89" s="60">
        <v>7.1400000000000005E-2</v>
      </c>
      <c r="G89" s="56">
        <f t="shared" si="1"/>
        <v>101755.46218487395</v>
      </c>
      <c r="H89" s="57">
        <v>7265.34</v>
      </c>
      <c r="I89" s="58"/>
      <c r="J89" s="80"/>
      <c r="K89" s="81"/>
      <c r="L89" s="77"/>
    </row>
    <row r="90" spans="1:12" x14ac:dyDescent="0.2">
      <c r="A90" s="59" t="s">
        <v>206</v>
      </c>
      <c r="B90" s="54" t="s">
        <v>440</v>
      </c>
      <c r="C90" s="66" t="s">
        <v>521</v>
      </c>
      <c r="D90" s="55" t="s">
        <v>441</v>
      </c>
      <c r="E90" s="59" t="s">
        <v>268</v>
      </c>
      <c r="F90" s="60">
        <v>1.6120000000000001</v>
      </c>
      <c r="G90" s="56">
        <f t="shared" si="1"/>
        <v>227872.99627791563</v>
      </c>
      <c r="H90" s="57">
        <v>367331.27</v>
      </c>
      <c r="I90" s="58"/>
      <c r="J90" s="80"/>
      <c r="K90" s="81"/>
      <c r="L90" s="77"/>
    </row>
    <row r="91" spans="1:12" x14ac:dyDescent="0.2">
      <c r="A91" s="59" t="s">
        <v>209</v>
      </c>
      <c r="B91" s="54" t="s">
        <v>291</v>
      </c>
      <c r="C91" s="66"/>
      <c r="D91" s="55" t="s">
        <v>292</v>
      </c>
      <c r="E91" s="59" t="s">
        <v>158</v>
      </c>
      <c r="F91" s="60">
        <v>5</v>
      </c>
      <c r="G91" s="56">
        <f t="shared" si="1"/>
        <v>3776.692</v>
      </c>
      <c r="H91" s="57">
        <v>18883.46</v>
      </c>
      <c r="I91" s="58"/>
      <c r="J91" s="80"/>
      <c r="K91" s="81"/>
      <c r="L91" s="77"/>
    </row>
    <row r="92" spans="1:12" x14ac:dyDescent="0.2">
      <c r="A92" s="59" t="s">
        <v>211</v>
      </c>
      <c r="B92" s="54" t="s">
        <v>522</v>
      </c>
      <c r="C92" s="66"/>
      <c r="D92" s="55" t="s">
        <v>523</v>
      </c>
      <c r="E92" s="59" t="s">
        <v>158</v>
      </c>
      <c r="F92" s="60">
        <v>5</v>
      </c>
      <c r="G92" s="56">
        <f t="shared" si="1"/>
        <v>3190.7240000000002</v>
      </c>
      <c r="H92" s="57">
        <v>15953.62</v>
      </c>
      <c r="I92" s="58"/>
      <c r="J92" s="80"/>
      <c r="K92" s="81"/>
      <c r="L92" s="77"/>
    </row>
    <row r="93" spans="1:12" x14ac:dyDescent="0.2">
      <c r="A93" s="59" t="s">
        <v>214</v>
      </c>
      <c r="B93" s="54" t="s">
        <v>293</v>
      </c>
      <c r="C93" s="66"/>
      <c r="D93" s="55" t="s">
        <v>294</v>
      </c>
      <c r="E93" s="59" t="s">
        <v>158</v>
      </c>
      <c r="F93" s="60">
        <v>15</v>
      </c>
      <c r="G93" s="56">
        <f t="shared" si="1"/>
        <v>5285.8033333333333</v>
      </c>
      <c r="H93" s="57">
        <v>79287.05</v>
      </c>
      <c r="I93" s="58"/>
      <c r="J93" s="80"/>
      <c r="K93" s="81"/>
      <c r="L93" s="77"/>
    </row>
    <row r="94" spans="1:12" x14ac:dyDescent="0.2">
      <c r="A94" s="59" t="s">
        <v>215</v>
      </c>
      <c r="B94" s="54" t="s">
        <v>295</v>
      </c>
      <c r="C94" s="66"/>
      <c r="D94" s="55" t="s">
        <v>296</v>
      </c>
      <c r="E94" s="59" t="s">
        <v>158</v>
      </c>
      <c r="F94" s="60">
        <v>2</v>
      </c>
      <c r="G94" s="56">
        <f t="shared" si="1"/>
        <v>3508.4749999999999</v>
      </c>
      <c r="H94" s="57">
        <v>7016.95</v>
      </c>
      <c r="I94" s="58"/>
      <c r="J94" s="80"/>
      <c r="K94" s="81"/>
      <c r="L94" s="77"/>
    </row>
    <row r="95" spans="1:12" x14ac:dyDescent="0.2">
      <c r="A95" s="59" t="s">
        <v>216</v>
      </c>
      <c r="B95" s="54" t="s">
        <v>297</v>
      </c>
      <c r="C95" s="66"/>
      <c r="D95" s="55" t="s">
        <v>298</v>
      </c>
      <c r="E95" s="59" t="s">
        <v>158</v>
      </c>
      <c r="F95" s="60">
        <v>19</v>
      </c>
      <c r="G95" s="56">
        <f t="shared" si="1"/>
        <v>256.46894736842103</v>
      </c>
      <c r="H95" s="57">
        <v>4872.91</v>
      </c>
      <c r="I95" s="58"/>
      <c r="J95" s="80"/>
      <c r="K95" s="81"/>
      <c r="L95" s="77"/>
    </row>
    <row r="96" spans="1:12" x14ac:dyDescent="0.2">
      <c r="A96" s="59" t="s">
        <v>217</v>
      </c>
      <c r="B96" s="54" t="s">
        <v>329</v>
      </c>
      <c r="C96" s="66"/>
      <c r="D96" s="55" t="s">
        <v>330</v>
      </c>
      <c r="E96" s="59" t="s">
        <v>158</v>
      </c>
      <c r="F96" s="60">
        <v>5</v>
      </c>
      <c r="G96" s="56">
        <f t="shared" si="1"/>
        <v>4863.6859999999997</v>
      </c>
      <c r="H96" s="57">
        <v>24318.43</v>
      </c>
      <c r="I96" s="58"/>
      <c r="J96" s="80"/>
      <c r="K96" s="81"/>
      <c r="L96" s="77"/>
    </row>
    <row r="97" spans="1:12" x14ac:dyDescent="0.2">
      <c r="A97" s="59" t="s">
        <v>219</v>
      </c>
      <c r="B97" s="54" t="s">
        <v>519</v>
      </c>
      <c r="C97" s="66"/>
      <c r="D97" s="55" t="s">
        <v>520</v>
      </c>
      <c r="E97" s="59" t="s">
        <v>152</v>
      </c>
      <c r="F97" s="60">
        <v>0.12479999999999999</v>
      </c>
      <c r="G97" s="56">
        <f t="shared" si="1"/>
        <v>101755.44871794872</v>
      </c>
      <c r="H97" s="57">
        <v>12699.08</v>
      </c>
      <c r="I97" s="58"/>
      <c r="J97" s="80"/>
      <c r="K97" s="81"/>
      <c r="L97" s="77"/>
    </row>
    <row r="98" spans="1:12" x14ac:dyDescent="0.2">
      <c r="A98" s="59" t="s">
        <v>222</v>
      </c>
      <c r="B98" s="54" t="s">
        <v>302</v>
      </c>
      <c r="C98" s="66" t="s">
        <v>524</v>
      </c>
      <c r="D98" s="55" t="s">
        <v>403</v>
      </c>
      <c r="E98" s="59" t="s">
        <v>236</v>
      </c>
      <c r="F98" s="60">
        <v>17.2</v>
      </c>
      <c r="G98" s="56">
        <f t="shared" si="1"/>
        <v>12624.484883720932</v>
      </c>
      <c r="H98" s="57">
        <v>217141.14</v>
      </c>
      <c r="I98" s="58"/>
      <c r="J98" s="80"/>
      <c r="K98" s="81"/>
      <c r="L98" s="77"/>
    </row>
    <row r="99" spans="1:12" x14ac:dyDescent="0.2">
      <c r="A99" s="59" t="s">
        <v>225</v>
      </c>
      <c r="B99" s="54" t="s">
        <v>525</v>
      </c>
      <c r="C99" s="66"/>
      <c r="D99" s="55" t="s">
        <v>526</v>
      </c>
      <c r="E99" s="59" t="s">
        <v>158</v>
      </c>
      <c r="F99" s="60">
        <v>15</v>
      </c>
      <c r="G99" s="56">
        <f t="shared" si="1"/>
        <v>5344.12</v>
      </c>
      <c r="H99" s="57">
        <v>80161.8</v>
      </c>
      <c r="I99" s="58"/>
      <c r="J99" s="80"/>
      <c r="K99" s="81"/>
      <c r="L99" s="77"/>
    </row>
    <row r="100" spans="1:12" x14ac:dyDescent="0.2">
      <c r="A100" s="59" t="s">
        <v>337</v>
      </c>
      <c r="B100" s="54" t="s">
        <v>289</v>
      </c>
      <c r="C100" s="66"/>
      <c r="D100" s="55" t="s">
        <v>290</v>
      </c>
      <c r="E100" s="59" t="s">
        <v>158</v>
      </c>
      <c r="F100" s="60">
        <v>15</v>
      </c>
      <c r="G100" s="56">
        <f t="shared" si="1"/>
        <v>2876.0733333333333</v>
      </c>
      <c r="H100" s="57">
        <v>43141.1</v>
      </c>
      <c r="I100" s="58"/>
      <c r="J100" s="80"/>
      <c r="K100" s="81"/>
      <c r="L100" s="77"/>
    </row>
    <row r="101" spans="1:12" x14ac:dyDescent="0.2">
      <c r="A101" s="59" t="s">
        <v>338</v>
      </c>
      <c r="B101" s="54" t="s">
        <v>220</v>
      </c>
      <c r="C101" s="66" t="s">
        <v>527</v>
      </c>
      <c r="D101" s="55" t="s">
        <v>221</v>
      </c>
      <c r="E101" s="59" t="s">
        <v>160</v>
      </c>
      <c r="F101" s="60">
        <v>1.24</v>
      </c>
      <c r="G101" s="56">
        <f t="shared" si="1"/>
        <v>34196.346774193553</v>
      </c>
      <c r="H101" s="57">
        <v>42403.47</v>
      </c>
      <c r="I101" s="58"/>
      <c r="J101" s="80"/>
      <c r="K101" s="81"/>
      <c r="L101" s="77"/>
    </row>
    <row r="102" spans="1:12" x14ac:dyDescent="0.2">
      <c r="A102" s="59" t="s">
        <v>339</v>
      </c>
      <c r="B102" s="54" t="s">
        <v>301</v>
      </c>
      <c r="C102" s="66"/>
      <c r="D102" s="55" t="s">
        <v>333</v>
      </c>
      <c r="E102" s="59" t="s">
        <v>152</v>
      </c>
      <c r="F102" s="60">
        <v>0.29759999999999998</v>
      </c>
      <c r="G102" s="56">
        <f t="shared" si="1"/>
        <v>176237.09677419357</v>
      </c>
      <c r="H102" s="57">
        <v>52448.160000000003</v>
      </c>
      <c r="I102" s="58"/>
      <c r="J102" s="80"/>
      <c r="K102" s="81"/>
      <c r="L102" s="77"/>
    </row>
    <row r="103" spans="1:12" x14ac:dyDescent="0.2">
      <c r="A103" s="59" t="s">
        <v>340</v>
      </c>
      <c r="B103" s="54" t="s">
        <v>223</v>
      </c>
      <c r="C103" s="66"/>
      <c r="D103" s="55" t="s">
        <v>224</v>
      </c>
      <c r="E103" s="59" t="s">
        <v>152</v>
      </c>
      <c r="F103" s="60">
        <v>5.0999999999999997E-2</v>
      </c>
      <c r="G103" s="56">
        <f t="shared" si="1"/>
        <v>96985.686274509819</v>
      </c>
      <c r="H103" s="57">
        <v>4946.2700000000004</v>
      </c>
      <c r="I103" s="58"/>
      <c r="J103" s="80"/>
      <c r="K103" s="81"/>
      <c r="L103" s="77"/>
    </row>
    <row r="104" spans="1:12" x14ac:dyDescent="0.2">
      <c r="A104" s="70" t="s">
        <v>528</v>
      </c>
      <c r="B104" s="70"/>
      <c r="C104" s="66"/>
      <c r="D104" s="70"/>
      <c r="E104" s="70"/>
      <c r="F104" s="70"/>
      <c r="G104" s="56"/>
      <c r="H104" s="71"/>
      <c r="I104" s="58"/>
      <c r="J104" s="80"/>
      <c r="K104" s="81"/>
      <c r="L104" s="77"/>
    </row>
    <row r="105" spans="1:12" x14ac:dyDescent="0.2">
      <c r="A105" s="70" t="s">
        <v>529</v>
      </c>
      <c r="B105" s="70"/>
      <c r="C105" s="66"/>
      <c r="D105" s="70"/>
      <c r="E105" s="70"/>
      <c r="F105" s="70"/>
      <c r="G105" s="56"/>
      <c r="H105" s="71"/>
      <c r="I105" s="58"/>
      <c r="J105" s="80"/>
      <c r="K105" s="81"/>
      <c r="L105" s="77"/>
    </row>
    <row r="106" spans="1:12" x14ac:dyDescent="0.2">
      <c r="A106" s="70" t="s">
        <v>530</v>
      </c>
      <c r="B106" s="70"/>
      <c r="C106" s="66" t="s">
        <v>475</v>
      </c>
      <c r="D106" s="70"/>
      <c r="E106" s="70"/>
      <c r="F106" s="70"/>
      <c r="G106" s="56"/>
      <c r="H106" s="71"/>
      <c r="I106" s="58"/>
      <c r="J106" s="80"/>
      <c r="K106" s="81"/>
      <c r="L106" s="77"/>
    </row>
    <row r="107" spans="1:12" x14ac:dyDescent="0.2">
      <c r="A107" s="59" t="s">
        <v>341</v>
      </c>
      <c r="B107" s="54" t="s">
        <v>476</v>
      </c>
      <c r="C107" s="66" t="s">
        <v>531</v>
      </c>
      <c r="D107" s="55" t="s">
        <v>475</v>
      </c>
      <c r="E107" s="59" t="s">
        <v>110</v>
      </c>
      <c r="F107" s="60">
        <v>7.9000000000000001E-2</v>
      </c>
      <c r="G107" s="56">
        <f t="shared" si="1"/>
        <v>96889.493670886077</v>
      </c>
      <c r="H107" s="57">
        <v>7654.27</v>
      </c>
      <c r="I107" s="58"/>
      <c r="J107" s="80"/>
      <c r="K107" s="81"/>
      <c r="L107" s="77"/>
    </row>
    <row r="108" spans="1:12" x14ac:dyDescent="0.2">
      <c r="A108" s="59" t="s">
        <v>342</v>
      </c>
      <c r="B108" s="54" t="s">
        <v>478</v>
      </c>
      <c r="C108" s="66" t="s">
        <v>532</v>
      </c>
      <c r="D108" s="55" t="s">
        <v>480</v>
      </c>
      <c r="E108" s="59" t="s">
        <v>110</v>
      </c>
      <c r="F108" s="60">
        <v>3.1899999999999998E-2</v>
      </c>
      <c r="G108" s="56">
        <f t="shared" si="1"/>
        <v>99295.611285266466</v>
      </c>
      <c r="H108" s="57">
        <v>3167.53</v>
      </c>
      <c r="I108" s="58"/>
      <c r="J108" s="80"/>
      <c r="K108" s="81"/>
      <c r="L108" s="77"/>
    </row>
    <row r="109" spans="1:12" x14ac:dyDescent="0.2">
      <c r="A109" s="59" t="s">
        <v>343</v>
      </c>
      <c r="B109" s="54" t="s">
        <v>118</v>
      </c>
      <c r="C109" s="66"/>
      <c r="D109" s="55" t="s">
        <v>119</v>
      </c>
      <c r="E109" s="59" t="s">
        <v>120</v>
      </c>
      <c r="F109" s="60">
        <v>31.94</v>
      </c>
      <c r="G109" s="56">
        <f t="shared" si="1"/>
        <v>1325.0216030056356</v>
      </c>
      <c r="H109" s="57">
        <v>42321.19</v>
      </c>
      <c r="I109" s="58"/>
      <c r="J109" s="80"/>
      <c r="K109" s="81"/>
      <c r="L109" s="77"/>
    </row>
    <row r="110" spans="1:12" x14ac:dyDescent="0.2">
      <c r="A110" s="59" t="s">
        <v>344</v>
      </c>
      <c r="B110" s="54" t="s">
        <v>266</v>
      </c>
      <c r="C110" s="66" t="s">
        <v>533</v>
      </c>
      <c r="D110" s="55" t="s">
        <v>267</v>
      </c>
      <c r="E110" s="59" t="s">
        <v>268</v>
      </c>
      <c r="F110" s="60">
        <v>0.44500000000000001</v>
      </c>
      <c r="G110" s="56">
        <f t="shared" si="1"/>
        <v>14730.471910112361</v>
      </c>
      <c r="H110" s="57">
        <v>6555.06</v>
      </c>
      <c r="I110" s="58"/>
      <c r="J110" s="80"/>
      <c r="K110" s="81"/>
      <c r="L110" s="77"/>
    </row>
    <row r="111" spans="1:12" x14ac:dyDescent="0.2">
      <c r="A111" s="59" t="s">
        <v>345</v>
      </c>
      <c r="B111" s="54" t="s">
        <v>263</v>
      </c>
      <c r="C111" s="66" t="s">
        <v>534</v>
      </c>
      <c r="D111" s="55" t="s">
        <v>264</v>
      </c>
      <c r="E111" s="59" t="s">
        <v>107</v>
      </c>
      <c r="F111" s="60">
        <v>0.16400000000000001</v>
      </c>
      <c r="G111" s="56">
        <f t="shared" si="1"/>
        <v>87637.499999999985</v>
      </c>
      <c r="H111" s="57">
        <v>14372.55</v>
      </c>
      <c r="I111" s="58"/>
      <c r="J111" s="80"/>
      <c r="K111" s="81"/>
      <c r="L111" s="77"/>
    </row>
    <row r="112" spans="1:12" x14ac:dyDescent="0.2">
      <c r="A112" s="59" t="s">
        <v>346</v>
      </c>
      <c r="B112" s="54" t="s">
        <v>260</v>
      </c>
      <c r="C112" s="66" t="s">
        <v>535</v>
      </c>
      <c r="D112" s="55" t="s">
        <v>241</v>
      </c>
      <c r="E112" s="59" t="s">
        <v>110</v>
      </c>
      <c r="F112" s="60">
        <v>5.2999999999999999E-2</v>
      </c>
      <c r="G112" s="56">
        <f t="shared" si="1"/>
        <v>17007.924528301886</v>
      </c>
      <c r="H112" s="57">
        <v>901.42</v>
      </c>
      <c r="I112" s="58"/>
      <c r="J112" s="80"/>
      <c r="K112" s="81"/>
      <c r="L112" s="77"/>
    </row>
    <row r="113" spans="1:12" x14ac:dyDescent="0.2">
      <c r="A113" s="59" t="s">
        <v>348</v>
      </c>
      <c r="B113" s="54" t="s">
        <v>501</v>
      </c>
      <c r="C113" s="66"/>
      <c r="D113" s="55" t="s">
        <v>503</v>
      </c>
      <c r="E113" s="59" t="s">
        <v>107</v>
      </c>
      <c r="F113" s="60">
        <v>0.16400000000000001</v>
      </c>
      <c r="G113" s="56">
        <f t="shared" si="1"/>
        <v>21443.841463414632</v>
      </c>
      <c r="H113" s="57">
        <v>3516.79</v>
      </c>
      <c r="I113" s="58"/>
      <c r="J113" s="80"/>
      <c r="K113" s="81"/>
      <c r="L113" s="77"/>
    </row>
    <row r="114" spans="1:12" x14ac:dyDescent="0.2">
      <c r="A114" s="59" t="s">
        <v>349</v>
      </c>
      <c r="B114" s="54" t="s">
        <v>139</v>
      </c>
      <c r="C114" s="66"/>
      <c r="D114" s="55" t="s">
        <v>142</v>
      </c>
      <c r="E114" s="59" t="s">
        <v>120</v>
      </c>
      <c r="F114" s="60">
        <v>22.98</v>
      </c>
      <c r="G114" s="56">
        <f t="shared" si="1"/>
        <v>825.62663185378597</v>
      </c>
      <c r="H114" s="57">
        <v>18972.900000000001</v>
      </c>
      <c r="I114" s="58"/>
      <c r="J114" s="80"/>
      <c r="K114" s="81"/>
      <c r="L114" s="77"/>
    </row>
    <row r="115" spans="1:12" x14ac:dyDescent="0.2">
      <c r="A115" s="70" t="s">
        <v>313</v>
      </c>
      <c r="B115" s="70"/>
      <c r="C115" s="66"/>
      <c r="D115" s="70"/>
      <c r="E115" s="70"/>
      <c r="F115" s="70"/>
      <c r="G115" s="56"/>
      <c r="H115" s="71"/>
      <c r="I115" s="58"/>
      <c r="J115" s="80"/>
      <c r="K115" s="81"/>
      <c r="L115" s="77"/>
    </row>
    <row r="116" spans="1:12" x14ac:dyDescent="0.2">
      <c r="A116" s="59" t="s">
        <v>350</v>
      </c>
      <c r="B116" s="54" t="s">
        <v>314</v>
      </c>
      <c r="C116" s="66" t="s">
        <v>536</v>
      </c>
      <c r="D116" s="55" t="s">
        <v>315</v>
      </c>
      <c r="E116" s="59" t="s">
        <v>268</v>
      </c>
      <c r="F116" s="60">
        <v>0.08</v>
      </c>
      <c r="G116" s="56">
        <f t="shared" si="1"/>
        <v>15163.624999999998</v>
      </c>
      <c r="H116" s="57">
        <v>1213.0899999999999</v>
      </c>
      <c r="I116" s="58"/>
      <c r="J116" s="80"/>
      <c r="K116" s="81"/>
      <c r="L116" s="77"/>
    </row>
    <row r="117" spans="1:12" x14ac:dyDescent="0.2">
      <c r="A117" s="59" t="s">
        <v>351</v>
      </c>
      <c r="B117" s="54" t="s">
        <v>515</v>
      </c>
      <c r="C117" s="66"/>
      <c r="D117" s="55" t="s">
        <v>316</v>
      </c>
      <c r="E117" s="59" t="s">
        <v>120</v>
      </c>
      <c r="F117" s="60">
        <v>1</v>
      </c>
      <c r="G117" s="56">
        <f t="shared" si="1"/>
        <v>2685.54</v>
      </c>
      <c r="H117" s="57">
        <v>2685.54</v>
      </c>
      <c r="I117" s="58"/>
      <c r="J117" s="80"/>
      <c r="K117" s="81"/>
      <c r="L117" s="77"/>
    </row>
    <row r="118" spans="1:12" x14ac:dyDescent="0.2">
      <c r="A118" s="59" t="s">
        <v>352</v>
      </c>
      <c r="B118" s="54" t="s">
        <v>382</v>
      </c>
      <c r="C118" s="66" t="s">
        <v>537</v>
      </c>
      <c r="D118" s="55" t="s">
        <v>383</v>
      </c>
      <c r="E118" s="59" t="s">
        <v>105</v>
      </c>
      <c r="F118" s="60">
        <v>0.27</v>
      </c>
      <c r="G118" s="56">
        <f t="shared" si="1"/>
        <v>62434.888888888876</v>
      </c>
      <c r="H118" s="57">
        <v>16857.419999999998</v>
      </c>
      <c r="I118" s="58"/>
      <c r="J118" s="80"/>
      <c r="K118" s="81"/>
      <c r="L118" s="77"/>
    </row>
    <row r="119" spans="1:12" x14ac:dyDescent="0.2">
      <c r="A119" s="59" t="s">
        <v>353</v>
      </c>
      <c r="B119" s="54" t="s">
        <v>385</v>
      </c>
      <c r="C119" s="66"/>
      <c r="D119" s="55" t="s">
        <v>386</v>
      </c>
      <c r="E119" s="59" t="s">
        <v>236</v>
      </c>
      <c r="F119" s="60">
        <v>27</v>
      </c>
      <c r="G119" s="56">
        <f t="shared" si="1"/>
        <v>2877.2977777777774</v>
      </c>
      <c r="H119" s="57">
        <v>77687.039999999994</v>
      </c>
      <c r="I119" s="58"/>
      <c r="J119" s="80"/>
      <c r="K119" s="81"/>
      <c r="L119" s="77"/>
    </row>
    <row r="120" spans="1:12" x14ac:dyDescent="0.2">
      <c r="A120" s="70" t="s">
        <v>538</v>
      </c>
      <c r="B120" s="70"/>
      <c r="C120" s="66"/>
      <c r="D120" s="70"/>
      <c r="E120" s="70"/>
      <c r="F120" s="70"/>
      <c r="G120" s="56"/>
      <c r="H120" s="71"/>
      <c r="I120" s="58"/>
      <c r="J120" s="80"/>
      <c r="K120" s="81"/>
      <c r="L120" s="77"/>
    </row>
    <row r="121" spans="1:12" x14ac:dyDescent="0.2">
      <c r="A121" s="59" t="s">
        <v>354</v>
      </c>
      <c r="B121" s="54" t="s">
        <v>539</v>
      </c>
      <c r="C121" s="66" t="s">
        <v>540</v>
      </c>
      <c r="D121" s="55" t="s">
        <v>541</v>
      </c>
      <c r="E121" s="59" t="s">
        <v>268</v>
      </c>
      <c r="F121" s="60">
        <v>0.193</v>
      </c>
      <c r="G121" s="56">
        <f t="shared" si="1"/>
        <v>328406.16580310877</v>
      </c>
      <c r="H121" s="57">
        <v>63382.39</v>
      </c>
      <c r="I121" s="58"/>
      <c r="J121" s="80"/>
      <c r="K121" s="81"/>
      <c r="L121" s="77"/>
    </row>
    <row r="122" spans="1:12" x14ac:dyDescent="0.2">
      <c r="A122" s="59" t="s">
        <v>355</v>
      </c>
      <c r="B122" s="54" t="s">
        <v>542</v>
      </c>
      <c r="C122" s="66"/>
      <c r="D122" s="55" t="s">
        <v>543</v>
      </c>
      <c r="E122" s="59" t="s">
        <v>158</v>
      </c>
      <c r="F122" s="60">
        <v>-8.6463999999999999</v>
      </c>
      <c r="G122" s="56">
        <f t="shared" si="1"/>
        <v>53.444207994078461</v>
      </c>
      <c r="H122" s="57">
        <v>-462.1</v>
      </c>
      <c r="I122" s="58"/>
      <c r="J122" s="80"/>
      <c r="K122" s="81"/>
      <c r="L122" s="77"/>
    </row>
    <row r="123" spans="1:12" x14ac:dyDescent="0.2">
      <c r="A123" s="59" t="s">
        <v>356</v>
      </c>
      <c r="B123" s="54" t="s">
        <v>542</v>
      </c>
      <c r="C123" s="66"/>
      <c r="D123" s="55" t="s">
        <v>543</v>
      </c>
      <c r="E123" s="59" t="s">
        <v>158</v>
      </c>
      <c r="F123" s="60">
        <v>22</v>
      </c>
      <c r="G123" s="56">
        <f t="shared" si="1"/>
        <v>53.448181818181816</v>
      </c>
      <c r="H123" s="57">
        <v>1175.8599999999999</v>
      </c>
      <c r="I123" s="58"/>
      <c r="J123" s="80"/>
      <c r="K123" s="81"/>
      <c r="L123" s="77"/>
    </row>
    <row r="124" spans="1:12" x14ac:dyDescent="0.2">
      <c r="A124" s="59" t="s">
        <v>359</v>
      </c>
      <c r="B124" s="54" t="s">
        <v>544</v>
      </c>
      <c r="C124" s="66"/>
      <c r="D124" s="55" t="s">
        <v>545</v>
      </c>
      <c r="E124" s="59" t="s">
        <v>120</v>
      </c>
      <c r="F124" s="60">
        <v>0.33</v>
      </c>
      <c r="G124" s="56">
        <f t="shared" si="1"/>
        <v>14661.060606060604</v>
      </c>
      <c r="H124" s="57">
        <v>4838.1499999999996</v>
      </c>
      <c r="I124" s="58"/>
      <c r="J124" s="80"/>
      <c r="K124" s="81"/>
      <c r="L124" s="77"/>
    </row>
    <row r="125" spans="1:12" x14ac:dyDescent="0.2">
      <c r="A125" s="59" t="s">
        <v>362</v>
      </c>
      <c r="B125" s="54" t="s">
        <v>546</v>
      </c>
      <c r="C125" s="66"/>
      <c r="D125" s="55" t="s">
        <v>547</v>
      </c>
      <c r="E125" s="59" t="s">
        <v>158</v>
      </c>
      <c r="F125" s="60">
        <v>1</v>
      </c>
      <c r="G125" s="56">
        <f t="shared" si="1"/>
        <v>988.99</v>
      </c>
      <c r="H125" s="57">
        <v>988.99</v>
      </c>
      <c r="I125" s="58"/>
      <c r="J125" s="80"/>
      <c r="K125" s="81"/>
      <c r="L125" s="77"/>
    </row>
    <row r="126" spans="1:12" x14ac:dyDescent="0.2">
      <c r="A126" s="59" t="s">
        <v>365</v>
      </c>
      <c r="B126" s="54" t="s">
        <v>325</v>
      </c>
      <c r="C126" s="66"/>
      <c r="D126" s="55" t="s">
        <v>326</v>
      </c>
      <c r="E126" s="59" t="s">
        <v>158</v>
      </c>
      <c r="F126" s="60">
        <v>1</v>
      </c>
      <c r="G126" s="56">
        <f t="shared" si="1"/>
        <v>1982.39</v>
      </c>
      <c r="H126" s="57">
        <v>1982.39</v>
      </c>
      <c r="I126" s="58"/>
      <c r="J126" s="80"/>
      <c r="K126" s="81"/>
      <c r="L126" s="77"/>
    </row>
    <row r="127" spans="1:12" x14ac:dyDescent="0.2">
      <c r="A127" s="59" t="s">
        <v>366</v>
      </c>
      <c r="B127" s="54" t="s">
        <v>323</v>
      </c>
      <c r="C127" s="66"/>
      <c r="D127" s="55" t="s">
        <v>324</v>
      </c>
      <c r="E127" s="59" t="s">
        <v>158</v>
      </c>
      <c r="F127" s="60">
        <v>2</v>
      </c>
      <c r="G127" s="56">
        <f t="shared" si="1"/>
        <v>2954.7350000000001</v>
      </c>
      <c r="H127" s="57">
        <v>5909.47</v>
      </c>
      <c r="I127" s="58"/>
      <c r="J127" s="80"/>
      <c r="K127" s="81"/>
      <c r="L127" s="77"/>
    </row>
    <row r="128" spans="1:12" x14ac:dyDescent="0.2">
      <c r="A128" s="59" t="s">
        <v>367</v>
      </c>
      <c r="B128" s="54" t="s">
        <v>548</v>
      </c>
      <c r="C128" s="66"/>
      <c r="D128" s="55" t="s">
        <v>549</v>
      </c>
      <c r="E128" s="59" t="s">
        <v>158</v>
      </c>
      <c r="F128" s="60">
        <v>2</v>
      </c>
      <c r="G128" s="56">
        <f t="shared" si="1"/>
        <v>3238.05</v>
      </c>
      <c r="H128" s="57">
        <v>6476.1</v>
      </c>
      <c r="I128" s="58"/>
      <c r="J128" s="80"/>
      <c r="K128" s="81"/>
      <c r="L128" s="77"/>
    </row>
    <row r="129" spans="1:12" x14ac:dyDescent="0.2">
      <c r="A129" s="59" t="s">
        <v>368</v>
      </c>
      <c r="B129" s="54" t="s">
        <v>550</v>
      </c>
      <c r="C129" s="66"/>
      <c r="D129" s="55" t="s">
        <v>551</v>
      </c>
      <c r="E129" s="59" t="s">
        <v>158</v>
      </c>
      <c r="F129" s="60">
        <v>3</v>
      </c>
      <c r="G129" s="56">
        <f t="shared" si="1"/>
        <v>1539.63</v>
      </c>
      <c r="H129" s="57">
        <v>4618.8900000000003</v>
      </c>
      <c r="I129" s="58"/>
      <c r="J129" s="80"/>
      <c r="K129" s="81"/>
      <c r="L129" s="77"/>
    </row>
    <row r="130" spans="1:12" x14ac:dyDescent="0.2">
      <c r="A130" s="59" t="s">
        <v>369</v>
      </c>
      <c r="B130" s="54" t="s">
        <v>552</v>
      </c>
      <c r="C130" s="66"/>
      <c r="D130" s="55" t="s">
        <v>553</v>
      </c>
      <c r="E130" s="59" t="s">
        <v>158</v>
      </c>
      <c r="F130" s="60">
        <v>3</v>
      </c>
      <c r="G130" s="56">
        <f t="shared" si="1"/>
        <v>2389.1666666666665</v>
      </c>
      <c r="H130" s="57">
        <v>7167.5</v>
      </c>
      <c r="I130" s="58"/>
      <c r="J130" s="80"/>
      <c r="K130" s="81"/>
      <c r="L130" s="77"/>
    </row>
    <row r="131" spans="1:12" x14ac:dyDescent="0.2">
      <c r="A131" s="59" t="s">
        <v>370</v>
      </c>
      <c r="B131" s="54" t="s">
        <v>302</v>
      </c>
      <c r="C131" s="66" t="s">
        <v>554</v>
      </c>
      <c r="D131" s="55" t="s">
        <v>403</v>
      </c>
      <c r="E131" s="59" t="s">
        <v>236</v>
      </c>
      <c r="F131" s="60">
        <v>3.44</v>
      </c>
      <c r="G131" s="56">
        <f t="shared" si="1"/>
        <v>12624.377906976744</v>
      </c>
      <c r="H131" s="57">
        <v>43427.86</v>
      </c>
      <c r="I131" s="58"/>
      <c r="J131" s="80"/>
      <c r="K131" s="81"/>
      <c r="L131" s="77"/>
    </row>
    <row r="132" spans="1:12" x14ac:dyDescent="0.2">
      <c r="A132" s="59" t="s">
        <v>371</v>
      </c>
      <c r="B132" s="54" t="s">
        <v>525</v>
      </c>
      <c r="C132" s="66"/>
      <c r="D132" s="55" t="s">
        <v>526</v>
      </c>
      <c r="E132" s="59" t="s">
        <v>158</v>
      </c>
      <c r="F132" s="60">
        <v>3</v>
      </c>
      <c r="G132" s="56">
        <f t="shared" si="1"/>
        <v>5344.0366666666669</v>
      </c>
      <c r="H132" s="57">
        <v>16032.11</v>
      </c>
      <c r="I132" s="58"/>
      <c r="J132" s="80"/>
      <c r="K132" s="81"/>
      <c r="L132" s="77"/>
    </row>
    <row r="133" spans="1:12" x14ac:dyDescent="0.2">
      <c r="A133" s="59" t="s">
        <v>372</v>
      </c>
      <c r="B133" s="54" t="s">
        <v>289</v>
      </c>
      <c r="C133" s="66"/>
      <c r="D133" s="55" t="s">
        <v>290</v>
      </c>
      <c r="E133" s="59" t="s">
        <v>158</v>
      </c>
      <c r="F133" s="60">
        <v>3</v>
      </c>
      <c r="G133" s="56">
        <f t="shared" ref="G133:G196" si="2">H133/F133</f>
        <v>2876.0733333333333</v>
      </c>
      <c r="H133" s="57">
        <v>8628.2199999999993</v>
      </c>
      <c r="I133" s="58"/>
      <c r="J133" s="80"/>
      <c r="K133" s="81"/>
      <c r="L133" s="77"/>
    </row>
    <row r="134" spans="1:12" x14ac:dyDescent="0.2">
      <c r="A134" s="59" t="s">
        <v>373</v>
      </c>
      <c r="B134" s="54" t="s">
        <v>220</v>
      </c>
      <c r="C134" s="66" t="s">
        <v>555</v>
      </c>
      <c r="D134" s="55" t="s">
        <v>221</v>
      </c>
      <c r="E134" s="59" t="s">
        <v>160</v>
      </c>
      <c r="F134" s="60">
        <v>0.2</v>
      </c>
      <c r="G134" s="56">
        <f t="shared" si="2"/>
        <v>34199.899999999994</v>
      </c>
      <c r="H134" s="57">
        <v>6839.98</v>
      </c>
      <c r="I134" s="58"/>
      <c r="J134" s="80"/>
      <c r="K134" s="81"/>
      <c r="L134" s="77"/>
    </row>
    <row r="135" spans="1:12" x14ac:dyDescent="0.2">
      <c r="A135" s="59" t="s">
        <v>374</v>
      </c>
      <c r="B135" s="54" t="s">
        <v>301</v>
      </c>
      <c r="C135" s="66"/>
      <c r="D135" s="55" t="s">
        <v>333</v>
      </c>
      <c r="E135" s="59" t="s">
        <v>152</v>
      </c>
      <c r="F135" s="60">
        <v>4.8000000000000001E-2</v>
      </c>
      <c r="G135" s="56">
        <f t="shared" si="2"/>
        <v>176237.29166666666</v>
      </c>
      <c r="H135" s="57">
        <v>8459.39</v>
      </c>
      <c r="I135" s="58"/>
      <c r="J135" s="80"/>
      <c r="K135" s="81"/>
      <c r="L135" s="77"/>
    </row>
    <row r="136" spans="1:12" x14ac:dyDescent="0.2">
      <c r="A136" s="59" t="s">
        <v>375</v>
      </c>
      <c r="B136" s="54" t="s">
        <v>223</v>
      </c>
      <c r="C136" s="66"/>
      <c r="D136" s="55" t="s">
        <v>224</v>
      </c>
      <c r="E136" s="59" t="s">
        <v>152</v>
      </c>
      <c r="F136" s="60">
        <v>6.0000000000000001E-3</v>
      </c>
      <c r="G136" s="56">
        <f t="shared" si="2"/>
        <v>96981.666666666657</v>
      </c>
      <c r="H136" s="57">
        <v>581.89</v>
      </c>
      <c r="I136" s="58"/>
      <c r="J136" s="80"/>
      <c r="K136" s="81"/>
      <c r="L136" s="77"/>
    </row>
    <row r="137" spans="1:12" x14ac:dyDescent="0.2">
      <c r="A137" s="70" t="s">
        <v>556</v>
      </c>
      <c r="B137" s="70"/>
      <c r="C137" s="66"/>
      <c r="D137" s="70"/>
      <c r="E137" s="70"/>
      <c r="F137" s="70"/>
      <c r="G137" s="56"/>
      <c r="H137" s="71"/>
      <c r="I137" s="58"/>
      <c r="J137" s="80"/>
      <c r="K137" s="81"/>
      <c r="L137" s="77"/>
    </row>
    <row r="138" spans="1:12" x14ac:dyDescent="0.2">
      <c r="A138" s="70" t="s">
        <v>239</v>
      </c>
      <c r="B138" s="70"/>
      <c r="C138" s="66"/>
      <c r="D138" s="70"/>
      <c r="E138" s="70"/>
      <c r="F138" s="70"/>
      <c r="G138" s="56"/>
      <c r="H138" s="71"/>
      <c r="I138" s="58"/>
      <c r="J138" s="80"/>
      <c r="K138" s="81"/>
      <c r="L138" s="77"/>
    </row>
    <row r="139" spans="1:12" x14ac:dyDescent="0.2">
      <c r="A139" s="59" t="s">
        <v>376</v>
      </c>
      <c r="B139" s="54" t="s">
        <v>557</v>
      </c>
      <c r="C139" s="66" t="s">
        <v>558</v>
      </c>
      <c r="D139" s="55" t="s">
        <v>559</v>
      </c>
      <c r="E139" s="59" t="s">
        <v>110</v>
      </c>
      <c r="F139" s="60">
        <v>1.6341399999999999</v>
      </c>
      <c r="G139" s="56">
        <f t="shared" si="2"/>
        <v>78956.760130710958</v>
      </c>
      <c r="H139" s="57">
        <v>129026.4</v>
      </c>
      <c r="I139" s="58"/>
      <c r="J139" s="80"/>
      <c r="K139" s="81"/>
      <c r="L139" s="77"/>
    </row>
    <row r="140" spans="1:12" x14ac:dyDescent="0.2">
      <c r="A140" s="59" t="s">
        <v>377</v>
      </c>
      <c r="B140" s="54" t="s">
        <v>476</v>
      </c>
      <c r="C140" s="66" t="s">
        <v>560</v>
      </c>
      <c r="D140" s="55" t="s">
        <v>475</v>
      </c>
      <c r="E140" s="59" t="s">
        <v>110</v>
      </c>
      <c r="F140" s="60">
        <v>6.2190000000000002E-2</v>
      </c>
      <c r="G140" s="56">
        <f t="shared" si="2"/>
        <v>116265.63756230906</v>
      </c>
      <c r="H140" s="57">
        <v>7230.56</v>
      </c>
      <c r="I140" s="58"/>
      <c r="J140" s="80"/>
      <c r="K140" s="81"/>
      <c r="L140" s="77"/>
    </row>
    <row r="141" spans="1:12" x14ac:dyDescent="0.2">
      <c r="A141" s="59" t="s">
        <v>378</v>
      </c>
      <c r="B141" s="54" t="s">
        <v>308</v>
      </c>
      <c r="C141" s="66" t="s">
        <v>561</v>
      </c>
      <c r="D141" s="55" t="s">
        <v>309</v>
      </c>
      <c r="E141" s="59" t="s">
        <v>110</v>
      </c>
      <c r="F141" s="60">
        <v>1.23366</v>
      </c>
      <c r="G141" s="56">
        <f t="shared" si="2"/>
        <v>149458.76497576316</v>
      </c>
      <c r="H141" s="57">
        <v>184381.3</v>
      </c>
      <c r="I141" s="58"/>
      <c r="J141" s="80"/>
      <c r="K141" s="81"/>
      <c r="L141" s="77"/>
    </row>
    <row r="142" spans="1:12" x14ac:dyDescent="0.2">
      <c r="A142" s="59" t="s">
        <v>379</v>
      </c>
      <c r="B142" s="54" t="s">
        <v>259</v>
      </c>
      <c r="C142" s="66" t="s">
        <v>562</v>
      </c>
      <c r="D142" s="55" t="s">
        <v>310</v>
      </c>
      <c r="E142" s="59" t="s">
        <v>107</v>
      </c>
      <c r="F142" s="60">
        <v>0.52410000000000001</v>
      </c>
      <c r="G142" s="56">
        <f t="shared" si="2"/>
        <v>190319.11848883799</v>
      </c>
      <c r="H142" s="57">
        <v>99746.25</v>
      </c>
      <c r="I142" s="58"/>
      <c r="J142" s="80"/>
      <c r="K142" s="81"/>
      <c r="L142" s="77"/>
    </row>
    <row r="143" spans="1:12" x14ac:dyDescent="0.2">
      <c r="A143" s="59" t="s">
        <v>380</v>
      </c>
      <c r="B143" s="54" t="s">
        <v>260</v>
      </c>
      <c r="C143" s="66" t="s">
        <v>563</v>
      </c>
      <c r="D143" s="55" t="s">
        <v>241</v>
      </c>
      <c r="E143" s="59" t="s">
        <v>110</v>
      </c>
      <c r="F143" s="60">
        <v>1.56196</v>
      </c>
      <c r="G143" s="56">
        <f t="shared" si="2"/>
        <v>17011.735255704371</v>
      </c>
      <c r="H143" s="57">
        <v>26571.65</v>
      </c>
      <c r="I143" s="58"/>
      <c r="J143" s="80"/>
      <c r="K143" s="81"/>
      <c r="L143" s="77"/>
    </row>
    <row r="144" spans="1:12" x14ac:dyDescent="0.2">
      <c r="A144" s="59" t="s">
        <v>381</v>
      </c>
      <c r="B144" s="54" t="s">
        <v>139</v>
      </c>
      <c r="C144" s="66"/>
      <c r="D144" s="55" t="s">
        <v>142</v>
      </c>
      <c r="E144" s="59" t="s">
        <v>120</v>
      </c>
      <c r="F144" s="60">
        <v>1153.4159999999999</v>
      </c>
      <c r="G144" s="56">
        <f t="shared" si="2"/>
        <v>825.62681634379976</v>
      </c>
      <c r="H144" s="57">
        <v>952291.18</v>
      </c>
      <c r="I144" s="58"/>
      <c r="J144" s="80"/>
      <c r="K144" s="81"/>
      <c r="L144" s="77"/>
    </row>
    <row r="145" spans="1:12" x14ac:dyDescent="0.2">
      <c r="A145" s="59" t="s">
        <v>384</v>
      </c>
      <c r="B145" s="54" t="s">
        <v>118</v>
      </c>
      <c r="C145" s="66"/>
      <c r="D145" s="55" t="s">
        <v>119</v>
      </c>
      <c r="E145" s="59" t="s">
        <v>120</v>
      </c>
      <c r="F145" s="60">
        <v>1233.6600000000001</v>
      </c>
      <c r="G145" s="56">
        <f t="shared" si="2"/>
        <v>1325.0207917902824</v>
      </c>
      <c r="H145" s="57">
        <v>1634625.15</v>
      </c>
      <c r="I145" s="58"/>
      <c r="J145" s="80"/>
      <c r="K145" s="81"/>
      <c r="L145" s="77"/>
    </row>
    <row r="146" spans="1:12" x14ac:dyDescent="0.2">
      <c r="A146" s="70" t="s">
        <v>304</v>
      </c>
      <c r="B146" s="70"/>
      <c r="C146" s="66"/>
      <c r="D146" s="70"/>
      <c r="E146" s="70"/>
      <c r="F146" s="70"/>
      <c r="G146" s="56"/>
      <c r="H146" s="71"/>
      <c r="I146" s="58"/>
      <c r="J146" s="80"/>
      <c r="K146" s="81"/>
      <c r="L146" s="77"/>
    </row>
    <row r="147" spans="1:12" x14ac:dyDescent="0.2">
      <c r="A147" s="59" t="s">
        <v>387</v>
      </c>
      <c r="B147" s="54" t="s">
        <v>564</v>
      </c>
      <c r="C147" s="66" t="s">
        <v>565</v>
      </c>
      <c r="D147" s="55" t="s">
        <v>566</v>
      </c>
      <c r="E147" s="59" t="s">
        <v>105</v>
      </c>
      <c r="F147" s="60">
        <v>1.32</v>
      </c>
      <c r="G147" s="56">
        <f t="shared" si="2"/>
        <v>186428.90151515149</v>
      </c>
      <c r="H147" s="57">
        <v>246086.15</v>
      </c>
      <c r="I147" s="58"/>
      <c r="J147" s="80"/>
      <c r="K147" s="81"/>
      <c r="L147" s="77"/>
    </row>
    <row r="148" spans="1:12" x14ac:dyDescent="0.2">
      <c r="A148" s="59" t="s">
        <v>388</v>
      </c>
      <c r="B148" s="54" t="s">
        <v>567</v>
      </c>
      <c r="C148" s="66" t="s">
        <v>568</v>
      </c>
      <c r="D148" s="55" t="s">
        <v>569</v>
      </c>
      <c r="E148" s="59" t="s">
        <v>268</v>
      </c>
      <c r="F148" s="60">
        <v>0.1</v>
      </c>
      <c r="G148" s="56">
        <f t="shared" si="2"/>
        <v>88282</v>
      </c>
      <c r="H148" s="57">
        <v>8828.2000000000007</v>
      </c>
      <c r="I148" s="58"/>
      <c r="J148" s="80"/>
      <c r="K148" s="81"/>
      <c r="L148" s="77"/>
    </row>
    <row r="149" spans="1:12" x14ac:dyDescent="0.2">
      <c r="A149" s="59" t="s">
        <v>389</v>
      </c>
      <c r="B149" s="54" t="s">
        <v>115</v>
      </c>
      <c r="C149" s="66"/>
      <c r="D149" s="55" t="s">
        <v>116</v>
      </c>
      <c r="E149" s="59" t="s">
        <v>113</v>
      </c>
      <c r="F149" s="60">
        <v>0.12</v>
      </c>
      <c r="G149" s="56">
        <f t="shared" si="2"/>
        <v>569.33333333333326</v>
      </c>
      <c r="H149" s="57">
        <v>68.319999999999993</v>
      </c>
      <c r="I149" s="58"/>
      <c r="J149" s="80"/>
      <c r="K149" s="81"/>
      <c r="L149" s="77"/>
    </row>
    <row r="150" spans="1:12" x14ac:dyDescent="0.2">
      <c r="A150" s="59" t="s">
        <v>390</v>
      </c>
      <c r="B150" s="54" t="s">
        <v>307</v>
      </c>
      <c r="C150" s="66"/>
      <c r="D150" s="55" t="s">
        <v>237</v>
      </c>
      <c r="E150" s="59" t="s">
        <v>113</v>
      </c>
      <c r="F150" s="60">
        <v>0.12</v>
      </c>
      <c r="G150" s="56">
        <f t="shared" si="2"/>
        <v>39.75</v>
      </c>
      <c r="H150" s="57">
        <v>4.7699999999999996</v>
      </c>
      <c r="I150" s="58"/>
      <c r="J150" s="80"/>
      <c r="K150" s="81"/>
      <c r="L150" s="77"/>
    </row>
    <row r="151" spans="1:12" x14ac:dyDescent="0.2">
      <c r="A151" s="59" t="s">
        <v>391</v>
      </c>
      <c r="B151" s="54" t="s">
        <v>112</v>
      </c>
      <c r="C151" s="66" t="s">
        <v>570</v>
      </c>
      <c r="D151" s="55" t="s">
        <v>238</v>
      </c>
      <c r="E151" s="59" t="s">
        <v>113</v>
      </c>
      <c r="F151" s="60">
        <v>103.28</v>
      </c>
      <c r="G151" s="56">
        <f t="shared" si="2"/>
        <v>43.427381874515881</v>
      </c>
      <c r="H151" s="57">
        <v>4485.18</v>
      </c>
      <c r="I151" s="58"/>
      <c r="J151" s="80"/>
      <c r="K151" s="81"/>
      <c r="L151" s="77"/>
    </row>
    <row r="152" spans="1:12" x14ac:dyDescent="0.2">
      <c r="A152" s="59" t="s">
        <v>392</v>
      </c>
      <c r="B152" s="54" t="s">
        <v>115</v>
      </c>
      <c r="C152" s="66" t="s">
        <v>571</v>
      </c>
      <c r="D152" s="55" t="s">
        <v>116</v>
      </c>
      <c r="E152" s="59" t="s">
        <v>113</v>
      </c>
      <c r="F152" s="60">
        <v>25.82</v>
      </c>
      <c r="G152" s="56">
        <f t="shared" si="2"/>
        <v>569.05344694035625</v>
      </c>
      <c r="H152" s="57">
        <v>14692.96</v>
      </c>
      <c r="I152" s="58"/>
      <c r="J152" s="80"/>
      <c r="K152" s="81"/>
      <c r="L152" s="77"/>
    </row>
    <row r="153" spans="1:12" x14ac:dyDescent="0.2">
      <c r="A153" s="59" t="s">
        <v>393</v>
      </c>
      <c r="B153" s="54" t="s">
        <v>118</v>
      </c>
      <c r="C153" s="66"/>
      <c r="D153" s="55" t="s">
        <v>119</v>
      </c>
      <c r="E153" s="59" t="s">
        <v>120</v>
      </c>
      <c r="F153" s="60">
        <v>134.32</v>
      </c>
      <c r="G153" s="56">
        <f t="shared" si="2"/>
        <v>1325.0206968433592</v>
      </c>
      <c r="H153" s="57">
        <v>177976.78</v>
      </c>
      <c r="I153" s="58"/>
      <c r="J153" s="80"/>
      <c r="K153" s="81"/>
      <c r="L153" s="77"/>
    </row>
    <row r="154" spans="1:12" x14ac:dyDescent="0.2">
      <c r="A154" s="70" t="s">
        <v>311</v>
      </c>
      <c r="B154" s="70"/>
      <c r="C154" s="66"/>
      <c r="D154" s="70"/>
      <c r="E154" s="70"/>
      <c r="F154" s="70"/>
      <c r="G154" s="56"/>
      <c r="H154" s="71"/>
      <c r="I154" s="58"/>
      <c r="J154" s="80"/>
      <c r="K154" s="81"/>
      <c r="L154" s="77"/>
    </row>
    <row r="155" spans="1:12" x14ac:dyDescent="0.2">
      <c r="A155" s="59" t="s">
        <v>394</v>
      </c>
      <c r="B155" s="54" t="s">
        <v>572</v>
      </c>
      <c r="C155" s="66" t="s">
        <v>573</v>
      </c>
      <c r="D155" s="55" t="s">
        <v>574</v>
      </c>
      <c r="E155" s="59" t="s">
        <v>105</v>
      </c>
      <c r="F155" s="60">
        <v>0.14000000000000001</v>
      </c>
      <c r="G155" s="56">
        <f t="shared" si="2"/>
        <v>1118972.9285714284</v>
      </c>
      <c r="H155" s="57">
        <v>156656.21</v>
      </c>
      <c r="I155" s="58"/>
      <c r="J155" s="80"/>
      <c r="K155" s="81"/>
      <c r="L155" s="77"/>
    </row>
    <row r="156" spans="1:12" x14ac:dyDescent="0.2">
      <c r="A156" s="59" t="s">
        <v>395</v>
      </c>
      <c r="B156" s="54" t="s">
        <v>575</v>
      </c>
      <c r="C156" s="66"/>
      <c r="D156" s="55" t="s">
        <v>576</v>
      </c>
      <c r="E156" s="59" t="s">
        <v>236</v>
      </c>
      <c r="F156" s="60">
        <v>14.14</v>
      </c>
      <c r="G156" s="56">
        <f t="shared" si="2"/>
        <v>40834.024752475249</v>
      </c>
      <c r="H156" s="57">
        <v>577393.11</v>
      </c>
      <c r="I156" s="58"/>
      <c r="J156" s="80"/>
      <c r="K156" s="81"/>
      <c r="L156" s="77"/>
    </row>
    <row r="157" spans="1:12" x14ac:dyDescent="0.2">
      <c r="A157" s="59" t="s">
        <v>396</v>
      </c>
      <c r="B157" s="54" t="s">
        <v>577</v>
      </c>
      <c r="C157" s="66" t="s">
        <v>578</v>
      </c>
      <c r="D157" s="55" t="s">
        <v>579</v>
      </c>
      <c r="E157" s="59" t="s">
        <v>160</v>
      </c>
      <c r="F157" s="60">
        <v>0.62</v>
      </c>
      <c r="G157" s="56">
        <f t="shared" si="2"/>
        <v>163574.74193548388</v>
      </c>
      <c r="H157" s="57">
        <v>101416.34</v>
      </c>
      <c r="I157" s="58"/>
      <c r="J157" s="80"/>
      <c r="K157" s="81"/>
      <c r="L157" s="77"/>
    </row>
    <row r="158" spans="1:12" x14ac:dyDescent="0.2">
      <c r="A158" s="59" t="s">
        <v>397</v>
      </c>
      <c r="B158" s="54" t="s">
        <v>274</v>
      </c>
      <c r="C158" s="66"/>
      <c r="D158" s="55" t="s">
        <v>275</v>
      </c>
      <c r="E158" s="59" t="s">
        <v>152</v>
      </c>
      <c r="F158" s="60">
        <v>0.60760000000000003</v>
      </c>
      <c r="G158" s="56">
        <f t="shared" si="2"/>
        <v>358896.42857142858</v>
      </c>
      <c r="H158" s="57">
        <v>218065.47</v>
      </c>
      <c r="I158" s="58"/>
      <c r="J158" s="80"/>
      <c r="K158" s="81"/>
      <c r="L158" s="77"/>
    </row>
    <row r="159" spans="1:12" x14ac:dyDescent="0.2">
      <c r="A159" s="59" t="s">
        <v>398</v>
      </c>
      <c r="B159" s="54" t="s">
        <v>279</v>
      </c>
      <c r="C159" s="66"/>
      <c r="D159" s="55" t="s">
        <v>280</v>
      </c>
      <c r="E159" s="59" t="s">
        <v>120</v>
      </c>
      <c r="F159" s="60">
        <v>5.03</v>
      </c>
      <c r="G159" s="56">
        <f t="shared" si="2"/>
        <v>9007.3021868787273</v>
      </c>
      <c r="H159" s="57">
        <v>45306.73</v>
      </c>
      <c r="I159" s="58"/>
      <c r="J159" s="80"/>
      <c r="K159" s="81"/>
      <c r="L159" s="77"/>
    </row>
    <row r="160" spans="1:12" x14ac:dyDescent="0.2">
      <c r="A160" s="59" t="s">
        <v>399</v>
      </c>
      <c r="B160" s="54" t="s">
        <v>281</v>
      </c>
      <c r="C160" s="66"/>
      <c r="D160" s="55" t="s">
        <v>282</v>
      </c>
      <c r="E160" s="59" t="s">
        <v>120</v>
      </c>
      <c r="F160" s="60">
        <v>-5.1054500000000003</v>
      </c>
      <c r="G160" s="56">
        <f t="shared" si="2"/>
        <v>3780.5208159907543</v>
      </c>
      <c r="H160" s="57">
        <v>-19301.259999999998</v>
      </c>
      <c r="I160" s="58"/>
      <c r="J160" s="80"/>
      <c r="K160" s="81"/>
      <c r="L160" s="77"/>
    </row>
    <row r="161" spans="1:12" x14ac:dyDescent="0.2">
      <c r="A161" s="59" t="s">
        <v>401</v>
      </c>
      <c r="B161" s="54" t="s">
        <v>212</v>
      </c>
      <c r="C161" s="66"/>
      <c r="D161" s="55" t="s">
        <v>213</v>
      </c>
      <c r="E161" s="59" t="s">
        <v>120</v>
      </c>
      <c r="F161" s="60">
        <v>5.1054500000000003</v>
      </c>
      <c r="G161" s="56">
        <f t="shared" si="2"/>
        <v>4241.5634273178657</v>
      </c>
      <c r="H161" s="57">
        <v>21655.09</v>
      </c>
      <c r="I161" s="58"/>
      <c r="J161" s="80"/>
      <c r="K161" s="81"/>
      <c r="L161" s="77"/>
    </row>
    <row r="162" spans="1:12" x14ac:dyDescent="0.2">
      <c r="A162" s="59" t="s">
        <v>402</v>
      </c>
      <c r="B162" s="54" t="s">
        <v>580</v>
      </c>
      <c r="C162" s="66" t="s">
        <v>347</v>
      </c>
      <c r="D162" s="55" t="s">
        <v>581</v>
      </c>
      <c r="E162" s="59" t="s">
        <v>278</v>
      </c>
      <c r="F162" s="60">
        <v>0.14000000000000001</v>
      </c>
      <c r="G162" s="56">
        <f t="shared" si="2"/>
        <v>299556.71428571426</v>
      </c>
      <c r="H162" s="57">
        <v>41937.94</v>
      </c>
      <c r="I162" s="58"/>
      <c r="J162" s="80"/>
      <c r="K162" s="81"/>
      <c r="L162" s="77"/>
    </row>
    <row r="163" spans="1:12" x14ac:dyDescent="0.2">
      <c r="A163" s="59" t="s">
        <v>404</v>
      </c>
      <c r="B163" s="54" t="s">
        <v>582</v>
      </c>
      <c r="C163" s="66"/>
      <c r="D163" s="55" t="s">
        <v>583</v>
      </c>
      <c r="E163" s="59" t="s">
        <v>158</v>
      </c>
      <c r="F163" s="60">
        <v>4</v>
      </c>
      <c r="G163" s="56">
        <f t="shared" si="2"/>
        <v>613.14250000000004</v>
      </c>
      <c r="H163" s="57">
        <v>2452.5700000000002</v>
      </c>
      <c r="I163" s="58"/>
      <c r="J163" s="80"/>
      <c r="K163" s="81"/>
      <c r="L163" s="77"/>
    </row>
    <row r="164" spans="1:12" x14ac:dyDescent="0.2">
      <c r="A164" s="59" t="s">
        <v>405</v>
      </c>
      <c r="B164" s="54" t="s">
        <v>584</v>
      </c>
      <c r="C164" s="66"/>
      <c r="D164" s="55" t="s">
        <v>585</v>
      </c>
      <c r="E164" s="59" t="s">
        <v>312</v>
      </c>
      <c r="F164" s="60">
        <v>2</v>
      </c>
      <c r="G164" s="56">
        <f t="shared" si="2"/>
        <v>28180.82</v>
      </c>
      <c r="H164" s="57">
        <v>56361.64</v>
      </c>
      <c r="I164" s="58"/>
      <c r="J164" s="80"/>
      <c r="K164" s="81"/>
      <c r="L164" s="77"/>
    </row>
    <row r="165" spans="1:12" x14ac:dyDescent="0.2">
      <c r="A165" s="70" t="s">
        <v>313</v>
      </c>
      <c r="B165" s="70"/>
      <c r="C165" s="66"/>
      <c r="D165" s="70"/>
      <c r="E165" s="70"/>
      <c r="F165" s="70"/>
      <c r="G165" s="56"/>
      <c r="H165" s="71"/>
      <c r="I165" s="58"/>
      <c r="J165" s="80"/>
      <c r="K165" s="81"/>
      <c r="L165" s="77"/>
    </row>
    <row r="166" spans="1:12" x14ac:dyDescent="0.2">
      <c r="A166" s="59" t="s">
        <v>406</v>
      </c>
      <c r="B166" s="54" t="s">
        <v>266</v>
      </c>
      <c r="C166" s="66" t="s">
        <v>586</v>
      </c>
      <c r="D166" s="55" t="s">
        <v>267</v>
      </c>
      <c r="E166" s="59" t="s">
        <v>268</v>
      </c>
      <c r="F166" s="60">
        <v>6.13</v>
      </c>
      <c r="G166" s="56">
        <f t="shared" si="2"/>
        <v>14730.665579119086</v>
      </c>
      <c r="H166" s="57">
        <v>90298.98</v>
      </c>
      <c r="I166" s="58"/>
      <c r="J166" s="80"/>
      <c r="K166" s="81"/>
      <c r="L166" s="77"/>
    </row>
    <row r="167" spans="1:12" x14ac:dyDescent="0.2">
      <c r="A167" s="59" t="s">
        <v>407</v>
      </c>
      <c r="B167" s="54" t="s">
        <v>139</v>
      </c>
      <c r="C167" s="66"/>
      <c r="D167" s="55" t="s">
        <v>142</v>
      </c>
      <c r="E167" s="59" t="s">
        <v>120</v>
      </c>
      <c r="F167" s="60">
        <v>67.451999999999998</v>
      </c>
      <c r="G167" s="56">
        <f t="shared" si="2"/>
        <v>825.62711261341394</v>
      </c>
      <c r="H167" s="57">
        <v>55690.2</v>
      </c>
      <c r="I167" s="58"/>
      <c r="J167" s="80"/>
      <c r="K167" s="81"/>
      <c r="L167" s="77"/>
    </row>
    <row r="168" spans="1:12" x14ac:dyDescent="0.2">
      <c r="A168" s="59" t="s">
        <v>408</v>
      </c>
      <c r="B168" s="54" t="s">
        <v>314</v>
      </c>
      <c r="C168" s="66" t="s">
        <v>587</v>
      </c>
      <c r="D168" s="55" t="s">
        <v>315</v>
      </c>
      <c r="E168" s="59" t="s">
        <v>268</v>
      </c>
      <c r="F168" s="60">
        <v>0.18</v>
      </c>
      <c r="G168" s="56">
        <f t="shared" si="2"/>
        <v>15163.5</v>
      </c>
      <c r="H168" s="57">
        <v>2729.43</v>
      </c>
      <c r="I168" s="58"/>
      <c r="J168" s="80"/>
      <c r="K168" s="81"/>
      <c r="L168" s="77"/>
    </row>
    <row r="169" spans="1:12" x14ac:dyDescent="0.2">
      <c r="A169" s="59" t="s">
        <v>409</v>
      </c>
      <c r="B169" s="54" t="s">
        <v>139</v>
      </c>
      <c r="C169" s="66"/>
      <c r="D169" s="55" t="s">
        <v>316</v>
      </c>
      <c r="E169" s="59" t="s">
        <v>120</v>
      </c>
      <c r="F169" s="60">
        <v>2.25</v>
      </c>
      <c r="G169" s="56">
        <f t="shared" si="2"/>
        <v>2685.5466666666666</v>
      </c>
      <c r="H169" s="57">
        <v>6042.48</v>
      </c>
      <c r="I169" s="58"/>
      <c r="J169" s="80"/>
      <c r="K169" s="81"/>
      <c r="L169" s="77"/>
    </row>
    <row r="170" spans="1:12" x14ac:dyDescent="0.2">
      <c r="A170" s="59" t="s">
        <v>410</v>
      </c>
      <c r="B170" s="54" t="s">
        <v>588</v>
      </c>
      <c r="C170" s="66" t="s">
        <v>565</v>
      </c>
      <c r="D170" s="55" t="s">
        <v>589</v>
      </c>
      <c r="E170" s="59" t="s">
        <v>105</v>
      </c>
      <c r="F170" s="60">
        <v>1.32</v>
      </c>
      <c r="G170" s="56">
        <f t="shared" si="2"/>
        <v>736667.59848484839</v>
      </c>
      <c r="H170" s="57">
        <v>972401.23</v>
      </c>
      <c r="I170" s="58"/>
      <c r="J170" s="80"/>
      <c r="K170" s="81"/>
      <c r="L170" s="77"/>
    </row>
    <row r="171" spans="1:12" x14ac:dyDescent="0.2">
      <c r="A171" s="59" t="s">
        <v>411</v>
      </c>
      <c r="B171" s="54" t="s">
        <v>590</v>
      </c>
      <c r="C171" s="66"/>
      <c r="D171" s="55" t="s">
        <v>591</v>
      </c>
      <c r="E171" s="59" t="s">
        <v>236</v>
      </c>
      <c r="F171" s="60">
        <v>133.32</v>
      </c>
      <c r="G171" s="56">
        <f t="shared" si="2"/>
        <v>54361.018451845193</v>
      </c>
      <c r="H171" s="57">
        <v>7247410.9800000004</v>
      </c>
      <c r="I171" s="58"/>
      <c r="J171" s="80"/>
      <c r="K171" s="81"/>
      <c r="L171" s="77"/>
    </row>
    <row r="172" spans="1:12" x14ac:dyDescent="0.2">
      <c r="A172" s="70" t="s">
        <v>317</v>
      </c>
      <c r="B172" s="70"/>
      <c r="C172" s="66"/>
      <c r="D172" s="70"/>
      <c r="E172" s="70"/>
      <c r="F172" s="70"/>
      <c r="G172" s="56"/>
      <c r="H172" s="71"/>
      <c r="I172" s="58"/>
      <c r="J172" s="80"/>
      <c r="K172" s="81"/>
      <c r="L172" s="77"/>
    </row>
    <row r="173" spans="1:12" x14ac:dyDescent="0.2">
      <c r="A173" s="59" t="s">
        <v>412</v>
      </c>
      <c r="B173" s="54" t="s">
        <v>567</v>
      </c>
      <c r="C173" s="66" t="s">
        <v>592</v>
      </c>
      <c r="D173" s="55" t="s">
        <v>593</v>
      </c>
      <c r="E173" s="59" t="s">
        <v>268</v>
      </c>
      <c r="F173" s="60">
        <v>1.1259999999999999</v>
      </c>
      <c r="G173" s="56">
        <f t="shared" si="2"/>
        <v>205544.37833037303</v>
      </c>
      <c r="H173" s="57">
        <v>231442.97</v>
      </c>
      <c r="I173" s="58"/>
      <c r="J173" s="80"/>
      <c r="K173" s="81"/>
      <c r="L173" s="77"/>
    </row>
    <row r="174" spans="1:12" x14ac:dyDescent="0.2">
      <c r="A174" s="59" t="s">
        <v>413</v>
      </c>
      <c r="B174" s="54" t="s">
        <v>594</v>
      </c>
      <c r="C174" s="66"/>
      <c r="D174" s="55" t="s">
        <v>595</v>
      </c>
      <c r="E174" s="59" t="s">
        <v>158</v>
      </c>
      <c r="F174" s="60">
        <v>2</v>
      </c>
      <c r="G174" s="56">
        <f t="shared" si="2"/>
        <v>7412.87</v>
      </c>
      <c r="H174" s="57">
        <v>14825.74</v>
      </c>
      <c r="I174" s="58"/>
      <c r="J174" s="80"/>
      <c r="K174" s="81"/>
      <c r="L174" s="77"/>
    </row>
    <row r="175" spans="1:12" x14ac:dyDescent="0.2">
      <c r="A175" s="59" t="s">
        <v>414</v>
      </c>
      <c r="B175" s="54" t="s">
        <v>596</v>
      </c>
      <c r="C175" s="66"/>
      <c r="D175" s="55" t="s">
        <v>597</v>
      </c>
      <c r="E175" s="59" t="s">
        <v>158</v>
      </c>
      <c r="F175" s="60">
        <v>3</v>
      </c>
      <c r="G175" s="56">
        <f t="shared" si="2"/>
        <v>7129.5566666666664</v>
      </c>
      <c r="H175" s="57">
        <v>21388.67</v>
      </c>
      <c r="I175" s="58"/>
      <c r="J175" s="80"/>
      <c r="K175" s="81"/>
      <c r="L175" s="77"/>
    </row>
    <row r="176" spans="1:12" x14ac:dyDescent="0.2">
      <c r="A176" s="59" t="s">
        <v>415</v>
      </c>
      <c r="B176" s="54" t="s">
        <v>598</v>
      </c>
      <c r="C176" s="66"/>
      <c r="D176" s="55" t="s">
        <v>599</v>
      </c>
      <c r="E176" s="59" t="s">
        <v>158</v>
      </c>
      <c r="F176" s="60">
        <v>3</v>
      </c>
      <c r="G176" s="56">
        <f t="shared" si="2"/>
        <v>7353.4666666666672</v>
      </c>
      <c r="H176" s="57">
        <v>22060.400000000001</v>
      </c>
      <c r="I176" s="58"/>
      <c r="J176" s="80"/>
      <c r="K176" s="81"/>
      <c r="L176" s="77"/>
    </row>
    <row r="177" spans="1:12" x14ac:dyDescent="0.2">
      <c r="A177" s="59" t="s">
        <v>416</v>
      </c>
      <c r="B177" s="54" t="s">
        <v>600</v>
      </c>
      <c r="C177" s="66"/>
      <c r="D177" s="55" t="s">
        <v>601</v>
      </c>
      <c r="E177" s="59" t="s">
        <v>158</v>
      </c>
      <c r="F177" s="60">
        <v>1</v>
      </c>
      <c r="G177" s="56">
        <f t="shared" si="2"/>
        <v>4845.82</v>
      </c>
      <c r="H177" s="57">
        <v>4845.82</v>
      </c>
      <c r="I177" s="58"/>
      <c r="J177" s="80"/>
      <c r="K177" s="81"/>
      <c r="L177" s="77"/>
    </row>
    <row r="178" spans="1:12" x14ac:dyDescent="0.2">
      <c r="A178" s="59" t="s">
        <v>417</v>
      </c>
      <c r="B178" s="54" t="s">
        <v>297</v>
      </c>
      <c r="C178" s="66"/>
      <c r="D178" s="55" t="s">
        <v>298</v>
      </c>
      <c r="E178" s="59" t="s">
        <v>158</v>
      </c>
      <c r="F178" s="60">
        <v>3</v>
      </c>
      <c r="G178" s="56">
        <f t="shared" si="2"/>
        <v>256.46999999999997</v>
      </c>
      <c r="H178" s="57">
        <v>769.41</v>
      </c>
      <c r="I178" s="58"/>
      <c r="J178" s="80"/>
      <c r="K178" s="81"/>
      <c r="L178" s="77"/>
    </row>
    <row r="179" spans="1:12" x14ac:dyDescent="0.2">
      <c r="A179" s="59" t="s">
        <v>418</v>
      </c>
      <c r="B179" s="54" t="s">
        <v>299</v>
      </c>
      <c r="C179" s="66"/>
      <c r="D179" s="55" t="s">
        <v>300</v>
      </c>
      <c r="E179" s="59" t="s">
        <v>158</v>
      </c>
      <c r="F179" s="60">
        <v>3</v>
      </c>
      <c r="G179" s="56">
        <f t="shared" si="2"/>
        <v>4863.6866666666665</v>
      </c>
      <c r="H179" s="57">
        <v>14591.06</v>
      </c>
      <c r="I179" s="58"/>
      <c r="J179" s="80"/>
      <c r="K179" s="81"/>
      <c r="L179" s="77"/>
    </row>
    <row r="180" spans="1:12" x14ac:dyDescent="0.2">
      <c r="A180" s="59" t="s">
        <v>419</v>
      </c>
      <c r="B180" s="54" t="s">
        <v>519</v>
      </c>
      <c r="C180" s="66"/>
      <c r="D180" s="55" t="s">
        <v>520</v>
      </c>
      <c r="E180" s="59" t="s">
        <v>152</v>
      </c>
      <c r="F180" s="60">
        <v>3.9E-2</v>
      </c>
      <c r="G180" s="56">
        <f t="shared" si="2"/>
        <v>101755.1282051282</v>
      </c>
      <c r="H180" s="57">
        <v>3968.45</v>
      </c>
      <c r="I180" s="58"/>
      <c r="J180" s="80"/>
      <c r="K180" s="81"/>
      <c r="L180" s="77"/>
    </row>
    <row r="181" spans="1:12" x14ac:dyDescent="0.2">
      <c r="A181" s="59" t="s">
        <v>420</v>
      </c>
      <c r="B181" s="54" t="s">
        <v>602</v>
      </c>
      <c r="C181" s="66"/>
      <c r="D181" s="55" t="s">
        <v>603</v>
      </c>
      <c r="E181" s="59" t="s">
        <v>152</v>
      </c>
      <c r="F181" s="60">
        <v>2.92E-2</v>
      </c>
      <c r="G181" s="56">
        <f t="shared" si="2"/>
        <v>118369.5205479452</v>
      </c>
      <c r="H181" s="57">
        <v>3456.39</v>
      </c>
      <c r="I181" s="58"/>
      <c r="J181" s="80"/>
      <c r="K181" s="81"/>
      <c r="L181" s="77"/>
    </row>
    <row r="182" spans="1:12" x14ac:dyDescent="0.2">
      <c r="A182" s="59" t="s">
        <v>421</v>
      </c>
      <c r="B182" s="54" t="s">
        <v>519</v>
      </c>
      <c r="C182" s="66"/>
      <c r="D182" s="55" t="s">
        <v>520</v>
      </c>
      <c r="E182" s="59" t="s">
        <v>152</v>
      </c>
      <c r="F182" s="60">
        <v>2.92E-2</v>
      </c>
      <c r="G182" s="56">
        <f t="shared" si="2"/>
        <v>101754.10958904109</v>
      </c>
      <c r="H182" s="57">
        <v>2971.22</v>
      </c>
      <c r="I182" s="58"/>
      <c r="J182" s="80"/>
      <c r="K182" s="81"/>
      <c r="L182" s="77"/>
    </row>
    <row r="183" spans="1:12" x14ac:dyDescent="0.2">
      <c r="A183" s="59" t="s">
        <v>422</v>
      </c>
      <c r="B183" s="54" t="s">
        <v>604</v>
      </c>
      <c r="C183" s="66" t="s">
        <v>605</v>
      </c>
      <c r="D183" s="55" t="s">
        <v>606</v>
      </c>
      <c r="E183" s="59" t="s">
        <v>607</v>
      </c>
      <c r="F183" s="60">
        <v>0.02</v>
      </c>
      <c r="G183" s="56">
        <f t="shared" si="2"/>
        <v>404422.5</v>
      </c>
      <c r="H183" s="57">
        <v>8088.45</v>
      </c>
      <c r="I183" s="58"/>
      <c r="J183" s="80"/>
      <c r="K183" s="81"/>
      <c r="L183" s="77"/>
    </row>
    <row r="184" spans="1:12" x14ac:dyDescent="0.2">
      <c r="A184" s="59" t="s">
        <v>423</v>
      </c>
      <c r="B184" s="54" t="s">
        <v>297</v>
      </c>
      <c r="C184" s="66"/>
      <c r="D184" s="55" t="s">
        <v>298</v>
      </c>
      <c r="E184" s="59" t="s">
        <v>158</v>
      </c>
      <c r="F184" s="60">
        <v>2</v>
      </c>
      <c r="G184" s="56">
        <f t="shared" si="2"/>
        <v>256.47000000000003</v>
      </c>
      <c r="H184" s="57">
        <v>512.94000000000005</v>
      </c>
      <c r="I184" s="58"/>
      <c r="J184" s="80"/>
      <c r="K184" s="81"/>
      <c r="L184" s="77"/>
    </row>
    <row r="185" spans="1:12" x14ac:dyDescent="0.2">
      <c r="A185" s="59" t="s">
        <v>424</v>
      </c>
      <c r="B185" s="54" t="s">
        <v>608</v>
      </c>
      <c r="C185" s="66"/>
      <c r="D185" s="55" t="s">
        <v>609</v>
      </c>
      <c r="E185" s="59" t="s">
        <v>158</v>
      </c>
      <c r="F185" s="60">
        <v>2</v>
      </c>
      <c r="G185" s="56">
        <f t="shared" si="2"/>
        <v>2036.18</v>
      </c>
      <c r="H185" s="57">
        <v>4072.36</v>
      </c>
      <c r="I185" s="58"/>
      <c r="J185" s="80"/>
      <c r="K185" s="81"/>
      <c r="L185" s="77"/>
    </row>
    <row r="186" spans="1:12" x14ac:dyDescent="0.2">
      <c r="A186" s="59" t="s">
        <v>425</v>
      </c>
      <c r="B186" s="54" t="s">
        <v>299</v>
      </c>
      <c r="C186" s="66"/>
      <c r="D186" s="55" t="s">
        <v>300</v>
      </c>
      <c r="E186" s="59" t="s">
        <v>158</v>
      </c>
      <c r="F186" s="60">
        <v>2</v>
      </c>
      <c r="G186" s="56">
        <f t="shared" si="2"/>
        <v>4863.6850000000004</v>
      </c>
      <c r="H186" s="57">
        <v>9727.3700000000008</v>
      </c>
      <c r="I186" s="58"/>
      <c r="J186" s="80"/>
      <c r="K186" s="81"/>
      <c r="L186" s="77"/>
    </row>
    <row r="187" spans="1:12" x14ac:dyDescent="0.2">
      <c r="A187" s="59" t="s">
        <v>426</v>
      </c>
      <c r="B187" s="54" t="s">
        <v>302</v>
      </c>
      <c r="C187" s="66" t="s">
        <v>610</v>
      </c>
      <c r="D187" s="55" t="s">
        <v>303</v>
      </c>
      <c r="E187" s="59" t="s">
        <v>236</v>
      </c>
      <c r="F187" s="60">
        <v>24.5</v>
      </c>
      <c r="G187" s="56">
        <f t="shared" si="2"/>
        <v>12624.484897959184</v>
      </c>
      <c r="H187" s="57">
        <v>309299.88</v>
      </c>
      <c r="I187" s="58"/>
      <c r="J187" s="80"/>
      <c r="K187" s="81"/>
      <c r="L187" s="77"/>
    </row>
    <row r="188" spans="1:12" x14ac:dyDescent="0.2">
      <c r="A188" s="59" t="s">
        <v>427</v>
      </c>
      <c r="B188" s="54" t="s">
        <v>584</v>
      </c>
      <c r="C188" s="66"/>
      <c r="D188" s="55" t="s">
        <v>611</v>
      </c>
      <c r="E188" s="59" t="s">
        <v>312</v>
      </c>
      <c r="F188" s="60">
        <v>3</v>
      </c>
      <c r="G188" s="56">
        <f t="shared" si="2"/>
        <v>28181.179999999997</v>
      </c>
      <c r="H188" s="57">
        <v>84543.54</v>
      </c>
      <c r="I188" s="58"/>
      <c r="J188" s="80"/>
      <c r="K188" s="81"/>
      <c r="L188" s="77"/>
    </row>
    <row r="189" spans="1:12" x14ac:dyDescent="0.2">
      <c r="A189" s="59" t="s">
        <v>428</v>
      </c>
      <c r="B189" s="54" t="s">
        <v>612</v>
      </c>
      <c r="C189" s="66"/>
      <c r="D189" s="55" t="s">
        <v>613</v>
      </c>
      <c r="E189" s="59" t="s">
        <v>158</v>
      </c>
      <c r="F189" s="60">
        <v>6</v>
      </c>
      <c r="G189" s="56">
        <f t="shared" si="2"/>
        <v>44288.4</v>
      </c>
      <c r="H189" s="57">
        <v>265730.40000000002</v>
      </c>
      <c r="I189" s="58"/>
      <c r="J189" s="80"/>
      <c r="K189" s="81"/>
      <c r="L189" s="77"/>
    </row>
    <row r="190" spans="1:12" x14ac:dyDescent="0.2">
      <c r="A190" s="59" t="s">
        <v>429</v>
      </c>
      <c r="B190" s="54" t="s">
        <v>220</v>
      </c>
      <c r="C190" s="66" t="s">
        <v>614</v>
      </c>
      <c r="D190" s="55" t="s">
        <v>221</v>
      </c>
      <c r="E190" s="59" t="s">
        <v>160</v>
      </c>
      <c r="F190" s="60">
        <v>0.73</v>
      </c>
      <c r="G190" s="56">
        <f t="shared" si="2"/>
        <v>34195.753424657538</v>
      </c>
      <c r="H190" s="57">
        <v>24962.9</v>
      </c>
      <c r="I190" s="58"/>
      <c r="J190" s="80"/>
      <c r="K190" s="81"/>
      <c r="L190" s="77"/>
    </row>
    <row r="191" spans="1:12" x14ac:dyDescent="0.2">
      <c r="A191" s="59" t="s">
        <v>430</v>
      </c>
      <c r="B191" s="54" t="s">
        <v>301</v>
      </c>
      <c r="C191" s="66"/>
      <c r="D191" s="55" t="s">
        <v>333</v>
      </c>
      <c r="E191" s="59" t="s">
        <v>152</v>
      </c>
      <c r="F191" s="60">
        <v>0.17519999999999999</v>
      </c>
      <c r="G191" s="56">
        <f t="shared" si="2"/>
        <v>176237.38584474887</v>
      </c>
      <c r="H191" s="57">
        <v>30876.79</v>
      </c>
      <c r="I191" s="58"/>
      <c r="J191" s="80"/>
      <c r="K191" s="81"/>
      <c r="L191" s="77"/>
    </row>
    <row r="192" spans="1:12" x14ac:dyDescent="0.2">
      <c r="A192" s="59" t="s">
        <v>431</v>
      </c>
      <c r="B192" s="54" t="s">
        <v>223</v>
      </c>
      <c r="C192" s="66"/>
      <c r="D192" s="55" t="s">
        <v>224</v>
      </c>
      <c r="E192" s="59" t="s">
        <v>152</v>
      </c>
      <c r="F192" s="60">
        <v>2.5499999999999998E-2</v>
      </c>
      <c r="G192" s="56">
        <f t="shared" si="2"/>
        <v>96985.490196078448</v>
      </c>
      <c r="H192" s="57">
        <v>2473.13</v>
      </c>
      <c r="I192" s="58"/>
      <c r="J192" s="80"/>
      <c r="K192" s="81"/>
      <c r="L192" s="77"/>
    </row>
    <row r="193" spans="1:12" s="53" customFormat="1" x14ac:dyDescent="0.2">
      <c r="A193" s="52" t="s">
        <v>615</v>
      </c>
      <c r="B193" s="52"/>
      <c r="C193" s="67"/>
      <c r="D193" s="52"/>
      <c r="E193" s="52"/>
      <c r="F193" s="52"/>
      <c r="G193" s="82"/>
      <c r="H193" s="64"/>
      <c r="I193" s="65"/>
      <c r="J193" s="83"/>
      <c r="K193" s="84"/>
      <c r="L193" s="63"/>
    </row>
    <row r="194" spans="1:12" s="53" customFormat="1" x14ac:dyDescent="0.2">
      <c r="A194" s="52" t="s">
        <v>239</v>
      </c>
      <c r="B194" s="52"/>
      <c r="C194" s="67"/>
      <c r="D194" s="52"/>
      <c r="E194" s="52"/>
      <c r="F194" s="52"/>
      <c r="G194" s="82"/>
      <c r="H194" s="64"/>
      <c r="I194" s="65"/>
      <c r="J194" s="83"/>
      <c r="K194" s="84"/>
      <c r="L194" s="63"/>
    </row>
    <row r="195" spans="1:12" x14ac:dyDescent="0.2">
      <c r="A195" s="59" t="s">
        <v>432</v>
      </c>
      <c r="B195" s="54" t="s">
        <v>256</v>
      </c>
      <c r="C195" s="66" t="s">
        <v>616</v>
      </c>
      <c r="D195" s="55" t="s">
        <v>257</v>
      </c>
      <c r="E195" s="59" t="s">
        <v>110</v>
      </c>
      <c r="F195" s="60">
        <v>4.4159999999999998E-2</v>
      </c>
      <c r="G195" s="56">
        <f t="shared" si="2"/>
        <v>93088.994565217406</v>
      </c>
      <c r="H195" s="57">
        <v>4110.8100000000004</v>
      </c>
      <c r="I195" s="180"/>
      <c r="J195" s="181"/>
      <c r="K195" s="182"/>
      <c r="L195" s="77"/>
    </row>
    <row r="196" spans="1:12" x14ac:dyDescent="0.2">
      <c r="A196" s="59" t="s">
        <v>433</v>
      </c>
      <c r="B196" s="54" t="s">
        <v>308</v>
      </c>
      <c r="C196" s="66" t="s">
        <v>617</v>
      </c>
      <c r="D196" s="55" t="s">
        <v>309</v>
      </c>
      <c r="E196" s="59" t="s">
        <v>110</v>
      </c>
      <c r="F196" s="60">
        <v>0.17244000000000001</v>
      </c>
      <c r="G196" s="56">
        <f t="shared" si="2"/>
        <v>149458.9422407794</v>
      </c>
      <c r="H196" s="57">
        <v>25772.7</v>
      </c>
      <c r="I196" s="69">
        <f>157.73/1000</f>
        <v>0.15772999999999998</v>
      </c>
      <c r="J196" s="179">
        <f t="shared" ref="J196:J198" si="3">I196</f>
        <v>0.15772999999999998</v>
      </c>
      <c r="K196" s="183">
        <f t="shared" ref="K196:K201" si="4">G196*J196</f>
        <v>23574.158959638131</v>
      </c>
      <c r="L196" s="77"/>
    </row>
    <row r="197" spans="1:12" x14ac:dyDescent="0.2">
      <c r="A197" s="59" t="s">
        <v>434</v>
      </c>
      <c r="B197" s="54" t="s">
        <v>259</v>
      </c>
      <c r="C197" s="66" t="s">
        <v>618</v>
      </c>
      <c r="D197" s="55" t="s">
        <v>310</v>
      </c>
      <c r="E197" s="59" t="s">
        <v>107</v>
      </c>
      <c r="F197" s="60">
        <v>6.7000000000000004E-2</v>
      </c>
      <c r="G197" s="56">
        <f t="shared" ref="G197:G229" si="5">H197/F197</f>
        <v>190316.26865671642</v>
      </c>
      <c r="H197" s="57">
        <v>12751.19</v>
      </c>
      <c r="I197" s="69">
        <f>4.88/100</f>
        <v>4.8799999999999996E-2</v>
      </c>
      <c r="J197" s="179">
        <f t="shared" si="3"/>
        <v>4.8799999999999996E-2</v>
      </c>
      <c r="K197" s="183">
        <f t="shared" si="4"/>
        <v>9287.4339104477604</v>
      </c>
      <c r="L197" s="77"/>
    </row>
    <row r="198" spans="1:12" x14ac:dyDescent="0.2">
      <c r="A198" s="59" t="s">
        <v>435</v>
      </c>
      <c r="B198" s="54" t="s">
        <v>260</v>
      </c>
      <c r="C198" s="66" t="s">
        <v>619</v>
      </c>
      <c r="D198" s="55" t="s">
        <v>241</v>
      </c>
      <c r="E198" s="59" t="s">
        <v>110</v>
      </c>
      <c r="F198" s="60">
        <v>0.20601</v>
      </c>
      <c r="G198" s="56">
        <f t="shared" si="5"/>
        <v>17011.989709237416</v>
      </c>
      <c r="H198" s="57">
        <v>3504.64</v>
      </c>
      <c r="I198" s="69">
        <f>141.34/1000</f>
        <v>0.14133999999999999</v>
      </c>
      <c r="J198" s="179">
        <f t="shared" si="3"/>
        <v>0.14133999999999999</v>
      </c>
      <c r="K198" s="183">
        <f t="shared" si="4"/>
        <v>2404.4746255036162</v>
      </c>
      <c r="L198" s="77"/>
    </row>
    <row r="199" spans="1:12" x14ac:dyDescent="0.2">
      <c r="A199" s="59" t="s">
        <v>436</v>
      </c>
      <c r="B199" s="54" t="s">
        <v>139</v>
      </c>
      <c r="C199" s="66"/>
      <c r="D199" s="55" t="s">
        <v>142</v>
      </c>
      <c r="E199" s="59" t="s">
        <v>120</v>
      </c>
      <c r="F199" s="60">
        <v>170.72</v>
      </c>
      <c r="G199" s="56">
        <f t="shared" si="5"/>
        <v>825.62693298969077</v>
      </c>
      <c r="H199" s="57">
        <v>140951.03</v>
      </c>
      <c r="I199" s="69">
        <f>141.34*1.1</f>
        <v>155.47400000000002</v>
      </c>
      <c r="J199" s="179">
        <f>I199</f>
        <v>155.47400000000002</v>
      </c>
      <c r="K199" s="183">
        <f t="shared" si="4"/>
        <v>128363.5217796392</v>
      </c>
      <c r="L199" s="77"/>
    </row>
    <row r="200" spans="1:12" x14ac:dyDescent="0.2">
      <c r="A200" s="59" t="s">
        <v>437</v>
      </c>
      <c r="B200" s="54" t="s">
        <v>118</v>
      </c>
      <c r="C200" s="66"/>
      <c r="D200" s="55" t="s">
        <v>119</v>
      </c>
      <c r="E200" s="59" t="s">
        <v>120</v>
      </c>
      <c r="F200" s="60">
        <v>172.44</v>
      </c>
      <c r="G200" s="56">
        <f t="shared" si="5"/>
        <v>1325.0209348179076</v>
      </c>
      <c r="H200" s="57">
        <v>228486.61</v>
      </c>
      <c r="I200" s="69"/>
      <c r="J200" s="179">
        <f>J196*1000+J197*100</f>
        <v>162.60999999999999</v>
      </c>
      <c r="K200" s="183">
        <f t="shared" si="4"/>
        <v>215461.65421073994</v>
      </c>
      <c r="L200" s="77"/>
    </row>
    <row r="201" spans="1:12" s="53" customFormat="1" x14ac:dyDescent="0.2">
      <c r="A201" s="52" t="s">
        <v>311</v>
      </c>
      <c r="B201" s="52"/>
      <c r="C201" s="67"/>
      <c r="D201" s="52"/>
      <c r="E201" s="52"/>
      <c r="F201" s="52"/>
      <c r="G201" s="82"/>
      <c r="H201" s="64"/>
      <c r="I201" s="68"/>
      <c r="J201" s="184"/>
      <c r="K201" s="183">
        <f t="shared" si="4"/>
        <v>0</v>
      </c>
      <c r="L201" s="63"/>
    </row>
    <row r="202" spans="1:12" x14ac:dyDescent="0.2">
      <c r="A202" s="59" t="s">
        <v>438</v>
      </c>
      <c r="B202" s="54" t="s">
        <v>620</v>
      </c>
      <c r="C202" s="66" t="s">
        <v>621</v>
      </c>
      <c r="D202" s="55" t="s">
        <v>622</v>
      </c>
      <c r="E202" s="59" t="s">
        <v>105</v>
      </c>
      <c r="F202" s="60">
        <v>0.06</v>
      </c>
      <c r="G202" s="56">
        <f t="shared" si="5"/>
        <v>346451.83333333337</v>
      </c>
      <c r="H202" s="57">
        <v>20787.11</v>
      </c>
      <c r="I202" s="185">
        <f>8/100</f>
        <v>0.08</v>
      </c>
      <c r="J202" s="179">
        <f>F202</f>
        <v>0.06</v>
      </c>
      <c r="K202" s="183">
        <f>G202*J202</f>
        <v>20787.11</v>
      </c>
      <c r="L202" s="77"/>
    </row>
    <row r="203" spans="1:12" x14ac:dyDescent="0.2">
      <c r="A203" s="59" t="s">
        <v>439</v>
      </c>
      <c r="B203" s="54" t="s">
        <v>623</v>
      </c>
      <c r="C203" s="66"/>
      <c r="D203" s="55" t="s">
        <v>624</v>
      </c>
      <c r="E203" s="59" t="s">
        <v>236</v>
      </c>
      <c r="F203" s="60">
        <v>6.06</v>
      </c>
      <c r="G203" s="56">
        <f t="shared" si="5"/>
        <v>15398.74092409241</v>
      </c>
      <c r="H203" s="57">
        <v>93316.37</v>
      </c>
      <c r="I203" s="185">
        <v>8</v>
      </c>
      <c r="J203" s="179">
        <f t="shared" ref="J203:J208" si="6">F203</f>
        <v>6.06</v>
      </c>
      <c r="K203" s="183">
        <f t="shared" ref="K203:K229" si="7">G203*J203</f>
        <v>93316.37</v>
      </c>
      <c r="L203" s="77"/>
    </row>
    <row r="204" spans="1:12" x14ac:dyDescent="0.2">
      <c r="A204" s="59" t="s">
        <v>442</v>
      </c>
      <c r="B204" s="54" t="s">
        <v>625</v>
      </c>
      <c r="C204" s="66" t="s">
        <v>626</v>
      </c>
      <c r="D204" s="55" t="s">
        <v>627</v>
      </c>
      <c r="E204" s="59" t="s">
        <v>273</v>
      </c>
      <c r="F204" s="60">
        <v>6.0000000000000001E-3</v>
      </c>
      <c r="G204" s="56">
        <f t="shared" si="5"/>
        <v>2391221.6666666665</v>
      </c>
      <c r="H204" s="57">
        <v>14347.33</v>
      </c>
      <c r="I204" s="69"/>
      <c r="J204" s="179">
        <f t="shared" si="6"/>
        <v>6.0000000000000001E-3</v>
      </c>
      <c r="K204" s="183">
        <f t="shared" si="7"/>
        <v>14347.33</v>
      </c>
      <c r="L204" s="77"/>
    </row>
    <row r="205" spans="1:12" x14ac:dyDescent="0.2">
      <c r="A205" s="59" t="s">
        <v>443</v>
      </c>
      <c r="B205" s="54" t="s">
        <v>274</v>
      </c>
      <c r="C205" s="66"/>
      <c r="D205" s="55" t="s">
        <v>275</v>
      </c>
      <c r="E205" s="59" t="s">
        <v>152</v>
      </c>
      <c r="F205" s="60">
        <v>0.1464</v>
      </c>
      <c r="G205" s="56">
        <f t="shared" si="5"/>
        <v>358896.17486338801</v>
      </c>
      <c r="H205" s="57">
        <v>52542.400000000001</v>
      </c>
      <c r="I205" s="69"/>
      <c r="J205" s="179">
        <f t="shared" si="6"/>
        <v>0.1464</v>
      </c>
      <c r="K205" s="183">
        <f t="shared" si="7"/>
        <v>52542.400000000001</v>
      </c>
      <c r="L205" s="77"/>
    </row>
    <row r="206" spans="1:12" x14ac:dyDescent="0.2">
      <c r="A206" s="59" t="s">
        <v>444</v>
      </c>
      <c r="B206" s="54" t="s">
        <v>628</v>
      </c>
      <c r="C206" s="66" t="s">
        <v>621</v>
      </c>
      <c r="D206" s="55" t="s">
        <v>629</v>
      </c>
      <c r="E206" s="59" t="s">
        <v>278</v>
      </c>
      <c r="F206" s="60">
        <v>0.06</v>
      </c>
      <c r="G206" s="56">
        <f t="shared" si="5"/>
        <v>209697</v>
      </c>
      <c r="H206" s="57">
        <v>12581.82</v>
      </c>
      <c r="I206" s="69"/>
      <c r="J206" s="179">
        <f t="shared" si="6"/>
        <v>0.06</v>
      </c>
      <c r="K206" s="183">
        <f t="shared" si="7"/>
        <v>12581.82</v>
      </c>
      <c r="L206" s="77"/>
    </row>
    <row r="207" spans="1:12" x14ac:dyDescent="0.2">
      <c r="A207" s="59" t="s">
        <v>445</v>
      </c>
      <c r="B207" s="54" t="s">
        <v>630</v>
      </c>
      <c r="C207" s="66"/>
      <c r="D207" s="55" t="s">
        <v>631</v>
      </c>
      <c r="E207" s="59" t="s">
        <v>158</v>
      </c>
      <c r="F207" s="60">
        <v>2</v>
      </c>
      <c r="G207" s="56">
        <f t="shared" si="5"/>
        <v>230.44</v>
      </c>
      <c r="H207" s="57">
        <v>460.88</v>
      </c>
      <c r="I207" s="185">
        <v>4</v>
      </c>
      <c r="J207" s="179">
        <f t="shared" si="6"/>
        <v>2</v>
      </c>
      <c r="K207" s="183">
        <f t="shared" si="7"/>
        <v>460.88</v>
      </c>
      <c r="L207" s="77"/>
    </row>
    <row r="208" spans="1:12" x14ac:dyDescent="0.2">
      <c r="A208" s="59" t="s">
        <v>446</v>
      </c>
      <c r="B208" s="54" t="s">
        <v>632</v>
      </c>
      <c r="C208" s="66"/>
      <c r="D208" s="55" t="s">
        <v>633</v>
      </c>
      <c r="E208" s="59" t="s">
        <v>312</v>
      </c>
      <c r="F208" s="60">
        <v>1</v>
      </c>
      <c r="G208" s="56">
        <f t="shared" si="5"/>
        <v>17293.810000000001</v>
      </c>
      <c r="H208" s="57">
        <v>17293.810000000001</v>
      </c>
      <c r="I208" s="69"/>
      <c r="J208" s="179">
        <f t="shared" si="6"/>
        <v>1</v>
      </c>
      <c r="K208" s="183">
        <f t="shared" si="7"/>
        <v>17293.810000000001</v>
      </c>
      <c r="L208" s="77"/>
    </row>
    <row r="209" spans="1:12" s="53" customFormat="1" x14ac:dyDescent="0.2">
      <c r="A209" s="52" t="s">
        <v>313</v>
      </c>
      <c r="B209" s="52"/>
      <c r="C209" s="67"/>
      <c r="D209" s="52"/>
      <c r="E209" s="52"/>
      <c r="F209" s="52"/>
      <c r="G209" s="82"/>
      <c r="H209" s="64"/>
      <c r="I209" s="68"/>
      <c r="J209" s="184"/>
      <c r="K209" s="183">
        <f t="shared" si="7"/>
        <v>0</v>
      </c>
      <c r="L209" s="63"/>
    </row>
    <row r="210" spans="1:12" x14ac:dyDescent="0.2">
      <c r="A210" s="59" t="s">
        <v>447</v>
      </c>
      <c r="B210" s="54" t="s">
        <v>266</v>
      </c>
      <c r="C210" s="66" t="s">
        <v>634</v>
      </c>
      <c r="D210" s="55" t="s">
        <v>267</v>
      </c>
      <c r="E210" s="59" t="s">
        <v>268</v>
      </c>
      <c r="F210" s="60">
        <v>0.75800000000000001</v>
      </c>
      <c r="G210" s="56">
        <f t="shared" si="5"/>
        <v>14730.092348284959</v>
      </c>
      <c r="H210" s="57">
        <v>11165.41</v>
      </c>
      <c r="I210" s="69">
        <v>0.52</v>
      </c>
      <c r="J210" s="179">
        <f>I210</f>
        <v>0.52</v>
      </c>
      <c r="K210" s="183">
        <f t="shared" si="7"/>
        <v>7659.6480211081789</v>
      </c>
      <c r="L210" s="77"/>
    </row>
    <row r="211" spans="1:12" x14ac:dyDescent="0.2">
      <c r="A211" s="59" t="s">
        <v>448</v>
      </c>
      <c r="B211" s="54" t="s">
        <v>139</v>
      </c>
      <c r="C211" s="66"/>
      <c r="D211" s="55" t="s">
        <v>142</v>
      </c>
      <c r="E211" s="59" t="s">
        <v>120</v>
      </c>
      <c r="F211" s="60">
        <v>8.34</v>
      </c>
      <c r="G211" s="56">
        <f t="shared" si="5"/>
        <v>825.62709832134294</v>
      </c>
      <c r="H211" s="57">
        <v>6885.73</v>
      </c>
      <c r="I211" s="69">
        <f>I210*10*1.1</f>
        <v>5.7200000000000006</v>
      </c>
      <c r="J211" s="179">
        <f>I211</f>
        <v>5.7200000000000006</v>
      </c>
      <c r="K211" s="183">
        <f t="shared" si="7"/>
        <v>4722.5870023980824</v>
      </c>
      <c r="L211" s="77"/>
    </row>
    <row r="212" spans="1:12" x14ac:dyDescent="0.2">
      <c r="A212" s="59" t="s">
        <v>449</v>
      </c>
      <c r="B212" s="54" t="s">
        <v>635</v>
      </c>
      <c r="C212" s="66" t="s">
        <v>334</v>
      </c>
      <c r="D212" s="55" t="s">
        <v>636</v>
      </c>
      <c r="E212" s="59" t="s">
        <v>105</v>
      </c>
      <c r="F212" s="60">
        <v>0.31</v>
      </c>
      <c r="G212" s="56">
        <f t="shared" si="5"/>
        <v>303888.58064516133</v>
      </c>
      <c r="H212" s="57">
        <v>94205.46</v>
      </c>
      <c r="I212" s="69">
        <f>30.3/100</f>
        <v>0.30299999999999999</v>
      </c>
      <c r="J212" s="179">
        <f>I212</f>
        <v>0.30299999999999999</v>
      </c>
      <c r="K212" s="183">
        <f t="shared" si="7"/>
        <v>92078.239935483885</v>
      </c>
      <c r="L212" s="77"/>
    </row>
    <row r="213" spans="1:12" x14ac:dyDescent="0.2">
      <c r="A213" s="59" t="s">
        <v>450</v>
      </c>
      <c r="B213" s="54" t="s">
        <v>637</v>
      </c>
      <c r="C213" s="66"/>
      <c r="D213" s="55" t="s">
        <v>638</v>
      </c>
      <c r="E213" s="59" t="s">
        <v>236</v>
      </c>
      <c r="F213" s="60">
        <v>31.31</v>
      </c>
      <c r="G213" s="56">
        <f t="shared" si="5"/>
        <v>10177.784733312041</v>
      </c>
      <c r="H213" s="57">
        <v>318666.44</v>
      </c>
      <c r="I213" s="69">
        <v>30.3</v>
      </c>
      <c r="J213" s="179">
        <f>I213</f>
        <v>30.3</v>
      </c>
      <c r="K213" s="183">
        <f t="shared" si="7"/>
        <v>308386.87741935486</v>
      </c>
      <c r="L213" s="77"/>
    </row>
    <row r="214" spans="1:12" x14ac:dyDescent="0.2">
      <c r="A214" s="52" t="s">
        <v>317</v>
      </c>
      <c r="B214" s="70"/>
      <c r="C214" s="66"/>
      <c r="D214" s="70"/>
      <c r="E214" s="70"/>
      <c r="F214" s="70"/>
      <c r="G214" s="56"/>
      <c r="H214" s="71"/>
      <c r="I214" s="58"/>
      <c r="J214" s="80"/>
      <c r="K214" s="81">
        <f t="shared" si="7"/>
        <v>0</v>
      </c>
      <c r="L214" s="77"/>
    </row>
    <row r="215" spans="1:12" x14ac:dyDescent="0.2">
      <c r="A215" s="59" t="s">
        <v>451</v>
      </c>
      <c r="B215" s="54" t="s">
        <v>602</v>
      </c>
      <c r="C215" s="66"/>
      <c r="D215" s="55" t="s">
        <v>603</v>
      </c>
      <c r="E215" s="59" t="s">
        <v>152</v>
      </c>
      <c r="F215" s="60">
        <v>1.95E-2</v>
      </c>
      <c r="G215" s="56">
        <f t="shared" si="5"/>
        <v>118360</v>
      </c>
      <c r="H215" s="57">
        <v>2308.02</v>
      </c>
      <c r="I215" s="58"/>
      <c r="J215" s="80"/>
      <c r="K215" s="81">
        <f t="shared" si="7"/>
        <v>0</v>
      </c>
      <c r="L215" s="77"/>
    </row>
    <row r="216" spans="1:12" x14ac:dyDescent="0.2">
      <c r="A216" s="59" t="s">
        <v>452</v>
      </c>
      <c r="B216" s="54" t="s">
        <v>519</v>
      </c>
      <c r="C216" s="66"/>
      <c r="D216" s="55" t="s">
        <v>520</v>
      </c>
      <c r="E216" s="59" t="s">
        <v>152</v>
      </c>
      <c r="F216" s="60">
        <v>1.95E-2</v>
      </c>
      <c r="G216" s="56">
        <f t="shared" si="5"/>
        <v>101757.43589743589</v>
      </c>
      <c r="H216" s="57">
        <v>1984.27</v>
      </c>
      <c r="I216" s="58"/>
      <c r="J216" s="80"/>
      <c r="K216" s="81">
        <f t="shared" si="7"/>
        <v>0</v>
      </c>
      <c r="L216" s="77"/>
    </row>
    <row r="217" spans="1:12" x14ac:dyDescent="0.2">
      <c r="A217" s="59" t="s">
        <v>639</v>
      </c>
      <c r="B217" s="54" t="s">
        <v>604</v>
      </c>
      <c r="C217" s="66" t="s">
        <v>605</v>
      </c>
      <c r="D217" s="55" t="s">
        <v>606</v>
      </c>
      <c r="E217" s="59" t="s">
        <v>607</v>
      </c>
      <c r="F217" s="60">
        <v>0.02</v>
      </c>
      <c r="G217" s="56">
        <f t="shared" si="5"/>
        <v>404422.5</v>
      </c>
      <c r="H217" s="57">
        <v>8088.45</v>
      </c>
      <c r="I217" s="58"/>
      <c r="J217" s="80"/>
      <c r="K217" s="81">
        <f t="shared" si="7"/>
        <v>0</v>
      </c>
      <c r="L217" s="77"/>
    </row>
    <row r="218" spans="1:12" x14ac:dyDescent="0.2">
      <c r="A218" s="59" t="s">
        <v>640</v>
      </c>
      <c r="B218" s="54" t="s">
        <v>297</v>
      </c>
      <c r="C218" s="66"/>
      <c r="D218" s="55" t="s">
        <v>298</v>
      </c>
      <c r="E218" s="59" t="s">
        <v>158</v>
      </c>
      <c r="F218" s="60">
        <v>2</v>
      </c>
      <c r="G218" s="56">
        <f t="shared" si="5"/>
        <v>256.47000000000003</v>
      </c>
      <c r="H218" s="57">
        <v>512.94000000000005</v>
      </c>
      <c r="I218" s="58"/>
      <c r="J218" s="80"/>
      <c r="K218" s="81">
        <f t="shared" si="7"/>
        <v>0</v>
      </c>
      <c r="L218" s="77"/>
    </row>
    <row r="219" spans="1:12" x14ac:dyDescent="0.2">
      <c r="A219" s="59" t="s">
        <v>641</v>
      </c>
      <c r="B219" s="54" t="s">
        <v>604</v>
      </c>
      <c r="C219" s="66" t="s">
        <v>605</v>
      </c>
      <c r="D219" s="55" t="s">
        <v>642</v>
      </c>
      <c r="E219" s="59" t="s">
        <v>607</v>
      </c>
      <c r="F219" s="60">
        <v>0.02</v>
      </c>
      <c r="G219" s="56">
        <f t="shared" si="5"/>
        <v>404422.5</v>
      </c>
      <c r="H219" s="57">
        <v>8088.45</v>
      </c>
      <c r="I219" s="58"/>
      <c r="J219" s="80"/>
      <c r="K219" s="81">
        <f t="shared" si="7"/>
        <v>0</v>
      </c>
      <c r="L219" s="77"/>
    </row>
    <row r="220" spans="1:12" x14ac:dyDescent="0.2">
      <c r="A220" s="59" t="s">
        <v>643</v>
      </c>
      <c r="B220" s="54" t="s">
        <v>596</v>
      </c>
      <c r="C220" s="66"/>
      <c r="D220" s="55" t="s">
        <v>597</v>
      </c>
      <c r="E220" s="59" t="s">
        <v>158</v>
      </c>
      <c r="F220" s="60">
        <v>1</v>
      </c>
      <c r="G220" s="56">
        <f t="shared" si="5"/>
        <v>7129.56</v>
      </c>
      <c r="H220" s="57">
        <v>7129.56</v>
      </c>
      <c r="I220" s="58"/>
      <c r="J220" s="80"/>
      <c r="K220" s="81">
        <f t="shared" si="7"/>
        <v>0</v>
      </c>
      <c r="L220" s="77"/>
    </row>
    <row r="221" spans="1:12" x14ac:dyDescent="0.2">
      <c r="A221" s="59" t="s">
        <v>644</v>
      </c>
      <c r="B221" s="54" t="s">
        <v>645</v>
      </c>
      <c r="C221" s="66"/>
      <c r="D221" s="55" t="s">
        <v>646</v>
      </c>
      <c r="E221" s="59" t="s">
        <v>158</v>
      </c>
      <c r="F221" s="60">
        <v>1</v>
      </c>
      <c r="G221" s="56">
        <f t="shared" si="5"/>
        <v>975.12</v>
      </c>
      <c r="H221" s="57">
        <v>975.12</v>
      </c>
      <c r="I221" s="58"/>
      <c r="J221" s="80"/>
      <c r="K221" s="81">
        <f t="shared" si="7"/>
        <v>0</v>
      </c>
      <c r="L221" s="77"/>
    </row>
    <row r="222" spans="1:12" x14ac:dyDescent="0.2">
      <c r="A222" s="59" t="s">
        <v>647</v>
      </c>
      <c r="B222" s="54" t="s">
        <v>608</v>
      </c>
      <c r="C222" s="66"/>
      <c r="D222" s="55" t="s">
        <v>609</v>
      </c>
      <c r="E222" s="59" t="s">
        <v>158</v>
      </c>
      <c r="F222" s="60">
        <v>2</v>
      </c>
      <c r="G222" s="56">
        <f t="shared" si="5"/>
        <v>2036.18</v>
      </c>
      <c r="H222" s="57">
        <v>4072.36</v>
      </c>
      <c r="I222" s="58"/>
      <c r="J222" s="80"/>
      <c r="K222" s="81">
        <f t="shared" si="7"/>
        <v>0</v>
      </c>
      <c r="L222" s="77"/>
    </row>
    <row r="223" spans="1:12" x14ac:dyDescent="0.2">
      <c r="A223" s="59" t="s">
        <v>648</v>
      </c>
      <c r="B223" s="54" t="s">
        <v>299</v>
      </c>
      <c r="C223" s="66"/>
      <c r="D223" s="55" t="s">
        <v>300</v>
      </c>
      <c r="E223" s="59" t="s">
        <v>158</v>
      </c>
      <c r="F223" s="60">
        <v>2</v>
      </c>
      <c r="G223" s="56">
        <f t="shared" si="5"/>
        <v>4863.6850000000004</v>
      </c>
      <c r="H223" s="57">
        <v>9727.3700000000008</v>
      </c>
      <c r="I223" s="58"/>
      <c r="J223" s="80"/>
      <c r="K223" s="81">
        <f t="shared" si="7"/>
        <v>0</v>
      </c>
      <c r="L223" s="77"/>
    </row>
    <row r="224" spans="1:12" x14ac:dyDescent="0.2">
      <c r="A224" s="59" t="s">
        <v>649</v>
      </c>
      <c r="B224" s="54" t="s">
        <v>302</v>
      </c>
      <c r="C224" s="66" t="s">
        <v>467</v>
      </c>
      <c r="D224" s="55" t="s">
        <v>303</v>
      </c>
      <c r="E224" s="59" t="s">
        <v>236</v>
      </c>
      <c r="F224" s="60">
        <v>4.2</v>
      </c>
      <c r="G224" s="56">
        <f t="shared" si="5"/>
        <v>12624.65</v>
      </c>
      <c r="H224" s="57">
        <v>53023.53</v>
      </c>
      <c r="I224" s="58"/>
      <c r="J224" s="80"/>
      <c r="K224" s="81">
        <f t="shared" si="7"/>
        <v>0</v>
      </c>
      <c r="L224" s="77"/>
    </row>
    <row r="225" spans="1:12" x14ac:dyDescent="0.2">
      <c r="A225" s="59" t="s">
        <v>650</v>
      </c>
      <c r="B225" s="54" t="s">
        <v>651</v>
      </c>
      <c r="C225" s="66"/>
      <c r="D225" s="55" t="s">
        <v>652</v>
      </c>
      <c r="E225" s="59" t="s">
        <v>312</v>
      </c>
      <c r="F225" s="60">
        <v>1</v>
      </c>
      <c r="G225" s="56">
        <f t="shared" si="5"/>
        <v>12209.45</v>
      </c>
      <c r="H225" s="57">
        <v>12209.45</v>
      </c>
      <c r="I225" s="58"/>
      <c r="J225" s="80"/>
      <c r="K225" s="81">
        <f t="shared" si="7"/>
        <v>0</v>
      </c>
      <c r="L225" s="77"/>
    </row>
    <row r="226" spans="1:12" x14ac:dyDescent="0.2">
      <c r="A226" s="59" t="s">
        <v>653</v>
      </c>
      <c r="B226" s="54" t="s">
        <v>469</v>
      </c>
      <c r="C226" s="66"/>
      <c r="D226" s="55" t="s">
        <v>470</v>
      </c>
      <c r="E226" s="59" t="s">
        <v>158</v>
      </c>
      <c r="F226" s="60">
        <v>2</v>
      </c>
      <c r="G226" s="56">
        <f t="shared" si="5"/>
        <v>11705.844999999999</v>
      </c>
      <c r="H226" s="57">
        <v>23411.69</v>
      </c>
      <c r="I226" s="58"/>
      <c r="J226" s="80"/>
      <c r="K226" s="81">
        <f t="shared" si="7"/>
        <v>0</v>
      </c>
      <c r="L226" s="77"/>
    </row>
    <row r="227" spans="1:12" x14ac:dyDescent="0.2">
      <c r="A227" s="59" t="s">
        <v>654</v>
      </c>
      <c r="B227" s="54" t="s">
        <v>220</v>
      </c>
      <c r="C227" s="66" t="s">
        <v>655</v>
      </c>
      <c r="D227" s="55" t="s">
        <v>221</v>
      </c>
      <c r="E227" s="59" t="s">
        <v>160</v>
      </c>
      <c r="F227" s="60">
        <v>0.18</v>
      </c>
      <c r="G227" s="56">
        <f t="shared" si="5"/>
        <v>34194.166666666664</v>
      </c>
      <c r="H227" s="57">
        <v>6154.95</v>
      </c>
      <c r="I227" s="58"/>
      <c r="J227" s="80"/>
      <c r="K227" s="81">
        <f t="shared" si="7"/>
        <v>0</v>
      </c>
      <c r="L227" s="77"/>
    </row>
    <row r="228" spans="1:12" x14ac:dyDescent="0.2">
      <c r="A228" s="59" t="s">
        <v>656</v>
      </c>
      <c r="B228" s="54" t="s">
        <v>301</v>
      </c>
      <c r="C228" s="66"/>
      <c r="D228" s="55" t="s">
        <v>333</v>
      </c>
      <c r="E228" s="59" t="s">
        <v>152</v>
      </c>
      <c r="F228" s="60">
        <v>4.3200000000000002E-2</v>
      </c>
      <c r="G228" s="56">
        <f t="shared" si="5"/>
        <v>176237.03703703702</v>
      </c>
      <c r="H228" s="57">
        <v>7613.44</v>
      </c>
      <c r="I228" s="58"/>
      <c r="J228" s="80"/>
      <c r="K228" s="81">
        <f t="shared" si="7"/>
        <v>0</v>
      </c>
      <c r="L228" s="77"/>
    </row>
    <row r="229" spans="1:12" x14ac:dyDescent="0.2">
      <c r="A229" s="59" t="s">
        <v>657</v>
      </c>
      <c r="B229" s="54" t="s">
        <v>223</v>
      </c>
      <c r="C229" s="66"/>
      <c r="D229" s="55" t="s">
        <v>224</v>
      </c>
      <c r="E229" s="59" t="s">
        <v>152</v>
      </c>
      <c r="F229" s="60">
        <v>6.3800000000000003E-3</v>
      </c>
      <c r="G229" s="56">
        <f t="shared" si="5"/>
        <v>96985.893416927895</v>
      </c>
      <c r="H229" s="57">
        <v>618.77</v>
      </c>
      <c r="I229" s="58"/>
      <c r="J229" s="80"/>
      <c r="K229" s="81">
        <f t="shared" si="7"/>
        <v>0</v>
      </c>
      <c r="L229" s="77"/>
    </row>
    <row r="230" spans="1:12" x14ac:dyDescent="0.2">
      <c r="A230" s="51"/>
      <c r="F230" s="72"/>
      <c r="G230" s="72"/>
      <c r="H230" s="72">
        <f>SUM(H4:H229)</f>
        <v>21996729.179999989</v>
      </c>
      <c r="J230" s="72">
        <f>SUM(J4:J229)</f>
        <v>364.60727000000003</v>
      </c>
      <c r="K230" s="72">
        <f>SUM(K4:K229)</f>
        <v>1003268.3158643136</v>
      </c>
    </row>
    <row r="231" spans="1:12" x14ac:dyDescent="0.2">
      <c r="A231" s="51"/>
      <c r="B231" s="73"/>
      <c r="E231" s="73"/>
      <c r="F231" s="74" t="s">
        <v>229</v>
      </c>
      <c r="G231" s="74" t="s">
        <v>229</v>
      </c>
      <c r="H231" s="74">
        <f>H230*0.082+H230</f>
        <v>23800460.972759988</v>
      </c>
      <c r="J231" s="85">
        <f>J230*0.082+J230</f>
        <v>394.50506614000005</v>
      </c>
      <c r="K231" s="85">
        <f>K230*0.082+K230</f>
        <v>1085536.3177651872</v>
      </c>
    </row>
    <row r="232" spans="1:12" x14ac:dyDescent="0.2">
      <c r="F232" s="74" t="s">
        <v>230</v>
      </c>
      <c r="G232" s="74" t="s">
        <v>230</v>
      </c>
      <c r="H232" s="74">
        <f>H231*0.024+H231</f>
        <v>24371672.036106229</v>
      </c>
      <c r="J232" s="85">
        <f>J231*0.024+J231</f>
        <v>403.97318772736003</v>
      </c>
      <c r="K232" s="85">
        <f>K231*0.024+K231</f>
        <v>1111589.1893915518</v>
      </c>
    </row>
    <row r="233" spans="1:12" x14ac:dyDescent="0.2">
      <c r="F233" s="74" t="s">
        <v>231</v>
      </c>
      <c r="G233" s="74" t="s">
        <v>231</v>
      </c>
      <c r="H233" s="74">
        <f>H232*1.05136042</f>
        <v>25623411.347982898</v>
      </c>
      <c r="J233" s="85">
        <f>J232*1.05136042</f>
        <v>424.72142031777605</v>
      </c>
      <c r="K233" s="85">
        <f>K232*1.05136042</f>
        <v>1168680.8770261614</v>
      </c>
    </row>
    <row r="234" spans="1:12" x14ac:dyDescent="0.2">
      <c r="F234" s="74" t="s">
        <v>232</v>
      </c>
      <c r="G234" s="74" t="s">
        <v>232</v>
      </c>
      <c r="H234" s="74">
        <f>H233*0.2</f>
        <v>5124682.2695965804</v>
      </c>
      <c r="J234" s="85">
        <f>J233*0.2</f>
        <v>84.944284063555216</v>
      </c>
      <c r="K234" s="85">
        <f>K233*0.2</f>
        <v>233736.17540523229</v>
      </c>
    </row>
    <row r="235" spans="1:12" x14ac:dyDescent="0.2">
      <c r="F235" s="75" t="s">
        <v>233</v>
      </c>
      <c r="G235" s="75" t="s">
        <v>233</v>
      </c>
      <c r="H235" s="74">
        <f>H233+H234</f>
        <v>30748093.617579479</v>
      </c>
      <c r="J235" s="85">
        <f>J233+J234</f>
        <v>509.66570438133124</v>
      </c>
      <c r="K235" s="186">
        <f>K233+K234</f>
        <v>1402417.0524313936</v>
      </c>
    </row>
    <row r="376" spans="10:10" x14ac:dyDescent="0.2">
      <c r="J376" s="72">
        <f>SUBTOTAL(9,J4:J229)</f>
        <v>364.60727000000003</v>
      </c>
    </row>
    <row r="377" spans="10:10" x14ac:dyDescent="0.2">
      <c r="J377" s="85">
        <f>J376*0.082+J376</f>
        <v>394.50506614000005</v>
      </c>
    </row>
    <row r="378" spans="10:10" x14ac:dyDescent="0.2">
      <c r="J378" s="85">
        <f>J377*0.024+J377</f>
        <v>403.97318772736003</v>
      </c>
    </row>
    <row r="379" spans="10:10" x14ac:dyDescent="0.2">
      <c r="J379" s="85">
        <f>J378*1.05136042</f>
        <v>424.72142031777605</v>
      </c>
    </row>
    <row r="380" spans="10:10" x14ac:dyDescent="0.2">
      <c r="J380" s="85">
        <f>J379*0.2</f>
        <v>84.944284063555216</v>
      </c>
    </row>
    <row r="381" spans="10:10" x14ac:dyDescent="0.2">
      <c r="J381" s="85">
        <f>J379+J380</f>
        <v>509.66570438133124</v>
      </c>
    </row>
  </sheetData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F0"/>
    <pageSetUpPr fitToPage="1"/>
  </sheetPr>
  <dimension ref="A1:I23"/>
  <sheetViews>
    <sheetView zoomScale="160" zoomScaleNormal="160" workbookViewId="0">
      <pane ySplit="1" topLeftCell="A2" activePane="bottomLeft" state="frozen"/>
      <selection activeCell="I11" sqref="I11"/>
      <selection pane="bottomLeft" activeCell="M19" sqref="M19"/>
    </sheetView>
  </sheetViews>
  <sheetFormatPr defaultColWidth="9.140625" defaultRowHeight="11.25" x14ac:dyDescent="0.25"/>
  <cols>
    <col min="1" max="1" width="5.7109375" style="86" customWidth="1"/>
    <col min="2" max="2" width="12.28515625" style="155" customWidth="1"/>
    <col min="3" max="3" width="91.140625" style="155" customWidth="1"/>
    <col min="4" max="4" width="8.5703125" style="155" customWidth="1"/>
    <col min="5" max="5" width="10.5703125" style="155" customWidth="1"/>
    <col min="6" max="6" width="13.42578125" style="155" customWidth="1"/>
    <col min="7" max="7" width="14" style="155" customWidth="1"/>
    <col min="8" max="8" width="12.85546875" style="155" customWidth="1"/>
    <col min="9" max="9" width="12.85546875" style="189" customWidth="1"/>
    <col min="10" max="16384" width="9.140625" style="155"/>
  </cols>
  <sheetData>
    <row r="1" spans="1:9" s="156" customFormat="1" ht="22.5" x14ac:dyDescent="0.25">
      <c r="A1" s="94" t="s">
        <v>0</v>
      </c>
      <c r="B1" s="95" t="s">
        <v>243</v>
      </c>
      <c r="C1" s="95" t="s">
        <v>242</v>
      </c>
      <c r="D1" s="91" t="s">
        <v>234</v>
      </c>
      <c r="E1" s="91" t="s">
        <v>235</v>
      </c>
      <c r="F1" s="95" t="s">
        <v>244</v>
      </c>
      <c r="G1" s="96" t="s">
        <v>245</v>
      </c>
      <c r="H1" s="117" t="s">
        <v>723</v>
      </c>
      <c r="I1" s="173" t="s">
        <v>695</v>
      </c>
    </row>
    <row r="2" spans="1:9" s="164" customFormat="1" x14ac:dyDescent="0.25">
      <c r="A2" s="162" t="s">
        <v>660</v>
      </c>
      <c r="B2" s="162"/>
      <c r="C2" s="162"/>
      <c r="D2" s="162"/>
      <c r="E2" s="162"/>
      <c r="F2" s="162"/>
      <c r="G2" s="163"/>
      <c r="H2" s="163"/>
      <c r="I2" s="165"/>
    </row>
    <row r="3" spans="1:9" s="157" customFormat="1" x14ac:dyDescent="0.25">
      <c r="A3" s="134" t="s">
        <v>104</v>
      </c>
      <c r="B3" s="159" t="s">
        <v>661</v>
      </c>
      <c r="C3" s="158" t="s">
        <v>662</v>
      </c>
      <c r="D3" s="134" t="s">
        <v>105</v>
      </c>
      <c r="E3" s="143">
        <v>2.4700000000000002</v>
      </c>
      <c r="F3" s="160">
        <f>G3/E3</f>
        <v>46361.242914979754</v>
      </c>
      <c r="G3" s="161">
        <v>114512.27</v>
      </c>
      <c r="H3" s="166">
        <f>E3</f>
        <v>2.4700000000000002</v>
      </c>
      <c r="I3" s="188">
        <f>H3*F3</f>
        <v>114512.27</v>
      </c>
    </row>
    <row r="4" spans="1:9" s="157" customFormat="1" x14ac:dyDescent="0.25">
      <c r="A4" s="134" t="s">
        <v>106</v>
      </c>
      <c r="B4" s="159" t="s">
        <v>663</v>
      </c>
      <c r="C4" s="158" t="s">
        <v>664</v>
      </c>
      <c r="D4" s="134" t="s">
        <v>105</v>
      </c>
      <c r="E4" s="143">
        <v>4.58</v>
      </c>
      <c r="F4" s="160">
        <f t="shared" ref="F4:F17" si="0">G4/E4</f>
        <v>69633.22489082969</v>
      </c>
      <c r="G4" s="161">
        <v>318920.17</v>
      </c>
      <c r="H4" s="166">
        <f t="shared" ref="H4:H17" si="1">E4</f>
        <v>4.58</v>
      </c>
      <c r="I4" s="188">
        <f t="shared" ref="I4:I17" si="2">H4*F4</f>
        <v>318920.17</v>
      </c>
    </row>
    <row r="5" spans="1:9" s="157" customFormat="1" x14ac:dyDescent="0.25">
      <c r="A5" s="134" t="s">
        <v>108</v>
      </c>
      <c r="B5" s="159" t="s">
        <v>665</v>
      </c>
      <c r="C5" s="158" t="s">
        <v>666</v>
      </c>
      <c r="D5" s="134" t="s">
        <v>105</v>
      </c>
      <c r="E5" s="143">
        <v>4.37</v>
      </c>
      <c r="F5" s="160">
        <f t="shared" si="0"/>
        <v>137844.94279176201</v>
      </c>
      <c r="G5" s="161">
        <v>602382.4</v>
      </c>
      <c r="H5" s="166">
        <f t="shared" si="1"/>
        <v>4.37</v>
      </c>
      <c r="I5" s="188">
        <f t="shared" si="2"/>
        <v>602382.4</v>
      </c>
    </row>
    <row r="6" spans="1:9" s="157" customFormat="1" x14ac:dyDescent="0.25">
      <c r="A6" s="134" t="s">
        <v>109</v>
      </c>
      <c r="B6" s="159" t="s">
        <v>667</v>
      </c>
      <c r="C6" s="158" t="s">
        <v>668</v>
      </c>
      <c r="D6" s="134" t="s">
        <v>105</v>
      </c>
      <c r="E6" s="143">
        <v>0.34</v>
      </c>
      <c r="F6" s="160">
        <f t="shared" si="0"/>
        <v>67241.794117647049</v>
      </c>
      <c r="G6" s="161">
        <v>22862.21</v>
      </c>
      <c r="H6" s="166">
        <f t="shared" si="1"/>
        <v>0.34</v>
      </c>
      <c r="I6" s="188">
        <f t="shared" si="2"/>
        <v>22862.21</v>
      </c>
    </row>
    <row r="7" spans="1:9" s="157" customFormat="1" x14ac:dyDescent="0.25">
      <c r="A7" s="134" t="s">
        <v>111</v>
      </c>
      <c r="B7" s="159" t="s">
        <v>669</v>
      </c>
      <c r="C7" s="158" t="s">
        <v>670</v>
      </c>
      <c r="D7" s="134" t="s">
        <v>105</v>
      </c>
      <c r="E7" s="143">
        <v>0.39</v>
      </c>
      <c r="F7" s="160">
        <f t="shared" si="0"/>
        <v>99364.79487179486</v>
      </c>
      <c r="G7" s="161">
        <v>38752.269999999997</v>
      </c>
      <c r="H7" s="166">
        <f t="shared" si="1"/>
        <v>0.39</v>
      </c>
      <c r="I7" s="188">
        <f t="shared" si="2"/>
        <v>38752.269999999997</v>
      </c>
    </row>
    <row r="8" spans="1:9" s="157" customFormat="1" x14ac:dyDescent="0.25">
      <c r="A8" s="134" t="s">
        <v>114</v>
      </c>
      <c r="B8" s="159" t="s">
        <v>671</v>
      </c>
      <c r="C8" s="158" t="s">
        <v>672</v>
      </c>
      <c r="D8" s="134" t="s">
        <v>105</v>
      </c>
      <c r="E8" s="143">
        <v>0.09</v>
      </c>
      <c r="F8" s="160">
        <f t="shared" si="0"/>
        <v>120014</v>
      </c>
      <c r="G8" s="161">
        <v>10801.26</v>
      </c>
      <c r="H8" s="166">
        <f t="shared" si="1"/>
        <v>0.09</v>
      </c>
      <c r="I8" s="188">
        <f t="shared" si="2"/>
        <v>10801.26</v>
      </c>
    </row>
    <row r="9" spans="1:9" s="157" customFormat="1" x14ac:dyDescent="0.25">
      <c r="A9" s="134" t="s">
        <v>117</v>
      </c>
      <c r="B9" s="159" t="s">
        <v>673</v>
      </c>
      <c r="C9" s="158" t="s">
        <v>674</v>
      </c>
      <c r="D9" s="134" t="s">
        <v>607</v>
      </c>
      <c r="E9" s="143">
        <v>0.04</v>
      </c>
      <c r="F9" s="160">
        <f t="shared" si="0"/>
        <v>101245.5</v>
      </c>
      <c r="G9" s="161">
        <v>4049.82</v>
      </c>
      <c r="H9" s="166">
        <f t="shared" si="1"/>
        <v>0.04</v>
      </c>
      <c r="I9" s="188">
        <f t="shared" si="2"/>
        <v>4049.82</v>
      </c>
    </row>
    <row r="10" spans="1:9" s="157" customFormat="1" x14ac:dyDescent="0.25">
      <c r="A10" s="134" t="s">
        <v>121</v>
      </c>
      <c r="B10" s="159" t="s">
        <v>675</v>
      </c>
      <c r="C10" s="158" t="s">
        <v>676</v>
      </c>
      <c r="D10" s="134" t="s">
        <v>607</v>
      </c>
      <c r="E10" s="143">
        <v>0.04</v>
      </c>
      <c r="F10" s="160">
        <f t="shared" si="0"/>
        <v>92283.5</v>
      </c>
      <c r="G10" s="161">
        <v>3691.34</v>
      </c>
      <c r="H10" s="166">
        <f t="shared" si="1"/>
        <v>0.04</v>
      </c>
      <c r="I10" s="188">
        <f t="shared" si="2"/>
        <v>3691.34</v>
      </c>
    </row>
    <row r="11" spans="1:9" s="157" customFormat="1" x14ac:dyDescent="0.25">
      <c r="A11" s="134" t="s">
        <v>122</v>
      </c>
      <c r="B11" s="159" t="s">
        <v>677</v>
      </c>
      <c r="C11" s="158" t="s">
        <v>678</v>
      </c>
      <c r="D11" s="134" t="s">
        <v>158</v>
      </c>
      <c r="E11" s="143">
        <v>1</v>
      </c>
      <c r="F11" s="160">
        <f t="shared" si="0"/>
        <v>554.02</v>
      </c>
      <c r="G11" s="161">
        <v>554.02</v>
      </c>
      <c r="H11" s="166">
        <f t="shared" si="1"/>
        <v>1</v>
      </c>
      <c r="I11" s="188">
        <f t="shared" si="2"/>
        <v>554.02</v>
      </c>
    </row>
    <row r="12" spans="1:9" s="157" customFormat="1" x14ac:dyDescent="0.25">
      <c r="A12" s="134" t="s">
        <v>123</v>
      </c>
      <c r="B12" s="159" t="s">
        <v>679</v>
      </c>
      <c r="C12" s="158" t="s">
        <v>680</v>
      </c>
      <c r="D12" s="134" t="s">
        <v>105</v>
      </c>
      <c r="E12" s="143">
        <v>0.78</v>
      </c>
      <c r="F12" s="160">
        <f t="shared" si="0"/>
        <v>5632.8205128205127</v>
      </c>
      <c r="G12" s="161">
        <v>4393.6000000000004</v>
      </c>
      <c r="H12" s="166">
        <f t="shared" si="1"/>
        <v>0.78</v>
      </c>
      <c r="I12" s="188">
        <f t="shared" si="2"/>
        <v>4393.6000000000004</v>
      </c>
    </row>
    <row r="13" spans="1:9" s="157" customFormat="1" x14ac:dyDescent="0.25">
      <c r="A13" s="134" t="s">
        <v>124</v>
      </c>
      <c r="B13" s="159" t="s">
        <v>681</v>
      </c>
      <c r="C13" s="158" t="s">
        <v>682</v>
      </c>
      <c r="D13" s="134" t="s">
        <v>105</v>
      </c>
      <c r="E13" s="143">
        <v>4.62</v>
      </c>
      <c r="F13" s="160">
        <f t="shared" si="0"/>
        <v>9669.7770562770565</v>
      </c>
      <c r="G13" s="161">
        <v>44674.37</v>
      </c>
      <c r="H13" s="166">
        <f t="shared" si="1"/>
        <v>4.62</v>
      </c>
      <c r="I13" s="188">
        <f t="shared" si="2"/>
        <v>44674.37</v>
      </c>
    </row>
    <row r="14" spans="1:9" s="164" customFormat="1" x14ac:dyDescent="0.25">
      <c r="A14" s="162" t="s">
        <v>683</v>
      </c>
      <c r="B14" s="162"/>
      <c r="C14" s="162"/>
      <c r="D14" s="162"/>
      <c r="E14" s="162"/>
      <c r="F14" s="160"/>
      <c r="G14" s="165"/>
      <c r="H14" s="166">
        <f t="shared" si="1"/>
        <v>0</v>
      </c>
      <c r="I14" s="188"/>
    </row>
    <row r="15" spans="1:9" s="157" customFormat="1" x14ac:dyDescent="0.25">
      <c r="A15" s="134" t="s">
        <v>125</v>
      </c>
      <c r="B15" s="159" t="s">
        <v>115</v>
      </c>
      <c r="C15" s="158" t="s">
        <v>116</v>
      </c>
      <c r="D15" s="134" t="s">
        <v>113</v>
      </c>
      <c r="E15" s="143">
        <v>13.265000000000001</v>
      </c>
      <c r="F15" s="160">
        <f t="shared" si="0"/>
        <v>569.05540897097626</v>
      </c>
      <c r="G15" s="161">
        <v>7548.52</v>
      </c>
      <c r="H15" s="166">
        <f t="shared" si="1"/>
        <v>13.265000000000001</v>
      </c>
      <c r="I15" s="188">
        <f t="shared" si="2"/>
        <v>7548.52</v>
      </c>
    </row>
    <row r="16" spans="1:9" s="157" customFormat="1" x14ac:dyDescent="0.25">
      <c r="A16" s="134" t="s">
        <v>126</v>
      </c>
      <c r="B16" s="159" t="s">
        <v>658</v>
      </c>
      <c r="C16" s="158" t="s">
        <v>659</v>
      </c>
      <c r="D16" s="134" t="s">
        <v>113</v>
      </c>
      <c r="E16" s="143">
        <v>13.265000000000001</v>
      </c>
      <c r="F16" s="160">
        <f t="shared" si="0"/>
        <v>119.72031662269129</v>
      </c>
      <c r="G16" s="161">
        <v>1588.09</v>
      </c>
      <c r="H16" s="166">
        <f t="shared" si="1"/>
        <v>13.265000000000001</v>
      </c>
      <c r="I16" s="188">
        <f t="shared" si="2"/>
        <v>1588.09</v>
      </c>
    </row>
    <row r="17" spans="1:9" s="157" customFormat="1" x14ac:dyDescent="0.25">
      <c r="A17" s="134" t="s">
        <v>127</v>
      </c>
      <c r="B17" s="159" t="s">
        <v>684</v>
      </c>
      <c r="C17" s="158" t="s">
        <v>685</v>
      </c>
      <c r="D17" s="134" t="s">
        <v>113</v>
      </c>
      <c r="E17" s="143">
        <v>13.265000000000001</v>
      </c>
      <c r="F17" s="160">
        <f t="shared" si="0"/>
        <v>244.80738786279682</v>
      </c>
      <c r="G17" s="161">
        <v>3247.37</v>
      </c>
      <c r="H17" s="166">
        <f t="shared" si="1"/>
        <v>13.265000000000001</v>
      </c>
      <c r="I17" s="188">
        <f t="shared" si="2"/>
        <v>3247.37</v>
      </c>
    </row>
    <row r="18" spans="1:9" x14ac:dyDescent="0.2">
      <c r="A18" s="155"/>
      <c r="F18" s="102" t="s">
        <v>228</v>
      </c>
      <c r="G18" s="132">
        <f>SUM(G3:G17)</f>
        <v>1177977.7100000007</v>
      </c>
      <c r="I18" s="132">
        <f>SUM(I3:I17)</f>
        <v>1177977.7100000007</v>
      </c>
    </row>
    <row r="19" spans="1:9" x14ac:dyDescent="0.2">
      <c r="A19" s="155"/>
      <c r="F19" s="102" t="s">
        <v>229</v>
      </c>
      <c r="G19" s="102">
        <f>G18*0.082+G18</f>
        <v>1274571.8822200007</v>
      </c>
      <c r="I19" s="102">
        <f>I18*0.082+I18</f>
        <v>1274571.8822200007</v>
      </c>
    </row>
    <row r="20" spans="1:9" x14ac:dyDescent="0.2">
      <c r="F20" s="102" t="s">
        <v>230</v>
      </c>
      <c r="G20" s="102">
        <f>G19*0.024+G19</f>
        <v>1305161.6073932808</v>
      </c>
      <c r="I20" s="102">
        <f>I19*0.024+I19</f>
        <v>1305161.6073932808</v>
      </c>
    </row>
    <row r="21" spans="1:9" x14ac:dyDescent="0.2">
      <c r="F21" s="102" t="s">
        <v>231</v>
      </c>
      <c r="G21" s="102">
        <f>G20*1.05136042</f>
        <v>1372195.2557168747</v>
      </c>
      <c r="I21" s="102">
        <f>I20*1.05136042</f>
        <v>1372195.2557168747</v>
      </c>
    </row>
    <row r="22" spans="1:9" x14ac:dyDescent="0.2">
      <c r="F22" s="102" t="s">
        <v>232</v>
      </c>
      <c r="G22" s="102">
        <f>G21*0.2</f>
        <v>274439.05114337493</v>
      </c>
      <c r="I22" s="102">
        <f>I21*0.2</f>
        <v>274439.05114337493</v>
      </c>
    </row>
    <row r="23" spans="1:9" x14ac:dyDescent="0.2">
      <c r="F23" s="102" t="s">
        <v>233</v>
      </c>
      <c r="G23" s="104">
        <f>G21+G22</f>
        <v>1646634.3068602497</v>
      </c>
      <c r="I23" s="133">
        <f>I21+I22</f>
        <v>1646634.3068602497</v>
      </c>
    </row>
  </sheetData>
  <printOptions horizontalCentered="1"/>
  <pageMargins left="0.69999998807907104" right="0.69999998807907104" top="0.75" bottom="0.75" header="0.30000001192092901" footer="0.30000001192092901"/>
  <pageSetup paperSize="9" scale="76" fitToHeight="0" orientation="landscape" r:id="rId1"/>
  <headerFoot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C31E6-F591-4C50-8998-C50E1D995395}">
  <sheetPr>
    <pageSetUpPr fitToPage="1"/>
  </sheetPr>
  <dimension ref="A1:AZ146"/>
  <sheetViews>
    <sheetView view="pageBreakPreview" topLeftCell="A94" zoomScaleNormal="100" zoomScaleSheetLayoutView="100" workbookViewId="0">
      <selection activeCell="BA31" sqref="BA31"/>
    </sheetView>
  </sheetViews>
  <sheetFormatPr defaultColWidth="9.140625" defaultRowHeight="11.25" customHeight="1" x14ac:dyDescent="0.2"/>
  <cols>
    <col min="1" max="1" width="7.5703125" style="281" customWidth="1"/>
    <col min="2" max="2" width="8.85546875" style="281" customWidth="1"/>
    <col min="3" max="3" width="13" style="281" customWidth="1"/>
    <col min="4" max="4" width="10.42578125" style="281" customWidth="1"/>
    <col min="5" max="5" width="13.28515625" style="281" customWidth="1"/>
    <col min="6" max="6" width="8.5703125" style="281" customWidth="1"/>
    <col min="7" max="7" width="9.42578125" style="281" customWidth="1"/>
    <col min="8" max="8" width="12.7109375" style="281" customWidth="1"/>
    <col min="9" max="9" width="11.7109375" style="281" customWidth="1"/>
    <col min="10" max="10" width="12.7109375" style="281" customWidth="1"/>
    <col min="11" max="11" width="10.5703125" style="281" customWidth="1"/>
    <col min="12" max="12" width="11.7109375" style="281" customWidth="1"/>
    <col min="13" max="13" width="13.28515625" style="281" customWidth="1"/>
    <col min="14" max="14" width="10" style="281" customWidth="1"/>
    <col min="15" max="15" width="16.42578125" style="281" customWidth="1"/>
    <col min="16" max="19" width="9.140625" style="281"/>
    <col min="20" max="20" width="101" style="197" hidden="1" customWidth="1"/>
    <col min="21" max="21" width="38.5703125" style="197" hidden="1" customWidth="1"/>
    <col min="22" max="22" width="89.42578125" style="197" hidden="1" customWidth="1"/>
    <col min="23" max="23" width="38.5703125" style="197" hidden="1" customWidth="1"/>
    <col min="24" max="24" width="89.42578125" style="197" hidden="1" customWidth="1"/>
    <col min="25" max="25" width="38.5703125" style="197" hidden="1" customWidth="1"/>
    <col min="26" max="27" width="101" style="197" hidden="1" customWidth="1"/>
    <col min="28" max="29" width="38.5703125" style="197" hidden="1" customWidth="1"/>
    <col min="30" max="32" width="166.42578125" style="197" hidden="1" customWidth="1"/>
    <col min="33" max="37" width="32.28515625" style="197" hidden="1" customWidth="1"/>
    <col min="38" max="39" width="139.7109375" style="197" hidden="1" customWidth="1"/>
    <col min="40" max="42" width="101.140625" style="197" hidden="1" customWidth="1"/>
    <col min="43" max="43" width="139.7109375" style="197" hidden="1" customWidth="1"/>
    <col min="44" max="48" width="101.140625" style="197" hidden="1" customWidth="1"/>
    <col min="49" max="49" width="66" style="197" hidden="1" customWidth="1"/>
    <col min="50" max="50" width="68.85546875" style="197" hidden="1" customWidth="1"/>
    <col min="51" max="51" width="66" style="197" hidden="1" customWidth="1"/>
    <col min="52" max="52" width="68.85546875" style="197" hidden="1" customWidth="1"/>
    <col min="53" max="16384" width="9.140625" style="281"/>
  </cols>
  <sheetData>
    <row r="1" spans="1:29" s="194" customFormat="1" ht="15" x14ac:dyDescent="0.25">
      <c r="A1" s="193"/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</row>
    <row r="2" spans="1:29" s="194" customFormat="1" ht="15" x14ac:dyDescent="0.25">
      <c r="A2" s="193"/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372" t="s">
        <v>748</v>
      </c>
      <c r="N2" s="373"/>
      <c r="O2" s="374"/>
    </row>
    <row r="3" spans="1:29" s="194" customFormat="1" ht="15" x14ac:dyDescent="0.25">
      <c r="A3" s="193"/>
      <c r="B3" s="193"/>
      <c r="C3" s="193"/>
      <c r="D3" s="193"/>
      <c r="E3" s="193"/>
      <c r="F3" s="193"/>
      <c r="G3" s="193"/>
      <c r="H3" s="193"/>
      <c r="I3" s="193"/>
      <c r="J3" s="193"/>
      <c r="K3" s="193"/>
      <c r="L3" s="195" t="s">
        <v>749</v>
      </c>
      <c r="M3" s="372" t="s">
        <v>750</v>
      </c>
      <c r="N3" s="373"/>
      <c r="O3" s="374"/>
    </row>
    <row r="4" spans="1:29" s="194" customFormat="1" ht="15" x14ac:dyDescent="0.25">
      <c r="A4" s="193"/>
      <c r="B4" s="193"/>
      <c r="C4" s="193"/>
      <c r="D4" s="193"/>
      <c r="E4" s="193"/>
      <c r="F4" s="193"/>
      <c r="G4" s="193"/>
      <c r="H4" s="193"/>
      <c r="I4" s="193"/>
      <c r="J4" s="193"/>
      <c r="K4" s="193"/>
      <c r="L4" s="195"/>
      <c r="M4" s="369"/>
      <c r="N4" s="370"/>
      <c r="O4" s="371"/>
    </row>
    <row r="5" spans="1:29" s="194" customFormat="1" ht="12.6" customHeight="1" x14ac:dyDescent="0.25">
      <c r="A5" s="196" t="s">
        <v>751</v>
      </c>
      <c r="B5" s="193"/>
      <c r="C5" s="365"/>
      <c r="D5" s="365"/>
      <c r="E5" s="365"/>
      <c r="F5" s="365"/>
      <c r="G5" s="365"/>
      <c r="H5" s="365"/>
      <c r="I5" s="365"/>
      <c r="J5" s="365"/>
      <c r="K5" s="365"/>
      <c r="L5" s="195" t="s">
        <v>752</v>
      </c>
      <c r="M5" s="366"/>
      <c r="N5" s="367"/>
      <c r="O5" s="368"/>
      <c r="T5" s="197" t="s">
        <v>753</v>
      </c>
      <c r="U5" s="197" t="s">
        <v>753</v>
      </c>
    </row>
    <row r="6" spans="1:29" s="194" customFormat="1" ht="15" x14ac:dyDescent="0.25">
      <c r="A6" s="193"/>
      <c r="B6" s="193"/>
      <c r="C6" s="198"/>
      <c r="D6" s="198"/>
      <c r="E6" s="198"/>
      <c r="F6" s="199" t="s">
        <v>754</v>
      </c>
      <c r="G6" s="198"/>
      <c r="H6" s="198"/>
      <c r="I6" s="198"/>
      <c r="J6" s="198"/>
      <c r="K6" s="198"/>
      <c r="L6" s="195"/>
      <c r="M6" s="369"/>
      <c r="N6" s="370"/>
      <c r="O6" s="371"/>
    </row>
    <row r="7" spans="1:29" s="194" customFormat="1" ht="14.45" customHeight="1" x14ac:dyDescent="0.25">
      <c r="A7" s="196" t="s">
        <v>755</v>
      </c>
      <c r="B7" s="193"/>
      <c r="C7" s="193"/>
      <c r="D7" s="365" t="s">
        <v>756</v>
      </c>
      <c r="E7" s="365"/>
      <c r="F7" s="365"/>
      <c r="G7" s="365"/>
      <c r="H7" s="365"/>
      <c r="I7" s="365"/>
      <c r="J7" s="365"/>
      <c r="K7" s="365"/>
      <c r="L7" s="195" t="s">
        <v>752</v>
      </c>
      <c r="M7" s="366" t="s">
        <v>757</v>
      </c>
      <c r="N7" s="367"/>
      <c r="O7" s="368"/>
      <c r="V7" s="197" t="s">
        <v>758</v>
      </c>
      <c r="W7" s="197" t="s">
        <v>753</v>
      </c>
    </row>
    <row r="8" spans="1:29" s="194" customFormat="1" ht="15" x14ac:dyDescent="0.25">
      <c r="A8" s="193"/>
      <c r="B8" s="193"/>
      <c r="C8" s="193"/>
      <c r="D8" s="198"/>
      <c r="E8" s="198"/>
      <c r="F8" s="199" t="s">
        <v>754</v>
      </c>
      <c r="G8" s="198"/>
      <c r="H8" s="198"/>
      <c r="I8" s="198"/>
      <c r="J8" s="198"/>
      <c r="K8" s="198"/>
      <c r="L8" s="195"/>
      <c r="M8" s="369"/>
      <c r="N8" s="370"/>
      <c r="O8" s="371"/>
    </row>
    <row r="9" spans="1:29" s="194" customFormat="1" ht="15" x14ac:dyDescent="0.25">
      <c r="A9" s="196" t="s">
        <v>759</v>
      </c>
      <c r="B9" s="193"/>
      <c r="C9" s="193"/>
      <c r="D9" s="365" t="s">
        <v>760</v>
      </c>
      <c r="E9" s="365"/>
      <c r="F9" s="365"/>
      <c r="G9" s="365"/>
      <c r="H9" s="365"/>
      <c r="I9" s="365"/>
      <c r="J9" s="365"/>
      <c r="K9" s="365"/>
      <c r="L9" s="195" t="s">
        <v>752</v>
      </c>
      <c r="M9" s="366" t="s">
        <v>761</v>
      </c>
      <c r="N9" s="367"/>
      <c r="O9" s="368"/>
      <c r="X9" s="197" t="s">
        <v>753</v>
      </c>
      <c r="Y9" s="197" t="s">
        <v>753</v>
      </c>
    </row>
    <row r="10" spans="1:29" s="194" customFormat="1" ht="10.9" customHeight="1" x14ac:dyDescent="0.25">
      <c r="A10" s="193"/>
      <c r="B10" s="193"/>
      <c r="C10" s="193"/>
      <c r="D10" s="198"/>
      <c r="E10" s="198"/>
      <c r="F10" s="199" t="s">
        <v>754</v>
      </c>
      <c r="G10" s="198"/>
      <c r="H10" s="198"/>
      <c r="I10" s="198"/>
      <c r="J10" s="198"/>
      <c r="K10" s="198"/>
      <c r="L10" s="193"/>
      <c r="M10" s="369"/>
      <c r="N10" s="370"/>
      <c r="O10" s="371"/>
    </row>
    <row r="11" spans="1:29" s="194" customFormat="1" ht="24" customHeight="1" x14ac:dyDescent="0.25">
      <c r="A11" s="196" t="s">
        <v>762</v>
      </c>
      <c r="B11" s="193"/>
      <c r="C11" s="383" t="s">
        <v>763</v>
      </c>
      <c r="D11" s="383"/>
      <c r="E11" s="383"/>
      <c r="F11" s="383"/>
      <c r="G11" s="383"/>
      <c r="H11" s="383"/>
      <c r="I11" s="383"/>
      <c r="J11" s="383"/>
      <c r="K11" s="383"/>
      <c r="L11" s="193"/>
      <c r="M11" s="366"/>
      <c r="N11" s="367"/>
      <c r="O11" s="368"/>
      <c r="Z11" s="197" t="s">
        <v>764</v>
      </c>
    </row>
    <row r="12" spans="1:29" s="194" customFormat="1" ht="15" x14ac:dyDescent="0.25">
      <c r="A12" s="193"/>
      <c r="B12" s="193"/>
      <c r="C12" s="198"/>
      <c r="D12" s="198"/>
      <c r="E12" s="198"/>
      <c r="F12" s="199" t="s">
        <v>765</v>
      </c>
      <c r="G12" s="198"/>
      <c r="H12" s="198"/>
      <c r="I12" s="198"/>
      <c r="J12" s="198"/>
      <c r="K12" s="198"/>
      <c r="L12" s="193"/>
      <c r="M12" s="369"/>
      <c r="N12" s="370"/>
      <c r="O12" s="371"/>
    </row>
    <row r="13" spans="1:29" s="194" customFormat="1" ht="15" x14ac:dyDescent="0.25">
      <c r="A13" s="196" t="s">
        <v>766</v>
      </c>
      <c r="B13" s="193"/>
      <c r="C13" s="383" t="s">
        <v>767</v>
      </c>
      <c r="D13" s="383"/>
      <c r="E13" s="383"/>
      <c r="F13" s="383"/>
      <c r="G13" s="383"/>
      <c r="H13" s="383"/>
      <c r="I13" s="383"/>
      <c r="J13" s="383"/>
      <c r="K13" s="383"/>
      <c r="L13" s="193"/>
      <c r="M13" s="366"/>
      <c r="N13" s="367"/>
      <c r="O13" s="368"/>
      <c r="AA13" s="197" t="s">
        <v>768</v>
      </c>
    </row>
    <row r="14" spans="1:29" s="194" customFormat="1" ht="15" x14ac:dyDescent="0.25">
      <c r="A14" s="193"/>
      <c r="B14" s="193"/>
      <c r="C14" s="198"/>
      <c r="D14" s="198"/>
      <c r="E14" s="198"/>
      <c r="F14" s="199" t="s">
        <v>769</v>
      </c>
      <c r="G14" s="198"/>
      <c r="H14" s="198"/>
      <c r="I14" s="198"/>
      <c r="J14" s="198"/>
      <c r="K14" s="198"/>
      <c r="L14" s="195" t="s">
        <v>770</v>
      </c>
      <c r="M14" s="372"/>
      <c r="N14" s="373"/>
      <c r="O14" s="374"/>
    </row>
    <row r="15" spans="1:29" s="194" customFormat="1" ht="11.25" customHeight="1" x14ac:dyDescent="0.25">
      <c r="A15" s="193"/>
      <c r="B15" s="193"/>
      <c r="C15" s="193"/>
      <c r="D15" s="193"/>
      <c r="E15" s="193"/>
      <c r="F15" s="193"/>
      <c r="G15" s="193"/>
      <c r="H15" s="193"/>
      <c r="I15" s="193"/>
      <c r="J15" s="193"/>
      <c r="K15" s="195" t="s">
        <v>771</v>
      </c>
      <c r="L15" s="200" t="s">
        <v>772</v>
      </c>
      <c r="M15" s="375" t="s">
        <v>773</v>
      </c>
      <c r="N15" s="376"/>
      <c r="O15" s="377"/>
      <c r="AB15" s="197" t="s">
        <v>753</v>
      </c>
    </row>
    <row r="16" spans="1:29" s="194" customFormat="1" ht="15" x14ac:dyDescent="0.25">
      <c r="A16" s="201"/>
      <c r="B16" s="201"/>
      <c r="C16" s="201"/>
      <c r="D16" s="201"/>
      <c r="E16" s="201"/>
      <c r="F16" s="201"/>
      <c r="G16" s="201"/>
      <c r="H16" s="201"/>
      <c r="I16" s="201"/>
      <c r="J16" s="201"/>
      <c r="K16" s="201"/>
      <c r="L16" s="200" t="s">
        <v>774</v>
      </c>
      <c r="M16" s="378" t="s">
        <v>775</v>
      </c>
      <c r="N16" s="379"/>
      <c r="O16" s="380"/>
      <c r="AC16" s="197" t="s">
        <v>753</v>
      </c>
    </row>
    <row r="17" spans="1:29" s="194" customFormat="1" ht="11.25" customHeight="1" x14ac:dyDescent="0.25">
      <c r="A17" s="193"/>
      <c r="B17" s="193"/>
      <c r="C17" s="193"/>
      <c r="D17" s="193"/>
      <c r="E17" s="193"/>
      <c r="F17" s="193"/>
      <c r="G17" s="193"/>
      <c r="H17" s="193"/>
      <c r="I17" s="193"/>
      <c r="J17" s="193" t="s">
        <v>776</v>
      </c>
      <c r="K17" s="195"/>
      <c r="L17" s="200" t="s">
        <v>772</v>
      </c>
      <c r="M17" s="378" t="s">
        <v>114</v>
      </c>
      <c r="N17" s="379"/>
      <c r="O17" s="380"/>
      <c r="AB17" s="197" t="s">
        <v>753</v>
      </c>
    </row>
    <row r="18" spans="1:29" s="194" customFormat="1" ht="15" x14ac:dyDescent="0.25">
      <c r="A18" s="201"/>
      <c r="B18" s="201"/>
      <c r="C18" s="201"/>
      <c r="D18" s="201"/>
      <c r="E18" s="201"/>
      <c r="F18" s="201"/>
      <c r="G18" s="201"/>
      <c r="H18" s="201"/>
      <c r="I18" s="201"/>
      <c r="J18" s="201"/>
      <c r="K18" s="201"/>
      <c r="L18" s="200" t="s">
        <v>774</v>
      </c>
      <c r="M18" s="378" t="s">
        <v>777</v>
      </c>
      <c r="N18" s="379"/>
      <c r="O18" s="380"/>
      <c r="AC18" s="197" t="s">
        <v>753</v>
      </c>
    </row>
    <row r="19" spans="1:29" s="194" customFormat="1" ht="15" x14ac:dyDescent="0.25">
      <c r="A19" s="201"/>
      <c r="B19" s="201"/>
      <c r="C19" s="201"/>
      <c r="D19" s="201"/>
      <c r="E19" s="201"/>
      <c r="F19" s="201"/>
      <c r="G19" s="201"/>
      <c r="H19" s="201"/>
      <c r="I19" s="201"/>
      <c r="J19" s="201"/>
      <c r="K19" s="201"/>
      <c r="L19" s="202" t="s">
        <v>778</v>
      </c>
      <c r="M19" s="372"/>
      <c r="N19" s="373"/>
      <c r="O19" s="374"/>
    </row>
    <row r="20" spans="1:29" s="194" customFormat="1" ht="15" x14ac:dyDescent="0.25">
      <c r="A20" s="201"/>
      <c r="B20" s="201"/>
      <c r="C20" s="201"/>
      <c r="D20" s="201"/>
      <c r="E20" s="201"/>
      <c r="F20" s="201"/>
      <c r="G20" s="201"/>
      <c r="H20" s="201"/>
      <c r="I20" s="201"/>
      <c r="J20" s="201"/>
      <c r="K20" s="202"/>
      <c r="L20" s="203"/>
      <c r="M20" s="203"/>
      <c r="N20" s="203"/>
      <c r="O20" s="193"/>
    </row>
    <row r="21" spans="1:29" s="194" customFormat="1" ht="11.25" customHeight="1" x14ac:dyDescent="0.25">
      <c r="A21" s="201"/>
      <c r="B21" s="201"/>
      <c r="C21" s="201"/>
      <c r="D21" s="201"/>
      <c r="E21" s="201"/>
      <c r="F21" s="201"/>
      <c r="G21" s="201"/>
      <c r="H21" s="201"/>
      <c r="I21" s="201"/>
      <c r="J21" s="201"/>
      <c r="K21" s="202"/>
      <c r="L21" s="381" t="s">
        <v>779</v>
      </c>
      <c r="M21" s="381" t="s">
        <v>780</v>
      </c>
      <c r="N21" s="382" t="s">
        <v>781</v>
      </c>
      <c r="O21" s="382"/>
    </row>
    <row r="22" spans="1:29" s="194" customFormat="1" ht="15" x14ac:dyDescent="0.25">
      <c r="A22" s="201"/>
      <c r="B22" s="201"/>
      <c r="C22" s="201"/>
      <c r="D22" s="201"/>
      <c r="E22" s="201"/>
      <c r="F22" s="201"/>
      <c r="G22" s="201"/>
      <c r="H22" s="201"/>
      <c r="I22" s="201"/>
      <c r="J22" s="201"/>
      <c r="K22" s="202"/>
      <c r="L22" s="381"/>
      <c r="M22" s="381"/>
      <c r="N22" s="204" t="s">
        <v>782</v>
      </c>
      <c r="O22" s="204" t="s">
        <v>783</v>
      </c>
    </row>
    <row r="23" spans="1:29" s="194" customFormat="1" ht="15" x14ac:dyDescent="0.25">
      <c r="A23" s="201"/>
      <c r="B23" s="201"/>
      <c r="C23" s="201"/>
      <c r="D23" s="201"/>
      <c r="E23" s="201"/>
      <c r="F23" s="201"/>
      <c r="G23" s="201"/>
      <c r="H23" s="205" t="s">
        <v>784</v>
      </c>
      <c r="I23" s="201"/>
      <c r="J23" s="201"/>
      <c r="K23" s="202"/>
      <c r="L23" s="200" t="s">
        <v>104</v>
      </c>
      <c r="M23" s="206">
        <f>O23</f>
        <v>45279</v>
      </c>
      <c r="N23" s="206">
        <v>45278</v>
      </c>
      <c r="O23" s="206">
        <v>45279</v>
      </c>
    </row>
    <row r="24" spans="1:29" s="194" customFormat="1" ht="15" x14ac:dyDescent="0.25">
      <c r="A24" s="201"/>
      <c r="B24" s="201"/>
      <c r="C24" s="201"/>
      <c r="D24" s="201"/>
      <c r="E24" s="201"/>
      <c r="F24" s="201"/>
      <c r="G24" s="201"/>
      <c r="H24" s="205" t="s">
        <v>785</v>
      </c>
      <c r="I24" s="201"/>
      <c r="J24" s="201"/>
      <c r="K24" s="202"/>
      <c r="L24" s="203"/>
      <c r="M24" s="203"/>
      <c r="N24" s="203"/>
      <c r="O24" s="193"/>
    </row>
    <row r="25" spans="1:29" s="194" customFormat="1" ht="15" x14ac:dyDescent="0.25">
      <c r="A25" s="201"/>
      <c r="B25" s="201"/>
      <c r="C25" s="201"/>
      <c r="D25" s="201"/>
      <c r="E25" s="201"/>
      <c r="F25" s="201"/>
      <c r="G25" s="201"/>
      <c r="H25" s="201" t="s">
        <v>786</v>
      </c>
      <c r="I25" s="201"/>
      <c r="J25" s="201"/>
      <c r="K25" s="202"/>
      <c r="L25" s="203"/>
      <c r="M25" s="203"/>
      <c r="N25" s="203"/>
      <c r="O25" s="193"/>
    </row>
    <row r="26" spans="1:29" s="194" customFormat="1" ht="15" x14ac:dyDescent="0.25">
      <c r="A26" s="201"/>
      <c r="B26" s="201"/>
      <c r="C26" s="201"/>
      <c r="D26" s="201"/>
      <c r="E26" s="201"/>
      <c r="F26" s="201"/>
      <c r="G26" s="201"/>
      <c r="H26" s="201"/>
      <c r="I26" s="201"/>
      <c r="J26" s="201"/>
      <c r="K26" s="202"/>
      <c r="L26" s="203"/>
      <c r="M26" s="203"/>
      <c r="N26" s="203"/>
      <c r="O26" s="193"/>
    </row>
    <row r="27" spans="1:29" s="213" customFormat="1" ht="11.25" customHeight="1" x14ac:dyDescent="0.25">
      <c r="A27" s="201" t="s">
        <v>787</v>
      </c>
      <c r="B27" s="201"/>
      <c r="C27" s="207"/>
      <c r="D27" s="207"/>
      <c r="E27" s="207"/>
      <c r="F27" s="207"/>
      <c r="G27" s="207"/>
      <c r="H27" s="208">
        <v>2168.4499999999998</v>
      </c>
      <c r="I27" s="209" t="s">
        <v>788</v>
      </c>
      <c r="J27" s="210" t="s">
        <v>789</v>
      </c>
      <c r="K27" s="211"/>
      <c r="L27" s="212"/>
      <c r="M27" s="212"/>
      <c r="N27" s="212"/>
    </row>
    <row r="28" spans="1:29" s="213" customFormat="1" ht="11.25" customHeight="1" x14ac:dyDescent="0.25">
      <c r="A28" s="201" t="s">
        <v>790</v>
      </c>
      <c r="B28" s="201"/>
      <c r="C28" s="207"/>
      <c r="D28" s="214"/>
      <c r="E28" s="214"/>
      <c r="F28" s="214"/>
      <c r="G28" s="214"/>
      <c r="H28" s="208">
        <v>400.26</v>
      </c>
      <c r="I28" s="215" t="s">
        <v>791</v>
      </c>
      <c r="J28" s="210" t="s">
        <v>789</v>
      </c>
      <c r="K28" s="211"/>
      <c r="L28" s="212"/>
      <c r="M28" s="212"/>
      <c r="N28" s="212"/>
    </row>
    <row r="29" spans="1:29" s="213" customFormat="1" ht="11.25" customHeight="1" x14ac:dyDescent="0.25">
      <c r="A29" s="201" t="s">
        <v>792</v>
      </c>
      <c r="B29" s="201"/>
      <c r="C29" s="207"/>
      <c r="D29" s="216"/>
      <c r="E29" s="216"/>
      <c r="F29" s="216"/>
      <c r="G29" s="216"/>
      <c r="H29" s="216"/>
      <c r="I29" s="217">
        <v>1048.3900000000001</v>
      </c>
      <c r="J29" s="218" t="s">
        <v>793</v>
      </c>
      <c r="K29" s="211"/>
      <c r="L29" s="212"/>
      <c r="M29" s="212"/>
      <c r="N29" s="212"/>
    </row>
    <row r="30" spans="1:29" s="213" customFormat="1" ht="6.75" customHeight="1" x14ac:dyDescent="0.25">
      <c r="A30" s="219"/>
      <c r="B30" s="193"/>
    </row>
    <row r="31" spans="1:29" s="213" customFormat="1" ht="36" customHeight="1" x14ac:dyDescent="0.25">
      <c r="A31" s="382" t="s">
        <v>794</v>
      </c>
      <c r="B31" s="382"/>
      <c r="C31" s="381" t="s">
        <v>795</v>
      </c>
      <c r="D31" s="381" t="s">
        <v>796</v>
      </c>
      <c r="E31" s="381"/>
      <c r="F31" s="381"/>
      <c r="G31" s="381" t="s">
        <v>797</v>
      </c>
      <c r="H31" s="381" t="s">
        <v>798</v>
      </c>
      <c r="I31" s="381"/>
      <c r="J31" s="381"/>
      <c r="K31" s="381" t="s">
        <v>799</v>
      </c>
      <c r="L31" s="381"/>
      <c r="M31" s="381"/>
      <c r="N31" s="381" t="s">
        <v>800</v>
      </c>
      <c r="O31" s="381" t="s">
        <v>801</v>
      </c>
    </row>
    <row r="32" spans="1:29" s="213" customFormat="1" ht="20.25" customHeight="1" x14ac:dyDescent="0.25">
      <c r="A32" s="382"/>
      <c r="B32" s="382"/>
      <c r="C32" s="381"/>
      <c r="D32" s="381"/>
      <c r="E32" s="381"/>
      <c r="F32" s="381"/>
      <c r="G32" s="381"/>
      <c r="H32" s="381"/>
      <c r="I32" s="381"/>
      <c r="J32" s="381"/>
      <c r="K32" s="381"/>
      <c r="L32" s="381"/>
      <c r="M32" s="381"/>
      <c r="N32" s="381"/>
      <c r="O32" s="381"/>
    </row>
    <row r="33" spans="1:37" s="213" customFormat="1" ht="49.5" customHeight="1" x14ac:dyDescent="0.25">
      <c r="A33" s="220" t="s">
        <v>802</v>
      </c>
      <c r="B33" s="220" t="s">
        <v>803</v>
      </c>
      <c r="C33" s="381"/>
      <c r="D33" s="381"/>
      <c r="E33" s="381"/>
      <c r="F33" s="381"/>
      <c r="G33" s="381"/>
      <c r="H33" s="221" t="s">
        <v>804</v>
      </c>
      <c r="I33" s="221" t="s">
        <v>805</v>
      </c>
      <c r="J33" s="221" t="s">
        <v>806</v>
      </c>
      <c r="K33" s="221" t="s">
        <v>804</v>
      </c>
      <c r="L33" s="221" t="s">
        <v>805</v>
      </c>
      <c r="M33" s="221" t="s">
        <v>807</v>
      </c>
      <c r="N33" s="381"/>
      <c r="O33" s="381"/>
    </row>
    <row r="34" spans="1:37" s="213" customFormat="1" ht="15" x14ac:dyDescent="0.25">
      <c r="A34" s="204">
        <v>1</v>
      </c>
      <c r="B34" s="204">
        <v>2</v>
      </c>
      <c r="C34" s="204">
        <v>3</v>
      </c>
      <c r="D34" s="382">
        <v>4</v>
      </c>
      <c r="E34" s="382"/>
      <c r="F34" s="382"/>
      <c r="G34" s="204">
        <v>5</v>
      </c>
      <c r="H34" s="204">
        <v>6</v>
      </c>
      <c r="I34" s="204">
        <v>7</v>
      </c>
      <c r="J34" s="204">
        <v>8</v>
      </c>
      <c r="K34" s="204">
        <v>9</v>
      </c>
      <c r="L34" s="204">
        <v>10</v>
      </c>
      <c r="M34" s="204">
        <v>11</v>
      </c>
      <c r="N34" s="204">
        <v>12</v>
      </c>
      <c r="O34" s="204">
        <v>13</v>
      </c>
    </row>
    <row r="35" spans="1:37" s="213" customFormat="1" ht="15" x14ac:dyDescent="0.25">
      <c r="A35" s="384" t="s">
        <v>808</v>
      </c>
      <c r="B35" s="385"/>
      <c r="C35" s="385"/>
      <c r="D35" s="385"/>
      <c r="E35" s="385"/>
      <c r="F35" s="385"/>
      <c r="G35" s="385"/>
      <c r="H35" s="385"/>
      <c r="I35" s="385"/>
      <c r="J35" s="385"/>
      <c r="K35" s="385"/>
      <c r="L35" s="385"/>
      <c r="M35" s="385"/>
      <c r="N35" s="385"/>
      <c r="O35" s="386"/>
      <c r="AF35" s="222" t="s">
        <v>808</v>
      </c>
    </row>
    <row r="36" spans="1:37" s="213" customFormat="1" ht="45.75" x14ac:dyDescent="0.25">
      <c r="A36" s="223" t="s">
        <v>104</v>
      </c>
      <c r="B36" s="224" t="s">
        <v>104</v>
      </c>
      <c r="C36" s="225" t="s">
        <v>809</v>
      </c>
      <c r="D36" s="387" t="s">
        <v>810</v>
      </c>
      <c r="E36" s="387"/>
      <c r="F36" s="387"/>
      <c r="G36" s="224" t="s">
        <v>120</v>
      </c>
      <c r="H36" s="224">
        <v>108</v>
      </c>
      <c r="I36" s="224" t="s">
        <v>104</v>
      </c>
      <c r="J36" s="224" t="s">
        <v>365</v>
      </c>
      <c r="K36" s="226"/>
      <c r="L36" s="224"/>
      <c r="M36" s="226"/>
      <c r="N36" s="224"/>
      <c r="O36" s="227"/>
      <c r="AF36" s="222"/>
      <c r="AG36" s="222" t="s">
        <v>810</v>
      </c>
    </row>
    <row r="37" spans="1:37" s="213" customFormat="1" ht="15" x14ac:dyDescent="0.25">
      <c r="A37" s="228"/>
      <c r="B37" s="229"/>
      <c r="C37" s="230" t="s">
        <v>104</v>
      </c>
      <c r="D37" s="365" t="s">
        <v>811</v>
      </c>
      <c r="E37" s="365"/>
      <c r="F37" s="365"/>
      <c r="G37" s="231"/>
      <c r="H37" s="232"/>
      <c r="I37" s="232"/>
      <c r="J37" s="232"/>
      <c r="K37" s="233">
        <v>82.49</v>
      </c>
      <c r="L37" s="232"/>
      <c r="M37" s="234">
        <v>8908.92</v>
      </c>
      <c r="N37" s="235">
        <v>44.77</v>
      </c>
      <c r="O37" s="236">
        <v>398852.35</v>
      </c>
      <c r="AF37" s="222"/>
      <c r="AG37" s="222"/>
      <c r="AH37" s="197" t="s">
        <v>811</v>
      </c>
    </row>
    <row r="38" spans="1:37" s="213" customFormat="1" ht="15" x14ac:dyDescent="0.25">
      <c r="A38" s="228"/>
      <c r="B38" s="229"/>
      <c r="C38" s="230" t="s">
        <v>106</v>
      </c>
      <c r="D38" s="365" t="s">
        <v>812</v>
      </c>
      <c r="E38" s="365"/>
      <c r="F38" s="365"/>
      <c r="G38" s="231"/>
      <c r="H38" s="232"/>
      <c r="I38" s="232"/>
      <c r="J38" s="232"/>
      <c r="K38" s="233">
        <v>233.93</v>
      </c>
      <c r="L38" s="232"/>
      <c r="M38" s="234">
        <v>25264.44</v>
      </c>
      <c r="N38" s="235">
        <v>13.24</v>
      </c>
      <c r="O38" s="236">
        <v>334501.19</v>
      </c>
      <c r="AF38" s="222"/>
      <c r="AG38" s="222"/>
      <c r="AH38" s="197" t="s">
        <v>812</v>
      </c>
    </row>
    <row r="39" spans="1:37" s="213" customFormat="1" ht="15" x14ac:dyDescent="0.25">
      <c r="A39" s="228"/>
      <c r="B39" s="229"/>
      <c r="C39" s="230"/>
      <c r="D39" s="365" t="s">
        <v>813</v>
      </c>
      <c r="E39" s="365"/>
      <c r="F39" s="365"/>
      <c r="G39" s="231" t="s">
        <v>814</v>
      </c>
      <c r="H39" s="235">
        <v>9.67</v>
      </c>
      <c r="I39" s="232"/>
      <c r="J39" s="235">
        <v>1044.3599999999999</v>
      </c>
      <c r="K39" s="237"/>
      <c r="L39" s="232"/>
      <c r="M39" s="237"/>
      <c r="N39" s="232"/>
      <c r="O39" s="238"/>
      <c r="AF39" s="222"/>
      <c r="AG39" s="222"/>
      <c r="AI39" s="197" t="s">
        <v>813</v>
      </c>
    </row>
    <row r="40" spans="1:37" s="213" customFormat="1" ht="15" x14ac:dyDescent="0.25">
      <c r="A40" s="239"/>
      <c r="B40" s="231"/>
      <c r="C40" s="230"/>
      <c r="D40" s="389" t="s">
        <v>815</v>
      </c>
      <c r="E40" s="389"/>
      <c r="F40" s="389"/>
      <c r="G40" s="240"/>
      <c r="H40" s="241"/>
      <c r="I40" s="241"/>
      <c r="J40" s="241"/>
      <c r="K40" s="242">
        <v>316.42</v>
      </c>
      <c r="L40" s="241"/>
      <c r="M40" s="243">
        <v>34173.360000000001</v>
      </c>
      <c r="N40" s="241"/>
      <c r="O40" s="244">
        <v>733353.54</v>
      </c>
      <c r="AF40" s="222"/>
      <c r="AG40" s="222"/>
      <c r="AJ40" s="197" t="s">
        <v>815</v>
      </c>
    </row>
    <row r="41" spans="1:37" s="213" customFormat="1" ht="15" x14ac:dyDescent="0.25">
      <c r="A41" s="228"/>
      <c r="B41" s="229"/>
      <c r="C41" s="230"/>
      <c r="D41" s="365" t="s">
        <v>816</v>
      </c>
      <c r="E41" s="365"/>
      <c r="F41" s="365"/>
      <c r="G41" s="231"/>
      <c r="H41" s="232"/>
      <c r="I41" s="232"/>
      <c r="J41" s="232"/>
      <c r="K41" s="237"/>
      <c r="L41" s="232"/>
      <c r="M41" s="234">
        <v>8908.92</v>
      </c>
      <c r="N41" s="232"/>
      <c r="O41" s="236">
        <v>398852.35</v>
      </c>
      <c r="AF41" s="222"/>
      <c r="AG41" s="222"/>
      <c r="AI41" s="197" t="s">
        <v>816</v>
      </c>
    </row>
    <row r="42" spans="1:37" s="213" customFormat="1" ht="57" x14ac:dyDescent="0.25">
      <c r="A42" s="228"/>
      <c r="B42" s="229"/>
      <c r="C42" s="230" t="s">
        <v>817</v>
      </c>
      <c r="D42" s="365" t="s">
        <v>818</v>
      </c>
      <c r="E42" s="365"/>
      <c r="F42" s="365"/>
      <c r="G42" s="231" t="s">
        <v>819</v>
      </c>
      <c r="H42" s="245">
        <v>91</v>
      </c>
      <c r="I42" s="232"/>
      <c r="J42" s="245">
        <v>91</v>
      </c>
      <c r="K42" s="237"/>
      <c r="L42" s="232"/>
      <c r="M42" s="234">
        <v>8107.12</v>
      </c>
      <c r="N42" s="232"/>
      <c r="O42" s="236">
        <v>362955.64</v>
      </c>
      <c r="AF42" s="222"/>
      <c r="AG42" s="222"/>
      <c r="AI42" s="197" t="s">
        <v>818</v>
      </c>
    </row>
    <row r="43" spans="1:37" s="213" customFormat="1" ht="57" x14ac:dyDescent="0.25">
      <c r="A43" s="228"/>
      <c r="B43" s="229"/>
      <c r="C43" s="230" t="s">
        <v>820</v>
      </c>
      <c r="D43" s="365" t="s">
        <v>821</v>
      </c>
      <c r="E43" s="365"/>
      <c r="F43" s="365"/>
      <c r="G43" s="231" t="s">
        <v>819</v>
      </c>
      <c r="H43" s="245">
        <v>52</v>
      </c>
      <c r="I43" s="232"/>
      <c r="J43" s="245">
        <v>52</v>
      </c>
      <c r="K43" s="237"/>
      <c r="L43" s="232"/>
      <c r="M43" s="234">
        <v>4632.6400000000003</v>
      </c>
      <c r="N43" s="232"/>
      <c r="O43" s="236">
        <v>207403.22</v>
      </c>
      <c r="AF43" s="222"/>
      <c r="AG43" s="222"/>
      <c r="AI43" s="197" t="s">
        <v>821</v>
      </c>
    </row>
    <row r="44" spans="1:37" s="213" customFormat="1" ht="15" x14ac:dyDescent="0.25">
      <c r="A44" s="228"/>
      <c r="B44" s="246"/>
      <c r="C44" s="247"/>
      <c r="D44" s="388" t="s">
        <v>822</v>
      </c>
      <c r="E44" s="388"/>
      <c r="F44" s="388"/>
      <c r="G44" s="224"/>
      <c r="H44" s="248"/>
      <c r="I44" s="248"/>
      <c r="J44" s="248"/>
      <c r="K44" s="249"/>
      <c r="L44" s="248"/>
      <c r="M44" s="250">
        <v>46913.120000000003</v>
      </c>
      <c r="N44" s="241"/>
      <c r="O44" s="251">
        <v>1303712.3999999999</v>
      </c>
      <c r="AF44" s="222"/>
      <c r="AG44" s="222"/>
      <c r="AK44" s="222" t="s">
        <v>822</v>
      </c>
    </row>
    <row r="45" spans="1:37" s="213" customFormat="1" ht="57" x14ac:dyDescent="0.25">
      <c r="A45" s="223" t="s">
        <v>106</v>
      </c>
      <c r="B45" s="224" t="s">
        <v>106</v>
      </c>
      <c r="C45" s="225" t="s">
        <v>112</v>
      </c>
      <c r="D45" s="387" t="s">
        <v>823</v>
      </c>
      <c r="E45" s="387"/>
      <c r="F45" s="387"/>
      <c r="G45" s="224" t="s">
        <v>113</v>
      </c>
      <c r="H45" s="224">
        <v>270</v>
      </c>
      <c r="I45" s="224" t="s">
        <v>104</v>
      </c>
      <c r="J45" s="224" t="s">
        <v>824</v>
      </c>
      <c r="K45" s="226" t="s">
        <v>825</v>
      </c>
      <c r="L45" s="224"/>
      <c r="M45" s="226" t="s">
        <v>826</v>
      </c>
      <c r="N45" s="224" t="s">
        <v>827</v>
      </c>
      <c r="O45" s="227" t="s">
        <v>828</v>
      </c>
      <c r="AF45" s="222"/>
      <c r="AG45" s="222" t="s">
        <v>823</v>
      </c>
      <c r="AK45" s="222"/>
    </row>
    <row r="46" spans="1:37" s="213" customFormat="1" ht="15" x14ac:dyDescent="0.25">
      <c r="A46" s="228"/>
      <c r="B46" s="246"/>
      <c r="C46" s="247"/>
      <c r="D46" s="388" t="s">
        <v>822</v>
      </c>
      <c r="E46" s="388"/>
      <c r="F46" s="388"/>
      <c r="G46" s="224"/>
      <c r="H46" s="248"/>
      <c r="I46" s="248"/>
      <c r="J46" s="248"/>
      <c r="K46" s="249"/>
      <c r="L46" s="248"/>
      <c r="M46" s="252">
        <v>885.6</v>
      </c>
      <c r="N46" s="241"/>
      <c r="O46" s="251">
        <v>11725.34</v>
      </c>
      <c r="AF46" s="222"/>
      <c r="AG46" s="222"/>
      <c r="AK46" s="222" t="s">
        <v>822</v>
      </c>
    </row>
    <row r="47" spans="1:37" s="213" customFormat="1" ht="45.75" x14ac:dyDescent="0.25">
      <c r="A47" s="223" t="s">
        <v>108</v>
      </c>
      <c r="B47" s="224" t="s">
        <v>108</v>
      </c>
      <c r="C47" s="225" t="s">
        <v>829</v>
      </c>
      <c r="D47" s="387" t="s">
        <v>830</v>
      </c>
      <c r="E47" s="387"/>
      <c r="F47" s="387"/>
      <c r="G47" s="224" t="s">
        <v>113</v>
      </c>
      <c r="H47" s="224">
        <v>270</v>
      </c>
      <c r="I47" s="224" t="s">
        <v>104</v>
      </c>
      <c r="J47" s="224" t="s">
        <v>824</v>
      </c>
      <c r="K47" s="226" t="s">
        <v>831</v>
      </c>
      <c r="L47" s="224"/>
      <c r="M47" s="226" t="s">
        <v>832</v>
      </c>
      <c r="N47" s="224" t="s">
        <v>833</v>
      </c>
      <c r="O47" s="227" t="s">
        <v>834</v>
      </c>
      <c r="AF47" s="222"/>
      <c r="AG47" s="222" t="s">
        <v>830</v>
      </c>
      <c r="AK47" s="222"/>
    </row>
    <row r="48" spans="1:37" s="213" customFormat="1" ht="15" x14ac:dyDescent="0.25">
      <c r="A48" s="228"/>
      <c r="B48" s="246"/>
      <c r="C48" s="247"/>
      <c r="D48" s="388" t="s">
        <v>822</v>
      </c>
      <c r="E48" s="388"/>
      <c r="F48" s="388"/>
      <c r="G48" s="224"/>
      <c r="H48" s="248"/>
      <c r="I48" s="248"/>
      <c r="J48" s="248"/>
      <c r="K48" s="249"/>
      <c r="L48" s="248"/>
      <c r="M48" s="250">
        <v>5208.3</v>
      </c>
      <c r="N48" s="241"/>
      <c r="O48" s="251">
        <v>70937.05</v>
      </c>
      <c r="AF48" s="222"/>
      <c r="AG48" s="222"/>
      <c r="AK48" s="222" t="s">
        <v>822</v>
      </c>
    </row>
    <row r="49" spans="1:41" s="213" customFormat="1" ht="23.25" x14ac:dyDescent="0.25">
      <c r="A49" s="223" t="s">
        <v>109</v>
      </c>
      <c r="B49" s="224" t="s">
        <v>109</v>
      </c>
      <c r="C49" s="225" t="s">
        <v>835</v>
      </c>
      <c r="D49" s="387" t="s">
        <v>836</v>
      </c>
      <c r="E49" s="387"/>
      <c r="F49" s="387"/>
      <c r="G49" s="224" t="s">
        <v>120</v>
      </c>
      <c r="H49" s="224">
        <v>108</v>
      </c>
      <c r="I49" s="224" t="s">
        <v>104</v>
      </c>
      <c r="J49" s="224" t="s">
        <v>365</v>
      </c>
      <c r="K49" s="226" t="s">
        <v>837</v>
      </c>
      <c r="L49" s="224"/>
      <c r="M49" s="226" t="s">
        <v>838</v>
      </c>
      <c r="N49" s="224" t="s">
        <v>839</v>
      </c>
      <c r="O49" s="227" t="s">
        <v>840</v>
      </c>
      <c r="AF49" s="222"/>
      <c r="AG49" s="222" t="s">
        <v>836</v>
      </c>
      <c r="AK49" s="222"/>
    </row>
    <row r="50" spans="1:41" s="213" customFormat="1" ht="15" x14ac:dyDescent="0.25">
      <c r="A50" s="253"/>
      <c r="B50" s="193"/>
      <c r="C50" s="247"/>
      <c r="D50" s="365" t="s">
        <v>841</v>
      </c>
      <c r="E50" s="365"/>
      <c r="F50" s="365"/>
      <c r="G50" s="365"/>
      <c r="H50" s="365"/>
      <c r="I50" s="365"/>
      <c r="J50" s="365"/>
      <c r="K50" s="365"/>
      <c r="L50" s="365"/>
      <c r="M50" s="365"/>
      <c r="N50" s="365"/>
      <c r="O50" s="390"/>
      <c r="AF50" s="222"/>
      <c r="AG50" s="222"/>
      <c r="AK50" s="222"/>
      <c r="AL50" s="197" t="s">
        <v>841</v>
      </c>
    </row>
    <row r="51" spans="1:41" s="213" customFormat="1" ht="15" x14ac:dyDescent="0.25">
      <c r="A51" s="253"/>
      <c r="B51" s="246"/>
      <c r="C51" s="247"/>
      <c r="D51" s="365" t="s">
        <v>842</v>
      </c>
      <c r="E51" s="365"/>
      <c r="F51" s="365"/>
      <c r="G51" s="365"/>
      <c r="H51" s="365"/>
      <c r="I51" s="365"/>
      <c r="J51" s="365"/>
      <c r="K51" s="365"/>
      <c r="L51" s="365"/>
      <c r="M51" s="365"/>
      <c r="N51" s="365"/>
      <c r="O51" s="390"/>
      <c r="AF51" s="222"/>
      <c r="AG51" s="222"/>
      <c r="AK51" s="222"/>
      <c r="AM51" s="197" t="s">
        <v>842</v>
      </c>
    </row>
    <row r="52" spans="1:41" s="213" customFormat="1" ht="15" x14ac:dyDescent="0.25">
      <c r="A52" s="228"/>
      <c r="B52" s="246"/>
      <c r="C52" s="247"/>
      <c r="D52" s="388" t="s">
        <v>822</v>
      </c>
      <c r="E52" s="388"/>
      <c r="F52" s="388"/>
      <c r="G52" s="224"/>
      <c r="H52" s="248"/>
      <c r="I52" s="248"/>
      <c r="J52" s="248"/>
      <c r="K52" s="249"/>
      <c r="L52" s="248"/>
      <c r="M52" s="250">
        <v>7052.4</v>
      </c>
      <c r="N52" s="241"/>
      <c r="O52" s="251">
        <v>57547.58</v>
      </c>
      <c r="AF52" s="222"/>
      <c r="AG52" s="222"/>
      <c r="AK52" s="222" t="s">
        <v>822</v>
      </c>
    </row>
    <row r="53" spans="1:41" s="213" customFormat="1" ht="15" x14ac:dyDescent="0.25">
      <c r="A53" s="254"/>
      <c r="B53" s="198"/>
      <c r="C53" s="226"/>
      <c r="D53" s="388" t="s">
        <v>843</v>
      </c>
      <c r="E53" s="388"/>
      <c r="F53" s="388"/>
      <c r="G53" s="388"/>
      <c r="H53" s="388"/>
      <c r="I53" s="388"/>
      <c r="J53" s="388"/>
      <c r="K53" s="388"/>
      <c r="L53" s="388"/>
      <c r="M53" s="255"/>
      <c r="N53" s="256"/>
      <c r="O53" s="257"/>
      <c r="P53" s="258"/>
      <c r="AF53" s="222"/>
      <c r="AG53" s="222"/>
      <c r="AK53" s="222"/>
      <c r="AN53" s="222" t="s">
        <v>843</v>
      </c>
    </row>
    <row r="54" spans="1:41" s="213" customFormat="1" ht="15" x14ac:dyDescent="0.25">
      <c r="A54" s="228"/>
      <c r="B54" s="193"/>
      <c r="C54" s="230"/>
      <c r="D54" s="365" t="s">
        <v>844</v>
      </c>
      <c r="E54" s="365"/>
      <c r="F54" s="365"/>
      <c r="G54" s="365"/>
      <c r="H54" s="365"/>
      <c r="I54" s="365"/>
      <c r="J54" s="365"/>
      <c r="K54" s="365"/>
      <c r="L54" s="365"/>
      <c r="M54" s="259">
        <v>47319.66</v>
      </c>
      <c r="N54" s="260"/>
      <c r="O54" s="261"/>
      <c r="P54" s="262"/>
      <c r="AF54" s="222"/>
      <c r="AG54" s="222"/>
      <c r="AK54" s="222"/>
      <c r="AN54" s="222"/>
      <c r="AO54" s="197" t="s">
        <v>844</v>
      </c>
    </row>
    <row r="55" spans="1:41" s="213" customFormat="1" ht="15" x14ac:dyDescent="0.25">
      <c r="A55" s="228"/>
      <c r="B55" s="193"/>
      <c r="C55" s="230"/>
      <c r="D55" s="365" t="s">
        <v>845</v>
      </c>
      <c r="E55" s="365"/>
      <c r="F55" s="365"/>
      <c r="G55" s="365"/>
      <c r="H55" s="365"/>
      <c r="I55" s="365"/>
      <c r="J55" s="365"/>
      <c r="K55" s="365"/>
      <c r="L55" s="365"/>
      <c r="M55" s="262"/>
      <c r="N55" s="260"/>
      <c r="O55" s="261"/>
      <c r="P55" s="262"/>
      <c r="AF55" s="222"/>
      <c r="AG55" s="222"/>
      <c r="AK55" s="222"/>
      <c r="AN55" s="222"/>
      <c r="AO55" s="197" t="s">
        <v>845</v>
      </c>
    </row>
    <row r="56" spans="1:41" s="213" customFormat="1" ht="15" x14ac:dyDescent="0.25">
      <c r="A56" s="228"/>
      <c r="B56" s="193"/>
      <c r="C56" s="230"/>
      <c r="D56" s="365" t="s">
        <v>846</v>
      </c>
      <c r="E56" s="365"/>
      <c r="F56" s="365"/>
      <c r="G56" s="365"/>
      <c r="H56" s="365"/>
      <c r="I56" s="365"/>
      <c r="J56" s="365"/>
      <c r="K56" s="365"/>
      <c r="L56" s="365"/>
      <c r="M56" s="259">
        <v>8908.92</v>
      </c>
      <c r="N56" s="260"/>
      <c r="O56" s="261"/>
      <c r="P56" s="262"/>
      <c r="AF56" s="222"/>
      <c r="AG56" s="222"/>
      <c r="AK56" s="222"/>
      <c r="AN56" s="222"/>
      <c r="AO56" s="197" t="s">
        <v>846</v>
      </c>
    </row>
    <row r="57" spans="1:41" s="213" customFormat="1" ht="15" x14ac:dyDescent="0.25">
      <c r="A57" s="228"/>
      <c r="B57" s="193"/>
      <c r="C57" s="230"/>
      <c r="D57" s="365" t="s">
        <v>847</v>
      </c>
      <c r="E57" s="365"/>
      <c r="F57" s="365"/>
      <c r="G57" s="365"/>
      <c r="H57" s="365"/>
      <c r="I57" s="365"/>
      <c r="J57" s="365"/>
      <c r="K57" s="365"/>
      <c r="L57" s="365"/>
      <c r="M57" s="259">
        <v>26150.04</v>
      </c>
      <c r="N57" s="260"/>
      <c r="O57" s="261"/>
      <c r="P57" s="262"/>
      <c r="AF57" s="222"/>
      <c r="AG57" s="222"/>
      <c r="AK57" s="222"/>
      <c r="AN57" s="222"/>
      <c r="AO57" s="197" t="s">
        <v>847</v>
      </c>
    </row>
    <row r="58" spans="1:41" s="213" customFormat="1" ht="15" x14ac:dyDescent="0.25">
      <c r="A58" s="228"/>
      <c r="B58" s="193"/>
      <c r="C58" s="230"/>
      <c r="D58" s="365" t="s">
        <v>848</v>
      </c>
      <c r="E58" s="365"/>
      <c r="F58" s="365"/>
      <c r="G58" s="365"/>
      <c r="H58" s="365"/>
      <c r="I58" s="365"/>
      <c r="J58" s="365"/>
      <c r="K58" s="365"/>
      <c r="L58" s="365"/>
      <c r="M58" s="259">
        <v>7052.4</v>
      </c>
      <c r="N58" s="260"/>
      <c r="O58" s="261"/>
      <c r="P58" s="262"/>
      <c r="AF58" s="222"/>
      <c r="AG58" s="222"/>
      <c r="AK58" s="222"/>
      <c r="AN58" s="222"/>
      <c r="AO58" s="197" t="s">
        <v>848</v>
      </c>
    </row>
    <row r="59" spans="1:41" s="213" customFormat="1" ht="15" x14ac:dyDescent="0.25">
      <c r="A59" s="228"/>
      <c r="B59" s="193"/>
      <c r="C59" s="230"/>
      <c r="D59" s="365" t="s">
        <v>849</v>
      </c>
      <c r="E59" s="365"/>
      <c r="F59" s="365"/>
      <c r="G59" s="365"/>
      <c r="H59" s="365"/>
      <c r="I59" s="365"/>
      <c r="J59" s="365"/>
      <c r="K59" s="365"/>
      <c r="L59" s="365"/>
      <c r="M59" s="259">
        <v>5208.3</v>
      </c>
      <c r="N59" s="260"/>
      <c r="O59" s="261"/>
      <c r="P59" s="262"/>
      <c r="AF59" s="222"/>
      <c r="AG59" s="222"/>
      <c r="AK59" s="222"/>
      <c r="AN59" s="222"/>
      <c r="AO59" s="197" t="s">
        <v>849</v>
      </c>
    </row>
    <row r="60" spans="1:41" s="213" customFormat="1" ht="15" x14ac:dyDescent="0.25">
      <c r="A60" s="228"/>
      <c r="B60" s="193"/>
      <c r="C60" s="230"/>
      <c r="D60" s="365" t="s">
        <v>850</v>
      </c>
      <c r="E60" s="365"/>
      <c r="F60" s="365"/>
      <c r="G60" s="365"/>
      <c r="H60" s="365"/>
      <c r="I60" s="365"/>
      <c r="J60" s="365"/>
      <c r="K60" s="365"/>
      <c r="L60" s="365"/>
      <c r="M60" s="259">
        <v>60059.42</v>
      </c>
      <c r="N60" s="260"/>
      <c r="O60" s="261"/>
      <c r="P60" s="262"/>
      <c r="AF60" s="222"/>
      <c r="AG60" s="222"/>
      <c r="AK60" s="222"/>
      <c r="AN60" s="222"/>
      <c r="AO60" s="197" t="s">
        <v>850</v>
      </c>
    </row>
    <row r="61" spans="1:41" s="213" customFormat="1" ht="15" x14ac:dyDescent="0.25">
      <c r="A61" s="228"/>
      <c r="B61" s="193"/>
      <c r="C61" s="230"/>
      <c r="D61" s="365" t="s">
        <v>851</v>
      </c>
      <c r="E61" s="365"/>
      <c r="F61" s="365"/>
      <c r="G61" s="365"/>
      <c r="H61" s="365"/>
      <c r="I61" s="365"/>
      <c r="J61" s="365"/>
      <c r="K61" s="365"/>
      <c r="L61" s="365"/>
      <c r="M61" s="259">
        <v>53965.52</v>
      </c>
      <c r="N61" s="260"/>
      <c r="O61" s="261"/>
      <c r="P61" s="262"/>
      <c r="AF61" s="222"/>
      <c r="AG61" s="222"/>
      <c r="AK61" s="222"/>
      <c r="AN61" s="222"/>
      <c r="AO61" s="197" t="s">
        <v>851</v>
      </c>
    </row>
    <row r="62" spans="1:41" s="213" customFormat="1" ht="15" x14ac:dyDescent="0.25">
      <c r="A62" s="228"/>
      <c r="B62" s="193"/>
      <c r="C62" s="230"/>
      <c r="D62" s="365" t="s">
        <v>852</v>
      </c>
      <c r="E62" s="365"/>
      <c r="F62" s="365"/>
      <c r="G62" s="365"/>
      <c r="H62" s="365"/>
      <c r="I62" s="365"/>
      <c r="J62" s="365"/>
      <c r="K62" s="365"/>
      <c r="L62" s="365"/>
      <c r="M62" s="262"/>
      <c r="N62" s="260"/>
      <c r="O62" s="261"/>
      <c r="P62" s="262"/>
      <c r="AF62" s="222"/>
      <c r="AG62" s="222"/>
      <c r="AK62" s="222"/>
      <c r="AN62" s="222"/>
      <c r="AO62" s="197" t="s">
        <v>852</v>
      </c>
    </row>
    <row r="63" spans="1:41" s="213" customFormat="1" ht="15" x14ac:dyDescent="0.25">
      <c r="A63" s="228"/>
      <c r="B63" s="193"/>
      <c r="C63" s="230"/>
      <c r="D63" s="365" t="s">
        <v>853</v>
      </c>
      <c r="E63" s="365"/>
      <c r="F63" s="365"/>
      <c r="G63" s="365"/>
      <c r="H63" s="365"/>
      <c r="I63" s="365"/>
      <c r="J63" s="365"/>
      <c r="K63" s="365"/>
      <c r="L63" s="365"/>
      <c r="M63" s="259">
        <v>8908.92</v>
      </c>
      <c r="N63" s="260"/>
      <c r="O63" s="261"/>
      <c r="P63" s="262"/>
      <c r="AF63" s="222"/>
      <c r="AG63" s="222"/>
      <c r="AK63" s="222"/>
      <c r="AN63" s="222"/>
      <c r="AO63" s="197" t="s">
        <v>853</v>
      </c>
    </row>
    <row r="64" spans="1:41" s="213" customFormat="1" ht="15" x14ac:dyDescent="0.25">
      <c r="A64" s="228"/>
      <c r="B64" s="193"/>
      <c r="C64" s="230"/>
      <c r="D64" s="365" t="s">
        <v>854</v>
      </c>
      <c r="E64" s="365"/>
      <c r="F64" s="365"/>
      <c r="G64" s="365"/>
      <c r="H64" s="365"/>
      <c r="I64" s="365"/>
      <c r="J64" s="365"/>
      <c r="K64" s="365"/>
      <c r="L64" s="365"/>
      <c r="M64" s="259">
        <v>25264.44</v>
      </c>
      <c r="N64" s="260"/>
      <c r="O64" s="261"/>
      <c r="P64" s="262"/>
      <c r="AF64" s="222"/>
      <c r="AG64" s="222"/>
      <c r="AK64" s="222"/>
      <c r="AN64" s="222"/>
      <c r="AO64" s="197" t="s">
        <v>854</v>
      </c>
    </row>
    <row r="65" spans="1:43" s="213" customFormat="1" ht="15" x14ac:dyDescent="0.25">
      <c r="A65" s="228"/>
      <c r="B65" s="193"/>
      <c r="C65" s="230"/>
      <c r="D65" s="365" t="s">
        <v>855</v>
      </c>
      <c r="E65" s="365"/>
      <c r="F65" s="365"/>
      <c r="G65" s="365"/>
      <c r="H65" s="365"/>
      <c r="I65" s="365"/>
      <c r="J65" s="365"/>
      <c r="K65" s="365"/>
      <c r="L65" s="365"/>
      <c r="M65" s="259">
        <v>7052.4</v>
      </c>
      <c r="N65" s="260"/>
      <c r="O65" s="261"/>
      <c r="P65" s="262"/>
      <c r="AF65" s="222"/>
      <c r="AG65" s="222"/>
      <c r="AK65" s="222"/>
      <c r="AN65" s="222"/>
      <c r="AO65" s="197" t="s">
        <v>855</v>
      </c>
    </row>
    <row r="66" spans="1:43" s="213" customFormat="1" ht="15" x14ac:dyDescent="0.25">
      <c r="A66" s="228"/>
      <c r="B66" s="193"/>
      <c r="C66" s="230"/>
      <c r="D66" s="365" t="s">
        <v>856</v>
      </c>
      <c r="E66" s="365"/>
      <c r="F66" s="365"/>
      <c r="G66" s="365"/>
      <c r="H66" s="365"/>
      <c r="I66" s="365"/>
      <c r="J66" s="365"/>
      <c r="K66" s="365"/>
      <c r="L66" s="365"/>
      <c r="M66" s="259">
        <v>8107.12</v>
      </c>
      <c r="N66" s="260"/>
      <c r="O66" s="261"/>
      <c r="P66" s="262"/>
      <c r="AF66" s="222"/>
      <c r="AG66" s="222"/>
      <c r="AK66" s="222"/>
      <c r="AN66" s="222"/>
      <c r="AO66" s="197" t="s">
        <v>856</v>
      </c>
    </row>
    <row r="67" spans="1:43" s="213" customFormat="1" ht="15" x14ac:dyDescent="0.25">
      <c r="A67" s="228"/>
      <c r="B67" s="193"/>
      <c r="C67" s="230"/>
      <c r="D67" s="365" t="s">
        <v>857</v>
      </c>
      <c r="E67" s="365"/>
      <c r="F67" s="365"/>
      <c r="G67" s="365"/>
      <c r="H67" s="365"/>
      <c r="I67" s="365"/>
      <c r="J67" s="365"/>
      <c r="K67" s="365"/>
      <c r="L67" s="365"/>
      <c r="M67" s="259">
        <v>4632.6400000000003</v>
      </c>
      <c r="N67" s="260"/>
      <c r="O67" s="261"/>
      <c r="P67" s="262"/>
      <c r="AF67" s="222"/>
      <c r="AG67" s="222"/>
      <c r="AK67" s="222"/>
      <c r="AN67" s="222"/>
      <c r="AO67" s="197" t="s">
        <v>857</v>
      </c>
    </row>
    <row r="68" spans="1:43" s="213" customFormat="1" ht="15" x14ac:dyDescent="0.25">
      <c r="A68" s="228"/>
      <c r="B68" s="193"/>
      <c r="C68" s="230"/>
      <c r="D68" s="365" t="s">
        <v>858</v>
      </c>
      <c r="E68" s="365"/>
      <c r="F68" s="365"/>
      <c r="G68" s="365"/>
      <c r="H68" s="365"/>
      <c r="I68" s="365"/>
      <c r="J68" s="365"/>
      <c r="K68" s="365"/>
      <c r="L68" s="365"/>
      <c r="M68" s="263">
        <v>885.6</v>
      </c>
      <c r="N68" s="260"/>
      <c r="O68" s="261"/>
      <c r="P68" s="262"/>
      <c r="AF68" s="222"/>
      <c r="AG68" s="222"/>
      <c r="AK68" s="222"/>
      <c r="AN68" s="222"/>
      <c r="AO68" s="197" t="s">
        <v>858</v>
      </c>
    </row>
    <row r="69" spans="1:43" s="213" customFormat="1" ht="15" x14ac:dyDescent="0.25">
      <c r="A69" s="228"/>
      <c r="B69" s="193"/>
      <c r="C69" s="230"/>
      <c r="D69" s="365" t="s">
        <v>859</v>
      </c>
      <c r="E69" s="365"/>
      <c r="F69" s="365"/>
      <c r="G69" s="365"/>
      <c r="H69" s="365"/>
      <c r="I69" s="365"/>
      <c r="J69" s="365"/>
      <c r="K69" s="365"/>
      <c r="L69" s="365"/>
      <c r="M69" s="259">
        <v>5208.3</v>
      </c>
      <c r="N69" s="260"/>
      <c r="O69" s="261"/>
      <c r="P69" s="262"/>
      <c r="AF69" s="222"/>
      <c r="AG69" s="222"/>
      <c r="AK69" s="222"/>
      <c r="AN69" s="222"/>
      <c r="AO69" s="197" t="s">
        <v>859</v>
      </c>
    </row>
    <row r="70" spans="1:43" s="213" customFormat="1" ht="15" x14ac:dyDescent="0.25">
      <c r="A70" s="228"/>
      <c r="B70" s="193"/>
      <c r="C70" s="230"/>
      <c r="D70" s="365" t="s">
        <v>860</v>
      </c>
      <c r="E70" s="365"/>
      <c r="F70" s="365"/>
      <c r="G70" s="365"/>
      <c r="H70" s="365"/>
      <c r="I70" s="365"/>
      <c r="J70" s="365"/>
      <c r="K70" s="365"/>
      <c r="L70" s="365"/>
      <c r="M70" s="259">
        <v>8908.92</v>
      </c>
      <c r="N70" s="260"/>
      <c r="O70" s="261"/>
      <c r="P70" s="262"/>
      <c r="AF70" s="222"/>
      <c r="AG70" s="222"/>
      <c r="AK70" s="222"/>
      <c r="AN70" s="222"/>
      <c r="AO70" s="197" t="s">
        <v>860</v>
      </c>
    </row>
    <row r="71" spans="1:43" s="213" customFormat="1" ht="15" x14ac:dyDescent="0.25">
      <c r="A71" s="228"/>
      <c r="B71" s="193"/>
      <c r="C71" s="230"/>
      <c r="D71" s="365" t="s">
        <v>861</v>
      </c>
      <c r="E71" s="365"/>
      <c r="F71" s="365"/>
      <c r="G71" s="365"/>
      <c r="H71" s="365"/>
      <c r="I71" s="365"/>
      <c r="J71" s="365"/>
      <c r="K71" s="365"/>
      <c r="L71" s="365"/>
      <c r="M71" s="259">
        <v>8107.12</v>
      </c>
      <c r="N71" s="260"/>
      <c r="O71" s="261"/>
      <c r="P71" s="262"/>
      <c r="AF71" s="222"/>
      <c r="AG71" s="222"/>
      <c r="AK71" s="222"/>
      <c r="AN71" s="222"/>
      <c r="AO71" s="197" t="s">
        <v>861</v>
      </c>
    </row>
    <row r="72" spans="1:43" s="213" customFormat="1" ht="15" x14ac:dyDescent="0.25">
      <c r="A72" s="228"/>
      <c r="B72" s="193"/>
      <c r="C72" s="230"/>
      <c r="D72" s="365" t="s">
        <v>862</v>
      </c>
      <c r="E72" s="365"/>
      <c r="F72" s="365"/>
      <c r="G72" s="365"/>
      <c r="H72" s="365"/>
      <c r="I72" s="365"/>
      <c r="J72" s="365"/>
      <c r="K72" s="365"/>
      <c r="L72" s="365"/>
      <c r="M72" s="259">
        <v>4632.6400000000003</v>
      </c>
      <c r="N72" s="260"/>
      <c r="O72" s="261"/>
      <c r="P72" s="262"/>
      <c r="AF72" s="222"/>
      <c r="AG72" s="222"/>
      <c r="AK72" s="222"/>
      <c r="AN72" s="222"/>
      <c r="AO72" s="197" t="s">
        <v>862</v>
      </c>
    </row>
    <row r="73" spans="1:43" s="213" customFormat="1" ht="15" x14ac:dyDescent="0.25">
      <c r="A73" s="228"/>
      <c r="B73" s="193"/>
      <c r="C73" s="264"/>
      <c r="D73" s="391" t="s">
        <v>863</v>
      </c>
      <c r="E73" s="391"/>
      <c r="F73" s="391"/>
      <c r="G73" s="391"/>
      <c r="H73" s="391"/>
      <c r="I73" s="391"/>
      <c r="J73" s="391"/>
      <c r="K73" s="391"/>
      <c r="L73" s="391"/>
      <c r="M73" s="265">
        <v>60059.42</v>
      </c>
      <c r="N73" s="266"/>
      <c r="O73" s="267"/>
      <c r="P73" s="268"/>
      <c r="AF73" s="222"/>
      <c r="AG73" s="222"/>
      <c r="AK73" s="222"/>
      <c r="AN73" s="222"/>
      <c r="AP73" s="222" t="s">
        <v>863</v>
      </c>
    </row>
    <row r="74" spans="1:43" s="213" customFormat="1" ht="15" x14ac:dyDescent="0.25">
      <c r="A74" s="384" t="s">
        <v>864</v>
      </c>
      <c r="B74" s="385"/>
      <c r="C74" s="385"/>
      <c r="D74" s="385"/>
      <c r="E74" s="385"/>
      <c r="F74" s="385"/>
      <c r="G74" s="385"/>
      <c r="H74" s="385"/>
      <c r="I74" s="385"/>
      <c r="J74" s="385"/>
      <c r="K74" s="385"/>
      <c r="L74" s="385"/>
      <c r="M74" s="385"/>
      <c r="N74" s="385"/>
      <c r="O74" s="386"/>
      <c r="AF74" s="222" t="s">
        <v>864</v>
      </c>
      <c r="AG74" s="222"/>
      <c r="AK74" s="222"/>
      <c r="AN74" s="222"/>
      <c r="AP74" s="222"/>
    </row>
    <row r="75" spans="1:43" s="213" customFormat="1" ht="57" x14ac:dyDescent="0.25">
      <c r="A75" s="223" t="s">
        <v>111</v>
      </c>
      <c r="B75" s="224" t="s">
        <v>111</v>
      </c>
      <c r="C75" s="225" t="s">
        <v>865</v>
      </c>
      <c r="D75" s="387" t="s">
        <v>866</v>
      </c>
      <c r="E75" s="387"/>
      <c r="F75" s="387"/>
      <c r="G75" s="224" t="s">
        <v>110</v>
      </c>
      <c r="H75" s="224">
        <v>0.42</v>
      </c>
      <c r="I75" s="224" t="s">
        <v>104</v>
      </c>
      <c r="J75" s="224" t="s">
        <v>867</v>
      </c>
      <c r="K75" s="226"/>
      <c r="L75" s="224"/>
      <c r="M75" s="226"/>
      <c r="N75" s="224"/>
      <c r="O75" s="227"/>
      <c r="AF75" s="222"/>
      <c r="AG75" s="222" t="s">
        <v>866</v>
      </c>
      <c r="AK75" s="222"/>
      <c r="AN75" s="222"/>
      <c r="AP75" s="222"/>
    </row>
    <row r="76" spans="1:43" s="213" customFormat="1" ht="23.25" x14ac:dyDescent="0.25">
      <c r="A76" s="228"/>
      <c r="B76" s="269"/>
      <c r="C76" s="230" t="s">
        <v>868</v>
      </c>
      <c r="D76" s="383" t="s">
        <v>869</v>
      </c>
      <c r="E76" s="383"/>
      <c r="F76" s="383"/>
      <c r="G76" s="383"/>
      <c r="H76" s="383"/>
      <c r="I76" s="383"/>
      <c r="J76" s="383"/>
      <c r="K76" s="383"/>
      <c r="L76" s="383"/>
      <c r="M76" s="383"/>
      <c r="N76" s="383"/>
      <c r="O76" s="392"/>
      <c r="AF76" s="222"/>
      <c r="AG76" s="222"/>
      <c r="AK76" s="222"/>
      <c r="AN76" s="222"/>
      <c r="AP76" s="222"/>
      <c r="AQ76" s="197" t="s">
        <v>869</v>
      </c>
    </row>
    <row r="77" spans="1:43" s="213" customFormat="1" ht="15" x14ac:dyDescent="0.25">
      <c r="A77" s="228"/>
      <c r="B77" s="229"/>
      <c r="C77" s="230" t="s">
        <v>104</v>
      </c>
      <c r="D77" s="365" t="s">
        <v>811</v>
      </c>
      <c r="E77" s="365"/>
      <c r="F77" s="365"/>
      <c r="G77" s="231"/>
      <c r="H77" s="232"/>
      <c r="I77" s="232"/>
      <c r="J77" s="232"/>
      <c r="K77" s="233">
        <v>62.4</v>
      </c>
      <c r="L77" s="270">
        <v>1.2</v>
      </c>
      <c r="M77" s="233">
        <v>31.45</v>
      </c>
      <c r="N77" s="235">
        <v>44.77</v>
      </c>
      <c r="O77" s="236">
        <v>1408.02</v>
      </c>
      <c r="AF77" s="222"/>
      <c r="AG77" s="222"/>
      <c r="AH77" s="197" t="s">
        <v>811</v>
      </c>
      <c r="AK77" s="222"/>
      <c r="AN77" s="222"/>
      <c r="AP77" s="222"/>
    </row>
    <row r="78" spans="1:43" s="213" customFormat="1" ht="15" x14ac:dyDescent="0.25">
      <c r="A78" s="228"/>
      <c r="B78" s="229"/>
      <c r="C78" s="230" t="s">
        <v>106</v>
      </c>
      <c r="D78" s="365" t="s">
        <v>812</v>
      </c>
      <c r="E78" s="365"/>
      <c r="F78" s="365"/>
      <c r="G78" s="231"/>
      <c r="H78" s="232"/>
      <c r="I78" s="232"/>
      <c r="J78" s="232"/>
      <c r="K78" s="234">
        <v>2464.31</v>
      </c>
      <c r="L78" s="270">
        <v>1.2</v>
      </c>
      <c r="M78" s="234">
        <v>1242.01</v>
      </c>
      <c r="N78" s="235">
        <v>13.24</v>
      </c>
      <c r="O78" s="236">
        <v>16444.21</v>
      </c>
      <c r="AF78" s="222"/>
      <c r="AG78" s="222"/>
      <c r="AH78" s="197" t="s">
        <v>812</v>
      </c>
      <c r="AK78" s="222"/>
      <c r="AN78" s="222"/>
      <c r="AP78" s="222"/>
    </row>
    <row r="79" spans="1:43" s="213" customFormat="1" ht="15" x14ac:dyDescent="0.25">
      <c r="A79" s="228"/>
      <c r="B79" s="229"/>
      <c r="C79" s="230" t="s">
        <v>108</v>
      </c>
      <c r="D79" s="365" t="s">
        <v>870</v>
      </c>
      <c r="E79" s="365"/>
      <c r="F79" s="365"/>
      <c r="G79" s="231"/>
      <c r="H79" s="232"/>
      <c r="I79" s="232"/>
      <c r="J79" s="232"/>
      <c r="K79" s="233">
        <v>313.2</v>
      </c>
      <c r="L79" s="270">
        <v>1.2</v>
      </c>
      <c r="M79" s="233">
        <v>157.85</v>
      </c>
      <c r="N79" s="235">
        <v>44.77</v>
      </c>
      <c r="O79" s="236">
        <v>7066.94</v>
      </c>
      <c r="AF79" s="222"/>
      <c r="AG79" s="222"/>
      <c r="AH79" s="197" t="s">
        <v>870</v>
      </c>
      <c r="AK79" s="222"/>
      <c r="AN79" s="222"/>
      <c r="AP79" s="222"/>
    </row>
    <row r="80" spans="1:43" s="213" customFormat="1" ht="15" x14ac:dyDescent="0.25">
      <c r="A80" s="228"/>
      <c r="B80" s="229"/>
      <c r="C80" s="230" t="s">
        <v>109</v>
      </c>
      <c r="D80" s="365" t="s">
        <v>871</v>
      </c>
      <c r="E80" s="365"/>
      <c r="F80" s="365"/>
      <c r="G80" s="231"/>
      <c r="H80" s="232"/>
      <c r="I80" s="232"/>
      <c r="J80" s="232"/>
      <c r="K80" s="233">
        <v>3.25</v>
      </c>
      <c r="L80" s="232"/>
      <c r="M80" s="233">
        <v>1.37</v>
      </c>
      <c r="N80" s="235">
        <v>8.16</v>
      </c>
      <c r="O80" s="271">
        <v>11.18</v>
      </c>
      <c r="AF80" s="222"/>
      <c r="AG80" s="222"/>
      <c r="AH80" s="197" t="s">
        <v>871</v>
      </c>
      <c r="AK80" s="222"/>
      <c r="AN80" s="222"/>
      <c r="AP80" s="222"/>
    </row>
    <row r="81" spans="1:42" s="213" customFormat="1" ht="15" x14ac:dyDescent="0.25">
      <c r="A81" s="228"/>
      <c r="B81" s="229"/>
      <c r="C81" s="230"/>
      <c r="D81" s="365" t="s">
        <v>813</v>
      </c>
      <c r="E81" s="365"/>
      <c r="F81" s="365"/>
      <c r="G81" s="231" t="s">
        <v>814</v>
      </c>
      <c r="H81" s="245">
        <v>8</v>
      </c>
      <c r="I81" s="270">
        <v>1.2</v>
      </c>
      <c r="J81" s="272">
        <v>4.032</v>
      </c>
      <c r="K81" s="237"/>
      <c r="L81" s="232"/>
      <c r="M81" s="237"/>
      <c r="N81" s="232"/>
      <c r="O81" s="238"/>
      <c r="AF81" s="222"/>
      <c r="AG81" s="222"/>
      <c r="AI81" s="197" t="s">
        <v>813</v>
      </c>
      <c r="AK81" s="222"/>
      <c r="AN81" s="222"/>
      <c r="AP81" s="222"/>
    </row>
    <row r="82" spans="1:42" s="213" customFormat="1" ht="15" x14ac:dyDescent="0.25">
      <c r="A82" s="228"/>
      <c r="B82" s="229"/>
      <c r="C82" s="230"/>
      <c r="D82" s="365" t="s">
        <v>872</v>
      </c>
      <c r="E82" s="365"/>
      <c r="F82" s="365"/>
      <c r="G82" s="231" t="s">
        <v>814</v>
      </c>
      <c r="H82" s="270">
        <v>23.2</v>
      </c>
      <c r="I82" s="270">
        <v>1.2</v>
      </c>
      <c r="J82" s="273">
        <v>11.6928</v>
      </c>
      <c r="K82" s="237"/>
      <c r="L82" s="232"/>
      <c r="M82" s="237"/>
      <c r="N82" s="232"/>
      <c r="O82" s="238"/>
      <c r="AF82" s="222"/>
      <c r="AG82" s="222"/>
      <c r="AI82" s="197" t="s">
        <v>872</v>
      </c>
      <c r="AK82" s="222"/>
      <c r="AN82" s="222"/>
      <c r="AP82" s="222"/>
    </row>
    <row r="83" spans="1:42" s="213" customFormat="1" ht="15" x14ac:dyDescent="0.25">
      <c r="A83" s="239"/>
      <c r="B83" s="231"/>
      <c r="C83" s="230"/>
      <c r="D83" s="389" t="s">
        <v>815</v>
      </c>
      <c r="E83" s="389"/>
      <c r="F83" s="389"/>
      <c r="G83" s="240"/>
      <c r="H83" s="241"/>
      <c r="I83" s="241"/>
      <c r="J83" s="241"/>
      <c r="K83" s="243">
        <v>2529.96</v>
      </c>
      <c r="L83" s="241"/>
      <c r="M83" s="243">
        <v>1274.83</v>
      </c>
      <c r="N83" s="241"/>
      <c r="O83" s="244">
        <v>17863.41</v>
      </c>
      <c r="AF83" s="222"/>
      <c r="AG83" s="222"/>
      <c r="AJ83" s="197" t="s">
        <v>815</v>
      </c>
      <c r="AK83" s="222"/>
      <c r="AN83" s="222"/>
      <c r="AP83" s="222"/>
    </row>
    <row r="84" spans="1:42" s="213" customFormat="1" ht="15" x14ac:dyDescent="0.25">
      <c r="A84" s="228"/>
      <c r="B84" s="229"/>
      <c r="C84" s="230"/>
      <c r="D84" s="365" t="s">
        <v>816</v>
      </c>
      <c r="E84" s="365"/>
      <c r="F84" s="365"/>
      <c r="G84" s="231"/>
      <c r="H84" s="232"/>
      <c r="I84" s="232"/>
      <c r="J84" s="232"/>
      <c r="K84" s="237"/>
      <c r="L84" s="232"/>
      <c r="M84" s="233">
        <v>189.3</v>
      </c>
      <c r="N84" s="232"/>
      <c r="O84" s="236">
        <v>8474.9599999999991</v>
      </c>
      <c r="AF84" s="222"/>
      <c r="AG84" s="222"/>
      <c r="AI84" s="197" t="s">
        <v>816</v>
      </c>
      <c r="AK84" s="222"/>
      <c r="AN84" s="222"/>
      <c r="AP84" s="222"/>
    </row>
    <row r="85" spans="1:42" s="213" customFormat="1" ht="45" x14ac:dyDescent="0.25">
      <c r="A85" s="228"/>
      <c r="B85" s="229"/>
      <c r="C85" s="230" t="s">
        <v>873</v>
      </c>
      <c r="D85" s="365" t="s">
        <v>874</v>
      </c>
      <c r="E85" s="365"/>
      <c r="F85" s="365"/>
      <c r="G85" s="231" t="s">
        <v>819</v>
      </c>
      <c r="H85" s="245">
        <v>92</v>
      </c>
      <c r="I85" s="232"/>
      <c r="J85" s="245">
        <v>92</v>
      </c>
      <c r="K85" s="237"/>
      <c r="L85" s="232"/>
      <c r="M85" s="233">
        <v>174.16</v>
      </c>
      <c r="N85" s="232"/>
      <c r="O85" s="236">
        <v>7796.96</v>
      </c>
      <c r="AF85" s="222"/>
      <c r="AG85" s="222"/>
      <c r="AI85" s="197" t="s">
        <v>874</v>
      </c>
      <c r="AK85" s="222"/>
      <c r="AN85" s="222"/>
      <c r="AP85" s="222"/>
    </row>
    <row r="86" spans="1:42" s="213" customFormat="1" ht="45" x14ac:dyDescent="0.25">
      <c r="A86" s="228"/>
      <c r="B86" s="229"/>
      <c r="C86" s="230" t="s">
        <v>875</v>
      </c>
      <c r="D86" s="365" t="s">
        <v>876</v>
      </c>
      <c r="E86" s="365"/>
      <c r="F86" s="365"/>
      <c r="G86" s="231" t="s">
        <v>819</v>
      </c>
      <c r="H86" s="245">
        <v>46</v>
      </c>
      <c r="I86" s="235">
        <v>0.85</v>
      </c>
      <c r="J86" s="270">
        <v>39.1</v>
      </c>
      <c r="K86" s="237"/>
      <c r="L86" s="232"/>
      <c r="M86" s="233">
        <v>74.02</v>
      </c>
      <c r="N86" s="232"/>
      <c r="O86" s="236">
        <v>3313.71</v>
      </c>
      <c r="AF86" s="222"/>
      <c r="AG86" s="222"/>
      <c r="AI86" s="197" t="s">
        <v>876</v>
      </c>
      <c r="AK86" s="222"/>
      <c r="AN86" s="222"/>
      <c r="AP86" s="222"/>
    </row>
    <row r="87" spans="1:42" s="213" customFormat="1" ht="15" x14ac:dyDescent="0.25">
      <c r="A87" s="228"/>
      <c r="B87" s="246"/>
      <c r="C87" s="247"/>
      <c r="D87" s="388" t="s">
        <v>822</v>
      </c>
      <c r="E87" s="388"/>
      <c r="F87" s="388"/>
      <c r="G87" s="224"/>
      <c r="H87" s="248"/>
      <c r="I87" s="248"/>
      <c r="J87" s="248"/>
      <c r="K87" s="249"/>
      <c r="L87" s="248"/>
      <c r="M87" s="250">
        <v>1523.01</v>
      </c>
      <c r="N87" s="241"/>
      <c r="O87" s="251">
        <v>28974.080000000002</v>
      </c>
      <c r="AF87" s="222"/>
      <c r="AG87" s="222"/>
      <c r="AK87" s="222" t="s">
        <v>822</v>
      </c>
      <c r="AN87" s="222"/>
      <c r="AP87" s="222"/>
    </row>
    <row r="88" spans="1:42" s="213" customFormat="1" ht="45.75" x14ac:dyDescent="0.25">
      <c r="A88" s="223" t="s">
        <v>114</v>
      </c>
      <c r="B88" s="224" t="s">
        <v>114</v>
      </c>
      <c r="C88" s="225" t="s">
        <v>829</v>
      </c>
      <c r="D88" s="387" t="s">
        <v>830</v>
      </c>
      <c r="E88" s="387"/>
      <c r="F88" s="387"/>
      <c r="G88" s="224" t="s">
        <v>113</v>
      </c>
      <c r="H88" s="224">
        <v>420</v>
      </c>
      <c r="I88" s="224" t="s">
        <v>104</v>
      </c>
      <c r="J88" s="224" t="s">
        <v>877</v>
      </c>
      <c r="K88" s="226" t="s">
        <v>831</v>
      </c>
      <c r="L88" s="224"/>
      <c r="M88" s="226" t="s">
        <v>878</v>
      </c>
      <c r="N88" s="224" t="s">
        <v>833</v>
      </c>
      <c r="O88" s="227" t="s">
        <v>879</v>
      </c>
      <c r="AF88" s="222"/>
      <c r="AG88" s="222" t="s">
        <v>830</v>
      </c>
      <c r="AK88" s="222"/>
      <c r="AN88" s="222"/>
      <c r="AP88" s="222"/>
    </row>
    <row r="89" spans="1:42" s="213" customFormat="1" ht="15" x14ac:dyDescent="0.25">
      <c r="A89" s="228"/>
      <c r="B89" s="246"/>
      <c r="C89" s="247"/>
      <c r="D89" s="388" t="s">
        <v>822</v>
      </c>
      <c r="E89" s="388"/>
      <c r="F89" s="388"/>
      <c r="G89" s="224"/>
      <c r="H89" s="248"/>
      <c r="I89" s="248"/>
      <c r="J89" s="248"/>
      <c r="K89" s="249"/>
      <c r="L89" s="248"/>
      <c r="M89" s="250">
        <v>8101.8</v>
      </c>
      <c r="N89" s="241"/>
      <c r="O89" s="251">
        <v>110346.52</v>
      </c>
      <c r="AF89" s="222"/>
      <c r="AG89" s="222"/>
      <c r="AK89" s="222" t="s">
        <v>822</v>
      </c>
      <c r="AN89" s="222"/>
      <c r="AP89" s="222"/>
    </row>
    <row r="90" spans="1:42" s="213" customFormat="1" ht="23.25" x14ac:dyDescent="0.25">
      <c r="A90" s="223" t="s">
        <v>117</v>
      </c>
      <c r="B90" s="224" t="s">
        <v>117</v>
      </c>
      <c r="C90" s="225" t="s">
        <v>835</v>
      </c>
      <c r="D90" s="387" t="s">
        <v>119</v>
      </c>
      <c r="E90" s="387"/>
      <c r="F90" s="387"/>
      <c r="G90" s="224" t="s">
        <v>120</v>
      </c>
      <c r="H90" s="224">
        <v>420</v>
      </c>
      <c r="I90" s="224" t="s">
        <v>104</v>
      </c>
      <c r="J90" s="224" t="s">
        <v>877</v>
      </c>
      <c r="K90" s="226" t="s">
        <v>837</v>
      </c>
      <c r="L90" s="224"/>
      <c r="M90" s="226" t="s">
        <v>880</v>
      </c>
      <c r="N90" s="224" t="s">
        <v>839</v>
      </c>
      <c r="O90" s="227" t="s">
        <v>881</v>
      </c>
      <c r="AF90" s="222"/>
      <c r="AG90" s="222" t="s">
        <v>119</v>
      </c>
      <c r="AK90" s="222"/>
      <c r="AN90" s="222"/>
      <c r="AP90" s="222"/>
    </row>
    <row r="91" spans="1:42" s="213" customFormat="1" ht="15" x14ac:dyDescent="0.25">
      <c r="A91" s="253"/>
      <c r="B91" s="193"/>
      <c r="C91" s="247"/>
      <c r="D91" s="365" t="s">
        <v>841</v>
      </c>
      <c r="E91" s="365"/>
      <c r="F91" s="365"/>
      <c r="G91" s="365"/>
      <c r="H91" s="365"/>
      <c r="I91" s="365"/>
      <c r="J91" s="365"/>
      <c r="K91" s="365"/>
      <c r="L91" s="365"/>
      <c r="M91" s="365"/>
      <c r="N91" s="365"/>
      <c r="O91" s="390"/>
      <c r="AF91" s="222"/>
      <c r="AG91" s="222"/>
      <c r="AK91" s="222"/>
      <c r="AL91" s="197" t="s">
        <v>841</v>
      </c>
      <c r="AN91" s="222"/>
      <c r="AP91" s="222"/>
    </row>
    <row r="92" spans="1:42" s="213" customFormat="1" ht="15" x14ac:dyDescent="0.25">
      <c r="A92" s="253"/>
      <c r="B92" s="246"/>
      <c r="C92" s="247"/>
      <c r="D92" s="365" t="s">
        <v>842</v>
      </c>
      <c r="E92" s="365"/>
      <c r="F92" s="365"/>
      <c r="G92" s="365"/>
      <c r="H92" s="365"/>
      <c r="I92" s="365"/>
      <c r="J92" s="365"/>
      <c r="K92" s="365"/>
      <c r="L92" s="365"/>
      <c r="M92" s="365"/>
      <c r="N92" s="365"/>
      <c r="O92" s="390"/>
      <c r="AF92" s="222"/>
      <c r="AG92" s="222"/>
      <c r="AK92" s="222"/>
      <c r="AM92" s="197" t="s">
        <v>842</v>
      </c>
      <c r="AN92" s="222"/>
      <c r="AP92" s="222"/>
    </row>
    <row r="93" spans="1:42" s="213" customFormat="1" ht="15" x14ac:dyDescent="0.25">
      <c r="A93" s="228"/>
      <c r="B93" s="246"/>
      <c r="C93" s="247"/>
      <c r="D93" s="388" t="s">
        <v>822</v>
      </c>
      <c r="E93" s="388"/>
      <c r="F93" s="388"/>
      <c r="G93" s="224"/>
      <c r="H93" s="248"/>
      <c r="I93" s="248"/>
      <c r="J93" s="248"/>
      <c r="K93" s="249"/>
      <c r="L93" s="248"/>
      <c r="M93" s="250">
        <v>27426</v>
      </c>
      <c r="N93" s="241"/>
      <c r="O93" s="251">
        <v>223796.16</v>
      </c>
      <c r="AF93" s="222"/>
      <c r="AG93" s="222"/>
      <c r="AK93" s="222" t="s">
        <v>822</v>
      </c>
      <c r="AN93" s="222"/>
      <c r="AP93" s="222"/>
    </row>
    <row r="94" spans="1:42" s="213" customFormat="1" ht="15" x14ac:dyDescent="0.25">
      <c r="A94" s="254"/>
      <c r="B94" s="198"/>
      <c r="C94" s="226"/>
      <c r="D94" s="388" t="s">
        <v>882</v>
      </c>
      <c r="E94" s="388"/>
      <c r="F94" s="388"/>
      <c r="G94" s="388"/>
      <c r="H94" s="388"/>
      <c r="I94" s="388"/>
      <c r="J94" s="388"/>
      <c r="K94" s="388"/>
      <c r="L94" s="388"/>
      <c r="M94" s="255"/>
      <c r="N94" s="256"/>
      <c r="O94" s="257"/>
      <c r="P94" s="258"/>
      <c r="AF94" s="222"/>
      <c r="AG94" s="222"/>
      <c r="AK94" s="222"/>
      <c r="AN94" s="222" t="s">
        <v>882</v>
      </c>
      <c r="AP94" s="222"/>
    </row>
    <row r="95" spans="1:42" s="213" customFormat="1" ht="15" x14ac:dyDescent="0.25">
      <c r="A95" s="228"/>
      <c r="B95" s="193"/>
      <c r="C95" s="230"/>
      <c r="D95" s="365" t="s">
        <v>844</v>
      </c>
      <c r="E95" s="365"/>
      <c r="F95" s="365"/>
      <c r="G95" s="365"/>
      <c r="H95" s="365"/>
      <c r="I95" s="365"/>
      <c r="J95" s="365"/>
      <c r="K95" s="365"/>
      <c r="L95" s="365"/>
      <c r="M95" s="259">
        <v>36802.629999999997</v>
      </c>
      <c r="N95" s="260"/>
      <c r="O95" s="261"/>
      <c r="P95" s="262"/>
      <c r="AF95" s="222"/>
      <c r="AG95" s="222"/>
      <c r="AK95" s="222"/>
      <c r="AN95" s="222"/>
      <c r="AO95" s="197" t="s">
        <v>844</v>
      </c>
      <c r="AP95" s="222"/>
    </row>
    <row r="96" spans="1:42" s="213" customFormat="1" ht="15" x14ac:dyDescent="0.25">
      <c r="A96" s="228"/>
      <c r="B96" s="193"/>
      <c r="C96" s="230"/>
      <c r="D96" s="365" t="s">
        <v>845</v>
      </c>
      <c r="E96" s="365"/>
      <c r="F96" s="365"/>
      <c r="G96" s="365"/>
      <c r="H96" s="365"/>
      <c r="I96" s="365"/>
      <c r="J96" s="365"/>
      <c r="K96" s="365"/>
      <c r="L96" s="365"/>
      <c r="M96" s="262"/>
      <c r="N96" s="260"/>
      <c r="O96" s="261"/>
      <c r="P96" s="262"/>
      <c r="AF96" s="222"/>
      <c r="AG96" s="222"/>
      <c r="AK96" s="222"/>
      <c r="AN96" s="222"/>
      <c r="AO96" s="197" t="s">
        <v>845</v>
      </c>
      <c r="AP96" s="222"/>
    </row>
    <row r="97" spans="1:42" s="213" customFormat="1" ht="15" x14ac:dyDescent="0.25">
      <c r="A97" s="228"/>
      <c r="B97" s="193"/>
      <c r="C97" s="230"/>
      <c r="D97" s="365" t="s">
        <v>846</v>
      </c>
      <c r="E97" s="365"/>
      <c r="F97" s="365"/>
      <c r="G97" s="365"/>
      <c r="H97" s="365"/>
      <c r="I97" s="365"/>
      <c r="J97" s="365"/>
      <c r="K97" s="365"/>
      <c r="L97" s="365"/>
      <c r="M97" s="263">
        <v>31.45</v>
      </c>
      <c r="N97" s="260"/>
      <c r="O97" s="261"/>
      <c r="P97" s="262"/>
      <c r="AF97" s="222"/>
      <c r="AG97" s="222"/>
      <c r="AK97" s="222"/>
      <c r="AN97" s="222"/>
      <c r="AO97" s="197" t="s">
        <v>846</v>
      </c>
      <c r="AP97" s="222"/>
    </row>
    <row r="98" spans="1:42" s="213" customFormat="1" ht="15" x14ac:dyDescent="0.25">
      <c r="A98" s="228"/>
      <c r="B98" s="193"/>
      <c r="C98" s="230"/>
      <c r="D98" s="365" t="s">
        <v>847</v>
      </c>
      <c r="E98" s="365"/>
      <c r="F98" s="365"/>
      <c r="G98" s="365"/>
      <c r="H98" s="365"/>
      <c r="I98" s="365"/>
      <c r="J98" s="365"/>
      <c r="K98" s="365"/>
      <c r="L98" s="365"/>
      <c r="M98" s="259">
        <v>1242.01</v>
      </c>
      <c r="N98" s="260"/>
      <c r="O98" s="261"/>
      <c r="P98" s="262"/>
      <c r="AF98" s="222"/>
      <c r="AG98" s="222"/>
      <c r="AK98" s="222"/>
      <c r="AN98" s="222"/>
      <c r="AO98" s="197" t="s">
        <v>847</v>
      </c>
      <c r="AP98" s="222"/>
    </row>
    <row r="99" spans="1:42" s="213" customFormat="1" ht="15" x14ac:dyDescent="0.25">
      <c r="A99" s="228"/>
      <c r="B99" s="193"/>
      <c r="C99" s="230"/>
      <c r="D99" s="365" t="s">
        <v>883</v>
      </c>
      <c r="E99" s="365"/>
      <c r="F99" s="365"/>
      <c r="G99" s="365"/>
      <c r="H99" s="365"/>
      <c r="I99" s="365"/>
      <c r="J99" s="365"/>
      <c r="K99" s="365"/>
      <c r="L99" s="365"/>
      <c r="M99" s="263">
        <v>157.85</v>
      </c>
      <c r="N99" s="260"/>
      <c r="O99" s="261"/>
      <c r="P99" s="262"/>
      <c r="AF99" s="222"/>
      <c r="AG99" s="222"/>
      <c r="AK99" s="222"/>
      <c r="AN99" s="222"/>
      <c r="AO99" s="197" t="s">
        <v>883</v>
      </c>
      <c r="AP99" s="222"/>
    </row>
    <row r="100" spans="1:42" s="213" customFormat="1" ht="15" x14ac:dyDescent="0.25">
      <c r="A100" s="228"/>
      <c r="B100" s="193"/>
      <c r="C100" s="230"/>
      <c r="D100" s="365" t="s">
        <v>848</v>
      </c>
      <c r="E100" s="365"/>
      <c r="F100" s="365"/>
      <c r="G100" s="365"/>
      <c r="H100" s="365"/>
      <c r="I100" s="365"/>
      <c r="J100" s="365"/>
      <c r="K100" s="365"/>
      <c r="L100" s="365"/>
      <c r="M100" s="259">
        <v>27427.37</v>
      </c>
      <c r="N100" s="260"/>
      <c r="O100" s="261"/>
      <c r="P100" s="262"/>
      <c r="AF100" s="222"/>
      <c r="AG100" s="222"/>
      <c r="AK100" s="222"/>
      <c r="AN100" s="222"/>
      <c r="AO100" s="197" t="s">
        <v>848</v>
      </c>
      <c r="AP100" s="222"/>
    </row>
    <row r="101" spans="1:42" s="213" customFormat="1" ht="15" x14ac:dyDescent="0.25">
      <c r="A101" s="228"/>
      <c r="B101" s="193"/>
      <c r="C101" s="230"/>
      <c r="D101" s="365" t="s">
        <v>849</v>
      </c>
      <c r="E101" s="365"/>
      <c r="F101" s="365"/>
      <c r="G101" s="365"/>
      <c r="H101" s="365"/>
      <c r="I101" s="365"/>
      <c r="J101" s="365"/>
      <c r="K101" s="365"/>
      <c r="L101" s="365"/>
      <c r="M101" s="259">
        <v>8101.8</v>
      </c>
      <c r="N101" s="260"/>
      <c r="O101" s="261"/>
      <c r="P101" s="262"/>
      <c r="AF101" s="222"/>
      <c r="AG101" s="222"/>
      <c r="AK101" s="222"/>
      <c r="AN101" s="222"/>
      <c r="AO101" s="197" t="s">
        <v>849</v>
      </c>
      <c r="AP101" s="222"/>
    </row>
    <row r="102" spans="1:42" s="213" customFormat="1" ht="15" x14ac:dyDescent="0.25">
      <c r="A102" s="228"/>
      <c r="B102" s="193"/>
      <c r="C102" s="230"/>
      <c r="D102" s="365" t="s">
        <v>850</v>
      </c>
      <c r="E102" s="365"/>
      <c r="F102" s="365"/>
      <c r="G102" s="365"/>
      <c r="H102" s="365"/>
      <c r="I102" s="365"/>
      <c r="J102" s="365"/>
      <c r="K102" s="365"/>
      <c r="L102" s="365"/>
      <c r="M102" s="259">
        <v>37050.81</v>
      </c>
      <c r="N102" s="260"/>
      <c r="O102" s="261"/>
      <c r="P102" s="262"/>
      <c r="AF102" s="222"/>
      <c r="AG102" s="222"/>
      <c r="AK102" s="222"/>
      <c r="AN102" s="222"/>
      <c r="AO102" s="197" t="s">
        <v>850</v>
      </c>
      <c r="AP102" s="222"/>
    </row>
    <row r="103" spans="1:42" s="213" customFormat="1" ht="15" x14ac:dyDescent="0.25">
      <c r="A103" s="228"/>
      <c r="B103" s="193"/>
      <c r="C103" s="230"/>
      <c r="D103" s="365" t="s">
        <v>851</v>
      </c>
      <c r="E103" s="365"/>
      <c r="F103" s="365"/>
      <c r="G103" s="365"/>
      <c r="H103" s="365"/>
      <c r="I103" s="365"/>
      <c r="J103" s="365"/>
      <c r="K103" s="365"/>
      <c r="L103" s="365"/>
      <c r="M103" s="259">
        <v>28949.01</v>
      </c>
      <c r="N103" s="260"/>
      <c r="O103" s="261"/>
      <c r="P103" s="262"/>
      <c r="AF103" s="222"/>
      <c r="AG103" s="222"/>
      <c r="AK103" s="222"/>
      <c r="AN103" s="222"/>
      <c r="AO103" s="197" t="s">
        <v>851</v>
      </c>
      <c r="AP103" s="222"/>
    </row>
    <row r="104" spans="1:42" s="213" customFormat="1" ht="15" x14ac:dyDescent="0.25">
      <c r="A104" s="228"/>
      <c r="B104" s="193"/>
      <c r="C104" s="230"/>
      <c r="D104" s="365" t="s">
        <v>852</v>
      </c>
      <c r="E104" s="365"/>
      <c r="F104" s="365"/>
      <c r="G104" s="365"/>
      <c r="H104" s="365"/>
      <c r="I104" s="365"/>
      <c r="J104" s="365"/>
      <c r="K104" s="365"/>
      <c r="L104" s="365"/>
      <c r="M104" s="262"/>
      <c r="N104" s="260"/>
      <c r="O104" s="261"/>
      <c r="P104" s="262"/>
      <c r="AF104" s="222"/>
      <c r="AG104" s="222"/>
      <c r="AK104" s="222"/>
      <c r="AN104" s="222"/>
      <c r="AO104" s="197" t="s">
        <v>852</v>
      </c>
      <c r="AP104" s="222"/>
    </row>
    <row r="105" spans="1:42" s="213" customFormat="1" ht="15" x14ac:dyDescent="0.25">
      <c r="A105" s="228"/>
      <c r="B105" s="193"/>
      <c r="C105" s="230"/>
      <c r="D105" s="365" t="s">
        <v>853</v>
      </c>
      <c r="E105" s="365"/>
      <c r="F105" s="365"/>
      <c r="G105" s="365"/>
      <c r="H105" s="365"/>
      <c r="I105" s="365"/>
      <c r="J105" s="365"/>
      <c r="K105" s="365"/>
      <c r="L105" s="365"/>
      <c r="M105" s="263">
        <v>31.45</v>
      </c>
      <c r="N105" s="260"/>
      <c r="O105" s="261"/>
      <c r="P105" s="262"/>
      <c r="AF105" s="222"/>
      <c r="AG105" s="222"/>
      <c r="AK105" s="222"/>
      <c r="AN105" s="222"/>
      <c r="AO105" s="197" t="s">
        <v>853</v>
      </c>
      <c r="AP105" s="222"/>
    </row>
    <row r="106" spans="1:42" s="213" customFormat="1" ht="15" x14ac:dyDescent="0.25">
      <c r="A106" s="228"/>
      <c r="B106" s="193"/>
      <c r="C106" s="230"/>
      <c r="D106" s="365" t="s">
        <v>854</v>
      </c>
      <c r="E106" s="365"/>
      <c r="F106" s="365"/>
      <c r="G106" s="365"/>
      <c r="H106" s="365"/>
      <c r="I106" s="365"/>
      <c r="J106" s="365"/>
      <c r="K106" s="365"/>
      <c r="L106" s="365"/>
      <c r="M106" s="259">
        <v>1242.01</v>
      </c>
      <c r="N106" s="260"/>
      <c r="O106" s="261"/>
      <c r="P106" s="262"/>
      <c r="AF106" s="222"/>
      <c r="AG106" s="222"/>
      <c r="AK106" s="222"/>
      <c r="AN106" s="222"/>
      <c r="AO106" s="197" t="s">
        <v>854</v>
      </c>
      <c r="AP106" s="222"/>
    </row>
    <row r="107" spans="1:42" s="213" customFormat="1" ht="15" x14ac:dyDescent="0.25">
      <c r="A107" s="228"/>
      <c r="B107" s="193"/>
      <c r="C107" s="230"/>
      <c r="D107" s="365" t="s">
        <v>884</v>
      </c>
      <c r="E107" s="365"/>
      <c r="F107" s="365"/>
      <c r="G107" s="365"/>
      <c r="H107" s="365"/>
      <c r="I107" s="365"/>
      <c r="J107" s="365"/>
      <c r="K107" s="365"/>
      <c r="L107" s="365"/>
      <c r="M107" s="263">
        <v>157.85</v>
      </c>
      <c r="N107" s="260"/>
      <c r="O107" s="261"/>
      <c r="P107" s="262"/>
      <c r="AF107" s="222"/>
      <c r="AG107" s="222"/>
      <c r="AK107" s="222"/>
      <c r="AN107" s="222"/>
      <c r="AO107" s="197" t="s">
        <v>884</v>
      </c>
      <c r="AP107" s="222"/>
    </row>
    <row r="108" spans="1:42" s="213" customFormat="1" ht="15" x14ac:dyDescent="0.25">
      <c r="A108" s="228"/>
      <c r="B108" s="193"/>
      <c r="C108" s="230"/>
      <c r="D108" s="365" t="s">
        <v>855</v>
      </c>
      <c r="E108" s="365"/>
      <c r="F108" s="365"/>
      <c r="G108" s="365"/>
      <c r="H108" s="365"/>
      <c r="I108" s="365"/>
      <c r="J108" s="365"/>
      <c r="K108" s="365"/>
      <c r="L108" s="365"/>
      <c r="M108" s="259">
        <v>27427.37</v>
      </c>
      <c r="N108" s="260"/>
      <c r="O108" s="261"/>
      <c r="P108" s="262"/>
      <c r="AF108" s="222"/>
      <c r="AG108" s="222"/>
      <c r="AK108" s="222"/>
      <c r="AN108" s="222"/>
      <c r="AO108" s="197" t="s">
        <v>855</v>
      </c>
      <c r="AP108" s="222"/>
    </row>
    <row r="109" spans="1:42" s="213" customFormat="1" ht="15" x14ac:dyDescent="0.25">
      <c r="A109" s="228"/>
      <c r="B109" s="193"/>
      <c r="C109" s="230"/>
      <c r="D109" s="365" t="s">
        <v>856</v>
      </c>
      <c r="E109" s="365"/>
      <c r="F109" s="365"/>
      <c r="G109" s="365"/>
      <c r="H109" s="365"/>
      <c r="I109" s="365"/>
      <c r="J109" s="365"/>
      <c r="K109" s="365"/>
      <c r="L109" s="365"/>
      <c r="M109" s="263">
        <v>174.16</v>
      </c>
      <c r="N109" s="260"/>
      <c r="O109" s="261"/>
      <c r="P109" s="262"/>
      <c r="AF109" s="222"/>
      <c r="AG109" s="222"/>
      <c r="AK109" s="222"/>
      <c r="AN109" s="222"/>
      <c r="AO109" s="197" t="s">
        <v>856</v>
      </c>
      <c r="AP109" s="222"/>
    </row>
    <row r="110" spans="1:42" s="213" customFormat="1" ht="15" x14ac:dyDescent="0.25">
      <c r="A110" s="228"/>
      <c r="B110" s="193"/>
      <c r="C110" s="230"/>
      <c r="D110" s="365" t="s">
        <v>857</v>
      </c>
      <c r="E110" s="365"/>
      <c r="F110" s="365"/>
      <c r="G110" s="365"/>
      <c r="H110" s="365"/>
      <c r="I110" s="365"/>
      <c r="J110" s="365"/>
      <c r="K110" s="365"/>
      <c r="L110" s="365"/>
      <c r="M110" s="263">
        <v>74.02</v>
      </c>
      <c r="N110" s="260"/>
      <c r="O110" s="261"/>
      <c r="P110" s="262"/>
      <c r="AF110" s="222"/>
      <c r="AG110" s="222"/>
      <c r="AK110" s="222"/>
      <c r="AN110" s="222"/>
      <c r="AO110" s="197" t="s">
        <v>857</v>
      </c>
      <c r="AP110" s="222"/>
    </row>
    <row r="111" spans="1:42" s="213" customFormat="1" ht="15" x14ac:dyDescent="0.25">
      <c r="A111" s="228"/>
      <c r="B111" s="193"/>
      <c r="C111" s="230"/>
      <c r="D111" s="365" t="s">
        <v>859</v>
      </c>
      <c r="E111" s="365"/>
      <c r="F111" s="365"/>
      <c r="G111" s="365"/>
      <c r="H111" s="365"/>
      <c r="I111" s="365"/>
      <c r="J111" s="365"/>
      <c r="K111" s="365"/>
      <c r="L111" s="365"/>
      <c r="M111" s="259">
        <v>8101.8</v>
      </c>
      <c r="N111" s="260"/>
      <c r="O111" s="261"/>
      <c r="P111" s="262"/>
      <c r="AF111" s="222"/>
      <c r="AG111" s="222"/>
      <c r="AK111" s="222"/>
      <c r="AN111" s="222"/>
      <c r="AO111" s="197" t="s">
        <v>859</v>
      </c>
      <c r="AP111" s="222"/>
    </row>
    <row r="112" spans="1:42" s="213" customFormat="1" ht="15" x14ac:dyDescent="0.25">
      <c r="A112" s="228"/>
      <c r="B112" s="193"/>
      <c r="C112" s="230"/>
      <c r="D112" s="365" t="s">
        <v>860</v>
      </c>
      <c r="E112" s="365"/>
      <c r="F112" s="365"/>
      <c r="G112" s="365"/>
      <c r="H112" s="365"/>
      <c r="I112" s="365"/>
      <c r="J112" s="365"/>
      <c r="K112" s="365"/>
      <c r="L112" s="365"/>
      <c r="M112" s="263">
        <v>189.3</v>
      </c>
      <c r="N112" s="260"/>
      <c r="O112" s="261"/>
      <c r="P112" s="262"/>
      <c r="AF112" s="222"/>
      <c r="AG112" s="222"/>
      <c r="AK112" s="222"/>
      <c r="AN112" s="222"/>
      <c r="AO112" s="197" t="s">
        <v>860</v>
      </c>
      <c r="AP112" s="222"/>
    </row>
    <row r="113" spans="1:45" s="213" customFormat="1" ht="15" x14ac:dyDescent="0.25">
      <c r="A113" s="228"/>
      <c r="B113" s="193"/>
      <c r="C113" s="230"/>
      <c r="D113" s="365" t="s">
        <v>861</v>
      </c>
      <c r="E113" s="365"/>
      <c r="F113" s="365"/>
      <c r="G113" s="365"/>
      <c r="H113" s="365"/>
      <c r="I113" s="365"/>
      <c r="J113" s="365"/>
      <c r="K113" s="365"/>
      <c r="L113" s="365"/>
      <c r="M113" s="263">
        <v>174.16</v>
      </c>
      <c r="N113" s="260"/>
      <c r="O113" s="261"/>
      <c r="P113" s="262"/>
      <c r="AF113" s="222"/>
      <c r="AG113" s="222"/>
      <c r="AK113" s="222"/>
      <c r="AN113" s="222"/>
      <c r="AO113" s="197" t="s">
        <v>861</v>
      </c>
      <c r="AP113" s="222"/>
    </row>
    <row r="114" spans="1:45" s="213" customFormat="1" ht="15" x14ac:dyDescent="0.25">
      <c r="A114" s="228"/>
      <c r="B114" s="193"/>
      <c r="C114" s="230"/>
      <c r="D114" s="365" t="s">
        <v>862</v>
      </c>
      <c r="E114" s="365"/>
      <c r="F114" s="365"/>
      <c r="G114" s="365"/>
      <c r="H114" s="365"/>
      <c r="I114" s="365"/>
      <c r="J114" s="365"/>
      <c r="K114" s="365"/>
      <c r="L114" s="365"/>
      <c r="M114" s="263">
        <v>74.02</v>
      </c>
      <c r="N114" s="260"/>
      <c r="O114" s="261"/>
      <c r="P114" s="262"/>
      <c r="AF114" s="222"/>
      <c r="AG114" s="222"/>
      <c r="AK114" s="222"/>
      <c r="AN114" s="222"/>
      <c r="AO114" s="197" t="s">
        <v>862</v>
      </c>
      <c r="AP114" s="222"/>
    </row>
    <row r="115" spans="1:45" s="213" customFormat="1" ht="15" x14ac:dyDescent="0.25">
      <c r="A115" s="228"/>
      <c r="B115" s="193"/>
      <c r="C115" s="264"/>
      <c r="D115" s="391" t="s">
        <v>885</v>
      </c>
      <c r="E115" s="391"/>
      <c r="F115" s="391"/>
      <c r="G115" s="391"/>
      <c r="H115" s="391"/>
      <c r="I115" s="391"/>
      <c r="J115" s="391"/>
      <c r="K115" s="391"/>
      <c r="L115" s="391"/>
      <c r="M115" s="265">
        <v>37050.81</v>
      </c>
      <c r="N115" s="266"/>
      <c r="O115" s="267"/>
      <c r="P115" s="268"/>
      <c r="AF115" s="222"/>
      <c r="AG115" s="222"/>
      <c r="AK115" s="222"/>
      <c r="AN115" s="222"/>
      <c r="AP115" s="222" t="s">
        <v>885</v>
      </c>
    </row>
    <row r="116" spans="1:45" s="213" customFormat="1" ht="15" x14ac:dyDescent="0.25">
      <c r="A116" s="254"/>
      <c r="B116" s="198"/>
      <c r="C116" s="226"/>
      <c r="D116" s="388" t="s">
        <v>886</v>
      </c>
      <c r="E116" s="388"/>
      <c r="F116" s="388"/>
      <c r="G116" s="388"/>
      <c r="H116" s="388"/>
      <c r="I116" s="388"/>
      <c r="J116" s="388"/>
      <c r="K116" s="388"/>
      <c r="L116" s="388"/>
      <c r="M116" s="255"/>
      <c r="N116" s="256"/>
      <c r="O116" s="257"/>
      <c r="AR116" s="222" t="s">
        <v>886</v>
      </c>
    </row>
    <row r="117" spans="1:45" s="213" customFormat="1" ht="15" x14ac:dyDescent="0.25">
      <c r="A117" s="228"/>
      <c r="B117" s="193"/>
      <c r="C117" s="230"/>
      <c r="D117" s="365" t="s">
        <v>844</v>
      </c>
      <c r="E117" s="365"/>
      <c r="F117" s="365"/>
      <c r="G117" s="365"/>
      <c r="H117" s="365"/>
      <c r="I117" s="365"/>
      <c r="J117" s="365"/>
      <c r="K117" s="365"/>
      <c r="L117" s="365"/>
      <c r="M117" s="259">
        <v>84122.29</v>
      </c>
      <c r="N117" s="260"/>
      <c r="O117" s="274">
        <v>1225569.6000000001</v>
      </c>
      <c r="AR117" s="222"/>
      <c r="AS117" s="197" t="s">
        <v>844</v>
      </c>
    </row>
    <row r="118" spans="1:45" s="213" customFormat="1" ht="15" x14ac:dyDescent="0.25">
      <c r="A118" s="228"/>
      <c r="B118" s="193"/>
      <c r="C118" s="230"/>
      <c r="D118" s="365" t="s">
        <v>845</v>
      </c>
      <c r="E118" s="365"/>
      <c r="F118" s="365"/>
      <c r="G118" s="365"/>
      <c r="H118" s="365"/>
      <c r="I118" s="365"/>
      <c r="J118" s="365"/>
      <c r="K118" s="365"/>
      <c r="L118" s="365"/>
      <c r="M118" s="262"/>
      <c r="N118" s="260"/>
      <c r="O118" s="261"/>
      <c r="AR118" s="222"/>
      <c r="AS118" s="197" t="s">
        <v>845</v>
      </c>
    </row>
    <row r="119" spans="1:45" s="213" customFormat="1" ht="15" x14ac:dyDescent="0.25">
      <c r="A119" s="228"/>
      <c r="B119" s="193"/>
      <c r="C119" s="230"/>
      <c r="D119" s="365" t="s">
        <v>846</v>
      </c>
      <c r="E119" s="365"/>
      <c r="F119" s="365"/>
      <c r="G119" s="365"/>
      <c r="H119" s="365"/>
      <c r="I119" s="365"/>
      <c r="J119" s="365"/>
      <c r="K119" s="365"/>
      <c r="L119" s="365"/>
      <c r="M119" s="259">
        <v>8940.3700000000008</v>
      </c>
      <c r="N119" s="260"/>
      <c r="O119" s="274">
        <v>400260.37</v>
      </c>
      <c r="AR119" s="222"/>
      <c r="AS119" s="197" t="s">
        <v>846</v>
      </c>
    </row>
    <row r="120" spans="1:45" s="213" customFormat="1" ht="15" x14ac:dyDescent="0.25">
      <c r="A120" s="228"/>
      <c r="B120" s="193"/>
      <c r="C120" s="230"/>
      <c r="D120" s="365" t="s">
        <v>847</v>
      </c>
      <c r="E120" s="365"/>
      <c r="F120" s="365"/>
      <c r="G120" s="365"/>
      <c r="H120" s="365"/>
      <c r="I120" s="365"/>
      <c r="J120" s="365"/>
      <c r="K120" s="365"/>
      <c r="L120" s="365"/>
      <c r="M120" s="259">
        <v>27392.05</v>
      </c>
      <c r="N120" s="260"/>
      <c r="O120" s="274">
        <v>362670.74</v>
      </c>
      <c r="AR120" s="222"/>
      <c r="AS120" s="197" t="s">
        <v>847</v>
      </c>
    </row>
    <row r="121" spans="1:45" s="213" customFormat="1" ht="15" x14ac:dyDescent="0.25">
      <c r="A121" s="228"/>
      <c r="B121" s="193"/>
      <c r="C121" s="230"/>
      <c r="D121" s="365" t="s">
        <v>883</v>
      </c>
      <c r="E121" s="365"/>
      <c r="F121" s="365"/>
      <c r="G121" s="365"/>
      <c r="H121" s="365"/>
      <c r="I121" s="365"/>
      <c r="J121" s="365"/>
      <c r="K121" s="365"/>
      <c r="L121" s="365"/>
      <c r="M121" s="263">
        <v>157.85</v>
      </c>
      <c r="N121" s="260"/>
      <c r="O121" s="274">
        <v>7066.94</v>
      </c>
      <c r="AR121" s="222"/>
      <c r="AS121" s="197" t="s">
        <v>883</v>
      </c>
    </row>
    <row r="122" spans="1:45" s="213" customFormat="1" ht="15" x14ac:dyDescent="0.25">
      <c r="A122" s="228"/>
      <c r="B122" s="193"/>
      <c r="C122" s="230"/>
      <c r="D122" s="365" t="s">
        <v>848</v>
      </c>
      <c r="E122" s="365"/>
      <c r="F122" s="365"/>
      <c r="G122" s="365"/>
      <c r="H122" s="365"/>
      <c r="I122" s="365"/>
      <c r="J122" s="365"/>
      <c r="K122" s="365"/>
      <c r="L122" s="365"/>
      <c r="M122" s="259">
        <v>34479.769999999997</v>
      </c>
      <c r="N122" s="260"/>
      <c r="O122" s="274">
        <v>281354.92</v>
      </c>
      <c r="AR122" s="222"/>
      <c r="AS122" s="197" t="s">
        <v>848</v>
      </c>
    </row>
    <row r="123" spans="1:45" s="213" customFormat="1" ht="15" x14ac:dyDescent="0.25">
      <c r="A123" s="228"/>
      <c r="B123" s="193"/>
      <c r="C123" s="230"/>
      <c r="D123" s="365" t="s">
        <v>849</v>
      </c>
      <c r="E123" s="365"/>
      <c r="F123" s="365"/>
      <c r="G123" s="365"/>
      <c r="H123" s="365"/>
      <c r="I123" s="365"/>
      <c r="J123" s="365"/>
      <c r="K123" s="365"/>
      <c r="L123" s="365"/>
      <c r="M123" s="259">
        <v>13310.1</v>
      </c>
      <c r="N123" s="260"/>
      <c r="O123" s="274">
        <v>181283.57</v>
      </c>
      <c r="AR123" s="222"/>
      <c r="AS123" s="197" t="s">
        <v>849</v>
      </c>
    </row>
    <row r="124" spans="1:45" s="213" customFormat="1" ht="15" x14ac:dyDescent="0.25">
      <c r="A124" s="228"/>
      <c r="B124" s="193"/>
      <c r="C124" s="230"/>
      <c r="D124" s="365" t="s">
        <v>850</v>
      </c>
      <c r="E124" s="365"/>
      <c r="F124" s="365"/>
      <c r="G124" s="365"/>
      <c r="H124" s="365"/>
      <c r="I124" s="365"/>
      <c r="J124" s="365"/>
      <c r="K124" s="365"/>
      <c r="L124" s="365"/>
      <c r="M124" s="259">
        <v>97110.23</v>
      </c>
      <c r="N124" s="260"/>
      <c r="O124" s="274">
        <v>1807039.13</v>
      </c>
      <c r="AR124" s="222"/>
      <c r="AS124" s="197" t="s">
        <v>850</v>
      </c>
    </row>
    <row r="125" spans="1:45" s="213" customFormat="1" ht="15" x14ac:dyDescent="0.25">
      <c r="A125" s="228"/>
      <c r="B125" s="193"/>
      <c r="C125" s="230"/>
      <c r="D125" s="365" t="s">
        <v>851</v>
      </c>
      <c r="E125" s="365"/>
      <c r="F125" s="365"/>
      <c r="G125" s="365"/>
      <c r="H125" s="365"/>
      <c r="I125" s="365"/>
      <c r="J125" s="365"/>
      <c r="K125" s="365"/>
      <c r="L125" s="365"/>
      <c r="M125" s="259">
        <v>82914.53</v>
      </c>
      <c r="N125" s="260"/>
      <c r="O125" s="274">
        <v>1614030.22</v>
      </c>
      <c r="AR125" s="222"/>
      <c r="AS125" s="197" t="s">
        <v>851</v>
      </c>
    </row>
    <row r="126" spans="1:45" s="213" customFormat="1" ht="15" x14ac:dyDescent="0.25">
      <c r="A126" s="228"/>
      <c r="B126" s="193"/>
      <c r="C126" s="230"/>
      <c r="D126" s="365" t="s">
        <v>852</v>
      </c>
      <c r="E126" s="365"/>
      <c r="F126" s="365"/>
      <c r="G126" s="365"/>
      <c r="H126" s="365"/>
      <c r="I126" s="365"/>
      <c r="J126" s="365"/>
      <c r="K126" s="365"/>
      <c r="L126" s="365"/>
      <c r="M126" s="262"/>
      <c r="N126" s="260"/>
      <c r="O126" s="261"/>
      <c r="AR126" s="222"/>
      <c r="AS126" s="197" t="s">
        <v>852</v>
      </c>
    </row>
    <row r="127" spans="1:45" s="213" customFormat="1" ht="15" x14ac:dyDescent="0.25">
      <c r="A127" s="228"/>
      <c r="B127" s="193"/>
      <c r="C127" s="230"/>
      <c r="D127" s="365" t="s">
        <v>853</v>
      </c>
      <c r="E127" s="365"/>
      <c r="F127" s="365"/>
      <c r="G127" s="365"/>
      <c r="H127" s="365"/>
      <c r="I127" s="365"/>
      <c r="J127" s="365"/>
      <c r="K127" s="365"/>
      <c r="L127" s="365"/>
      <c r="M127" s="259">
        <v>8940.3700000000008</v>
      </c>
      <c r="N127" s="260"/>
      <c r="O127" s="274">
        <v>400260.37</v>
      </c>
      <c r="AR127" s="222"/>
      <c r="AS127" s="197" t="s">
        <v>853</v>
      </c>
    </row>
    <row r="128" spans="1:45" s="213" customFormat="1" ht="15" x14ac:dyDescent="0.25">
      <c r="A128" s="228"/>
      <c r="B128" s="193"/>
      <c r="C128" s="230"/>
      <c r="D128" s="365" t="s">
        <v>854</v>
      </c>
      <c r="E128" s="365"/>
      <c r="F128" s="365"/>
      <c r="G128" s="365"/>
      <c r="H128" s="365"/>
      <c r="I128" s="365"/>
      <c r="J128" s="365"/>
      <c r="K128" s="365"/>
      <c r="L128" s="365"/>
      <c r="M128" s="259">
        <v>26506.45</v>
      </c>
      <c r="N128" s="260"/>
      <c r="O128" s="274">
        <v>350945.4</v>
      </c>
      <c r="AR128" s="222"/>
      <c r="AS128" s="197" t="s">
        <v>854</v>
      </c>
    </row>
    <row r="129" spans="1:52" s="213" customFormat="1" ht="15" x14ac:dyDescent="0.25">
      <c r="A129" s="228"/>
      <c r="B129" s="193"/>
      <c r="C129" s="230"/>
      <c r="D129" s="365" t="s">
        <v>884</v>
      </c>
      <c r="E129" s="365"/>
      <c r="F129" s="365"/>
      <c r="G129" s="365"/>
      <c r="H129" s="365"/>
      <c r="I129" s="365"/>
      <c r="J129" s="365"/>
      <c r="K129" s="365"/>
      <c r="L129" s="365"/>
      <c r="M129" s="263">
        <v>157.85</v>
      </c>
      <c r="N129" s="260"/>
      <c r="O129" s="274">
        <v>7066.94</v>
      </c>
      <c r="AR129" s="222"/>
      <c r="AS129" s="197" t="s">
        <v>884</v>
      </c>
    </row>
    <row r="130" spans="1:52" s="213" customFormat="1" ht="15" x14ac:dyDescent="0.25">
      <c r="A130" s="228"/>
      <c r="B130" s="193"/>
      <c r="C130" s="230"/>
      <c r="D130" s="365" t="s">
        <v>855</v>
      </c>
      <c r="E130" s="365"/>
      <c r="F130" s="365"/>
      <c r="G130" s="365"/>
      <c r="H130" s="365"/>
      <c r="I130" s="365"/>
      <c r="J130" s="365"/>
      <c r="K130" s="365"/>
      <c r="L130" s="365"/>
      <c r="M130" s="259">
        <v>34479.769999999997</v>
      </c>
      <c r="N130" s="260"/>
      <c r="O130" s="274">
        <v>281354.92</v>
      </c>
      <c r="AR130" s="222"/>
      <c r="AS130" s="197" t="s">
        <v>855</v>
      </c>
    </row>
    <row r="131" spans="1:52" s="213" customFormat="1" ht="15" x14ac:dyDescent="0.25">
      <c r="A131" s="228"/>
      <c r="B131" s="193"/>
      <c r="C131" s="230"/>
      <c r="D131" s="365" t="s">
        <v>856</v>
      </c>
      <c r="E131" s="365"/>
      <c r="F131" s="365"/>
      <c r="G131" s="365"/>
      <c r="H131" s="365"/>
      <c r="I131" s="365"/>
      <c r="J131" s="365"/>
      <c r="K131" s="365"/>
      <c r="L131" s="365"/>
      <c r="M131" s="259">
        <v>8281.2800000000007</v>
      </c>
      <c r="N131" s="260"/>
      <c r="O131" s="274">
        <v>370752.6</v>
      </c>
      <c r="AR131" s="222"/>
      <c r="AS131" s="197" t="s">
        <v>856</v>
      </c>
    </row>
    <row r="132" spans="1:52" s="213" customFormat="1" ht="15" x14ac:dyDescent="0.25">
      <c r="A132" s="228"/>
      <c r="B132" s="193"/>
      <c r="C132" s="230"/>
      <c r="D132" s="365" t="s">
        <v>857</v>
      </c>
      <c r="E132" s="365"/>
      <c r="F132" s="365"/>
      <c r="G132" s="365"/>
      <c r="H132" s="365"/>
      <c r="I132" s="365"/>
      <c r="J132" s="365"/>
      <c r="K132" s="365"/>
      <c r="L132" s="365"/>
      <c r="M132" s="259">
        <v>4706.66</v>
      </c>
      <c r="N132" s="260"/>
      <c r="O132" s="274">
        <v>210716.93</v>
      </c>
      <c r="AR132" s="222"/>
      <c r="AS132" s="197" t="s">
        <v>857</v>
      </c>
    </row>
    <row r="133" spans="1:52" s="213" customFormat="1" ht="15" x14ac:dyDescent="0.25">
      <c r="A133" s="228"/>
      <c r="B133" s="193"/>
      <c r="C133" s="230"/>
      <c r="D133" s="365" t="s">
        <v>858</v>
      </c>
      <c r="E133" s="365"/>
      <c r="F133" s="365"/>
      <c r="G133" s="365"/>
      <c r="H133" s="365"/>
      <c r="I133" s="365"/>
      <c r="J133" s="365"/>
      <c r="K133" s="365"/>
      <c r="L133" s="365"/>
      <c r="M133" s="263">
        <v>885.6</v>
      </c>
      <c r="N133" s="260"/>
      <c r="O133" s="274">
        <v>11725.34</v>
      </c>
      <c r="AR133" s="222"/>
      <c r="AS133" s="197" t="s">
        <v>858</v>
      </c>
    </row>
    <row r="134" spans="1:52" s="213" customFormat="1" ht="15" x14ac:dyDescent="0.25">
      <c r="A134" s="228"/>
      <c r="B134" s="193"/>
      <c r="C134" s="230"/>
      <c r="D134" s="365" t="s">
        <v>859</v>
      </c>
      <c r="E134" s="365"/>
      <c r="F134" s="365"/>
      <c r="G134" s="365"/>
      <c r="H134" s="365"/>
      <c r="I134" s="365"/>
      <c r="J134" s="365"/>
      <c r="K134" s="365"/>
      <c r="L134" s="365"/>
      <c r="M134" s="259">
        <v>13310.1</v>
      </c>
      <c r="N134" s="260"/>
      <c r="O134" s="274">
        <v>181283.57</v>
      </c>
      <c r="AR134" s="222"/>
      <c r="AS134" s="197" t="s">
        <v>859</v>
      </c>
    </row>
    <row r="135" spans="1:52" s="213" customFormat="1" ht="15" x14ac:dyDescent="0.25">
      <c r="A135" s="228"/>
      <c r="B135" s="193"/>
      <c r="C135" s="230"/>
      <c r="D135" s="365" t="s">
        <v>860</v>
      </c>
      <c r="E135" s="365"/>
      <c r="F135" s="365"/>
      <c r="G135" s="365"/>
      <c r="H135" s="365"/>
      <c r="I135" s="365"/>
      <c r="J135" s="365"/>
      <c r="K135" s="365"/>
      <c r="L135" s="365"/>
      <c r="M135" s="259">
        <v>9098.2199999999993</v>
      </c>
      <c r="N135" s="260"/>
      <c r="O135" s="274">
        <v>407327.31</v>
      </c>
      <c r="AR135" s="222"/>
      <c r="AS135" s="197" t="s">
        <v>860</v>
      </c>
    </row>
    <row r="136" spans="1:52" s="213" customFormat="1" ht="15" x14ac:dyDescent="0.25">
      <c r="A136" s="228"/>
      <c r="B136" s="193"/>
      <c r="C136" s="230"/>
      <c r="D136" s="365" t="s">
        <v>861</v>
      </c>
      <c r="E136" s="365"/>
      <c r="F136" s="365"/>
      <c r="G136" s="365"/>
      <c r="H136" s="365"/>
      <c r="I136" s="365"/>
      <c r="J136" s="365"/>
      <c r="K136" s="365"/>
      <c r="L136" s="365"/>
      <c r="M136" s="259">
        <v>8281.2800000000007</v>
      </c>
      <c r="N136" s="260"/>
      <c r="O136" s="274">
        <v>370752.6</v>
      </c>
      <c r="AR136" s="222"/>
      <c r="AS136" s="197" t="s">
        <v>861</v>
      </c>
    </row>
    <row r="137" spans="1:52" s="213" customFormat="1" ht="15" x14ac:dyDescent="0.25">
      <c r="A137" s="228"/>
      <c r="B137" s="193"/>
      <c r="C137" s="230"/>
      <c r="D137" s="365" t="s">
        <v>862</v>
      </c>
      <c r="E137" s="365"/>
      <c r="F137" s="365"/>
      <c r="G137" s="365"/>
      <c r="H137" s="365"/>
      <c r="I137" s="365"/>
      <c r="J137" s="365"/>
      <c r="K137" s="365"/>
      <c r="L137" s="365"/>
      <c r="M137" s="259">
        <v>4706.66</v>
      </c>
      <c r="N137" s="260"/>
      <c r="O137" s="274">
        <v>210716.93</v>
      </c>
      <c r="AR137" s="222"/>
      <c r="AS137" s="197" t="s">
        <v>862</v>
      </c>
    </row>
    <row r="138" spans="1:52" s="213" customFormat="1" ht="15" x14ac:dyDescent="0.25">
      <c r="A138" s="228"/>
      <c r="B138" s="193"/>
      <c r="C138" s="264"/>
      <c r="D138" s="391" t="s">
        <v>887</v>
      </c>
      <c r="E138" s="391"/>
      <c r="F138" s="391"/>
      <c r="G138" s="391"/>
      <c r="H138" s="391"/>
      <c r="I138" s="391"/>
      <c r="J138" s="391"/>
      <c r="K138" s="391"/>
      <c r="L138" s="391"/>
      <c r="M138" s="265">
        <v>97110.23</v>
      </c>
      <c r="N138" s="266"/>
      <c r="O138" s="275">
        <v>1807039.13</v>
      </c>
      <c r="AR138" s="222"/>
      <c r="AT138" s="222" t="s">
        <v>887</v>
      </c>
    </row>
    <row r="139" spans="1:52" s="213" customFormat="1" ht="15" x14ac:dyDescent="0.25">
      <c r="A139" s="228"/>
      <c r="B139" s="193"/>
      <c r="C139" s="230"/>
      <c r="D139" s="365" t="s">
        <v>888</v>
      </c>
      <c r="E139" s="365"/>
      <c r="F139" s="365"/>
      <c r="G139" s="365"/>
      <c r="H139" s="365"/>
      <c r="I139" s="365"/>
      <c r="J139" s="365"/>
      <c r="K139" s="365"/>
      <c r="L139" s="365"/>
      <c r="M139" s="259">
        <v>19422.05</v>
      </c>
      <c r="N139" s="260"/>
      <c r="O139" s="274">
        <v>361407.83</v>
      </c>
      <c r="AR139" s="222"/>
      <c r="AT139" s="222"/>
      <c r="AU139" s="197" t="s">
        <v>888</v>
      </c>
    </row>
    <row r="140" spans="1:52" s="213" customFormat="1" ht="15" x14ac:dyDescent="0.25">
      <c r="A140" s="228"/>
      <c r="B140" s="193"/>
      <c r="C140" s="264"/>
      <c r="D140" s="391" t="s">
        <v>889</v>
      </c>
      <c r="E140" s="391"/>
      <c r="F140" s="391"/>
      <c r="G140" s="391"/>
      <c r="H140" s="391"/>
      <c r="I140" s="391"/>
      <c r="J140" s="391"/>
      <c r="K140" s="391"/>
      <c r="L140" s="391"/>
      <c r="M140" s="265">
        <v>116532.28</v>
      </c>
      <c r="N140" s="266"/>
      <c r="O140" s="275">
        <v>2168446.96</v>
      </c>
      <c r="AR140" s="222"/>
      <c r="AT140" s="222"/>
      <c r="AV140" s="222" t="s">
        <v>889</v>
      </c>
    </row>
    <row r="141" spans="1:52" s="213" customFormat="1" ht="29.25" customHeight="1" x14ac:dyDescent="0.25">
      <c r="A141" s="198"/>
      <c r="B141" s="198"/>
      <c r="C141" s="198"/>
      <c r="D141" s="198"/>
      <c r="E141" s="198"/>
      <c r="F141" s="198"/>
      <c r="G141" s="198"/>
      <c r="H141" s="198"/>
      <c r="I141" s="198"/>
      <c r="J141" s="198"/>
      <c r="K141" s="198"/>
      <c r="L141" s="198"/>
      <c r="M141" s="198"/>
      <c r="N141" s="198"/>
      <c r="O141" s="198"/>
    </row>
    <row r="142" spans="1:52" s="207" customFormat="1" ht="15" x14ac:dyDescent="0.25">
      <c r="A142" s="194"/>
      <c r="B142" s="276" t="s">
        <v>890</v>
      </c>
      <c r="C142" s="394" t="s">
        <v>891</v>
      </c>
      <c r="D142" s="394"/>
      <c r="E142" s="394"/>
      <c r="F142" s="394"/>
      <c r="G142" s="394"/>
      <c r="H142" s="394"/>
      <c r="I142" s="395" t="s">
        <v>892</v>
      </c>
      <c r="J142" s="395"/>
      <c r="K142" s="395"/>
      <c r="L142" s="395"/>
      <c r="M142" s="395"/>
      <c r="N142" s="395"/>
      <c r="O142" s="194"/>
      <c r="P142" s="194"/>
      <c r="Q142" s="194"/>
      <c r="R142" s="194"/>
      <c r="S142" s="194"/>
      <c r="T142" s="277"/>
      <c r="U142" s="277"/>
      <c r="V142" s="277"/>
      <c r="W142" s="277"/>
      <c r="X142" s="277"/>
      <c r="Y142" s="277"/>
      <c r="Z142" s="277"/>
      <c r="AA142" s="277"/>
      <c r="AB142" s="277"/>
      <c r="AC142" s="277"/>
      <c r="AD142" s="277"/>
      <c r="AE142" s="277"/>
      <c r="AF142" s="277"/>
      <c r="AG142" s="277"/>
      <c r="AH142" s="277"/>
      <c r="AI142" s="277"/>
      <c r="AJ142" s="277"/>
      <c r="AK142" s="277"/>
      <c r="AL142" s="277"/>
      <c r="AM142" s="277"/>
      <c r="AN142" s="277"/>
      <c r="AO142" s="277"/>
      <c r="AP142" s="277"/>
      <c r="AQ142" s="277"/>
      <c r="AR142" s="277"/>
      <c r="AS142" s="277"/>
      <c r="AT142" s="277"/>
      <c r="AU142" s="277"/>
      <c r="AV142" s="277"/>
      <c r="AW142" s="277" t="s">
        <v>753</v>
      </c>
      <c r="AX142" s="277" t="s">
        <v>893</v>
      </c>
      <c r="AY142" s="277"/>
      <c r="AZ142" s="277"/>
    </row>
    <row r="143" spans="1:52" s="278" customFormat="1" ht="30.75" customHeight="1" x14ac:dyDescent="0.25">
      <c r="B143" s="276"/>
      <c r="C143" s="393" t="s">
        <v>894</v>
      </c>
      <c r="D143" s="393"/>
      <c r="E143" s="393"/>
      <c r="F143" s="393"/>
      <c r="G143" s="393"/>
      <c r="H143" s="393"/>
      <c r="I143" s="393"/>
      <c r="J143" s="393"/>
      <c r="K143" s="393"/>
      <c r="L143" s="393"/>
      <c r="M143" s="393"/>
      <c r="N143" s="393"/>
      <c r="T143" s="279"/>
      <c r="U143" s="279"/>
      <c r="V143" s="279"/>
      <c r="W143" s="279"/>
      <c r="X143" s="279"/>
      <c r="Y143" s="279"/>
      <c r="Z143" s="279"/>
      <c r="AA143" s="279"/>
      <c r="AB143" s="279"/>
      <c r="AC143" s="279"/>
      <c r="AD143" s="279"/>
      <c r="AE143" s="279"/>
      <c r="AF143" s="279"/>
      <c r="AG143" s="279"/>
      <c r="AH143" s="279"/>
      <c r="AI143" s="279"/>
      <c r="AJ143" s="279"/>
      <c r="AK143" s="279"/>
      <c r="AL143" s="279"/>
      <c r="AM143" s="279"/>
      <c r="AN143" s="279"/>
      <c r="AO143" s="279"/>
      <c r="AP143" s="279"/>
      <c r="AQ143" s="279"/>
      <c r="AR143" s="279"/>
      <c r="AS143" s="279"/>
      <c r="AT143" s="279"/>
      <c r="AU143" s="279"/>
      <c r="AV143" s="279"/>
      <c r="AW143" s="279"/>
      <c r="AX143" s="279"/>
      <c r="AY143" s="279"/>
      <c r="AZ143" s="279"/>
    </row>
    <row r="144" spans="1:52" s="207" customFormat="1" ht="15" x14ac:dyDescent="0.25">
      <c r="A144" s="194"/>
      <c r="B144" s="276" t="s">
        <v>895</v>
      </c>
      <c r="C144" s="394" t="s">
        <v>896</v>
      </c>
      <c r="D144" s="394"/>
      <c r="E144" s="394"/>
      <c r="F144" s="394"/>
      <c r="G144" s="394"/>
      <c r="H144" s="394"/>
      <c r="I144" s="395" t="s">
        <v>897</v>
      </c>
      <c r="J144" s="395"/>
      <c r="K144" s="395"/>
      <c r="L144" s="395"/>
      <c r="M144" s="395"/>
      <c r="N144" s="395"/>
      <c r="O144" s="194"/>
      <c r="P144" s="194"/>
      <c r="Q144" s="194"/>
      <c r="R144" s="194"/>
      <c r="S144" s="194"/>
      <c r="T144" s="277"/>
      <c r="U144" s="277"/>
      <c r="V144" s="277"/>
      <c r="W144" s="277"/>
      <c r="X144" s="277"/>
      <c r="Y144" s="277"/>
      <c r="Z144" s="277"/>
      <c r="AA144" s="277"/>
      <c r="AB144" s="277"/>
      <c r="AC144" s="277"/>
      <c r="AD144" s="277"/>
      <c r="AE144" s="277"/>
      <c r="AF144" s="277"/>
      <c r="AG144" s="277"/>
      <c r="AH144" s="277"/>
      <c r="AI144" s="277"/>
      <c r="AJ144" s="277"/>
      <c r="AK144" s="277"/>
      <c r="AL144" s="277"/>
      <c r="AM144" s="277"/>
      <c r="AN144" s="277"/>
      <c r="AO144" s="277"/>
      <c r="AP144" s="277"/>
      <c r="AQ144" s="277"/>
      <c r="AR144" s="277"/>
      <c r="AS144" s="277"/>
      <c r="AT144" s="277"/>
      <c r="AU144" s="277"/>
      <c r="AV144" s="277"/>
      <c r="AW144" s="277"/>
      <c r="AX144" s="277"/>
      <c r="AY144" s="277" t="s">
        <v>753</v>
      </c>
      <c r="AZ144" s="277" t="s">
        <v>893</v>
      </c>
    </row>
    <row r="145" spans="1:52" s="278" customFormat="1" ht="18.75" customHeight="1" x14ac:dyDescent="0.25">
      <c r="B145" s="280"/>
      <c r="C145" s="393" t="s">
        <v>894</v>
      </c>
      <c r="D145" s="393"/>
      <c r="E145" s="393"/>
      <c r="F145" s="393"/>
      <c r="G145" s="393"/>
      <c r="H145" s="393"/>
      <c r="I145" s="393"/>
      <c r="J145" s="393"/>
      <c r="K145" s="393"/>
      <c r="L145" s="393"/>
      <c r="M145" s="393"/>
      <c r="N145" s="393"/>
      <c r="O145" s="280"/>
      <c r="T145" s="279"/>
      <c r="U145" s="279"/>
      <c r="V145" s="279"/>
      <c r="W145" s="279"/>
      <c r="X145" s="279"/>
      <c r="Y145" s="279"/>
      <c r="Z145" s="279"/>
      <c r="AA145" s="279"/>
      <c r="AB145" s="279"/>
      <c r="AC145" s="279"/>
      <c r="AD145" s="279"/>
      <c r="AE145" s="279"/>
      <c r="AF145" s="279"/>
      <c r="AG145" s="279"/>
      <c r="AH145" s="279"/>
      <c r="AI145" s="279"/>
      <c r="AJ145" s="279"/>
      <c r="AK145" s="279"/>
      <c r="AL145" s="279"/>
      <c r="AM145" s="279"/>
      <c r="AN145" s="279"/>
      <c r="AO145" s="279"/>
      <c r="AP145" s="279"/>
      <c r="AQ145" s="279"/>
      <c r="AR145" s="279"/>
      <c r="AS145" s="279"/>
      <c r="AT145" s="279"/>
      <c r="AU145" s="279"/>
      <c r="AV145" s="279"/>
      <c r="AW145" s="279"/>
      <c r="AX145" s="279"/>
      <c r="AY145" s="279"/>
      <c r="AZ145" s="279"/>
    </row>
    <row r="146" spans="1:52" s="213" customFormat="1" ht="15" x14ac:dyDescent="0.25">
      <c r="A146" s="193"/>
      <c r="B146" s="193"/>
    </row>
  </sheetData>
  <mergeCells count="147">
    <mergeCell ref="C145:N145"/>
    <mergeCell ref="D140:L140"/>
    <mergeCell ref="C142:H142"/>
    <mergeCell ref="I142:N142"/>
    <mergeCell ref="C143:N143"/>
    <mergeCell ref="C144:H144"/>
    <mergeCell ref="I144:N144"/>
    <mergeCell ref="D134:L134"/>
    <mergeCell ref="D135:L135"/>
    <mergeCell ref="D136:L136"/>
    <mergeCell ref="D137:L137"/>
    <mergeCell ref="D138:L138"/>
    <mergeCell ref="D139:L139"/>
    <mergeCell ref="D128:L128"/>
    <mergeCell ref="D129:L129"/>
    <mergeCell ref="D130:L130"/>
    <mergeCell ref="D131:L131"/>
    <mergeCell ref="D132:L132"/>
    <mergeCell ref="D133:L133"/>
    <mergeCell ref="D122:L122"/>
    <mergeCell ref="D123:L123"/>
    <mergeCell ref="D124:L124"/>
    <mergeCell ref="D125:L125"/>
    <mergeCell ref="D126:L126"/>
    <mergeCell ref="D127:L127"/>
    <mergeCell ref="D116:L116"/>
    <mergeCell ref="D117:L117"/>
    <mergeCell ref="D118:L118"/>
    <mergeCell ref="D119:L119"/>
    <mergeCell ref="D120:L120"/>
    <mergeCell ref="D121:L121"/>
    <mergeCell ref="D110:L110"/>
    <mergeCell ref="D111:L111"/>
    <mergeCell ref="D112:L112"/>
    <mergeCell ref="D113:L113"/>
    <mergeCell ref="D114:L114"/>
    <mergeCell ref="D115:L115"/>
    <mergeCell ref="D104:L104"/>
    <mergeCell ref="D105:L105"/>
    <mergeCell ref="D106:L106"/>
    <mergeCell ref="D107:L107"/>
    <mergeCell ref="D108:L108"/>
    <mergeCell ref="D109:L109"/>
    <mergeCell ref="D98:L98"/>
    <mergeCell ref="D99:L99"/>
    <mergeCell ref="D100:L100"/>
    <mergeCell ref="D101:L101"/>
    <mergeCell ref="D102:L102"/>
    <mergeCell ref="D103:L103"/>
    <mergeCell ref="D92:O92"/>
    <mergeCell ref="D93:F93"/>
    <mergeCell ref="D94:L94"/>
    <mergeCell ref="D95:L95"/>
    <mergeCell ref="D96:L96"/>
    <mergeCell ref="D97:L97"/>
    <mergeCell ref="D86:F86"/>
    <mergeCell ref="D87:F87"/>
    <mergeCell ref="D88:F88"/>
    <mergeCell ref="D89:F89"/>
    <mergeCell ref="D90:F90"/>
    <mergeCell ref="D91:O91"/>
    <mergeCell ref="D80:F80"/>
    <mergeCell ref="D81:F81"/>
    <mergeCell ref="D82:F82"/>
    <mergeCell ref="D83:F83"/>
    <mergeCell ref="D84:F84"/>
    <mergeCell ref="D85:F85"/>
    <mergeCell ref="A74:O74"/>
    <mergeCell ref="D75:F75"/>
    <mergeCell ref="D76:O76"/>
    <mergeCell ref="D77:F77"/>
    <mergeCell ref="D78:F78"/>
    <mergeCell ref="D79:F79"/>
    <mergeCell ref="D68:L68"/>
    <mergeCell ref="D69:L69"/>
    <mergeCell ref="D70:L70"/>
    <mergeCell ref="D71:L71"/>
    <mergeCell ref="D72:L72"/>
    <mergeCell ref="D73:L73"/>
    <mergeCell ref="D62:L62"/>
    <mergeCell ref="D63:L63"/>
    <mergeCell ref="D64:L64"/>
    <mergeCell ref="D65:L65"/>
    <mergeCell ref="D66:L66"/>
    <mergeCell ref="D67:L67"/>
    <mergeCell ref="D56:L56"/>
    <mergeCell ref="D57:L57"/>
    <mergeCell ref="D58:L58"/>
    <mergeCell ref="D59:L59"/>
    <mergeCell ref="D60:L60"/>
    <mergeCell ref="D61:L61"/>
    <mergeCell ref="D50:O50"/>
    <mergeCell ref="D51:O51"/>
    <mergeCell ref="D52:F52"/>
    <mergeCell ref="D53:L53"/>
    <mergeCell ref="D54:L54"/>
    <mergeCell ref="D55:L55"/>
    <mergeCell ref="D44:F44"/>
    <mergeCell ref="D45:F45"/>
    <mergeCell ref="D46:F46"/>
    <mergeCell ref="D47:F47"/>
    <mergeCell ref="D48:F48"/>
    <mergeCell ref="D49:F49"/>
    <mergeCell ref="D38:F38"/>
    <mergeCell ref="D39:F39"/>
    <mergeCell ref="D40:F40"/>
    <mergeCell ref="D41:F41"/>
    <mergeCell ref="D42:F42"/>
    <mergeCell ref="D43:F43"/>
    <mergeCell ref="N31:N33"/>
    <mergeCell ref="O31:O33"/>
    <mergeCell ref="D34:F34"/>
    <mergeCell ref="A35:O35"/>
    <mergeCell ref="D36:F36"/>
    <mergeCell ref="D37:F37"/>
    <mergeCell ref="A31:B32"/>
    <mergeCell ref="C31:C33"/>
    <mergeCell ref="D31:F33"/>
    <mergeCell ref="G31:G33"/>
    <mergeCell ref="H31:J32"/>
    <mergeCell ref="K31:M32"/>
    <mergeCell ref="M15:O15"/>
    <mergeCell ref="M16:O16"/>
    <mergeCell ref="M17:O17"/>
    <mergeCell ref="M18:O18"/>
    <mergeCell ref="M19:O19"/>
    <mergeCell ref="L21:L22"/>
    <mergeCell ref="M21:M22"/>
    <mergeCell ref="N21:O21"/>
    <mergeCell ref="C11:K11"/>
    <mergeCell ref="M11:O11"/>
    <mergeCell ref="M12:O12"/>
    <mergeCell ref="C13:K13"/>
    <mergeCell ref="M13:O13"/>
    <mergeCell ref="M14:O14"/>
    <mergeCell ref="D7:K7"/>
    <mergeCell ref="M7:O7"/>
    <mergeCell ref="M8:O8"/>
    <mergeCell ref="D9:K9"/>
    <mergeCell ref="M9:O9"/>
    <mergeCell ref="M10:O10"/>
    <mergeCell ref="M2:O2"/>
    <mergeCell ref="M3:O3"/>
    <mergeCell ref="M4:O4"/>
    <mergeCell ref="C5:K5"/>
    <mergeCell ref="M5:O5"/>
    <mergeCell ref="M6:O6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2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4</vt:i4>
      </vt:variant>
    </vt:vector>
  </HeadingPairs>
  <TitlesOfParts>
    <vt:vector size="10" baseType="lpstr">
      <vt:lpstr>СВОД-К</vt:lpstr>
      <vt:lpstr>СВОД</vt:lpstr>
      <vt:lpstr>АС2</vt:lpstr>
      <vt:lpstr>НВК-5</vt:lpstr>
      <vt:lpstr>Дем3</vt:lpstr>
      <vt:lpstr>Мазутопровод</vt:lpstr>
      <vt:lpstr>АС2!Заголовки_для_печати</vt:lpstr>
      <vt:lpstr>Дем3!Заголовки_для_печати</vt:lpstr>
      <vt:lpstr>Мазутопровод!Заголовки_для_печати</vt:lpstr>
      <vt:lpstr>'НВК-5'!Заголовки_для_печати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2023-12-14T07:43:18Z</cp:lastPrinted>
  <dcterms:created xsi:type="dcterms:W3CDTF">2023-11-16T11:44:01Z</dcterms:created>
  <dcterms:modified xsi:type="dcterms:W3CDTF">2023-12-25T15:54:43Z</dcterms:modified>
</cp:coreProperties>
</file>