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4 выполнение\"/>
    </mc:Choice>
  </mc:AlternateContent>
  <xr:revisionPtr revIDLastSave="0" documentId="13_ncr:1_{4F359EA9-EE1F-482B-9D9F-6F8666AA790C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мазутопровод" sheetId="13" r:id="rId1"/>
    <sheet name="АС3" sheetId="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АС3!$F$1:$F$2018</definedName>
    <definedName name="_xlnm._FilterDatabase" localSheetId="0" hidden="1">мазутопровод!$C$1:$C$26</definedName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_xlnm.Print_Titles" localSheetId="1">АС3!$1:$1</definedName>
    <definedName name="_xlnm.Print_Titles" localSheetId="0">мазутопровод!$1:$1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9" i="8" l="1"/>
  <c r="H228" i="8"/>
  <c r="N214" i="8"/>
  <c r="N215" i="8" s="1"/>
  <c r="N216" i="8" s="1"/>
  <c r="H54" i="8"/>
  <c r="H55" i="8"/>
  <c r="H102" i="8"/>
  <c r="H91" i="8"/>
  <c r="H104" i="8"/>
  <c r="H6" i="8"/>
  <c r="H37" i="8"/>
  <c r="K11" i="13"/>
  <c r="N217" i="8" l="1"/>
  <c r="N218" i="8" s="1"/>
  <c r="H206" i="8"/>
  <c r="H186" i="8"/>
  <c r="H116" i="8"/>
  <c r="K4" i="8"/>
  <c r="K101" i="8"/>
  <c r="K102" i="8"/>
  <c r="I102" i="8"/>
  <c r="H101" i="8"/>
  <c r="H95" i="8"/>
  <c r="H96" i="8" s="1"/>
  <c r="H94" i="8"/>
  <c r="H92" i="8"/>
  <c r="H73" i="8"/>
  <c r="H74" i="8"/>
  <c r="H72" i="8"/>
  <c r="H63" i="8"/>
  <c r="H62" i="8"/>
  <c r="H61" i="8"/>
  <c r="H60" i="8"/>
  <c r="I39" i="8"/>
  <c r="I38" i="8"/>
  <c r="I37" i="8"/>
  <c r="H34" i="8"/>
  <c r="H33" i="8"/>
  <c r="H32" i="8"/>
  <c r="H31" i="8"/>
  <c r="H30" i="8"/>
  <c r="H29" i="8"/>
  <c r="H28" i="8"/>
  <c r="H26" i="8"/>
  <c r="H24" i="8"/>
  <c r="H23" i="8"/>
  <c r="H22" i="8"/>
  <c r="H19" i="8"/>
  <c r="H18" i="8"/>
  <c r="L5" i="8"/>
  <c r="L6" i="8"/>
  <c r="L7" i="8"/>
  <c r="L8" i="8"/>
  <c r="L9" i="8"/>
  <c r="I6" i="8"/>
  <c r="I5" i="8"/>
  <c r="I7" i="8"/>
  <c r="I8" i="8"/>
  <c r="I9" i="8"/>
  <c r="I4" i="8"/>
  <c r="H9" i="8"/>
  <c r="H8" i="8"/>
  <c r="K12" i="13" l="1"/>
  <c r="K4" i="13"/>
  <c r="K5" i="13"/>
  <c r="K6" i="13"/>
  <c r="K7" i="13"/>
  <c r="K8" i="13"/>
  <c r="K9" i="13"/>
  <c r="K10" i="13"/>
  <c r="K3" i="13"/>
  <c r="H6" i="13"/>
  <c r="H5" i="13"/>
  <c r="H4" i="13"/>
  <c r="I24" i="13"/>
  <c r="H10" i="13"/>
  <c r="H9" i="13"/>
  <c r="H8" i="13"/>
  <c r="I4" i="13"/>
  <c r="I5" i="13"/>
  <c r="I6" i="13"/>
  <c r="I8" i="13"/>
  <c r="I9" i="13"/>
  <c r="J9" i="13" s="1"/>
  <c r="I10" i="13"/>
  <c r="I3" i="13"/>
  <c r="G11" i="13"/>
  <c r="G12" i="13" s="1"/>
  <c r="J10" i="13"/>
  <c r="J3" i="13"/>
  <c r="F4" i="13"/>
  <c r="F5" i="13"/>
  <c r="F6" i="13"/>
  <c r="F8" i="13"/>
  <c r="J8" i="13" s="1"/>
  <c r="F9" i="13"/>
  <c r="F10" i="13"/>
  <c r="F3" i="13"/>
  <c r="J6" i="13" l="1"/>
  <c r="J5" i="13"/>
  <c r="J4" i="13"/>
  <c r="I15" i="8"/>
  <c r="I14" i="8"/>
  <c r="I206" i="8"/>
  <c r="I198" i="8"/>
  <c r="I199" i="8"/>
  <c r="I200" i="8"/>
  <c r="I201" i="8"/>
  <c r="I202" i="8"/>
  <c r="I203" i="8"/>
  <c r="I204" i="8"/>
  <c r="I205" i="8"/>
  <c r="I207" i="8"/>
  <c r="I208" i="8"/>
  <c r="I209" i="8"/>
  <c r="I210" i="8"/>
  <c r="I211" i="8"/>
  <c r="I212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J195" i="8" s="1"/>
  <c r="I196" i="8"/>
  <c r="I197" i="8"/>
  <c r="I177" i="8"/>
  <c r="I136" i="8"/>
  <c r="I137" i="8"/>
  <c r="I138" i="8"/>
  <c r="I139" i="8"/>
  <c r="I140" i="8"/>
  <c r="I135" i="8"/>
  <c r="I123" i="8"/>
  <c r="I124" i="8"/>
  <c r="I125" i="8"/>
  <c r="I126" i="8"/>
  <c r="I127" i="8"/>
  <c r="I99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92" i="8"/>
  <c r="I93" i="8"/>
  <c r="I95" i="8"/>
  <c r="I97" i="8"/>
  <c r="I98" i="8"/>
  <c r="I59" i="8"/>
  <c r="I60" i="8"/>
  <c r="I61" i="8"/>
  <c r="I62" i="8"/>
  <c r="I63" i="8"/>
  <c r="I65" i="8"/>
  <c r="I66" i="8"/>
  <c r="I67" i="8"/>
  <c r="I68" i="8"/>
  <c r="I69" i="8"/>
  <c r="I70" i="8"/>
  <c r="I71" i="8"/>
  <c r="I72" i="8"/>
  <c r="I73" i="8"/>
  <c r="I74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H21" i="8"/>
  <c r="I19" i="8"/>
  <c r="I20" i="8"/>
  <c r="I21" i="8"/>
  <c r="I22" i="8"/>
  <c r="I23" i="8"/>
  <c r="I24" i="8"/>
  <c r="I25" i="8"/>
  <c r="I26" i="8"/>
  <c r="I28" i="8"/>
  <c r="I29" i="8"/>
  <c r="I30" i="8"/>
  <c r="I31" i="8"/>
  <c r="I32" i="8"/>
  <c r="I33" i="8"/>
  <c r="I34" i="8"/>
  <c r="I18" i="8"/>
  <c r="H210" i="8"/>
  <c r="H207" i="8"/>
  <c r="H202" i="8"/>
  <c r="H203" i="8"/>
  <c r="H201" i="8"/>
  <c r="H193" i="8"/>
  <c r="H189" i="8"/>
  <c r="H185" i="8"/>
  <c r="H179" i="8"/>
  <c r="H165" i="8"/>
  <c r="H158" i="8"/>
  <c r="H109" i="8"/>
  <c r="H110" i="8"/>
  <c r="H68" i="8"/>
  <c r="H69" i="8"/>
  <c r="H39" i="8"/>
  <c r="H38" i="8"/>
  <c r="H93" i="8"/>
  <c r="H20" i="8"/>
  <c r="H13" i="8"/>
  <c r="H14" i="8"/>
  <c r="H12" i="8"/>
  <c r="J11" i="13" l="1"/>
  <c r="J12" i="13" s="1"/>
  <c r="H64" i="8"/>
  <c r="I64" i="8" s="1"/>
  <c r="H27" i="8"/>
  <c r="I27" i="8" s="1"/>
  <c r="H17" i="8"/>
  <c r="H16" i="8"/>
  <c r="K25" i="8" l="1"/>
  <c r="K26" i="8"/>
  <c r="K27" i="8"/>
  <c r="K28" i="8"/>
  <c r="K29" i="8"/>
  <c r="K30" i="8"/>
  <c r="K31" i="8"/>
  <c r="K32" i="8"/>
  <c r="K33" i="8"/>
  <c r="K34" i="8"/>
  <c r="K35" i="8"/>
  <c r="L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L75" i="8"/>
  <c r="K76" i="8"/>
  <c r="L76" i="8"/>
  <c r="K77" i="8"/>
  <c r="L77" i="8"/>
  <c r="K78" i="8"/>
  <c r="L78" i="8"/>
  <c r="K79" i="8"/>
  <c r="L79" i="8"/>
  <c r="K80" i="8"/>
  <c r="L80" i="8"/>
  <c r="K81" i="8"/>
  <c r="L81" i="8"/>
  <c r="K82" i="8"/>
  <c r="L82" i="8"/>
  <c r="K83" i="8"/>
  <c r="L83" i="8"/>
  <c r="K84" i="8"/>
  <c r="L84" i="8"/>
  <c r="K85" i="8"/>
  <c r="L85" i="8"/>
  <c r="K86" i="8"/>
  <c r="L86" i="8"/>
  <c r="K87" i="8"/>
  <c r="L87" i="8"/>
  <c r="K88" i="8"/>
  <c r="K89" i="8"/>
  <c r="L89" i="8"/>
  <c r="K90" i="8"/>
  <c r="L90" i="8"/>
  <c r="K91" i="8"/>
  <c r="K92" i="8"/>
  <c r="K93" i="8"/>
  <c r="K94" i="8"/>
  <c r="K95" i="8"/>
  <c r="K96" i="8"/>
  <c r="K97" i="8"/>
  <c r="K98" i="8"/>
  <c r="K99" i="8"/>
  <c r="K100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L128" i="8"/>
  <c r="K129" i="8"/>
  <c r="L129" i="8"/>
  <c r="K130" i="8"/>
  <c r="L130" i="8"/>
  <c r="K131" i="8"/>
  <c r="L131" i="8"/>
  <c r="K132" i="8"/>
  <c r="L132" i="8"/>
  <c r="K133" i="8"/>
  <c r="L133" i="8"/>
  <c r="K134" i="8"/>
  <c r="L134" i="8"/>
  <c r="K135" i="8"/>
  <c r="K136" i="8"/>
  <c r="K137" i="8"/>
  <c r="K138" i="8"/>
  <c r="K139" i="8"/>
  <c r="K140" i="8"/>
  <c r="K141" i="8"/>
  <c r="L141" i="8"/>
  <c r="K142" i="8"/>
  <c r="L142" i="8"/>
  <c r="K143" i="8"/>
  <c r="L143" i="8"/>
  <c r="K144" i="8"/>
  <c r="L144" i="8"/>
  <c r="K145" i="8"/>
  <c r="L145" i="8"/>
  <c r="K146" i="8"/>
  <c r="L146" i="8"/>
  <c r="K147" i="8"/>
  <c r="L147" i="8"/>
  <c r="K148" i="8"/>
  <c r="L148" i="8"/>
  <c r="K149" i="8"/>
  <c r="L149" i="8"/>
  <c r="K150" i="8"/>
  <c r="L150" i="8"/>
  <c r="K151" i="8"/>
  <c r="L151" i="8"/>
  <c r="K152" i="8"/>
  <c r="L152" i="8"/>
  <c r="K153" i="8"/>
  <c r="L153" i="8"/>
  <c r="K154" i="8"/>
  <c r="L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L170" i="8"/>
  <c r="K171" i="8"/>
  <c r="L171" i="8"/>
  <c r="K172" i="8"/>
  <c r="L172" i="8"/>
  <c r="K173" i="8"/>
  <c r="L173" i="8"/>
  <c r="K174" i="8"/>
  <c r="L174" i="8"/>
  <c r="K175" i="8"/>
  <c r="L175" i="8"/>
  <c r="K176" i="8"/>
  <c r="L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L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16" i="8"/>
  <c r="H15" i="8"/>
  <c r="K15" i="8" s="1"/>
  <c r="K12" i="8"/>
  <c r="K13" i="8"/>
  <c r="K14" i="8"/>
  <c r="K17" i="8"/>
  <c r="K18" i="8"/>
  <c r="K19" i="8"/>
  <c r="K20" i="8"/>
  <c r="K21" i="8"/>
  <c r="K22" i="8"/>
  <c r="K23" i="8"/>
  <c r="K24" i="8"/>
  <c r="H4" i="8"/>
  <c r="K6" i="8"/>
  <c r="K7" i="8"/>
  <c r="K8" i="8"/>
  <c r="K9" i="8"/>
  <c r="H5" i="8"/>
  <c r="K5" i="8" s="1"/>
  <c r="J25" i="8" l="1"/>
  <c r="L25" i="8" s="1"/>
  <c r="J35" i="8"/>
  <c r="J40" i="8"/>
  <c r="L40" i="8" s="1"/>
  <c r="J44" i="8"/>
  <c r="L44" i="8" s="1"/>
  <c r="J47" i="8"/>
  <c r="L47" i="8" s="1"/>
  <c r="J50" i="8"/>
  <c r="L50" i="8" s="1"/>
  <c r="J59" i="8"/>
  <c r="L59" i="8" s="1"/>
  <c r="J71" i="8"/>
  <c r="L71" i="8" s="1"/>
  <c r="J75" i="8"/>
  <c r="J84" i="8"/>
  <c r="J90" i="8"/>
  <c r="J99" i="8"/>
  <c r="L99" i="8" s="1"/>
  <c r="J103" i="8"/>
  <c r="L103" i="8" s="1"/>
  <c r="J107" i="8"/>
  <c r="L107" i="8" s="1"/>
  <c r="J114" i="8"/>
  <c r="L114" i="8" s="1"/>
  <c r="J120" i="8"/>
  <c r="L120" i="8" s="1"/>
  <c r="J123" i="8"/>
  <c r="L123" i="8" s="1"/>
  <c r="J128" i="8"/>
  <c r="J134" i="8"/>
  <c r="J141" i="8"/>
  <c r="J147" i="8"/>
  <c r="J154" i="8"/>
  <c r="J160" i="8"/>
  <c r="L160" i="8" s="1"/>
  <c r="J170" i="8"/>
  <c r="J176" i="8"/>
  <c r="J198" i="8"/>
  <c r="L198" i="8" s="1"/>
  <c r="J199" i="8"/>
  <c r="L199" i="8" s="1"/>
  <c r="J208" i="8"/>
  <c r="L208" i="8" s="1"/>
  <c r="G213" i="8" l="1"/>
  <c r="G214" i="8" s="1"/>
  <c r="G215" i="8" s="1"/>
  <c r="G216" i="8" s="1"/>
  <c r="F5" i="8"/>
  <c r="F6" i="8"/>
  <c r="F7" i="8"/>
  <c r="F8" i="8"/>
  <c r="F9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6" i="8"/>
  <c r="J26" i="8" s="1"/>
  <c r="L26" i="8" s="1"/>
  <c r="F27" i="8"/>
  <c r="J27" i="8" s="1"/>
  <c r="L27" i="8" s="1"/>
  <c r="F28" i="8"/>
  <c r="J28" i="8" s="1"/>
  <c r="L28" i="8" s="1"/>
  <c r="F29" i="8"/>
  <c r="J29" i="8" s="1"/>
  <c r="L29" i="8" s="1"/>
  <c r="F30" i="8"/>
  <c r="J30" i="8" s="1"/>
  <c r="L30" i="8" s="1"/>
  <c r="F31" i="8"/>
  <c r="J31" i="8" s="1"/>
  <c r="L31" i="8" s="1"/>
  <c r="F32" i="8"/>
  <c r="J32" i="8" s="1"/>
  <c r="L32" i="8" s="1"/>
  <c r="F33" i="8"/>
  <c r="J33" i="8" s="1"/>
  <c r="L33" i="8" s="1"/>
  <c r="F34" i="8"/>
  <c r="J34" i="8" s="1"/>
  <c r="L34" i="8" s="1"/>
  <c r="F36" i="8"/>
  <c r="J36" i="8" s="1"/>
  <c r="L36" i="8" s="1"/>
  <c r="F37" i="8"/>
  <c r="J37" i="8" s="1"/>
  <c r="L37" i="8" s="1"/>
  <c r="F38" i="8"/>
  <c r="J38" i="8" s="1"/>
  <c r="L38" i="8" s="1"/>
  <c r="F39" i="8"/>
  <c r="J39" i="8" s="1"/>
  <c r="L39" i="8" s="1"/>
  <c r="F41" i="8"/>
  <c r="J41" i="8" s="1"/>
  <c r="L41" i="8" s="1"/>
  <c r="F42" i="8"/>
  <c r="J42" i="8" s="1"/>
  <c r="L42" i="8" s="1"/>
  <c r="F43" i="8"/>
  <c r="J43" i="8" s="1"/>
  <c r="L43" i="8" s="1"/>
  <c r="F45" i="8"/>
  <c r="J45" i="8" s="1"/>
  <c r="L45" i="8" s="1"/>
  <c r="F46" i="8"/>
  <c r="J46" i="8" s="1"/>
  <c r="L46" i="8" s="1"/>
  <c r="F48" i="8"/>
  <c r="J48" i="8" s="1"/>
  <c r="L48" i="8" s="1"/>
  <c r="F49" i="8"/>
  <c r="J49" i="8" s="1"/>
  <c r="L49" i="8" s="1"/>
  <c r="F51" i="8"/>
  <c r="J51" i="8" s="1"/>
  <c r="L51" i="8" s="1"/>
  <c r="F52" i="8"/>
  <c r="J52" i="8" s="1"/>
  <c r="L52" i="8" s="1"/>
  <c r="F53" i="8"/>
  <c r="J53" i="8" s="1"/>
  <c r="L53" i="8" s="1"/>
  <c r="F54" i="8"/>
  <c r="J54" i="8" s="1"/>
  <c r="L54" i="8" s="1"/>
  <c r="F55" i="8"/>
  <c r="J55" i="8" s="1"/>
  <c r="L55" i="8" s="1"/>
  <c r="F56" i="8"/>
  <c r="J56" i="8" s="1"/>
  <c r="L56" i="8" s="1"/>
  <c r="F57" i="8"/>
  <c r="J57" i="8" s="1"/>
  <c r="L57" i="8" s="1"/>
  <c r="F58" i="8"/>
  <c r="J58" i="8" s="1"/>
  <c r="L58" i="8" s="1"/>
  <c r="F60" i="8"/>
  <c r="J60" i="8" s="1"/>
  <c r="L60" i="8" s="1"/>
  <c r="F61" i="8"/>
  <c r="J61" i="8" s="1"/>
  <c r="L61" i="8" s="1"/>
  <c r="F62" i="8"/>
  <c r="J62" i="8" s="1"/>
  <c r="L62" i="8" s="1"/>
  <c r="F63" i="8"/>
  <c r="J63" i="8" s="1"/>
  <c r="L63" i="8" s="1"/>
  <c r="F64" i="8"/>
  <c r="J64" i="8" s="1"/>
  <c r="L64" i="8" s="1"/>
  <c r="F65" i="8"/>
  <c r="J65" i="8" s="1"/>
  <c r="L65" i="8" s="1"/>
  <c r="F66" i="8"/>
  <c r="J66" i="8" s="1"/>
  <c r="L66" i="8" s="1"/>
  <c r="F67" i="8"/>
  <c r="J67" i="8" s="1"/>
  <c r="L67" i="8" s="1"/>
  <c r="F68" i="8"/>
  <c r="J68" i="8" s="1"/>
  <c r="L68" i="8" s="1"/>
  <c r="F69" i="8"/>
  <c r="J69" i="8" s="1"/>
  <c r="L69" i="8" s="1"/>
  <c r="F70" i="8"/>
  <c r="J70" i="8" s="1"/>
  <c r="L70" i="8" s="1"/>
  <c r="F72" i="8"/>
  <c r="J72" i="8" s="1"/>
  <c r="L72" i="8" s="1"/>
  <c r="F73" i="8"/>
  <c r="J73" i="8" s="1"/>
  <c r="L73" i="8" s="1"/>
  <c r="F74" i="8"/>
  <c r="J74" i="8" s="1"/>
  <c r="L74" i="8" s="1"/>
  <c r="F76" i="8"/>
  <c r="J76" i="8" s="1"/>
  <c r="F77" i="8"/>
  <c r="J77" i="8" s="1"/>
  <c r="F78" i="8"/>
  <c r="J78" i="8" s="1"/>
  <c r="F79" i="8"/>
  <c r="J79" i="8" s="1"/>
  <c r="F80" i="8"/>
  <c r="J80" i="8" s="1"/>
  <c r="F81" i="8"/>
  <c r="J81" i="8" s="1"/>
  <c r="F82" i="8"/>
  <c r="J82" i="8" s="1"/>
  <c r="F83" i="8"/>
  <c r="J83" i="8" s="1"/>
  <c r="F85" i="8"/>
  <c r="J85" i="8" s="1"/>
  <c r="F86" i="8"/>
  <c r="J86" i="8" s="1"/>
  <c r="F87" i="8"/>
  <c r="J87" i="8" s="1"/>
  <c r="F88" i="8"/>
  <c r="J88" i="8" s="1"/>
  <c r="L88" i="8" s="1"/>
  <c r="F89" i="8"/>
  <c r="J89" i="8" s="1"/>
  <c r="F91" i="8"/>
  <c r="J91" i="8" s="1"/>
  <c r="L91" i="8" s="1"/>
  <c r="F92" i="8"/>
  <c r="J92" i="8" s="1"/>
  <c r="L92" i="8" s="1"/>
  <c r="F93" i="8"/>
  <c r="J93" i="8" s="1"/>
  <c r="L93" i="8" s="1"/>
  <c r="F94" i="8"/>
  <c r="J94" i="8" s="1"/>
  <c r="L94" i="8" s="1"/>
  <c r="F95" i="8"/>
  <c r="J95" i="8" s="1"/>
  <c r="L95" i="8" s="1"/>
  <c r="F96" i="8"/>
  <c r="J96" i="8" s="1"/>
  <c r="L96" i="8" s="1"/>
  <c r="F97" i="8"/>
  <c r="J97" i="8" s="1"/>
  <c r="L97" i="8" s="1"/>
  <c r="F98" i="8"/>
  <c r="J98" i="8" s="1"/>
  <c r="L98" i="8" s="1"/>
  <c r="F100" i="8"/>
  <c r="J100" i="8" s="1"/>
  <c r="L100" i="8" s="1"/>
  <c r="F101" i="8"/>
  <c r="J101" i="8" s="1"/>
  <c r="L101" i="8" s="1"/>
  <c r="F102" i="8"/>
  <c r="J102" i="8" s="1"/>
  <c r="L102" i="8" s="1"/>
  <c r="F104" i="8"/>
  <c r="J104" i="8" s="1"/>
  <c r="L104" i="8" s="1"/>
  <c r="F105" i="8"/>
  <c r="J105" i="8" s="1"/>
  <c r="L105" i="8" s="1"/>
  <c r="F106" i="8"/>
  <c r="J106" i="8" s="1"/>
  <c r="L106" i="8" s="1"/>
  <c r="F108" i="8"/>
  <c r="J108" i="8" s="1"/>
  <c r="L108" i="8" s="1"/>
  <c r="F109" i="8"/>
  <c r="J109" i="8" s="1"/>
  <c r="L109" i="8" s="1"/>
  <c r="F110" i="8"/>
  <c r="J110" i="8" s="1"/>
  <c r="L110" i="8" s="1"/>
  <c r="F111" i="8"/>
  <c r="J111" i="8" s="1"/>
  <c r="L111" i="8" s="1"/>
  <c r="F112" i="8"/>
  <c r="J112" i="8" s="1"/>
  <c r="L112" i="8" s="1"/>
  <c r="F113" i="8"/>
  <c r="J113" i="8" s="1"/>
  <c r="L113" i="8" s="1"/>
  <c r="F115" i="8"/>
  <c r="J115" i="8" s="1"/>
  <c r="L115" i="8" s="1"/>
  <c r="F116" i="8"/>
  <c r="J116" i="8" s="1"/>
  <c r="L116" i="8" s="1"/>
  <c r="F117" i="8"/>
  <c r="J117" i="8" s="1"/>
  <c r="L117" i="8" s="1"/>
  <c r="F118" i="8"/>
  <c r="J118" i="8" s="1"/>
  <c r="L118" i="8" s="1"/>
  <c r="F119" i="8"/>
  <c r="J119" i="8" s="1"/>
  <c r="L119" i="8" s="1"/>
  <c r="F121" i="8"/>
  <c r="J121" i="8" s="1"/>
  <c r="L121" i="8" s="1"/>
  <c r="F122" i="8"/>
  <c r="J122" i="8" s="1"/>
  <c r="L122" i="8" s="1"/>
  <c r="F124" i="8"/>
  <c r="J124" i="8" s="1"/>
  <c r="L124" i="8" s="1"/>
  <c r="F125" i="8"/>
  <c r="J125" i="8" s="1"/>
  <c r="L125" i="8" s="1"/>
  <c r="F126" i="8"/>
  <c r="J126" i="8" s="1"/>
  <c r="L126" i="8" s="1"/>
  <c r="F127" i="8"/>
  <c r="J127" i="8" s="1"/>
  <c r="L127" i="8" s="1"/>
  <c r="F129" i="8"/>
  <c r="J129" i="8" s="1"/>
  <c r="F130" i="8"/>
  <c r="J130" i="8" s="1"/>
  <c r="F131" i="8"/>
  <c r="J131" i="8" s="1"/>
  <c r="F132" i="8"/>
  <c r="J132" i="8" s="1"/>
  <c r="F133" i="8"/>
  <c r="J133" i="8" s="1"/>
  <c r="F135" i="8"/>
  <c r="J135" i="8" s="1"/>
  <c r="L135" i="8" s="1"/>
  <c r="F136" i="8"/>
  <c r="J136" i="8" s="1"/>
  <c r="L136" i="8" s="1"/>
  <c r="F137" i="8"/>
  <c r="J137" i="8" s="1"/>
  <c r="L137" i="8" s="1"/>
  <c r="F138" i="8"/>
  <c r="J138" i="8" s="1"/>
  <c r="L138" i="8" s="1"/>
  <c r="F139" i="8"/>
  <c r="J139" i="8" s="1"/>
  <c r="L139" i="8" s="1"/>
  <c r="F140" i="8"/>
  <c r="J140" i="8" s="1"/>
  <c r="L140" i="8" s="1"/>
  <c r="F142" i="8"/>
  <c r="J142" i="8" s="1"/>
  <c r="F143" i="8"/>
  <c r="J143" i="8" s="1"/>
  <c r="F144" i="8"/>
  <c r="J144" i="8" s="1"/>
  <c r="F145" i="8"/>
  <c r="J145" i="8" s="1"/>
  <c r="F146" i="8"/>
  <c r="J146" i="8" s="1"/>
  <c r="F148" i="8"/>
  <c r="J148" i="8" s="1"/>
  <c r="F149" i="8"/>
  <c r="J149" i="8" s="1"/>
  <c r="F150" i="8"/>
  <c r="J150" i="8" s="1"/>
  <c r="F151" i="8"/>
  <c r="J151" i="8" s="1"/>
  <c r="F152" i="8"/>
  <c r="J152" i="8" s="1"/>
  <c r="F153" i="8"/>
  <c r="J153" i="8" s="1"/>
  <c r="F155" i="8"/>
  <c r="J155" i="8" s="1"/>
  <c r="L155" i="8" s="1"/>
  <c r="F156" i="8"/>
  <c r="J156" i="8" s="1"/>
  <c r="L156" i="8" s="1"/>
  <c r="F157" i="8"/>
  <c r="J157" i="8" s="1"/>
  <c r="L157" i="8" s="1"/>
  <c r="F158" i="8"/>
  <c r="J158" i="8" s="1"/>
  <c r="L158" i="8" s="1"/>
  <c r="F159" i="8"/>
  <c r="J159" i="8" s="1"/>
  <c r="L159" i="8" s="1"/>
  <c r="F161" i="8"/>
  <c r="J161" i="8" s="1"/>
  <c r="L161" i="8" s="1"/>
  <c r="F162" i="8"/>
  <c r="J162" i="8" s="1"/>
  <c r="L162" i="8" s="1"/>
  <c r="F163" i="8"/>
  <c r="J163" i="8" s="1"/>
  <c r="L163" i="8" s="1"/>
  <c r="F164" i="8"/>
  <c r="J164" i="8" s="1"/>
  <c r="L164" i="8" s="1"/>
  <c r="F165" i="8"/>
  <c r="J165" i="8" s="1"/>
  <c r="L165" i="8" s="1"/>
  <c r="F166" i="8"/>
  <c r="J166" i="8" s="1"/>
  <c r="L166" i="8" s="1"/>
  <c r="F167" i="8"/>
  <c r="J167" i="8" s="1"/>
  <c r="L167" i="8" s="1"/>
  <c r="F168" i="8"/>
  <c r="J168" i="8" s="1"/>
  <c r="L168" i="8" s="1"/>
  <c r="F169" i="8"/>
  <c r="J169" i="8" s="1"/>
  <c r="L169" i="8" s="1"/>
  <c r="F171" i="8"/>
  <c r="J171" i="8" s="1"/>
  <c r="F172" i="8"/>
  <c r="J172" i="8" s="1"/>
  <c r="F173" i="8"/>
  <c r="J173" i="8" s="1"/>
  <c r="F174" i="8"/>
  <c r="J174" i="8" s="1"/>
  <c r="F175" i="8"/>
  <c r="J175" i="8" s="1"/>
  <c r="F177" i="8"/>
  <c r="J177" i="8" s="1"/>
  <c r="L177" i="8" s="1"/>
  <c r="F178" i="8"/>
  <c r="J178" i="8" s="1"/>
  <c r="L178" i="8" s="1"/>
  <c r="F179" i="8"/>
  <c r="J179" i="8" s="1"/>
  <c r="L179" i="8" s="1"/>
  <c r="F180" i="8"/>
  <c r="J180" i="8" s="1"/>
  <c r="L180" i="8" s="1"/>
  <c r="F181" i="8"/>
  <c r="J181" i="8" s="1"/>
  <c r="L181" i="8" s="1"/>
  <c r="F182" i="8"/>
  <c r="J182" i="8" s="1"/>
  <c r="L182" i="8" s="1"/>
  <c r="F183" i="8"/>
  <c r="J183" i="8" s="1"/>
  <c r="L183" i="8" s="1"/>
  <c r="F184" i="8"/>
  <c r="J184" i="8" s="1"/>
  <c r="L184" i="8" s="1"/>
  <c r="F185" i="8"/>
  <c r="J185" i="8" s="1"/>
  <c r="L185" i="8" s="1"/>
  <c r="F186" i="8"/>
  <c r="J186" i="8" s="1"/>
  <c r="L186" i="8" s="1"/>
  <c r="F187" i="8"/>
  <c r="J187" i="8" s="1"/>
  <c r="L187" i="8" s="1"/>
  <c r="F188" i="8"/>
  <c r="J188" i="8" s="1"/>
  <c r="L188" i="8" s="1"/>
  <c r="F189" i="8"/>
  <c r="J189" i="8" s="1"/>
  <c r="L189" i="8" s="1"/>
  <c r="F190" i="8"/>
  <c r="J190" i="8" s="1"/>
  <c r="L190" i="8" s="1"/>
  <c r="F191" i="8"/>
  <c r="J191" i="8" s="1"/>
  <c r="L191" i="8" s="1"/>
  <c r="F192" i="8"/>
  <c r="J192" i="8" s="1"/>
  <c r="L192" i="8" s="1"/>
  <c r="F193" i="8"/>
  <c r="J193" i="8" s="1"/>
  <c r="L193" i="8" s="1"/>
  <c r="F194" i="8"/>
  <c r="J194" i="8" s="1"/>
  <c r="L194" i="8" s="1"/>
  <c r="F195" i="8"/>
  <c r="F196" i="8"/>
  <c r="J196" i="8" s="1"/>
  <c r="L196" i="8" s="1"/>
  <c r="F197" i="8"/>
  <c r="J197" i="8" s="1"/>
  <c r="L197" i="8" s="1"/>
  <c r="F200" i="8"/>
  <c r="J200" i="8" s="1"/>
  <c r="L200" i="8" s="1"/>
  <c r="F201" i="8"/>
  <c r="J201" i="8" s="1"/>
  <c r="L201" i="8" s="1"/>
  <c r="F202" i="8"/>
  <c r="J202" i="8" s="1"/>
  <c r="L202" i="8" s="1"/>
  <c r="F203" i="8"/>
  <c r="J203" i="8" s="1"/>
  <c r="L203" i="8" s="1"/>
  <c r="F204" i="8"/>
  <c r="J204" i="8" s="1"/>
  <c r="L204" i="8" s="1"/>
  <c r="F205" i="8"/>
  <c r="J205" i="8" s="1"/>
  <c r="L205" i="8" s="1"/>
  <c r="F206" i="8"/>
  <c r="J206" i="8" s="1"/>
  <c r="L206" i="8" s="1"/>
  <c r="F207" i="8"/>
  <c r="J207" i="8" s="1"/>
  <c r="L207" i="8" s="1"/>
  <c r="F209" i="8"/>
  <c r="J209" i="8" s="1"/>
  <c r="L209" i="8" s="1"/>
  <c r="F210" i="8"/>
  <c r="J210" i="8" s="1"/>
  <c r="L210" i="8" s="1"/>
  <c r="F211" i="8"/>
  <c r="J211" i="8" s="1"/>
  <c r="L211" i="8" s="1"/>
  <c r="F212" i="8"/>
  <c r="J212" i="8" s="1"/>
  <c r="L212" i="8" s="1"/>
  <c r="F4" i="8"/>
  <c r="J19" i="8" l="1"/>
  <c r="L19" i="8" s="1"/>
  <c r="J9" i="8"/>
  <c r="J8" i="8"/>
  <c r="J18" i="8"/>
  <c r="L18" i="8" s="1"/>
  <c r="J16" i="8"/>
  <c r="L16" i="8" s="1"/>
  <c r="J4" i="8"/>
  <c r="L4" i="8" s="1"/>
  <c r="J7" i="8"/>
  <c r="J14" i="8"/>
  <c r="L14" i="8" s="1"/>
  <c r="J12" i="8"/>
  <c r="L12" i="8" s="1"/>
  <c r="J24" i="8"/>
  <c r="L24" i="8" s="1"/>
  <c r="J6" i="8"/>
  <c r="J17" i="8"/>
  <c r="L17" i="8" s="1"/>
  <c r="J23" i="8"/>
  <c r="L23" i="8" s="1"/>
  <c r="J5" i="8"/>
  <c r="J20" i="8"/>
  <c r="L20" i="8" s="1"/>
  <c r="J15" i="8"/>
  <c r="L15" i="8" s="1"/>
  <c r="J13" i="8"/>
  <c r="L13" i="8" s="1"/>
  <c r="J22" i="8"/>
  <c r="L22" i="8" s="1"/>
  <c r="J21" i="8"/>
  <c r="L21" i="8" s="1"/>
  <c r="G217" i="8"/>
  <c r="G218" i="8" s="1"/>
  <c r="L213" i="8" l="1"/>
  <c r="L214" i="8" s="1"/>
  <c r="L215" i="8" s="1"/>
  <c r="L216" i="8" s="1"/>
  <c r="L217" i="8" s="1"/>
  <c r="L218" i="8" s="1"/>
  <c r="J213" i="8"/>
  <c r="J214" i="8" s="1"/>
  <c r="J215" i="8" s="1"/>
  <c r="J216" i="8" s="1"/>
  <c r="J217" i="8" s="1"/>
  <c r="J218" i="8" s="1"/>
</calcChain>
</file>

<file path=xl/sharedStrings.xml><?xml version="1.0" encoding="utf-8"?>
<sst xmlns="http://schemas.openxmlformats.org/spreadsheetml/2006/main" count="815" uniqueCount="521">
  <si>
    <t>№</t>
  </si>
  <si>
    <t>Раздел 1. Демонтажные работы</t>
  </si>
  <si>
    <t>1</t>
  </si>
  <si>
    <t>100 м</t>
  </si>
  <si>
    <t>2</t>
  </si>
  <si>
    <t>100 м3</t>
  </si>
  <si>
    <t>3</t>
  </si>
  <si>
    <t>4</t>
  </si>
  <si>
    <t>1000 м3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</si>
  <si>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</si>
  <si>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</si>
  <si>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</si>
  <si>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</si>
  <si>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6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</si>
  <si>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</si>
  <si>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</si>
  <si>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</si>
  <si>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</si>
  <si>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</si>
  <si>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</si>
  <si>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</si>
  <si>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</si>
  <si>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</si>
  <si>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</si>
  <si>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</si>
  <si>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</si>
  <si>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</si>
  <si>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</si>
  <si>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</si>
  <si>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</si>
  <si>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</si>
  <si>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</si>
  <si>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</si>
  <si>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</si>
  <si>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</si>
  <si>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</si>
  <si>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</si>
  <si>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</si>
  <si>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</si>
  <si>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</si>
  <si>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</si>
  <si>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</si>
  <si>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</si>
  <si>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</si>
  <si>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</si>
  <si>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</si>
  <si>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</si>
  <si>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</si>
  <si>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</si>
  <si>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</si>
  <si>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</si>
  <si>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</si>
  <si>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</si>
  <si>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</si>
  <si>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</si>
  <si>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</si>
  <si>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</si>
  <si>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</si>
  <si>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</si>
  <si>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</si>
  <si>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</si>
  <si>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кг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</si>
  <si>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</si>
  <si>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</si>
  <si>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</si>
  <si>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</si>
  <si>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</si>
  <si>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</si>
  <si>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</si>
  <si>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</si>
  <si>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</si>
  <si>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</si>
  <si>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</si>
  <si>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</si>
  <si>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</si>
  <si>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</si>
  <si>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</si>
  <si>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ФЕР08-01-002-02</t>
  </si>
  <si>
    <t>Устройство основания под фундаменты: щебеночного</t>
  </si>
  <si>
    <t>63</t>
  </si>
  <si>
    <t>64</t>
  </si>
  <si>
    <t>65</t>
  </si>
  <si>
    <t>66</t>
  </si>
  <si>
    <t>67</t>
  </si>
  <si>
    <t>68</t>
  </si>
  <si>
    <t>69</t>
  </si>
  <si>
    <t>ФЕР01-02-060-01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</si>
  <si>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</si>
  <si>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</si>
  <si>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</si>
  <si>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</si>
  <si>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</si>
  <si>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</si>
  <si>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</si>
  <si>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</si>
  <si>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</si>
  <si>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</si>
  <si>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ФССЦ-04.3.01.09-0014</t>
  </si>
  <si>
    <t>Раствор готовый кладочный, цементный, М100</t>
  </si>
  <si>
    <t>80</t>
  </si>
  <si>
    <t>81</t>
  </si>
  <si>
    <t>82</t>
  </si>
  <si>
    <t>83</t>
  </si>
  <si>
    <t>м2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</si>
  <si>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</si>
  <si>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</si>
  <si>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</si>
  <si>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85</t>
  </si>
  <si>
    <t>ФССЦ-01.2.03.05-0010</t>
  </si>
  <si>
    <t>Праймер битумный производства «Техно-Николь»</t>
  </si>
  <si>
    <t>86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</si>
  <si>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</si>
  <si>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</si>
  <si>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</si>
  <si>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</si>
  <si>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</si>
  <si>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</si>
  <si>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</si>
  <si>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</si>
  <si>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Погрузка вручную неуплотненного грунта из штабелей и отвалов в транспортные средства, группа грунтов: 1</t>
  </si>
  <si>
    <t>м</t>
  </si>
  <si>
    <t>Наименование работ</t>
  </si>
  <si>
    <t>Расценка</t>
  </si>
  <si>
    <t>стоим. Ед</t>
  </si>
  <si>
    <t>Примечания</t>
  </si>
  <si>
    <t>в деньгах</t>
  </si>
  <si>
    <t>объем для КС3</t>
  </si>
  <si>
    <t>100 шт</t>
  </si>
  <si>
    <t>87</t>
  </si>
  <si>
    <t>объем ИД</t>
  </si>
  <si>
    <t>Сумма сметы</t>
  </si>
  <si>
    <t>Раздел 2. Земляные работы</t>
  </si>
  <si>
    <t>ФЕР06-01-001-01</t>
  </si>
  <si>
    <t>Устройство бетонной подготовки</t>
  </si>
  <si>
    <t>ФССЦ-04.1.02.05-0003</t>
  </si>
  <si>
    <t>Смеси бетонные тяжелого бетона (БСТ), класс В7,5 (М100)</t>
  </si>
  <si>
    <t>ФССЦ-04.1.02.05-0009</t>
  </si>
  <si>
    <t>Смеси бетонные тяжелого бетона (БСТ), класс В25 (М350)</t>
  </si>
  <si>
    <t>ФССЦ-08.4.03.03-0002</t>
  </si>
  <si>
    <t>Сталь арматурная рифленая свариваемая, класс А500С, диаметр 8 мм</t>
  </si>
  <si>
    <t>Гидроизоляция конструкций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</si>
  <si>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</si>
  <si>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</si>
  <si>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</si>
  <si>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</si>
  <si>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</si>
  <si>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</si>
  <si>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ФЕР01-02-005-01</t>
  </si>
  <si>
    <t>Уплотнение грунта пневматическими трамбовками, группа грунтов: 1-2</t>
  </si>
  <si>
    <t>ФЕР01-02-061-01</t>
  </si>
  <si>
    <t>Засыпка вручную траншей, пазух котлованов и ям, группа грунтов: 1</t>
  </si>
  <si>
    <t>Щебень известняковый М600 фр. 20/40</t>
  </si>
  <si>
    <t>ФЕР13-06-004-01</t>
  </si>
  <si>
    <t>Обеспыливание поверхности</t>
  </si>
  <si>
    <t>ФЕР13-03-004-26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</si>
  <si>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</si>
  <si>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</si>
  <si>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</si>
  <si>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</si>
  <si>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</si>
  <si>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</si>
  <si>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</si>
  <si>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</si>
  <si>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</si>
  <si>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</si>
  <si>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</si>
  <si>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</si>
  <si>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</si>
  <si>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</si>
  <si>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</si>
  <si>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</si>
  <si>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</si>
  <si>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</si>
  <si>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</si>
  <si>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</si>
  <si>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</si>
  <si>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</si>
  <si>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</si>
  <si>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</si>
  <si>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</si>
  <si>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</si>
  <si>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ФЕР09-05-006-01</t>
  </si>
  <si>
    <t>м реза</t>
  </si>
  <si>
    <t>112</t>
  </si>
  <si>
    <t>113</t>
  </si>
  <si>
    <t>ФССЦ-04.1.02.05-0006</t>
  </si>
  <si>
    <t>114</t>
  </si>
  <si>
    <t>115</t>
  </si>
  <si>
    <t>ФССЦ-04.1.02.05-0004</t>
  </si>
  <si>
    <t>Смеси бетонные тяжелого бетона (БСТ), класс В10 (М150)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</si>
  <si>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</si>
  <si>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</si>
  <si>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</si>
  <si>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</si>
  <si>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</si>
  <si>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</si>
  <si>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</si>
  <si>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</si>
  <si>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</si>
  <si>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</si>
  <si>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</si>
  <si>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</si>
  <si>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</si>
  <si>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</si>
  <si>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</si>
  <si>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</si>
  <si>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</si>
  <si>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</si>
  <si>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</si>
  <si>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</si>
  <si>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</si>
  <si>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</si>
  <si>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</si>
  <si>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</si>
  <si>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</si>
  <si>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</si>
  <si>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</si>
  <si>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</si>
  <si>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</si>
  <si>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</si>
  <si>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</si>
  <si>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</si>
  <si>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</si>
  <si>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</si>
  <si>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</si>
  <si>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</si>
  <si>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</si>
  <si>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</si>
  <si>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</si>
  <si>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</si>
  <si>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</si>
  <si>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</si>
  <si>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</si>
  <si>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</si>
  <si>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</si>
  <si>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</si>
  <si>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</si>
  <si>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</si>
  <si>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</si>
  <si>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</si>
  <si>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</si>
  <si>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</si>
  <si>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</si>
  <si>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</si>
  <si>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</si>
  <si>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</si>
  <si>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</si>
  <si>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</si>
  <si>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</si>
  <si>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</si>
  <si>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</si>
  <si>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</si>
  <si>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</si>
  <si>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</si>
  <si>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</si>
  <si>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</si>
  <si>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Раздел 1. Фундаменты (131-23-АС3)</t>
  </si>
  <si>
    <t>Земляные работы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</si>
  <si>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</si>
  <si>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</si>
  <si>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</si>
  <si>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</si>
  <si>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ФЕР01-02-057-01</t>
  </si>
  <si>
    <t>Разработка грунта вручную в траншеях глубиной до 2 м без креплений с откосами, группа грунтов: 1</t>
  </si>
  <si>
    <t>Устройтво монолитных ж/б конструкций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</si>
  <si>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</si>
  <si>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</si>
  <si>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</si>
  <si>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</si>
  <si>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</si>
  <si>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</si>
  <si>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</si>
  <si>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</si>
  <si>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</si>
  <si>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</si>
  <si>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</si>
  <si>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</si>
  <si>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</si>
  <si>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</si>
  <si>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</si>
  <si>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</si>
  <si>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</si>
  <si>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</si>
  <si>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</si>
  <si>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</si>
  <si>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</si>
  <si>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</si>
  <si>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</si>
  <si>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</si>
  <si>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</si>
  <si>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</si>
  <si>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</si>
  <si>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</si>
  <si>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ФЕР46-08-044-02</t>
  </si>
  <si>
    <t>Гидроструйная очистка: бетонных поверхностей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</si>
  <si>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</si>
  <si>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</si>
  <si>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</si>
  <si>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</si>
  <si>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</si>
  <si>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</si>
  <si>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</si>
  <si>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</si>
  <si>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</si>
  <si>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</si>
  <si>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</si>
  <si>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</si>
  <si>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</si>
  <si>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</si>
  <si>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</si>
  <si>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</si>
  <si>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</si>
  <si>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</si>
  <si>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</si>
  <si>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</si>
  <si>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</si>
  <si>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</si>
  <si>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</si>
  <si>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</si>
  <si>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</si>
  <si>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</si>
  <si>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</si>
  <si>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</si>
  <si>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</si>
  <si>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</si>
  <si>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</si>
  <si>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</si>
  <si>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</si>
  <si>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</si>
  <si>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</si>
  <si>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</si>
  <si>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</si>
  <si>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</si>
  <si>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</si>
  <si>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</si>
  <si>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</si>
  <si>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</si>
  <si>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</si>
  <si>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</si>
  <si>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</si>
  <si>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</si>
  <si>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</si>
  <si>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</si>
  <si>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</si>
  <si>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</si>
  <si>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</si>
  <si>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</si>
  <si>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</si>
  <si>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</si>
  <si>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</si>
  <si>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</si>
  <si>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</si>
  <si>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</si>
  <si>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</si>
  <si>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</si>
  <si>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</si>
  <si>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</si>
  <si>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</si>
  <si>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</si>
  <si>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</si>
  <si>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</si>
  <si>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</si>
  <si>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ФССЦ-12.2.05.09-0034</t>
  </si>
  <si>
    <t>Плиты пенополистирольные экструзионные ТЕХНОПЛЕКС (ТУ 2244-047-17925162-2006), марки: 35 Стандарт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</si>
  <si>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</si>
  <si>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</si>
  <si>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</si>
  <si>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</si>
  <si>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Раздел 4. Восстановление пола</t>
  </si>
  <si>
    <t>ФЕР11-01-001-02</t>
  </si>
  <si>
    <t>Уплотнение грунта: щебнем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</si>
  <si>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</si>
  <si>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</si>
  <si>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</si>
  <si>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</si>
  <si>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</si>
  <si>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</si>
  <si>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</si>
  <si>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</si>
  <si>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</si>
  <si>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</si>
  <si>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</si>
  <si>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</si>
  <si>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</si>
  <si>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</si>
  <si>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</si>
  <si>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</si>
  <si>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</si>
  <si>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</si>
  <si>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</si>
  <si>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</si>
  <si>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</si>
  <si>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</si>
  <si>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</si>
  <si>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</si>
  <si>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</si>
  <si>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</si>
  <si>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</si>
  <si>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ООО «Техностиль Премиум» КП №20 от 18.07.2023 (п.2.1)</t>
  </si>
  <si>
    <t>Саморезы для крепления стеновой панели 120 мм (5,5*160)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</si>
  <si>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</si>
  <si>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</si>
  <si>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</si>
  <si>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</si>
  <si>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</si>
  <si>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</si>
  <si>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</si>
  <si>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</si>
  <si>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</si>
  <si>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</si>
  <si>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Раздел 8. Заполнение проёмов</t>
  </si>
  <si>
    <t>ФЕР09-04-011-01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</si>
  <si>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</si>
  <si>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</si>
  <si>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</si>
  <si>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Раздел 9. Устройство отмостки, пандуса</t>
  </si>
  <si>
    <t>Раздел 10. Устройство отмостки в осях А-Д/13 24,8 м.п.</t>
  </si>
  <si>
    <t>ФЕР27-04-001-04</t>
  </si>
  <si>
    <t>Устройство подстилающих и выравнивающих слоев оснований: из щебня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</si>
  <si>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</si>
  <si>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</si>
  <si>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</si>
  <si>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</si>
  <si>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</si>
  <si>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</si>
  <si>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Раздел 11. Устройство пандуса в осях В-Г/13 1 шт.</t>
  </si>
  <si>
    <t>ФЕР06-01-004-05</t>
  </si>
  <si>
    <t>Устройство: железобетонных пандусов</t>
  </si>
  <si>
    <t>Раздел 12. Устройство отмостки в осях Д/1-13 63 м.п.</t>
  </si>
  <si>
    <t>На каждые 0,5 см изменения толщины покрытия добавлять к расценке 27-07-001-01(Толщина слоя 50мм)</t>
  </si>
  <si>
    <t>Раздел 13. Устройство пандусов в осях Д/1-13 2шт.</t>
  </si>
  <si>
    <t>Раздел 14. Устранение коррозии металлических балок покрытия в осях Г-Д/13-14</t>
  </si>
  <si>
    <t>ФЕР13-06-003-01</t>
  </si>
  <si>
    <t>Очистка поверхности щетками</t>
  </si>
  <si>
    <t>ФЕР13-03-004-04</t>
  </si>
  <si>
    <t>Окраска металлических огрунтованных поверхностей: эмалью ХВ-1120 (за 2 раза)</t>
  </si>
  <si>
    <t>ФССЦ-14.4.04.09-0027</t>
  </si>
  <si>
    <t>Эмаль перхлорвиниловая ХВ-1120</t>
  </si>
  <si>
    <t>ФССЦ-14.4.01.13-0001</t>
  </si>
  <si>
    <t>Грунт-эмаль по ржавчине ХВ-0278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</si>
  <si>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</si>
  <si>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</si>
  <si>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</si>
  <si>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</si>
  <si>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</si>
  <si>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</si>
  <si>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</si>
  <si>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</si>
  <si>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</si>
  <si>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</si>
  <si>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</si>
  <si>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</si>
  <si>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</si>
  <si>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</si>
  <si>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</si>
  <si>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</si>
  <si>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</si>
  <si>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Раздел 16.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</si>
  <si>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</si>
  <si>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</si>
  <si>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</si>
  <si>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</si>
  <si>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</si>
  <si>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</si>
  <si>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</si>
  <si>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</si>
  <si>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</si>
  <si>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</si>
  <si>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</si>
  <si>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</si>
  <si>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</si>
  <si>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</si>
  <si>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</si>
  <si>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</si>
  <si>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</si>
  <si>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ФЕР12-01-017-01</t>
  </si>
  <si>
    <t>Устройство выравнивающих стяжек: цементно-песчаных толщиной 15 мм (Толщина слоя 50мм)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</si>
  <si>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</si>
  <si>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</si>
  <si>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</si>
  <si>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</si>
  <si>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</si>
  <si>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</si>
  <si>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</si>
  <si>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</si>
  <si>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</si>
  <si>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</si>
  <si>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</si>
  <si>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</si>
  <si>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</si>
  <si>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</si>
  <si>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</si>
  <si>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</si>
  <si>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</si>
  <si>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</si>
  <si>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</si>
  <si>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</si>
  <si>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</si>
  <si>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</si>
  <si>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</si>
  <si>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</si>
  <si>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</si>
  <si>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</si>
  <si>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</si>
  <si>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</si>
  <si>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</si>
  <si>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</si>
  <si>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</si>
  <si>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</si>
  <si>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S-MD 51 Z 4,8x19 Самосверлящий шуруп для кровли
HILTI с шайбой EPDM и сверлом (углеродистая
сталь</t>
  </si>
  <si>
    <t>ФЕР46-04-003-01</t>
  </si>
  <si>
    <t>Разборка бетонных конструкций объемом более 1 м3 при помощи отбойных молотков из бетона марки: 100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</si>
  <si>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</si>
  <si>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</si>
  <si>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КП "МК-ГРУПП"</t>
  </si>
  <si>
    <t>Утилизация отходов 4-5 класса опасности</t>
  </si>
  <si>
    <t>Талоны ???</t>
  </si>
  <si>
    <t>КМД ?</t>
  </si>
  <si>
    <t>ХЗ</t>
  </si>
  <si>
    <t>не закрываем</t>
  </si>
  <si>
    <t>НЕ ЗАКРОЕМ ВООБЩЕ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</si>
</sst>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  <numFmt numFmtId="167" formatCode="#,##0.0000"/>
    <numFmt numFmtId="174" formatCode="#,##0.000"/>
    <numFmt numFmtId="17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b/>
      <sz val="14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0" fontId="9" fillId="0" borderId="0">
      <alignment vertical="top"/>
      <protection locked="0"/>
    </xf>
    <xf numFmtId="0" fontId="8" fillId="0" borderId="0">
      <alignment horizontal="right" vertical="top" wrapText="1"/>
    </xf>
    <xf numFmtId="0" fontId="8" fillId="0" borderId="1" applyFill="0" applyProtection="0">
      <alignment horizontal="center"/>
    </xf>
    <xf numFmtId="0" fontId="7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8" fillId="0" borderId="0">
      <alignment horizontal="center"/>
    </xf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1" applyBorder="0" applyAlignment="0">
      <alignment horizontal="center" wrapText="1"/>
    </xf>
    <xf numFmtId="0" fontId="8" fillId="0" borderId="0">
      <alignment horizontal="left" vertical="top"/>
    </xf>
    <xf numFmtId="0" fontId="1" fillId="0" borderId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3" fillId="0" borderId="0"/>
    <xf numFmtId="0" fontId="15" fillId="0" borderId="0"/>
    <xf numFmtId="0" fontId="16" fillId="0" borderId="0"/>
    <xf numFmtId="0" fontId="19" fillId="0" borderId="0"/>
  </cellStyleXfs>
  <cellXfs count="94">
    <xf numFmtId="0" fontId="0" fillId="0" borderId="0" xfId="0"/>
    <xf numFmtId="4" fontId="11" fillId="2" borderId="1" xfId="35" applyNumberFormat="1" applyFont="1" applyFill="1" applyBorder="1" applyAlignment="1">
      <alignment horizontal="center" vertical="center" wrapText="1"/>
    </xf>
    <xf numFmtId="4" fontId="12" fillId="0" borderId="1" xfId="2" applyNumberFormat="1" applyFont="1" applyFill="1" applyBorder="1" applyAlignment="1">
      <alignment horizontal="right"/>
    </xf>
    <xf numFmtId="4" fontId="11" fillId="0" borderId="1" xfId="2" applyNumberFormat="1" applyFont="1" applyFill="1" applyBorder="1" applyAlignment="1">
      <alignment horizontal="right"/>
    </xf>
    <xf numFmtId="49" fontId="11" fillId="2" borderId="1" xfId="34" applyNumberFormat="1" applyFont="1" applyFill="1" applyBorder="1" applyAlignment="1">
      <alignment horizontal="center" vertical="center" wrapText="1"/>
    </xf>
    <xf numFmtId="0" fontId="11" fillId="2" borderId="1" xfId="34" applyFont="1" applyFill="1" applyBorder="1" applyAlignment="1">
      <alignment horizontal="center" vertical="center" wrapText="1"/>
    </xf>
    <xf numFmtId="4" fontId="11" fillId="2" borderId="1" xfId="34" applyNumberFormat="1" applyFont="1" applyFill="1" applyBorder="1" applyAlignment="1">
      <alignment horizontal="center" vertical="center" wrapText="1"/>
    </xf>
    <xf numFmtId="4" fontId="12" fillId="0" borderId="2" xfId="2" applyNumberFormat="1" applyFont="1" applyFill="1" applyBorder="1" applyAlignment="1">
      <alignment horizontal="right"/>
    </xf>
    <xf numFmtId="4" fontId="12" fillId="0" borderId="2" xfId="34" applyNumberFormat="1" applyFont="1" applyFill="1" applyBorder="1" applyAlignment="1">
      <alignment horizontal="right" vertical="center"/>
    </xf>
    <xf numFmtId="49" fontId="13" fillId="0" borderId="0" xfId="36" applyNumberFormat="1" applyFont="1" applyFill="1" applyAlignment="1"/>
    <xf numFmtId="0" fontId="13" fillId="0" borderId="0" xfId="36" applyFont="1" applyFill="1" applyAlignment="1"/>
    <xf numFmtId="4" fontId="13" fillId="0" borderId="0" xfId="36" applyNumberFormat="1" applyFont="1" applyFill="1" applyAlignment="1"/>
    <xf numFmtId="0" fontId="14" fillId="0" borderId="0" xfId="36" applyFont="1" applyFill="1" applyAlignment="1"/>
    <xf numFmtId="0" fontId="13" fillId="0" borderId="0" xfId="36" applyFont="1" applyFill="1" applyAlignment="1">
      <alignment vertical="top"/>
    </xf>
    <xf numFmtId="49" fontId="13" fillId="0" borderId="1" xfId="36" applyNumberFormat="1" applyFont="1" applyFill="1" applyBorder="1" applyAlignment="1">
      <alignment vertical="center"/>
    </xf>
    <xf numFmtId="0" fontId="13" fillId="0" borderId="1" xfId="36" applyFont="1" applyFill="1" applyBorder="1" applyAlignment="1"/>
    <xf numFmtId="49" fontId="13" fillId="0" borderId="1" xfId="36" applyNumberFormat="1" applyFont="1" applyFill="1" applyBorder="1" applyAlignment="1">
      <alignment horizontal="center" vertical="top"/>
    </xf>
    <xf numFmtId="49" fontId="13" fillId="0" borderId="1" xfId="36" applyNumberFormat="1" applyFont="1" applyFill="1" applyBorder="1" applyAlignment="1">
      <alignment horizontal="left" vertical="top"/>
    </xf>
    <xf numFmtId="0" fontId="13" fillId="0" borderId="1" xfId="36" applyFont="1" applyFill="1" applyBorder="1" applyAlignment="1">
      <alignment horizontal="center" vertical="top"/>
    </xf>
    <xf numFmtId="4" fontId="13" fillId="0" borderId="1" xfId="36" applyNumberFormat="1" applyFont="1" applyFill="1" applyBorder="1" applyAlignment="1"/>
    <xf numFmtId="49" fontId="14" fillId="0" borderId="1" xfId="36" applyNumberFormat="1" applyFont="1" applyFill="1" applyBorder="1" applyAlignment="1">
      <alignment vertical="center"/>
    </xf>
    <xf numFmtId="4" fontId="13" fillId="0" borderId="1" xfId="36" applyNumberFormat="1" applyFont="1" applyFill="1" applyBorder="1" applyAlignment="1">
      <alignment vertical="center"/>
    </xf>
    <xf numFmtId="4" fontId="13" fillId="0" borderId="1" xfId="36" applyNumberFormat="1" applyFont="1" applyFill="1" applyBorder="1" applyAlignment="1">
      <alignment horizontal="right" vertical="top"/>
    </xf>
    <xf numFmtId="0" fontId="13" fillId="3" borderId="1" xfId="36" applyFont="1" applyFill="1" applyBorder="1" applyAlignment="1"/>
    <xf numFmtId="0" fontId="17" fillId="3" borderId="1" xfId="36" applyFont="1" applyFill="1" applyBorder="1" applyAlignment="1"/>
    <xf numFmtId="49" fontId="17" fillId="0" borderId="1" xfId="36" applyNumberFormat="1" applyFont="1" applyFill="1" applyBorder="1" applyAlignment="1">
      <alignment horizontal="center" vertical="top"/>
    </xf>
    <xf numFmtId="49" fontId="17" fillId="0" borderId="1" xfId="36" applyNumberFormat="1" applyFont="1" applyFill="1" applyBorder="1" applyAlignment="1">
      <alignment horizontal="left" vertical="top"/>
    </xf>
    <xf numFmtId="0" fontId="17" fillId="0" borderId="1" xfId="36" applyFont="1" applyFill="1" applyBorder="1" applyAlignment="1">
      <alignment horizontal="center" vertical="top"/>
    </xf>
    <xf numFmtId="4" fontId="17" fillId="0" borderId="1" xfId="36" applyNumberFormat="1" applyFont="1" applyFill="1" applyBorder="1" applyAlignment="1">
      <alignment horizontal="right" vertical="top"/>
    </xf>
    <xf numFmtId="4" fontId="17" fillId="0" borderId="1" xfId="36" applyNumberFormat="1" applyFont="1" applyFill="1" applyBorder="1" applyAlignment="1"/>
    <xf numFmtId="0" fontId="17" fillId="0" borderId="1" xfId="36" applyFont="1" applyFill="1" applyBorder="1" applyAlignment="1"/>
    <xf numFmtId="0" fontId="17" fillId="0" borderId="0" xfId="36" applyFont="1" applyFill="1" applyAlignment="1"/>
    <xf numFmtId="49" fontId="18" fillId="0" borderId="1" xfId="36" applyNumberFormat="1" applyFont="1" applyFill="1" applyBorder="1" applyAlignment="1">
      <alignment vertical="center"/>
    </xf>
    <xf numFmtId="49" fontId="17" fillId="0" borderId="1" xfId="36" applyNumberFormat="1" applyFont="1" applyFill="1" applyBorder="1" applyAlignment="1">
      <alignment vertical="center"/>
    </xf>
    <xf numFmtId="0" fontId="12" fillId="0" borderId="0" xfId="38" applyFont="1" applyAlignment="1"/>
    <xf numFmtId="0" fontId="12" fillId="0" borderId="0" xfId="38" applyFont="1" applyFill="1" applyAlignment="1"/>
    <xf numFmtId="0" fontId="11" fillId="0" borderId="1" xfId="38" applyFont="1" applyFill="1" applyBorder="1" applyAlignment="1">
      <alignment vertical="center"/>
    </xf>
    <xf numFmtId="49" fontId="12" fillId="0" borderId="1" xfId="38" applyNumberFormat="1" applyFont="1" applyFill="1" applyBorder="1" applyAlignment="1">
      <alignment horizontal="center" vertical="top"/>
    </xf>
    <xf numFmtId="49" fontId="12" fillId="0" borderId="1" xfId="38" applyNumberFormat="1" applyFont="1" applyFill="1" applyBorder="1" applyAlignment="1">
      <alignment horizontal="left" vertical="top"/>
    </xf>
    <xf numFmtId="4" fontId="12" fillId="0" borderId="1" xfId="38" applyNumberFormat="1" applyFont="1" applyFill="1" applyBorder="1" applyAlignment="1">
      <alignment horizontal="right" vertical="top"/>
    </xf>
    <xf numFmtId="4" fontId="12" fillId="0" borderId="1" xfId="38" applyNumberFormat="1" applyFont="1" applyFill="1" applyBorder="1" applyAlignment="1"/>
    <xf numFmtId="4" fontId="11" fillId="0" borderId="1" xfId="38" applyNumberFormat="1" applyFont="1" applyFill="1" applyBorder="1" applyAlignment="1">
      <alignment vertical="center"/>
    </xf>
    <xf numFmtId="4" fontId="12" fillId="0" borderId="1" xfId="38" applyNumberFormat="1" applyFont="1" applyFill="1" applyBorder="1" applyAlignment="1">
      <alignment horizontal="center" vertical="top"/>
    </xf>
    <xf numFmtId="4" fontId="12" fillId="3" borderId="1" xfId="38" applyNumberFormat="1" applyFont="1" applyFill="1" applyBorder="1" applyAlignment="1"/>
    <xf numFmtId="0" fontId="12" fillId="0" borderId="1" xfId="38" applyFont="1" applyFill="1" applyBorder="1" applyAlignment="1">
      <alignment vertical="top" wrapText="1"/>
    </xf>
    <xf numFmtId="0" fontId="11" fillId="0" borderId="1" xfId="38" applyFont="1" applyFill="1" applyBorder="1" applyAlignment="1">
      <alignment vertical="center" wrapText="1"/>
    </xf>
    <xf numFmtId="0" fontId="13" fillId="3" borderId="0" xfId="36" applyFont="1" applyFill="1" applyAlignment="1"/>
    <xf numFmtId="49" fontId="21" fillId="0" borderId="1" xfId="36" applyNumberFormat="1" applyFont="1" applyFill="1" applyBorder="1" applyAlignment="1">
      <alignment horizontal="center" vertical="top"/>
    </xf>
    <xf numFmtId="49" fontId="21" fillId="0" borderId="1" xfId="36" applyNumberFormat="1" applyFont="1" applyFill="1" applyBorder="1" applyAlignment="1">
      <alignment horizontal="left" vertical="top"/>
    </xf>
    <xf numFmtId="0" fontId="21" fillId="0" borderId="1" xfId="36" applyFont="1" applyFill="1" applyBorder="1" applyAlignment="1">
      <alignment horizontal="center" vertical="top"/>
    </xf>
    <xf numFmtId="4" fontId="21" fillId="0" borderId="1" xfId="36" applyNumberFormat="1" applyFont="1" applyFill="1" applyBorder="1" applyAlignment="1">
      <alignment horizontal="right" vertical="top"/>
    </xf>
    <xf numFmtId="4" fontId="21" fillId="0" borderId="1" xfId="36" applyNumberFormat="1" applyFont="1" applyFill="1" applyBorder="1" applyAlignment="1"/>
    <xf numFmtId="0" fontId="21" fillId="3" borderId="1" xfId="36" applyFont="1" applyFill="1" applyBorder="1" applyAlignment="1"/>
    <xf numFmtId="0" fontId="21" fillId="0" borderId="1" xfId="36" applyFont="1" applyFill="1" applyBorder="1" applyAlignment="1"/>
    <xf numFmtId="0" fontId="21" fillId="0" borderId="0" xfId="36" applyFont="1" applyFill="1" applyAlignment="1"/>
    <xf numFmtId="4" fontId="18" fillId="0" borderId="1" xfId="2" applyNumberFormat="1" applyFont="1" applyFill="1" applyBorder="1" applyAlignment="1">
      <alignment horizontal="right"/>
    </xf>
    <xf numFmtId="0" fontId="17" fillId="0" borderId="0" xfId="38" applyFont="1" applyFill="1" applyAlignment="1"/>
    <xf numFmtId="167" fontId="12" fillId="3" borderId="1" xfId="38" applyNumberFormat="1" applyFont="1" applyFill="1" applyBorder="1" applyAlignment="1"/>
    <xf numFmtId="0" fontId="11" fillId="0" borderId="1" xfId="34" applyFont="1" applyFill="1" applyBorder="1" applyAlignment="1">
      <alignment horizontal="center" vertical="center" wrapText="1"/>
    </xf>
    <xf numFmtId="0" fontId="12" fillId="3" borderId="1" xfId="36" applyFont="1" applyFill="1" applyBorder="1" applyAlignment="1"/>
    <xf numFmtId="49" fontId="13" fillId="0" borderId="1" xfId="36" applyNumberFormat="1" applyFont="1" applyFill="1" applyBorder="1" applyAlignment="1">
      <alignment vertical="center" wrapText="1"/>
    </xf>
    <xf numFmtId="49" fontId="13" fillId="0" borderId="1" xfId="36" applyNumberFormat="1" applyFont="1" applyFill="1" applyBorder="1" applyAlignment="1">
      <alignment vertical="top" wrapText="1"/>
    </xf>
    <xf numFmtId="49" fontId="21" fillId="0" borderId="1" xfId="36" applyNumberFormat="1" applyFont="1" applyFill="1" applyBorder="1" applyAlignment="1">
      <alignment vertical="top" wrapText="1"/>
    </xf>
    <xf numFmtId="49" fontId="17" fillId="0" borderId="1" xfId="36" applyNumberFormat="1" applyFont="1" applyFill="1" applyBorder="1" applyAlignment="1">
      <alignment vertical="center" wrapText="1"/>
    </xf>
    <xf numFmtId="49" fontId="17" fillId="0" borderId="1" xfId="36" applyNumberFormat="1" applyFont="1" applyFill="1" applyBorder="1" applyAlignment="1">
      <alignment vertical="top" wrapText="1"/>
    </xf>
    <xf numFmtId="0" fontId="13" fillId="0" borderId="0" xfId="36" applyFont="1" applyFill="1" applyAlignment="1">
      <alignment wrapText="1"/>
    </xf>
    <xf numFmtId="167" fontId="13" fillId="3" borderId="1" xfId="36" applyNumberFormat="1" applyFont="1" applyFill="1" applyBorder="1" applyAlignment="1"/>
    <xf numFmtId="2" fontId="21" fillId="3" borderId="1" xfId="36" applyNumberFormat="1" applyFont="1" applyFill="1" applyBorder="1" applyAlignment="1"/>
    <xf numFmtId="175" fontId="13" fillId="3" borderId="1" xfId="36" applyNumberFormat="1" applyFont="1" applyFill="1" applyBorder="1" applyAlignment="1"/>
    <xf numFmtId="174" fontId="13" fillId="3" borderId="1" xfId="36" applyNumberFormat="1" applyFont="1" applyFill="1" applyBorder="1" applyAlignment="1"/>
    <xf numFmtId="175" fontId="21" fillId="3" borderId="1" xfId="36" applyNumberFormat="1" applyFont="1" applyFill="1" applyBorder="1" applyAlignment="1"/>
    <xf numFmtId="0" fontId="17" fillId="0" borderId="0" xfId="36" applyFont="1" applyFill="1" applyAlignment="1">
      <alignment horizontal="right" vertical="center"/>
    </xf>
    <xf numFmtId="4" fontId="20" fillId="3" borderId="1" xfId="2" applyNumberFormat="1" applyFont="1" applyFill="1" applyBorder="1" applyAlignment="1">
      <alignment horizontal="right"/>
    </xf>
    <xf numFmtId="4" fontId="11" fillId="0" borderId="1" xfId="34" applyNumberFormat="1" applyFont="1" applyFill="1" applyBorder="1" applyAlignment="1">
      <alignment horizontal="center" vertical="center" wrapText="1"/>
    </xf>
    <xf numFmtId="167" fontId="12" fillId="0" borderId="1" xfId="38" applyNumberFormat="1" applyFont="1" applyFill="1" applyBorder="1" applyAlignment="1"/>
    <xf numFmtId="49" fontId="11" fillId="0" borderId="1" xfId="34" applyNumberFormat="1" applyFont="1" applyFill="1" applyBorder="1" applyAlignment="1">
      <alignment horizontal="center" vertical="center" wrapText="1"/>
    </xf>
    <xf numFmtId="4" fontId="11" fillId="0" borderId="1" xfId="35" applyNumberFormat="1" applyFont="1" applyFill="1" applyBorder="1" applyAlignment="1">
      <alignment horizontal="center" vertical="center" wrapText="1"/>
    </xf>
    <xf numFmtId="0" fontId="17" fillId="4" borderId="1" xfId="36" applyFont="1" applyFill="1" applyBorder="1" applyAlignment="1"/>
    <xf numFmtId="4" fontId="13" fillId="5" borderId="1" xfId="36" applyNumberFormat="1" applyFont="1" applyFill="1" applyBorder="1" applyAlignment="1"/>
    <xf numFmtId="4" fontId="21" fillId="5" borderId="1" xfId="36" applyNumberFormat="1" applyFont="1" applyFill="1" applyBorder="1" applyAlignment="1"/>
    <xf numFmtId="4" fontId="17" fillId="5" borderId="1" xfId="36" applyNumberFormat="1" applyFont="1" applyFill="1" applyBorder="1" applyAlignment="1"/>
    <xf numFmtId="0" fontId="17" fillId="5" borderId="0" xfId="36" applyFont="1" applyFill="1" applyAlignment="1">
      <alignment horizontal="center" vertical="center"/>
    </xf>
    <xf numFmtId="4" fontId="22" fillId="6" borderId="1" xfId="2" applyNumberFormat="1" applyFont="1" applyFill="1" applyBorder="1" applyAlignment="1">
      <alignment horizontal="right"/>
    </xf>
    <xf numFmtId="0" fontId="11" fillId="6" borderId="1" xfId="34" applyFont="1" applyFill="1" applyBorder="1" applyAlignment="1">
      <alignment horizontal="center" vertical="center" wrapText="1"/>
    </xf>
    <xf numFmtId="4" fontId="11" fillId="6" borderId="1" xfId="34" applyNumberFormat="1" applyFont="1" applyFill="1" applyBorder="1" applyAlignment="1">
      <alignment horizontal="center" vertical="center" wrapText="1"/>
    </xf>
    <xf numFmtId="0" fontId="13" fillId="6" borderId="1" xfId="36" applyFont="1" applyFill="1" applyBorder="1" applyAlignment="1"/>
    <xf numFmtId="4" fontId="13" fillId="6" borderId="1" xfId="36" applyNumberFormat="1" applyFont="1" applyFill="1" applyBorder="1" applyAlignment="1"/>
    <xf numFmtId="4" fontId="12" fillId="6" borderId="1" xfId="36" applyNumberFormat="1" applyFont="1" applyFill="1" applyBorder="1" applyAlignment="1"/>
    <xf numFmtId="0" fontId="21" fillId="6" borderId="1" xfId="36" applyFont="1" applyFill="1" applyBorder="1" applyAlignment="1"/>
    <xf numFmtId="4" fontId="21" fillId="6" borderId="1" xfId="36" applyNumberFormat="1" applyFont="1" applyFill="1" applyBorder="1" applyAlignment="1"/>
    <xf numFmtId="0" fontId="17" fillId="6" borderId="1" xfId="36" applyFont="1" applyFill="1" applyBorder="1" applyAlignment="1"/>
    <xf numFmtId="4" fontId="17" fillId="6" borderId="1" xfId="36" applyNumberFormat="1" applyFont="1" applyFill="1" applyBorder="1" applyAlignment="1"/>
    <xf numFmtId="167" fontId="13" fillId="6" borderId="1" xfId="36" applyNumberFormat="1" applyFont="1" applyFill="1" applyBorder="1" applyAlignment="1"/>
    <xf numFmtId="175" fontId="13" fillId="6" borderId="1" xfId="36" applyNumberFormat="1" applyFont="1" applyFill="1" applyBorder="1" applyAlignment="1"/>
  </cellXfs>
  <cellStyles count="39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34D52939-A06F-4812-BC2C-375B8F9F4982}"/>
    <cellStyle name="Обычный 13" xfId="36" xr:uid="{DDB0B853-E297-4854-A6F1-FA3917EA881B}"/>
    <cellStyle name="Обычный 14" xfId="38" xr:uid="{22880A69-D3FA-45B7-B387-6D29C2D741FB}"/>
    <cellStyle name="Обычный 2" xfId="2" xr:uid="{00000000-0005-0000-0000-000008000000}"/>
    <cellStyle name="Обычный 2 2" xfId="4" xr:uid="{00000000-0005-0000-0000-000009000000}"/>
    <cellStyle name="Обычный 2 3" xfId="15" xr:uid="{00000000-0005-0000-0000-00000A000000}"/>
    <cellStyle name="Обычный 2 4" xfId="10" xr:uid="{00000000-0005-0000-0000-00000B000000}"/>
    <cellStyle name="Обычный 2 5" xfId="33" xr:uid="{00000000-0005-0000-0000-00000C000000}"/>
    <cellStyle name="Обычный 2 6" xfId="16" xr:uid="{00000000-0005-0000-0000-00000D000000}"/>
    <cellStyle name="Обычный 2 7" xfId="37" xr:uid="{7A424C6D-4A50-4877-BB1D-450FF19475FB}"/>
    <cellStyle name="Обычный 29" xfId="9" xr:uid="{00000000-0005-0000-0000-00000E000000}"/>
    <cellStyle name="Обычный 3" xfId="3" xr:uid="{00000000-0005-0000-0000-00000F000000}"/>
    <cellStyle name="Обычный 3 2" xfId="5" xr:uid="{00000000-0005-0000-0000-000010000000}"/>
    <cellStyle name="Обычный 31 2" xfId="14" xr:uid="{00000000-0005-0000-0000-000011000000}"/>
    <cellStyle name="Обычный 4" xfId="1" xr:uid="{00000000-0005-0000-0000-000012000000}"/>
    <cellStyle name="Обычный 4 2" xfId="23" xr:uid="{00000000-0005-0000-0000-000013000000}"/>
    <cellStyle name="Обычный 4 2 2" xfId="35" xr:uid="{ABCDD777-D5E9-4A67-95DA-F3A1AB1B2718}"/>
    <cellStyle name="Обычный 5" xfId="24" xr:uid="{00000000-0005-0000-0000-000014000000}"/>
    <cellStyle name="Обычный 5 2" xfId="27" xr:uid="{00000000-0005-0000-0000-000015000000}"/>
    <cellStyle name="Обычный 6" xfId="7" xr:uid="{00000000-0005-0000-0000-000016000000}"/>
    <cellStyle name="Обычный 7" xfId="28" xr:uid="{00000000-0005-0000-0000-000017000000}"/>
    <cellStyle name="Обычный 8" xfId="29" xr:uid="{00000000-0005-0000-0000-000018000000}"/>
    <cellStyle name="Обычный 9" xfId="19" xr:uid="{00000000-0005-0000-0000-000019000000}"/>
    <cellStyle name="ПИР" xfId="25" xr:uid="{00000000-0005-0000-0000-00001A000000}"/>
    <cellStyle name="Титул" xfId="20" xr:uid="{00000000-0005-0000-0000-00001B000000}"/>
    <cellStyle name="Финансовый 2" xfId="6" xr:uid="{00000000-0005-0000-0000-00001D000000}"/>
    <cellStyle name="Финансовый 2 2" xfId="18" xr:uid="{00000000-0005-0000-0000-00001E000000}"/>
    <cellStyle name="Финансовый 2 3" xfId="31" xr:uid="{00000000-0005-0000-0000-00001F000000}"/>
    <cellStyle name="Финансовый 2 4" xfId="17" xr:uid="{00000000-0005-0000-0000-000020000000}"/>
    <cellStyle name="Финансовый 3" xfId="21" xr:uid="{00000000-0005-0000-0000-000021000000}"/>
    <cellStyle name="Хвост" xfId="26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0635-41F3-48E8-93BA-2F5A24929569}">
  <sheetPr>
    <tabColor rgb="FF00B050"/>
    <pageSetUpPr fitToPage="1"/>
  </sheetPr>
  <dimension ref="A1:L24"/>
  <sheetViews>
    <sheetView zoomScale="130" zoomScaleNormal="130" zoomScaleSheetLayoutView="100" workbookViewId="0">
      <pane ySplit="1" topLeftCell="A2" activePane="bottomLeft" state="frozen"/>
      <selection activeCell="C780" sqref="C780:E780"/>
      <selection pane="bottomLeft" activeCell="K12" sqref="K12"/>
    </sheetView>
  </sheetViews>
  <sheetFormatPr defaultColWidth="9.140625" defaultRowHeight="11.25" x14ac:dyDescent="0.2"/>
  <cols>
    <col min="1" max="1" width="7.5703125" style="34" customWidth="1"/>
    <col min="2" max="2" width="18.42578125" style="34" customWidth="1"/>
    <col min="3" max="3" width="42.140625" style="34" customWidth="1"/>
    <col min="4" max="4" width="9.42578125" style="34" customWidth="1"/>
    <col min="5" max="5" width="10.28515625" style="34" customWidth="1"/>
    <col min="6" max="6" width="10.28515625" style="34" hidden="1" customWidth="1"/>
    <col min="7" max="7" width="10.28515625" style="34" customWidth="1"/>
    <col min="8" max="8" width="11.85546875" style="34" hidden="1" customWidth="1"/>
    <col min="9" max="9" width="11.85546875" style="34" customWidth="1"/>
    <col min="10" max="10" width="18.5703125" style="34" customWidth="1"/>
    <col min="11" max="11" width="11.85546875" style="34" customWidth="1"/>
    <col min="12" max="16384" width="9.140625" style="34"/>
  </cols>
  <sheetData>
    <row r="1" spans="1:12" ht="22.5" x14ac:dyDescent="0.2">
      <c r="A1" s="75" t="s">
        <v>0</v>
      </c>
      <c r="B1" s="58" t="s">
        <v>122</v>
      </c>
      <c r="C1" s="58" t="s">
        <v>121</v>
      </c>
      <c r="D1" s="76" t="s">
        <v>117</v>
      </c>
      <c r="E1" s="76" t="s">
        <v>118</v>
      </c>
      <c r="F1" s="73" t="s">
        <v>123</v>
      </c>
      <c r="G1" s="73" t="s">
        <v>130</v>
      </c>
      <c r="H1" s="73" t="s">
        <v>129</v>
      </c>
      <c r="I1" s="73" t="s">
        <v>126</v>
      </c>
      <c r="J1" s="73" t="s">
        <v>125</v>
      </c>
      <c r="K1" s="73" t="s">
        <v>519</v>
      </c>
    </row>
    <row r="2" spans="1:12" s="35" customFormat="1" x14ac:dyDescent="0.2">
      <c r="A2" s="36" t="s">
        <v>1</v>
      </c>
      <c r="B2" s="36"/>
      <c r="C2" s="36"/>
      <c r="D2" s="36"/>
      <c r="E2" s="41"/>
      <c r="F2" s="41"/>
      <c r="G2" s="40"/>
      <c r="H2" s="40"/>
      <c r="I2" s="43"/>
      <c r="J2" s="43"/>
      <c r="K2" s="40"/>
    </row>
    <row r="3" spans="1:12" s="35" customFormat="1" ht="22.5" x14ac:dyDescent="0.2">
      <c r="A3" s="37" t="s">
        <v>2</v>
      </c>
      <c r="B3" s="38" t="s">
        <v>510</v>
      </c>
      <c r="C3" s="44" t="s">
        <v>511</v>
      </c>
      <c r="D3" s="37" t="s">
        <v>17</v>
      </c>
      <c r="E3" s="42">
        <v>108</v>
      </c>
      <c r="F3" s="39">
        <f>G3/E3</f>
        <v>12071.411111111111</v>
      </c>
      <c r="G3" s="40">
        <v>1303712.3999999999</v>
      </c>
      <c r="H3" s="40">
        <v>107.6</v>
      </c>
      <c r="I3" s="43">
        <f>H3</f>
        <v>107.6</v>
      </c>
      <c r="J3" s="43">
        <f>F3*I3</f>
        <v>1298883.8355555555</v>
      </c>
      <c r="K3" s="40">
        <f>G3-J3</f>
        <v>4828.5644444443751</v>
      </c>
    </row>
    <row r="4" spans="1:12" s="35" customFormat="1" ht="33.75" x14ac:dyDescent="0.2">
      <c r="A4" s="37" t="s">
        <v>4</v>
      </c>
      <c r="B4" s="38" t="s">
        <v>10</v>
      </c>
      <c r="C4" s="44" t="s">
        <v>11</v>
      </c>
      <c r="D4" s="37" t="s">
        <v>12</v>
      </c>
      <c r="E4" s="42">
        <v>270</v>
      </c>
      <c r="F4" s="39">
        <f t="shared" ref="F4:F10" si="0">G4/E4</f>
        <v>43.427185185185188</v>
      </c>
      <c r="G4" s="40">
        <v>11725.34</v>
      </c>
      <c r="H4" s="40">
        <f>H3*2.5</f>
        <v>269</v>
      </c>
      <c r="I4" s="43">
        <f t="shared" ref="I4:I10" si="1">H4</f>
        <v>269</v>
      </c>
      <c r="J4" s="43">
        <f t="shared" ref="J4:J10" si="2">F4*I4</f>
        <v>11681.912814814816</v>
      </c>
      <c r="K4" s="40">
        <f t="shared" ref="K4:K10" si="3">G4-J4</f>
        <v>43.427185185184499</v>
      </c>
    </row>
    <row r="5" spans="1:12" s="35" customFormat="1" ht="33.75" x14ac:dyDescent="0.2">
      <c r="A5" s="37" t="s">
        <v>6</v>
      </c>
      <c r="B5" s="38" t="s">
        <v>512</v>
      </c>
      <c r="C5" s="44" t="s">
        <v>513</v>
      </c>
      <c r="D5" s="37" t="s">
        <v>12</v>
      </c>
      <c r="E5" s="42">
        <v>270</v>
      </c>
      <c r="F5" s="39">
        <f t="shared" si="0"/>
        <v>262.7298148148148</v>
      </c>
      <c r="G5" s="40">
        <v>70937.05</v>
      </c>
      <c r="H5" s="40">
        <f>H4</f>
        <v>269</v>
      </c>
      <c r="I5" s="43">
        <f t="shared" si="1"/>
        <v>269</v>
      </c>
      <c r="J5" s="43">
        <f t="shared" si="2"/>
        <v>70674.320185185177</v>
      </c>
      <c r="K5" s="40">
        <f t="shared" si="3"/>
        <v>262.72981481482566</v>
      </c>
    </row>
    <row r="6" spans="1:12" s="35" customFormat="1" x14ac:dyDescent="0.2">
      <c r="A6" s="37" t="s">
        <v>7</v>
      </c>
      <c r="B6" s="38" t="s">
        <v>514</v>
      </c>
      <c r="C6" s="44" t="s">
        <v>515</v>
      </c>
      <c r="D6" s="37" t="s">
        <v>17</v>
      </c>
      <c r="E6" s="42">
        <v>108</v>
      </c>
      <c r="F6" s="39">
        <f t="shared" si="0"/>
        <v>532.84796296296292</v>
      </c>
      <c r="G6" s="40">
        <v>57547.58</v>
      </c>
      <c r="H6" s="40">
        <f>H3</f>
        <v>107.6</v>
      </c>
      <c r="I6" s="43">
        <f t="shared" si="1"/>
        <v>107.6</v>
      </c>
      <c r="J6" s="43">
        <f t="shared" si="2"/>
        <v>57334.440814814807</v>
      </c>
      <c r="K6" s="40">
        <f t="shared" si="3"/>
        <v>213.13918518519495</v>
      </c>
      <c r="L6" s="56" t="s">
        <v>516</v>
      </c>
    </row>
    <row r="7" spans="1:12" s="35" customFormat="1" x14ac:dyDescent="0.2">
      <c r="A7" s="36" t="s">
        <v>131</v>
      </c>
      <c r="B7" s="36"/>
      <c r="C7" s="45"/>
      <c r="D7" s="36"/>
      <c r="E7" s="41"/>
      <c r="F7" s="39"/>
      <c r="G7" s="40"/>
      <c r="H7" s="40"/>
      <c r="I7" s="43"/>
      <c r="J7" s="43"/>
      <c r="K7" s="40">
        <f t="shared" si="3"/>
        <v>0</v>
      </c>
    </row>
    <row r="8" spans="1:12" s="35" customFormat="1" ht="33.75" x14ac:dyDescent="0.2">
      <c r="A8" s="37" t="s">
        <v>9</v>
      </c>
      <c r="B8" s="38" t="s">
        <v>260</v>
      </c>
      <c r="C8" s="44" t="s">
        <v>261</v>
      </c>
      <c r="D8" s="37" t="s">
        <v>8</v>
      </c>
      <c r="E8" s="42">
        <v>0.42</v>
      </c>
      <c r="F8" s="39">
        <f t="shared" si="0"/>
        <v>68985.904761904763</v>
      </c>
      <c r="G8" s="40">
        <v>28974.080000000002</v>
      </c>
      <c r="H8" s="74">
        <f>418.5/1000</f>
        <v>0.41849999999999998</v>
      </c>
      <c r="I8" s="57">
        <f t="shared" si="1"/>
        <v>0.41849999999999998</v>
      </c>
      <c r="J8" s="43">
        <f t="shared" si="2"/>
        <v>28870.601142857144</v>
      </c>
      <c r="K8" s="40">
        <f t="shared" si="3"/>
        <v>103.47885714285803</v>
      </c>
    </row>
    <row r="9" spans="1:12" s="35" customFormat="1" ht="33.75" x14ac:dyDescent="0.2">
      <c r="A9" s="37" t="s">
        <v>13</v>
      </c>
      <c r="B9" s="38" t="s">
        <v>512</v>
      </c>
      <c r="C9" s="44" t="s">
        <v>513</v>
      </c>
      <c r="D9" s="37" t="s">
        <v>12</v>
      </c>
      <c r="E9" s="42">
        <v>420</v>
      </c>
      <c r="F9" s="39">
        <f t="shared" si="0"/>
        <v>262.72980952380954</v>
      </c>
      <c r="G9" s="40">
        <v>110346.52</v>
      </c>
      <c r="H9" s="40">
        <f>H8*1000</f>
        <v>418.5</v>
      </c>
      <c r="I9" s="43">
        <f t="shared" si="1"/>
        <v>418.5</v>
      </c>
      <c r="J9" s="43">
        <f t="shared" si="2"/>
        <v>109952.42528571429</v>
      </c>
      <c r="K9" s="40">
        <f t="shared" si="3"/>
        <v>394.09471428571851</v>
      </c>
    </row>
    <row r="10" spans="1:12" s="35" customFormat="1" ht="22.5" x14ac:dyDescent="0.2">
      <c r="A10" s="37" t="s">
        <v>14</v>
      </c>
      <c r="B10" s="38" t="s">
        <v>514</v>
      </c>
      <c r="C10" s="44" t="s">
        <v>16</v>
      </c>
      <c r="D10" s="37" t="s">
        <v>17</v>
      </c>
      <c r="E10" s="42">
        <v>420</v>
      </c>
      <c r="F10" s="39">
        <f t="shared" si="0"/>
        <v>532.84799999999996</v>
      </c>
      <c r="G10" s="40">
        <v>223796.16</v>
      </c>
      <c r="H10" s="40">
        <f>H9</f>
        <v>418.5</v>
      </c>
      <c r="I10" s="43">
        <f t="shared" si="1"/>
        <v>418.5</v>
      </c>
      <c r="J10" s="43">
        <f t="shared" si="2"/>
        <v>222996.88799999998</v>
      </c>
      <c r="K10" s="40">
        <f t="shared" si="3"/>
        <v>799.27200000002631</v>
      </c>
      <c r="L10" s="56" t="s">
        <v>516</v>
      </c>
    </row>
    <row r="11" spans="1:12" x14ac:dyDescent="0.2">
      <c r="F11" s="7" t="s">
        <v>111</v>
      </c>
      <c r="G11" s="8">
        <f>SUM(G3:G10)</f>
        <v>1807039.1300000001</v>
      </c>
      <c r="J11" s="8">
        <f>SUM(J3:J10)</f>
        <v>1800394.4237989418</v>
      </c>
      <c r="K11" s="8">
        <f>SUM(K3:K10)*-1</f>
        <v>-6644.7062010581831</v>
      </c>
    </row>
    <row r="12" spans="1:12" ht="18" x14ac:dyDescent="0.25">
      <c r="F12" s="3" t="s">
        <v>116</v>
      </c>
      <c r="G12" s="2">
        <f>1.2*G11</f>
        <v>2168446.9560000002</v>
      </c>
      <c r="J12" s="72">
        <f>1.2*J11</f>
        <v>2160473.3085587299</v>
      </c>
      <c r="K12" s="55">
        <f>1.2*K11</f>
        <v>-7973.647441269819</v>
      </c>
    </row>
    <row r="24" spans="9:9" x14ac:dyDescent="0.2">
      <c r="I24" s="34">
        <f>E4/E3</f>
        <v>2.5</v>
      </c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76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7399-7305-4A47-9922-3FF47C71F062}">
  <sheetPr>
    <tabColor rgb="FF00B050"/>
    <pageSetUpPr fitToPage="1"/>
  </sheetPr>
  <dimension ref="A1:N229"/>
  <sheetViews>
    <sheetView tabSelected="1" zoomScaleNormal="100" workbookViewId="0">
      <pane ySplit="1" topLeftCell="A59" activePane="bottomLeft" state="frozen"/>
      <selection activeCell="C780" sqref="C780:E780"/>
      <selection pane="bottomLeft" activeCell="O232" sqref="O232"/>
    </sheetView>
  </sheetViews>
  <sheetFormatPr defaultColWidth="9.140625" defaultRowHeight="11.25" x14ac:dyDescent="0.2"/>
  <cols>
    <col min="1" max="1" width="5.42578125" style="9" customWidth="1"/>
    <col min="2" max="2" width="14.85546875" style="10" customWidth="1"/>
    <col min="3" max="3" width="46.42578125" style="65" customWidth="1"/>
    <col min="4" max="4" width="8.5703125" style="10" customWidth="1"/>
    <col min="5" max="5" width="8" style="10" customWidth="1"/>
    <col min="6" max="6" width="9.7109375" style="11" customWidth="1"/>
    <col min="7" max="7" width="11.28515625" style="10" customWidth="1"/>
    <col min="8" max="9" width="11.42578125" style="10" customWidth="1"/>
    <col min="10" max="10" width="17.28515625" style="11" customWidth="1"/>
    <col min="11" max="12" width="12.140625" style="10" customWidth="1"/>
    <col min="13" max="13" width="9.140625" style="10"/>
    <col min="14" max="14" width="17.140625" style="10" customWidth="1"/>
    <col min="15" max="15" width="23.5703125" style="10" customWidth="1"/>
    <col min="16" max="16384" width="9.140625" style="10"/>
  </cols>
  <sheetData>
    <row r="1" spans="1:13" ht="22.5" x14ac:dyDescent="0.2">
      <c r="A1" s="4" t="s">
        <v>0</v>
      </c>
      <c r="B1" s="5" t="s">
        <v>122</v>
      </c>
      <c r="C1" s="5" t="s">
        <v>121</v>
      </c>
      <c r="D1" s="1" t="s">
        <v>117</v>
      </c>
      <c r="E1" s="1" t="s">
        <v>118</v>
      </c>
      <c r="F1" s="6" t="s">
        <v>123</v>
      </c>
      <c r="G1" s="6" t="s">
        <v>130</v>
      </c>
      <c r="H1" s="58" t="s">
        <v>129</v>
      </c>
      <c r="I1" s="83" t="s">
        <v>126</v>
      </c>
      <c r="J1" s="84" t="s">
        <v>125</v>
      </c>
      <c r="K1" s="6" t="s">
        <v>124</v>
      </c>
      <c r="L1" s="6" t="s">
        <v>124</v>
      </c>
    </row>
    <row r="2" spans="1:13" x14ac:dyDescent="0.2">
      <c r="A2" s="20" t="s">
        <v>256</v>
      </c>
      <c r="B2" s="14"/>
      <c r="C2" s="60"/>
      <c r="D2" s="14"/>
      <c r="E2" s="14"/>
      <c r="F2" s="21"/>
      <c r="G2" s="15"/>
      <c r="H2" s="15"/>
      <c r="I2" s="85"/>
      <c r="J2" s="86"/>
      <c r="K2" s="15"/>
      <c r="L2" s="15"/>
    </row>
    <row r="3" spans="1:13" x14ac:dyDescent="0.2">
      <c r="A3" s="20" t="s">
        <v>257</v>
      </c>
      <c r="B3" s="14"/>
      <c r="C3" s="60"/>
      <c r="D3" s="14"/>
      <c r="E3" s="14"/>
      <c r="F3" s="21"/>
      <c r="G3" s="15"/>
      <c r="H3" s="15"/>
      <c r="I3" s="85"/>
      <c r="J3" s="86"/>
      <c r="K3" s="15"/>
      <c r="L3" s="15"/>
    </row>
    <row r="4" spans="1:13" ht="33.75" x14ac:dyDescent="0.2">
      <c r="A4" s="16" t="s">
        <v>2</v>
      </c>
      <c r="B4" s="17" t="s">
        <v>258</v>
      </c>
      <c r="C4" s="61" t="s">
        <v>259</v>
      </c>
      <c r="D4" s="16" t="s">
        <v>8</v>
      </c>
      <c r="E4" s="18">
        <v>7.5999999999999998E-2</v>
      </c>
      <c r="F4" s="22">
        <f>G4/E4</f>
        <v>75943.157894736854</v>
      </c>
      <c r="G4" s="19">
        <v>5771.68</v>
      </c>
      <c r="H4" s="59">
        <f>61.61/1000</f>
        <v>6.1609999999999998E-2</v>
      </c>
      <c r="I4" s="85">
        <f>H4</f>
        <v>6.1609999999999998E-2</v>
      </c>
      <c r="J4" s="86">
        <f>F4*I4</f>
        <v>4678.8579578947374</v>
      </c>
      <c r="K4" s="15">
        <f>E4-H4</f>
        <v>1.439E-2</v>
      </c>
      <c r="L4" s="78">
        <f>G4-J4</f>
        <v>1092.8220421052629</v>
      </c>
    </row>
    <row r="5" spans="1:13" ht="33.75" x14ac:dyDescent="0.2">
      <c r="A5" s="16" t="s">
        <v>4</v>
      </c>
      <c r="B5" s="17" t="s">
        <v>260</v>
      </c>
      <c r="C5" s="61" t="s">
        <v>261</v>
      </c>
      <c r="D5" s="16" t="s">
        <v>8</v>
      </c>
      <c r="E5" s="18">
        <v>1.1599999999999999E-2</v>
      </c>
      <c r="F5" s="22">
        <f t="shared" ref="F5:F68" si="0">G5/E5</f>
        <v>98292.241379310362</v>
      </c>
      <c r="G5" s="19">
        <v>1140.19</v>
      </c>
      <c r="H5" s="59">
        <f>8.59/1000</f>
        <v>8.5900000000000004E-3</v>
      </c>
      <c r="I5" s="85">
        <f t="shared" ref="I5:I9" si="1">H5</f>
        <v>8.5900000000000004E-3</v>
      </c>
      <c r="J5" s="86">
        <f t="shared" ref="J5:J68" si="2">F5*I5</f>
        <v>844.33035344827601</v>
      </c>
      <c r="K5" s="15">
        <f t="shared" ref="K5:K24" si="3">E5-H5</f>
        <v>3.0099999999999988E-3</v>
      </c>
      <c r="L5" s="78">
        <f t="shared" ref="L5:L9" si="4">G5-J5</f>
        <v>295.85964655172404</v>
      </c>
    </row>
    <row r="6" spans="1:13" ht="22.5" x14ac:dyDescent="0.2">
      <c r="A6" s="16" t="s">
        <v>6</v>
      </c>
      <c r="B6" s="17" t="s">
        <v>262</v>
      </c>
      <c r="C6" s="61" t="s">
        <v>263</v>
      </c>
      <c r="D6" s="16" t="s">
        <v>5</v>
      </c>
      <c r="E6" s="18">
        <v>1.4999999999999999E-2</v>
      </c>
      <c r="F6" s="22">
        <f t="shared" si="0"/>
        <v>145828.66666666666</v>
      </c>
      <c r="G6" s="19">
        <v>2187.4299999999998</v>
      </c>
      <c r="H6" s="24">
        <f>(3.24+1.98)/100</f>
        <v>5.2200000000000003E-2</v>
      </c>
      <c r="I6" s="85">
        <f>E6</f>
        <v>1.4999999999999999E-2</v>
      </c>
      <c r="J6" s="86">
        <f t="shared" si="2"/>
        <v>2187.4299999999998</v>
      </c>
      <c r="K6" s="15">
        <f t="shared" si="3"/>
        <v>-3.7200000000000004E-2</v>
      </c>
      <c r="L6" s="78">
        <f t="shared" si="4"/>
        <v>0</v>
      </c>
    </row>
    <row r="7" spans="1:13" x14ac:dyDescent="0.2">
      <c r="A7" s="16" t="s">
        <v>7</v>
      </c>
      <c r="B7" s="17" t="s">
        <v>15</v>
      </c>
      <c r="C7" s="61" t="s">
        <v>16</v>
      </c>
      <c r="D7" s="16" t="s">
        <v>17</v>
      </c>
      <c r="E7" s="18">
        <v>11.6</v>
      </c>
      <c r="F7" s="22">
        <f t="shared" si="0"/>
        <v>1325.0224137931034</v>
      </c>
      <c r="G7" s="19">
        <v>15370.26</v>
      </c>
      <c r="H7" s="23">
        <v>8.59</v>
      </c>
      <c r="I7" s="85">
        <f t="shared" si="1"/>
        <v>8.59</v>
      </c>
      <c r="J7" s="86">
        <f t="shared" si="2"/>
        <v>11381.942534482758</v>
      </c>
      <c r="K7" s="15">
        <f t="shared" si="3"/>
        <v>3.01</v>
      </c>
      <c r="L7" s="78">
        <f t="shared" si="4"/>
        <v>3988.3174655172425</v>
      </c>
    </row>
    <row r="8" spans="1:13" ht="33.75" x14ac:dyDescent="0.2">
      <c r="A8" s="16" t="s">
        <v>9</v>
      </c>
      <c r="B8" s="17" t="s">
        <v>145</v>
      </c>
      <c r="C8" s="61" t="s">
        <v>146</v>
      </c>
      <c r="D8" s="16" t="s">
        <v>8</v>
      </c>
      <c r="E8" s="18">
        <v>6.1800000000000001E-2</v>
      </c>
      <c r="F8" s="22">
        <f t="shared" si="0"/>
        <v>14583.980582524271</v>
      </c>
      <c r="G8" s="19">
        <v>901.29</v>
      </c>
      <c r="H8" s="23">
        <f>(64.85-1.8-0.97-5.82)/1000*0.8</f>
        <v>4.5007999999999999E-2</v>
      </c>
      <c r="I8" s="85">
        <f t="shared" si="1"/>
        <v>4.5007999999999999E-2</v>
      </c>
      <c r="J8" s="86">
        <f t="shared" si="2"/>
        <v>656.39579805825235</v>
      </c>
      <c r="K8" s="15">
        <f t="shared" si="3"/>
        <v>1.6792000000000001E-2</v>
      </c>
      <c r="L8" s="78">
        <f t="shared" si="4"/>
        <v>244.89420194174761</v>
      </c>
    </row>
    <row r="9" spans="1:13" ht="22.5" x14ac:dyDescent="0.2">
      <c r="A9" s="16" t="s">
        <v>13</v>
      </c>
      <c r="B9" s="17" t="s">
        <v>149</v>
      </c>
      <c r="C9" s="61" t="s">
        <v>150</v>
      </c>
      <c r="D9" s="16" t="s">
        <v>5</v>
      </c>
      <c r="E9" s="18">
        <v>0.154</v>
      </c>
      <c r="F9" s="22">
        <f t="shared" si="0"/>
        <v>87636.233766233767</v>
      </c>
      <c r="G9" s="19">
        <v>13495.98</v>
      </c>
      <c r="H9" s="23">
        <f>(64.85-1.8-0.97-5.82)/1000*0.2</f>
        <v>1.1252E-2</v>
      </c>
      <c r="I9" s="85">
        <f t="shared" si="1"/>
        <v>1.1252E-2</v>
      </c>
      <c r="J9" s="86">
        <f t="shared" si="2"/>
        <v>986.08290233766229</v>
      </c>
      <c r="K9" s="15">
        <f t="shared" si="3"/>
        <v>0.14274799999999999</v>
      </c>
      <c r="L9" s="78">
        <f t="shared" si="4"/>
        <v>12509.897097662337</v>
      </c>
    </row>
    <row r="10" spans="1:13" x14ac:dyDescent="0.2">
      <c r="A10" s="20" t="s">
        <v>264</v>
      </c>
      <c r="B10" s="14"/>
      <c r="C10" s="60"/>
      <c r="D10" s="14"/>
      <c r="E10" s="14"/>
      <c r="F10" s="22"/>
      <c r="G10" s="19"/>
      <c r="H10" s="15"/>
      <c r="I10" s="85"/>
      <c r="J10" s="86"/>
      <c r="K10" s="15"/>
      <c r="L10" s="78"/>
    </row>
    <row r="11" spans="1:13" x14ac:dyDescent="0.2">
      <c r="A11" s="20" t="s">
        <v>265</v>
      </c>
      <c r="B11" s="14"/>
      <c r="C11" s="60"/>
      <c r="D11" s="14"/>
      <c r="E11" s="14"/>
      <c r="F11" s="22"/>
      <c r="G11" s="19"/>
      <c r="H11" s="15"/>
      <c r="I11" s="85"/>
      <c r="J11" s="86"/>
      <c r="K11" s="15"/>
      <c r="L11" s="78"/>
    </row>
    <row r="12" spans="1:13" x14ac:dyDescent="0.2">
      <c r="A12" s="16" t="s">
        <v>14</v>
      </c>
      <c r="B12" s="17" t="s">
        <v>132</v>
      </c>
      <c r="C12" s="61" t="s">
        <v>133</v>
      </c>
      <c r="D12" s="16" t="s">
        <v>5</v>
      </c>
      <c r="E12" s="18">
        <v>0.01</v>
      </c>
      <c r="F12" s="22">
        <f t="shared" si="0"/>
        <v>217719</v>
      </c>
      <c r="G12" s="19">
        <v>2177.19</v>
      </c>
      <c r="H12" s="66">
        <f>0.97/100</f>
        <v>9.7000000000000003E-3</v>
      </c>
      <c r="I12" s="87">
        <v>0.01</v>
      </c>
      <c r="J12" s="86">
        <f t="shared" si="2"/>
        <v>2177.19</v>
      </c>
      <c r="K12" s="15">
        <f t="shared" si="3"/>
        <v>2.9999999999999992E-4</v>
      </c>
      <c r="L12" s="78">
        <f t="shared" ref="L12:L24" si="5">G12-J12</f>
        <v>0</v>
      </c>
      <c r="M12" s="46"/>
    </row>
    <row r="13" spans="1:13" x14ac:dyDescent="0.2">
      <c r="A13" s="16" t="s">
        <v>18</v>
      </c>
      <c r="B13" s="17" t="s">
        <v>188</v>
      </c>
      <c r="C13" s="61" t="s">
        <v>189</v>
      </c>
      <c r="D13" s="16" t="s">
        <v>17</v>
      </c>
      <c r="E13" s="18">
        <v>1.02</v>
      </c>
      <c r="F13" s="22">
        <f t="shared" si="0"/>
        <v>3998.4019607843134</v>
      </c>
      <c r="G13" s="19">
        <v>4078.37</v>
      </c>
      <c r="H13" s="23">
        <f>H12*1.02*100</f>
        <v>0.98940000000000006</v>
      </c>
      <c r="I13" s="87">
        <v>1.02</v>
      </c>
      <c r="J13" s="86">
        <f t="shared" si="2"/>
        <v>4078.37</v>
      </c>
      <c r="K13" s="15">
        <f t="shared" si="3"/>
        <v>3.0599999999999961E-2</v>
      </c>
      <c r="L13" s="78">
        <f t="shared" si="5"/>
        <v>0</v>
      </c>
    </row>
    <row r="14" spans="1:13" ht="22.5" x14ac:dyDescent="0.2">
      <c r="A14" s="16" t="s">
        <v>19</v>
      </c>
      <c r="B14" s="17" t="s">
        <v>266</v>
      </c>
      <c r="C14" s="61" t="s">
        <v>267</v>
      </c>
      <c r="D14" s="16" t="s">
        <v>5</v>
      </c>
      <c r="E14" s="18">
        <v>5.1799999999999999E-2</v>
      </c>
      <c r="F14" s="22">
        <f t="shared" si="0"/>
        <v>426095.55984555988</v>
      </c>
      <c r="G14" s="19">
        <v>22071.75</v>
      </c>
      <c r="H14" s="24">
        <f>5.82/100</f>
        <v>5.8200000000000002E-2</v>
      </c>
      <c r="I14" s="87">
        <f>E14</f>
        <v>5.1799999999999999E-2</v>
      </c>
      <c r="J14" s="86">
        <f t="shared" si="2"/>
        <v>22071.75</v>
      </c>
      <c r="K14" s="15">
        <f t="shared" si="3"/>
        <v>-6.4000000000000029E-3</v>
      </c>
      <c r="L14" s="78">
        <f t="shared" si="5"/>
        <v>0</v>
      </c>
    </row>
    <row r="15" spans="1:13" ht="22.5" x14ac:dyDescent="0.2">
      <c r="A15" s="16" t="s">
        <v>20</v>
      </c>
      <c r="B15" s="17" t="s">
        <v>268</v>
      </c>
      <c r="C15" s="61" t="s">
        <v>269</v>
      </c>
      <c r="D15" s="16" t="s">
        <v>5</v>
      </c>
      <c r="E15" s="18">
        <v>5.1799999999999999E-2</v>
      </c>
      <c r="F15" s="22">
        <f t="shared" si="0"/>
        <v>81647.87644787645</v>
      </c>
      <c r="G15" s="19">
        <v>4229.3599999999997</v>
      </c>
      <c r="H15" s="24">
        <f>5.82/100</f>
        <v>5.8200000000000002E-2</v>
      </c>
      <c r="I15" s="87">
        <f>E15</f>
        <v>5.1799999999999999E-2</v>
      </c>
      <c r="J15" s="86">
        <f t="shared" si="2"/>
        <v>4229.3599999999997</v>
      </c>
      <c r="K15" s="15">
        <f t="shared" si="3"/>
        <v>-6.4000000000000029E-3</v>
      </c>
      <c r="L15" s="78">
        <f t="shared" si="5"/>
        <v>0</v>
      </c>
    </row>
    <row r="16" spans="1:13" x14ac:dyDescent="0.2">
      <c r="A16" s="16" t="s">
        <v>21</v>
      </c>
      <c r="B16" s="17" t="s">
        <v>136</v>
      </c>
      <c r="C16" s="61" t="s">
        <v>137</v>
      </c>
      <c r="D16" s="16" t="s">
        <v>17</v>
      </c>
      <c r="E16" s="18">
        <v>5.28</v>
      </c>
      <c r="F16" s="22">
        <f t="shared" si="0"/>
        <v>5921.625</v>
      </c>
      <c r="G16" s="19">
        <v>31266.18</v>
      </c>
      <c r="H16" s="23">
        <f>H15*1.02*100</f>
        <v>5.9363999999999999</v>
      </c>
      <c r="I16" s="85">
        <v>5.28</v>
      </c>
      <c r="J16" s="86">
        <f t="shared" si="2"/>
        <v>31266.18</v>
      </c>
      <c r="K16" s="15">
        <f t="shared" si="3"/>
        <v>-0.65639999999999965</v>
      </c>
      <c r="L16" s="78">
        <f t="shared" si="5"/>
        <v>0</v>
      </c>
    </row>
    <row r="17" spans="1:12" x14ac:dyDescent="0.2">
      <c r="A17" s="16" t="s">
        <v>22</v>
      </c>
      <c r="B17" s="17" t="s">
        <v>136</v>
      </c>
      <c r="C17" s="61" t="s">
        <v>137</v>
      </c>
      <c r="D17" s="16" t="s">
        <v>17</v>
      </c>
      <c r="E17" s="18">
        <v>5.28</v>
      </c>
      <c r="F17" s="22">
        <f t="shared" si="0"/>
        <v>79.034090909090907</v>
      </c>
      <c r="G17" s="19">
        <v>417.3</v>
      </c>
      <c r="H17" s="23">
        <f>H15*1.02*100</f>
        <v>5.9363999999999999</v>
      </c>
      <c r="I17" s="85">
        <v>5.28</v>
      </c>
      <c r="J17" s="86">
        <f t="shared" si="2"/>
        <v>417.3</v>
      </c>
      <c r="K17" s="15">
        <f t="shared" si="3"/>
        <v>-0.65639999999999965</v>
      </c>
      <c r="L17" s="78">
        <f t="shared" si="5"/>
        <v>0</v>
      </c>
    </row>
    <row r="18" spans="1:12" ht="22.5" x14ac:dyDescent="0.2">
      <c r="A18" s="16" t="s">
        <v>23</v>
      </c>
      <c r="B18" s="17" t="s">
        <v>270</v>
      </c>
      <c r="C18" s="61" t="s">
        <v>271</v>
      </c>
      <c r="D18" s="16" t="s">
        <v>47</v>
      </c>
      <c r="E18" s="18">
        <v>4.2720000000000001E-2</v>
      </c>
      <c r="F18" s="22">
        <f t="shared" si="0"/>
        <v>60537.219101123599</v>
      </c>
      <c r="G18" s="19">
        <v>2586.15</v>
      </c>
      <c r="H18" s="23">
        <f>21.36*2/1000</f>
        <v>4.2720000000000001E-2</v>
      </c>
      <c r="I18" s="85">
        <f>H18</f>
        <v>4.2720000000000001E-2</v>
      </c>
      <c r="J18" s="86">
        <f t="shared" si="2"/>
        <v>2586.15</v>
      </c>
      <c r="K18" s="15">
        <f t="shared" si="3"/>
        <v>0</v>
      </c>
      <c r="L18" s="78">
        <f t="shared" si="5"/>
        <v>0</v>
      </c>
    </row>
    <row r="19" spans="1:12" ht="22.5" x14ac:dyDescent="0.2">
      <c r="A19" s="16" t="s">
        <v>24</v>
      </c>
      <c r="B19" s="17" t="s">
        <v>272</v>
      </c>
      <c r="C19" s="61" t="s">
        <v>273</v>
      </c>
      <c r="D19" s="16" t="s">
        <v>47</v>
      </c>
      <c r="E19" s="18">
        <v>0.26979999999999998</v>
      </c>
      <c r="F19" s="22">
        <f t="shared" si="0"/>
        <v>44787.768717568571</v>
      </c>
      <c r="G19" s="19">
        <v>12083.74</v>
      </c>
      <c r="H19" s="23">
        <f>(134.92*2+14.68*4)/1000</f>
        <v>0.32855999999999996</v>
      </c>
      <c r="I19" s="85">
        <f>E19</f>
        <v>0.26979999999999998</v>
      </c>
      <c r="J19" s="86">
        <f t="shared" si="2"/>
        <v>12083.74</v>
      </c>
      <c r="K19" s="15">
        <f t="shared" si="3"/>
        <v>-5.8759999999999979E-2</v>
      </c>
      <c r="L19" s="78">
        <f t="shared" si="5"/>
        <v>0</v>
      </c>
    </row>
    <row r="20" spans="1:12" ht="22.5" x14ac:dyDescent="0.2">
      <c r="A20" s="16" t="s">
        <v>25</v>
      </c>
      <c r="B20" s="17" t="s">
        <v>274</v>
      </c>
      <c r="C20" s="61" t="s">
        <v>275</v>
      </c>
      <c r="D20" s="16" t="s">
        <v>47</v>
      </c>
      <c r="E20" s="18">
        <v>2.7359999999999999E-2</v>
      </c>
      <c r="F20" s="22">
        <f t="shared" si="0"/>
        <v>129379.02046783626</v>
      </c>
      <c r="G20" s="19">
        <v>3539.81</v>
      </c>
      <c r="H20" s="23">
        <f>4*3.42*2/1000</f>
        <v>2.7359999999999999E-2</v>
      </c>
      <c r="I20" s="85">
        <f t="shared" ref="I20:I34" si="6">H20</f>
        <v>2.7359999999999999E-2</v>
      </c>
      <c r="J20" s="86">
        <f t="shared" si="2"/>
        <v>3539.81</v>
      </c>
      <c r="K20" s="15">
        <f t="shared" si="3"/>
        <v>0</v>
      </c>
      <c r="L20" s="78">
        <f t="shared" si="5"/>
        <v>0</v>
      </c>
    </row>
    <row r="21" spans="1:12" ht="22.5" x14ac:dyDescent="0.2">
      <c r="A21" s="16" t="s">
        <v>26</v>
      </c>
      <c r="B21" s="17" t="s">
        <v>276</v>
      </c>
      <c r="C21" s="61" t="s">
        <v>277</v>
      </c>
      <c r="D21" s="16" t="s">
        <v>47</v>
      </c>
      <c r="E21" s="18">
        <v>-2.7359999999999999E-2</v>
      </c>
      <c r="F21" s="22">
        <f t="shared" si="0"/>
        <v>82417.032163742682</v>
      </c>
      <c r="G21" s="19">
        <v>-2254.9299999999998</v>
      </c>
      <c r="H21" s="23">
        <f>E21</f>
        <v>-2.7359999999999999E-2</v>
      </c>
      <c r="I21" s="85">
        <f t="shared" si="6"/>
        <v>-2.7359999999999999E-2</v>
      </c>
      <c r="J21" s="86">
        <f t="shared" si="2"/>
        <v>-2254.9299999999998</v>
      </c>
      <c r="K21" s="15">
        <f t="shared" si="3"/>
        <v>0</v>
      </c>
      <c r="L21" s="78">
        <f t="shared" si="5"/>
        <v>0</v>
      </c>
    </row>
    <row r="22" spans="1:12" x14ac:dyDescent="0.2">
      <c r="A22" s="16" t="s">
        <v>27</v>
      </c>
      <c r="B22" s="17" t="s">
        <v>278</v>
      </c>
      <c r="C22" s="61" t="s">
        <v>279</v>
      </c>
      <c r="D22" s="16" t="s">
        <v>47</v>
      </c>
      <c r="E22" s="18">
        <v>2.7E-2</v>
      </c>
      <c r="F22" s="22">
        <f t="shared" si="0"/>
        <v>208427.40740740742</v>
      </c>
      <c r="G22" s="19">
        <v>5627.54</v>
      </c>
      <c r="H22" s="59">
        <f>E22</f>
        <v>2.7E-2</v>
      </c>
      <c r="I22" s="85">
        <f t="shared" si="6"/>
        <v>2.7E-2</v>
      </c>
      <c r="J22" s="86">
        <f t="shared" si="2"/>
        <v>5627.54</v>
      </c>
      <c r="K22" s="15">
        <f t="shared" si="3"/>
        <v>0</v>
      </c>
      <c r="L22" s="78">
        <f t="shared" si="5"/>
        <v>0</v>
      </c>
    </row>
    <row r="23" spans="1:12" x14ac:dyDescent="0.2">
      <c r="A23" s="16" t="s">
        <v>28</v>
      </c>
      <c r="B23" s="17" t="s">
        <v>280</v>
      </c>
      <c r="C23" s="61" t="s">
        <v>281</v>
      </c>
      <c r="D23" s="16" t="s">
        <v>47</v>
      </c>
      <c r="E23" s="18">
        <v>2.0559999999999998E-2</v>
      </c>
      <c r="F23" s="22">
        <f t="shared" si="0"/>
        <v>268146.40077821014</v>
      </c>
      <c r="G23" s="19">
        <v>5513.09</v>
      </c>
      <c r="H23" s="23">
        <f>(4*1.85+4*0.72)*2/1000</f>
        <v>2.0560000000000002E-2</v>
      </c>
      <c r="I23" s="85">
        <f t="shared" si="6"/>
        <v>2.0560000000000002E-2</v>
      </c>
      <c r="J23" s="86">
        <f t="shared" si="2"/>
        <v>5513.0900000000011</v>
      </c>
      <c r="K23" s="15">
        <f t="shared" si="3"/>
        <v>0</v>
      </c>
      <c r="L23" s="78">
        <f t="shared" si="5"/>
        <v>0</v>
      </c>
    </row>
    <row r="24" spans="1:12" ht="22.5" x14ac:dyDescent="0.2">
      <c r="A24" s="16" t="s">
        <v>29</v>
      </c>
      <c r="B24" s="17" t="s">
        <v>282</v>
      </c>
      <c r="C24" s="61" t="s">
        <v>283</v>
      </c>
      <c r="D24" s="16" t="s">
        <v>47</v>
      </c>
      <c r="E24" s="18">
        <v>2.1000000000000001E-2</v>
      </c>
      <c r="F24" s="22">
        <f t="shared" si="0"/>
        <v>39498.095238095237</v>
      </c>
      <c r="G24" s="19">
        <v>829.46</v>
      </c>
      <c r="H24" s="23">
        <f>E24</f>
        <v>2.1000000000000001E-2</v>
      </c>
      <c r="I24" s="85">
        <f t="shared" si="6"/>
        <v>2.1000000000000001E-2</v>
      </c>
      <c r="J24" s="86">
        <f t="shared" si="2"/>
        <v>829.46</v>
      </c>
      <c r="K24" s="15">
        <f t="shared" si="3"/>
        <v>0</v>
      </c>
      <c r="L24" s="78">
        <f t="shared" si="5"/>
        <v>0</v>
      </c>
    </row>
    <row r="25" spans="1:12" x14ac:dyDescent="0.2">
      <c r="A25" s="20" t="s">
        <v>284</v>
      </c>
      <c r="B25" s="14"/>
      <c r="C25" s="60"/>
      <c r="D25" s="14"/>
      <c r="E25" s="14"/>
      <c r="F25" s="22"/>
      <c r="G25" s="19"/>
      <c r="H25" s="15"/>
      <c r="I25" s="85">
        <f t="shared" si="6"/>
        <v>0</v>
      </c>
      <c r="J25" s="86">
        <f t="shared" si="2"/>
        <v>0</v>
      </c>
      <c r="K25" s="15">
        <f t="shared" ref="K25:K88" si="7">E25-H25</f>
        <v>0</v>
      </c>
      <c r="L25" s="78">
        <f t="shared" ref="L25:L88" si="8">G25-J25</f>
        <v>0</v>
      </c>
    </row>
    <row r="26" spans="1:12" x14ac:dyDescent="0.2">
      <c r="A26" s="16" t="s">
        <v>30</v>
      </c>
      <c r="B26" s="17" t="s">
        <v>132</v>
      </c>
      <c r="C26" s="61" t="s">
        <v>133</v>
      </c>
      <c r="D26" s="16" t="s">
        <v>5</v>
      </c>
      <c r="E26" s="18">
        <v>1.8700000000000001E-2</v>
      </c>
      <c r="F26" s="22">
        <f t="shared" si="0"/>
        <v>217691.97860962566</v>
      </c>
      <c r="G26" s="19">
        <v>4070.84</v>
      </c>
      <c r="H26" s="23">
        <f>0.9/100</f>
        <v>9.0000000000000011E-3</v>
      </c>
      <c r="I26" s="85">
        <f t="shared" si="6"/>
        <v>9.0000000000000011E-3</v>
      </c>
      <c r="J26" s="86">
        <f t="shared" si="2"/>
        <v>1959.227807486631</v>
      </c>
      <c r="K26" s="15">
        <f t="shared" si="7"/>
        <v>9.7000000000000003E-3</v>
      </c>
      <c r="L26" s="78">
        <f t="shared" si="8"/>
        <v>2111.6121925133693</v>
      </c>
    </row>
    <row r="27" spans="1:12" x14ac:dyDescent="0.2">
      <c r="A27" s="16" t="s">
        <v>31</v>
      </c>
      <c r="B27" s="17" t="s">
        <v>188</v>
      </c>
      <c r="C27" s="61" t="s">
        <v>189</v>
      </c>
      <c r="D27" s="16" t="s">
        <v>17</v>
      </c>
      <c r="E27" s="18">
        <v>1.9074</v>
      </c>
      <c r="F27" s="22">
        <f t="shared" si="0"/>
        <v>3998.4166928803606</v>
      </c>
      <c r="G27" s="19">
        <v>7626.58</v>
      </c>
      <c r="H27" s="23">
        <f>H26*1.02*100</f>
        <v>0.91800000000000004</v>
      </c>
      <c r="I27" s="85">
        <f t="shared" si="6"/>
        <v>0.91800000000000004</v>
      </c>
      <c r="J27" s="86">
        <f t="shared" si="2"/>
        <v>3670.5465240641711</v>
      </c>
      <c r="K27" s="15">
        <f t="shared" si="7"/>
        <v>0.98939999999999995</v>
      </c>
      <c r="L27" s="78">
        <f t="shared" si="8"/>
        <v>3956.0334759358288</v>
      </c>
    </row>
    <row r="28" spans="1:12" x14ac:dyDescent="0.2">
      <c r="A28" s="16" t="s">
        <v>32</v>
      </c>
      <c r="B28" s="17" t="s">
        <v>285</v>
      </c>
      <c r="C28" s="61" t="s">
        <v>286</v>
      </c>
      <c r="D28" s="16" t="s">
        <v>5</v>
      </c>
      <c r="E28" s="18">
        <v>2.7E-2</v>
      </c>
      <c r="F28" s="22">
        <f t="shared" si="0"/>
        <v>1762723.7037037038</v>
      </c>
      <c r="G28" s="19">
        <v>47593.54</v>
      </c>
      <c r="H28" s="23">
        <f>2.7/100</f>
        <v>2.7000000000000003E-2</v>
      </c>
      <c r="I28" s="85">
        <f t="shared" si="6"/>
        <v>2.7000000000000003E-2</v>
      </c>
      <c r="J28" s="86">
        <f t="shared" si="2"/>
        <v>47593.540000000008</v>
      </c>
      <c r="K28" s="15">
        <f t="shared" si="7"/>
        <v>0</v>
      </c>
      <c r="L28" s="78">
        <f t="shared" si="8"/>
        <v>0</v>
      </c>
    </row>
    <row r="29" spans="1:12" x14ac:dyDescent="0.2">
      <c r="A29" s="16" t="s">
        <v>33</v>
      </c>
      <c r="B29" s="17" t="s">
        <v>136</v>
      </c>
      <c r="C29" s="61" t="s">
        <v>137</v>
      </c>
      <c r="D29" s="16" t="s">
        <v>17</v>
      </c>
      <c r="E29" s="18">
        <v>2.74</v>
      </c>
      <c r="F29" s="22">
        <f t="shared" si="0"/>
        <v>5921.6277372262766</v>
      </c>
      <c r="G29" s="19">
        <v>16225.26</v>
      </c>
      <c r="H29" s="23">
        <f>E29</f>
        <v>2.74</v>
      </c>
      <c r="I29" s="85">
        <f t="shared" si="6"/>
        <v>2.74</v>
      </c>
      <c r="J29" s="86">
        <f t="shared" si="2"/>
        <v>16225.259999999998</v>
      </c>
      <c r="K29" s="15">
        <f t="shared" si="7"/>
        <v>0</v>
      </c>
      <c r="L29" s="78">
        <f t="shared" si="8"/>
        <v>0</v>
      </c>
    </row>
    <row r="30" spans="1:12" x14ac:dyDescent="0.2">
      <c r="A30" s="16" t="s">
        <v>34</v>
      </c>
      <c r="B30" s="17" t="s">
        <v>136</v>
      </c>
      <c r="C30" s="61" t="s">
        <v>137</v>
      </c>
      <c r="D30" s="16" t="s">
        <v>17</v>
      </c>
      <c r="E30" s="18">
        <v>2.74</v>
      </c>
      <c r="F30" s="22">
        <f t="shared" si="0"/>
        <v>79.040145985401452</v>
      </c>
      <c r="G30" s="19">
        <v>216.57</v>
      </c>
      <c r="H30" s="23">
        <f>H29</f>
        <v>2.74</v>
      </c>
      <c r="I30" s="85">
        <f t="shared" si="6"/>
        <v>2.74</v>
      </c>
      <c r="J30" s="86">
        <f t="shared" si="2"/>
        <v>216.57</v>
      </c>
      <c r="K30" s="15">
        <f t="shared" si="7"/>
        <v>0</v>
      </c>
      <c r="L30" s="78">
        <f t="shared" si="8"/>
        <v>0</v>
      </c>
    </row>
    <row r="31" spans="1:12" ht="22.5" x14ac:dyDescent="0.2">
      <c r="A31" s="16" t="s">
        <v>35</v>
      </c>
      <c r="B31" s="17" t="s">
        <v>287</v>
      </c>
      <c r="C31" s="61" t="s">
        <v>288</v>
      </c>
      <c r="D31" s="16" t="s">
        <v>47</v>
      </c>
      <c r="E31" s="18">
        <v>1.8599999999999998E-2</v>
      </c>
      <c r="F31" s="22">
        <f t="shared" si="0"/>
        <v>94084.40860215055</v>
      </c>
      <c r="G31" s="19">
        <v>1749.97</v>
      </c>
      <c r="H31" s="23">
        <f>18.6/1000</f>
        <v>1.8600000000000002E-2</v>
      </c>
      <c r="I31" s="85">
        <f t="shared" si="6"/>
        <v>1.8600000000000002E-2</v>
      </c>
      <c r="J31" s="86">
        <f t="shared" si="2"/>
        <v>1749.9700000000005</v>
      </c>
      <c r="K31" s="15">
        <f t="shared" si="7"/>
        <v>0</v>
      </c>
      <c r="L31" s="78">
        <f t="shared" si="8"/>
        <v>0</v>
      </c>
    </row>
    <row r="32" spans="1:12" ht="22.5" x14ac:dyDescent="0.2">
      <c r="A32" s="16" t="s">
        <v>36</v>
      </c>
      <c r="B32" s="17" t="s">
        <v>270</v>
      </c>
      <c r="C32" s="61" t="s">
        <v>271</v>
      </c>
      <c r="D32" s="16" t="s">
        <v>47</v>
      </c>
      <c r="E32" s="18">
        <v>1.8599999999999998E-2</v>
      </c>
      <c r="F32" s="22">
        <f t="shared" si="0"/>
        <v>60537.634408602156</v>
      </c>
      <c r="G32" s="19">
        <v>1126</v>
      </c>
      <c r="H32" s="23">
        <f>H31</f>
        <v>1.8600000000000002E-2</v>
      </c>
      <c r="I32" s="85">
        <f t="shared" si="6"/>
        <v>1.8600000000000002E-2</v>
      </c>
      <c r="J32" s="86">
        <f t="shared" si="2"/>
        <v>1126.0000000000002</v>
      </c>
      <c r="K32" s="15">
        <f t="shared" si="7"/>
        <v>0</v>
      </c>
      <c r="L32" s="78">
        <f t="shared" si="8"/>
        <v>0</v>
      </c>
    </row>
    <row r="33" spans="1:12" ht="22.5" x14ac:dyDescent="0.2">
      <c r="A33" s="16" t="s">
        <v>37</v>
      </c>
      <c r="B33" s="17" t="s">
        <v>289</v>
      </c>
      <c r="C33" s="61" t="s">
        <v>290</v>
      </c>
      <c r="D33" s="16" t="s">
        <v>47</v>
      </c>
      <c r="E33" s="18">
        <v>0.21945000000000001</v>
      </c>
      <c r="F33" s="22">
        <f t="shared" si="0"/>
        <v>30438.642059694692</v>
      </c>
      <c r="G33" s="19">
        <v>6679.76</v>
      </c>
      <c r="H33" s="23">
        <f>219.45/1000</f>
        <v>0.21944999999999998</v>
      </c>
      <c r="I33" s="85">
        <f t="shared" si="6"/>
        <v>0.21944999999999998</v>
      </c>
      <c r="J33" s="86">
        <f t="shared" si="2"/>
        <v>6679.7599999999993</v>
      </c>
      <c r="K33" s="15">
        <f t="shared" si="7"/>
        <v>0</v>
      </c>
      <c r="L33" s="78">
        <f t="shared" si="8"/>
        <v>0</v>
      </c>
    </row>
    <row r="34" spans="1:12" ht="22.5" x14ac:dyDescent="0.2">
      <c r="A34" s="16" t="s">
        <v>38</v>
      </c>
      <c r="B34" s="17" t="s">
        <v>291</v>
      </c>
      <c r="C34" s="61" t="s">
        <v>292</v>
      </c>
      <c r="D34" s="16" t="s">
        <v>47</v>
      </c>
      <c r="E34" s="18">
        <v>0.21945000000000001</v>
      </c>
      <c r="F34" s="22">
        <f t="shared" si="0"/>
        <v>44787.60537707906</v>
      </c>
      <c r="G34" s="19">
        <v>9828.64</v>
      </c>
      <c r="H34" s="23">
        <f>H33</f>
        <v>0.21944999999999998</v>
      </c>
      <c r="I34" s="85">
        <f t="shared" si="6"/>
        <v>0.21944999999999998</v>
      </c>
      <c r="J34" s="86">
        <f t="shared" si="2"/>
        <v>9828.64</v>
      </c>
      <c r="K34" s="15">
        <f t="shared" si="7"/>
        <v>0</v>
      </c>
      <c r="L34" s="78">
        <f t="shared" si="8"/>
        <v>0</v>
      </c>
    </row>
    <row r="35" spans="1:12" x14ac:dyDescent="0.2">
      <c r="A35" s="20" t="s">
        <v>140</v>
      </c>
      <c r="B35" s="14"/>
      <c r="C35" s="60"/>
      <c r="D35" s="14"/>
      <c r="E35" s="14"/>
      <c r="F35" s="22"/>
      <c r="G35" s="19"/>
      <c r="H35" s="15"/>
      <c r="I35" s="85"/>
      <c r="J35" s="86">
        <f t="shared" si="2"/>
        <v>0</v>
      </c>
      <c r="K35" s="15">
        <f t="shared" si="7"/>
        <v>0</v>
      </c>
      <c r="L35" s="78">
        <f t="shared" si="8"/>
        <v>0</v>
      </c>
    </row>
    <row r="36" spans="1:12" x14ac:dyDescent="0.2">
      <c r="A36" s="16" t="s">
        <v>39</v>
      </c>
      <c r="B36" s="17" t="s">
        <v>293</v>
      </c>
      <c r="C36" s="61" t="s">
        <v>294</v>
      </c>
      <c r="D36" s="16" t="s">
        <v>103</v>
      </c>
      <c r="E36" s="18">
        <v>51.25</v>
      </c>
      <c r="F36" s="22">
        <f t="shared" si="0"/>
        <v>185.48663414634149</v>
      </c>
      <c r="G36" s="19">
        <v>9506.19</v>
      </c>
      <c r="H36" s="23">
        <v>0</v>
      </c>
      <c r="I36" s="85">
        <v>0</v>
      </c>
      <c r="J36" s="86">
        <f t="shared" si="2"/>
        <v>0</v>
      </c>
      <c r="K36" s="15">
        <f t="shared" si="7"/>
        <v>51.25</v>
      </c>
      <c r="L36" s="78">
        <f t="shared" si="8"/>
        <v>9506.19</v>
      </c>
    </row>
    <row r="37" spans="1:12" ht="33.75" x14ac:dyDescent="0.2">
      <c r="A37" s="16" t="s">
        <v>40</v>
      </c>
      <c r="B37" s="17" t="s">
        <v>105</v>
      </c>
      <c r="C37" s="61" t="s">
        <v>106</v>
      </c>
      <c r="D37" s="16" t="s">
        <v>55</v>
      </c>
      <c r="E37" s="18">
        <v>0.51249999999999996</v>
      </c>
      <c r="F37" s="22">
        <f t="shared" si="0"/>
        <v>34196.839024390247</v>
      </c>
      <c r="G37" s="19">
        <v>17525.88</v>
      </c>
      <c r="H37" s="24">
        <f>(9.68+30.48+18.01)/100</f>
        <v>0.58169999999999999</v>
      </c>
      <c r="I37" s="85">
        <f>E37</f>
        <v>0.51249999999999996</v>
      </c>
      <c r="J37" s="86">
        <f t="shared" si="2"/>
        <v>17525.88</v>
      </c>
      <c r="K37" s="15">
        <f t="shared" si="7"/>
        <v>-6.9200000000000039E-2</v>
      </c>
      <c r="L37" s="78">
        <f t="shared" si="8"/>
        <v>0</v>
      </c>
    </row>
    <row r="38" spans="1:12" x14ac:dyDescent="0.2">
      <c r="A38" s="16" t="s">
        <v>41</v>
      </c>
      <c r="B38" s="17" t="s">
        <v>108</v>
      </c>
      <c r="C38" s="61" t="s">
        <v>109</v>
      </c>
      <c r="D38" s="16" t="s">
        <v>47</v>
      </c>
      <c r="E38" s="18">
        <v>1.5375E-2</v>
      </c>
      <c r="F38" s="22">
        <f t="shared" si="0"/>
        <v>96986.016260162607</v>
      </c>
      <c r="G38" s="19">
        <v>1491.16</v>
      </c>
      <c r="H38" s="24">
        <f>E38*H37/E37</f>
        <v>1.7451000000000001E-2</v>
      </c>
      <c r="I38" s="85">
        <f>E38</f>
        <v>1.5375E-2</v>
      </c>
      <c r="J38" s="86">
        <f t="shared" si="2"/>
        <v>1491.16</v>
      </c>
      <c r="K38" s="15">
        <f t="shared" si="7"/>
        <v>-2.0760000000000015E-3</v>
      </c>
      <c r="L38" s="78">
        <f t="shared" si="8"/>
        <v>0</v>
      </c>
    </row>
    <row r="39" spans="1:12" x14ac:dyDescent="0.2">
      <c r="A39" s="16" t="s">
        <v>42</v>
      </c>
      <c r="B39" s="17" t="s">
        <v>295</v>
      </c>
      <c r="C39" s="61" t="s">
        <v>296</v>
      </c>
      <c r="D39" s="16" t="s">
        <v>47</v>
      </c>
      <c r="E39" s="18">
        <v>7.1749999999999994E-2</v>
      </c>
      <c r="F39" s="22">
        <f t="shared" si="0"/>
        <v>62584.668989547041</v>
      </c>
      <c r="G39" s="19">
        <v>4490.45</v>
      </c>
      <c r="H39" s="24">
        <f>E39*H37/E37</f>
        <v>8.1437999999999997E-2</v>
      </c>
      <c r="I39" s="85">
        <f>E39</f>
        <v>7.1749999999999994E-2</v>
      </c>
      <c r="J39" s="86">
        <f t="shared" si="2"/>
        <v>4490.45</v>
      </c>
      <c r="K39" s="15">
        <f t="shared" si="7"/>
        <v>-9.6880000000000022E-3</v>
      </c>
      <c r="L39" s="78">
        <f t="shared" si="8"/>
        <v>0</v>
      </c>
    </row>
    <row r="40" spans="1:12" x14ac:dyDescent="0.2">
      <c r="A40" s="20" t="s">
        <v>297</v>
      </c>
      <c r="B40" s="14"/>
      <c r="C40" s="60"/>
      <c r="D40" s="14"/>
      <c r="E40" s="14"/>
      <c r="F40" s="22"/>
      <c r="G40" s="19"/>
      <c r="H40" s="15"/>
      <c r="I40" s="85">
        <f t="shared" ref="I40:I74" si="9">H40</f>
        <v>0</v>
      </c>
      <c r="J40" s="86">
        <f t="shared" si="2"/>
        <v>0</v>
      </c>
      <c r="K40" s="15">
        <f t="shared" si="7"/>
        <v>0</v>
      </c>
      <c r="L40" s="78">
        <f t="shared" si="8"/>
        <v>0</v>
      </c>
    </row>
    <row r="41" spans="1:12" x14ac:dyDescent="0.2">
      <c r="A41" s="16" t="s">
        <v>43</v>
      </c>
      <c r="B41" s="17" t="s">
        <v>298</v>
      </c>
      <c r="C41" s="61" t="s">
        <v>299</v>
      </c>
      <c r="D41" s="16" t="s">
        <v>127</v>
      </c>
      <c r="E41" s="18">
        <v>0.08</v>
      </c>
      <c r="F41" s="22">
        <f t="shared" si="0"/>
        <v>14584.625</v>
      </c>
      <c r="G41" s="19">
        <v>1166.77</v>
      </c>
      <c r="H41" s="23">
        <v>0.08</v>
      </c>
      <c r="I41" s="85">
        <f t="shared" si="9"/>
        <v>0.08</v>
      </c>
      <c r="J41" s="86">
        <f t="shared" si="2"/>
        <v>1166.77</v>
      </c>
      <c r="K41" s="15">
        <f t="shared" si="7"/>
        <v>0</v>
      </c>
      <c r="L41" s="78">
        <f t="shared" si="8"/>
        <v>0</v>
      </c>
    </row>
    <row r="42" spans="1:12" ht="45" x14ac:dyDescent="0.2">
      <c r="A42" s="16" t="s">
        <v>44</v>
      </c>
      <c r="B42" s="17" t="s">
        <v>300</v>
      </c>
      <c r="C42" s="61" t="s">
        <v>301</v>
      </c>
      <c r="D42" s="16" t="s">
        <v>53</v>
      </c>
      <c r="E42" s="18">
        <v>5</v>
      </c>
      <c r="F42" s="22">
        <f t="shared" si="0"/>
        <v>710.9</v>
      </c>
      <c r="G42" s="19">
        <v>3554.5</v>
      </c>
      <c r="H42" s="23">
        <v>5</v>
      </c>
      <c r="I42" s="85">
        <f t="shared" si="9"/>
        <v>5</v>
      </c>
      <c r="J42" s="86">
        <f t="shared" si="2"/>
        <v>3554.5</v>
      </c>
      <c r="K42" s="15">
        <f t="shared" si="7"/>
        <v>0</v>
      </c>
      <c r="L42" s="78">
        <f t="shared" si="8"/>
        <v>0</v>
      </c>
    </row>
    <row r="43" spans="1:12" ht="22.5" x14ac:dyDescent="0.2">
      <c r="A43" s="16" t="s">
        <v>45</v>
      </c>
      <c r="B43" s="17" t="s">
        <v>302</v>
      </c>
      <c r="C43" s="61" t="s">
        <v>303</v>
      </c>
      <c r="D43" s="16" t="s">
        <v>53</v>
      </c>
      <c r="E43" s="18">
        <v>8</v>
      </c>
      <c r="F43" s="22">
        <f t="shared" si="0"/>
        <v>1228.325</v>
      </c>
      <c r="G43" s="19">
        <v>9826.6</v>
      </c>
      <c r="H43" s="23">
        <v>8</v>
      </c>
      <c r="I43" s="85">
        <f t="shared" si="9"/>
        <v>8</v>
      </c>
      <c r="J43" s="86">
        <f t="shared" si="2"/>
        <v>9826.6</v>
      </c>
      <c r="K43" s="15">
        <f t="shared" si="7"/>
        <v>0</v>
      </c>
      <c r="L43" s="78">
        <f t="shared" si="8"/>
        <v>0</v>
      </c>
    </row>
    <row r="44" spans="1:12" x14ac:dyDescent="0.2">
      <c r="A44" s="20" t="s">
        <v>304</v>
      </c>
      <c r="B44" s="14"/>
      <c r="C44" s="60"/>
      <c r="D44" s="14"/>
      <c r="E44" s="14"/>
      <c r="F44" s="22"/>
      <c r="G44" s="19"/>
      <c r="H44" s="15"/>
      <c r="I44" s="85">
        <f t="shared" si="9"/>
        <v>0</v>
      </c>
      <c r="J44" s="86">
        <f t="shared" si="2"/>
        <v>0</v>
      </c>
      <c r="K44" s="15">
        <f t="shared" si="7"/>
        <v>0</v>
      </c>
      <c r="L44" s="78">
        <f t="shared" si="8"/>
        <v>0</v>
      </c>
    </row>
    <row r="45" spans="1:12" x14ac:dyDescent="0.2">
      <c r="A45" s="16" t="s">
        <v>46</v>
      </c>
      <c r="B45" s="17" t="s">
        <v>305</v>
      </c>
      <c r="C45" s="61" t="s">
        <v>306</v>
      </c>
      <c r="D45" s="16" t="s">
        <v>17</v>
      </c>
      <c r="E45" s="18">
        <v>0.5</v>
      </c>
      <c r="F45" s="22">
        <f t="shared" si="0"/>
        <v>36505.339999999997</v>
      </c>
      <c r="G45" s="19">
        <v>18252.669999999998</v>
      </c>
      <c r="H45" s="23">
        <v>0.5</v>
      </c>
      <c r="I45" s="85">
        <f t="shared" si="9"/>
        <v>0.5</v>
      </c>
      <c r="J45" s="86">
        <f t="shared" si="2"/>
        <v>18252.669999999998</v>
      </c>
      <c r="K45" s="15">
        <f t="shared" si="7"/>
        <v>0</v>
      </c>
      <c r="L45" s="78">
        <f t="shared" si="8"/>
        <v>0</v>
      </c>
    </row>
    <row r="46" spans="1:12" x14ac:dyDescent="0.2">
      <c r="A46" s="16" t="s">
        <v>48</v>
      </c>
      <c r="B46" s="17" t="s">
        <v>185</v>
      </c>
      <c r="C46" s="61" t="s">
        <v>307</v>
      </c>
      <c r="D46" s="16" t="s">
        <v>17</v>
      </c>
      <c r="E46" s="18">
        <v>0.51</v>
      </c>
      <c r="F46" s="22">
        <f t="shared" si="0"/>
        <v>4836.9607843137255</v>
      </c>
      <c r="G46" s="19">
        <v>2466.85</v>
      </c>
      <c r="H46" s="23">
        <v>0.51</v>
      </c>
      <c r="I46" s="85">
        <f t="shared" si="9"/>
        <v>0.51</v>
      </c>
      <c r="J46" s="86">
        <f t="shared" si="2"/>
        <v>2466.85</v>
      </c>
      <c r="K46" s="15">
        <f t="shared" si="7"/>
        <v>0</v>
      </c>
      <c r="L46" s="78">
        <f t="shared" si="8"/>
        <v>0</v>
      </c>
    </row>
    <row r="47" spans="1:12" x14ac:dyDescent="0.2">
      <c r="A47" s="20" t="s">
        <v>308</v>
      </c>
      <c r="B47" s="14"/>
      <c r="C47" s="60"/>
      <c r="D47" s="14"/>
      <c r="E47" s="14"/>
      <c r="F47" s="22"/>
      <c r="G47" s="19"/>
      <c r="H47" s="15"/>
      <c r="I47" s="85">
        <f t="shared" si="9"/>
        <v>0</v>
      </c>
      <c r="J47" s="86">
        <f t="shared" si="2"/>
        <v>0</v>
      </c>
      <c r="K47" s="15">
        <f t="shared" si="7"/>
        <v>0</v>
      </c>
      <c r="L47" s="78">
        <f t="shared" si="8"/>
        <v>0</v>
      </c>
    </row>
    <row r="48" spans="1:12" ht="22.5" x14ac:dyDescent="0.2">
      <c r="A48" s="16" t="s">
        <v>49</v>
      </c>
      <c r="B48" s="17" t="s">
        <v>309</v>
      </c>
      <c r="C48" s="61" t="s">
        <v>310</v>
      </c>
      <c r="D48" s="16" t="s">
        <v>127</v>
      </c>
      <c r="E48" s="18">
        <v>0.08</v>
      </c>
      <c r="F48" s="22">
        <f t="shared" si="0"/>
        <v>23528.875</v>
      </c>
      <c r="G48" s="19">
        <v>1882.31</v>
      </c>
      <c r="H48" s="23">
        <v>0.08</v>
      </c>
      <c r="I48" s="85">
        <f t="shared" si="9"/>
        <v>0.08</v>
      </c>
      <c r="J48" s="86">
        <f t="shared" si="2"/>
        <v>1882.31</v>
      </c>
      <c r="K48" s="15">
        <f t="shared" si="7"/>
        <v>0</v>
      </c>
      <c r="L48" s="78">
        <f t="shared" si="8"/>
        <v>0</v>
      </c>
    </row>
    <row r="49" spans="1:13" x14ac:dyDescent="0.2">
      <c r="A49" s="16" t="s">
        <v>50</v>
      </c>
      <c r="B49" s="17" t="s">
        <v>311</v>
      </c>
      <c r="C49" s="61" t="s">
        <v>312</v>
      </c>
      <c r="D49" s="16" t="s">
        <v>47</v>
      </c>
      <c r="E49" s="18">
        <v>1.8400000000000001E-3</v>
      </c>
      <c r="F49" s="22">
        <f t="shared" si="0"/>
        <v>4247146.7391304346</v>
      </c>
      <c r="G49" s="19">
        <v>7814.75</v>
      </c>
      <c r="H49" s="23">
        <v>1.8400000000000001E-3</v>
      </c>
      <c r="I49" s="85">
        <f t="shared" si="9"/>
        <v>1.8400000000000001E-3</v>
      </c>
      <c r="J49" s="86">
        <f t="shared" si="2"/>
        <v>7814.75</v>
      </c>
      <c r="K49" s="15">
        <f t="shared" si="7"/>
        <v>0</v>
      </c>
      <c r="L49" s="78">
        <f t="shared" si="8"/>
        <v>0</v>
      </c>
    </row>
    <row r="50" spans="1:13" x14ac:dyDescent="0.2">
      <c r="A50" s="20" t="s">
        <v>313</v>
      </c>
      <c r="B50" s="14"/>
      <c r="C50" s="60"/>
      <c r="D50" s="14"/>
      <c r="E50" s="14"/>
      <c r="F50" s="22"/>
      <c r="G50" s="19"/>
      <c r="H50" s="15"/>
      <c r="I50" s="85">
        <f t="shared" si="9"/>
        <v>0</v>
      </c>
      <c r="J50" s="86">
        <f t="shared" si="2"/>
        <v>0</v>
      </c>
      <c r="K50" s="15">
        <f t="shared" si="7"/>
        <v>0</v>
      </c>
      <c r="L50" s="78">
        <f t="shared" si="8"/>
        <v>0</v>
      </c>
    </row>
    <row r="51" spans="1:13" ht="22.5" x14ac:dyDescent="0.2">
      <c r="A51" s="16" t="s">
        <v>51</v>
      </c>
      <c r="B51" s="17" t="s">
        <v>314</v>
      </c>
      <c r="C51" s="61" t="s">
        <v>315</v>
      </c>
      <c r="D51" s="16" t="s">
        <v>47</v>
      </c>
      <c r="E51" s="18">
        <v>3.03</v>
      </c>
      <c r="F51" s="22">
        <f t="shared" si="0"/>
        <v>39554.557755775582</v>
      </c>
      <c r="G51" s="19">
        <v>119850.31</v>
      </c>
      <c r="H51" s="23">
        <v>3.03</v>
      </c>
      <c r="I51" s="85">
        <f t="shared" si="9"/>
        <v>3.03</v>
      </c>
      <c r="J51" s="86">
        <f t="shared" si="2"/>
        <v>119850.31000000001</v>
      </c>
      <c r="K51" s="15">
        <f t="shared" si="7"/>
        <v>0</v>
      </c>
      <c r="L51" s="78">
        <f t="shared" si="8"/>
        <v>0</v>
      </c>
      <c r="M51" s="71" t="s">
        <v>517</v>
      </c>
    </row>
    <row r="52" spans="1:13" ht="22.5" x14ac:dyDescent="0.2">
      <c r="A52" s="16" t="s">
        <v>52</v>
      </c>
      <c r="B52" s="17" t="s">
        <v>314</v>
      </c>
      <c r="C52" s="61" t="s">
        <v>315</v>
      </c>
      <c r="D52" s="16" t="s">
        <v>47</v>
      </c>
      <c r="E52" s="18">
        <v>0.18</v>
      </c>
      <c r="F52" s="22">
        <f t="shared" si="0"/>
        <v>42722.111111111109</v>
      </c>
      <c r="G52" s="19">
        <v>7689.98</v>
      </c>
      <c r="H52" s="23">
        <v>0.18</v>
      </c>
      <c r="I52" s="85">
        <f t="shared" si="9"/>
        <v>0.18</v>
      </c>
      <c r="J52" s="86">
        <f t="shared" si="2"/>
        <v>7689.98</v>
      </c>
      <c r="K52" s="15">
        <f t="shared" si="7"/>
        <v>0</v>
      </c>
      <c r="L52" s="78">
        <f t="shared" si="8"/>
        <v>0</v>
      </c>
      <c r="M52" s="71" t="s">
        <v>517</v>
      </c>
    </row>
    <row r="53" spans="1:13" s="54" customFormat="1" ht="33.75" x14ac:dyDescent="0.2">
      <c r="A53" s="47" t="s">
        <v>54</v>
      </c>
      <c r="B53" s="48" t="s">
        <v>141</v>
      </c>
      <c r="C53" s="62" t="s">
        <v>142</v>
      </c>
      <c r="D53" s="47" t="s">
        <v>47</v>
      </c>
      <c r="E53" s="49">
        <v>3.21</v>
      </c>
      <c r="F53" s="50">
        <f t="shared" si="0"/>
        <v>57189.373831775709</v>
      </c>
      <c r="G53" s="51">
        <v>183577.89</v>
      </c>
      <c r="H53" s="52">
        <v>3.21</v>
      </c>
      <c r="I53" s="88">
        <f t="shared" si="9"/>
        <v>3.21</v>
      </c>
      <c r="J53" s="89">
        <f t="shared" si="2"/>
        <v>183577.89</v>
      </c>
      <c r="K53" s="53">
        <f t="shared" si="7"/>
        <v>0</v>
      </c>
      <c r="L53" s="79">
        <f t="shared" si="8"/>
        <v>0</v>
      </c>
    </row>
    <row r="54" spans="1:13" ht="22.5" x14ac:dyDescent="0.2">
      <c r="A54" s="16" t="s">
        <v>56</v>
      </c>
      <c r="B54" s="17" t="s">
        <v>314</v>
      </c>
      <c r="C54" s="61" t="s">
        <v>315</v>
      </c>
      <c r="D54" s="16" t="s">
        <v>47</v>
      </c>
      <c r="E54" s="18">
        <v>2.4780000000000002</v>
      </c>
      <c r="F54" s="22">
        <f t="shared" si="0"/>
        <v>42718.898305084738</v>
      </c>
      <c r="G54" s="19">
        <v>105857.43</v>
      </c>
      <c r="H54" s="23">
        <f>H55+H56</f>
        <v>2.4303000000000003</v>
      </c>
      <c r="I54" s="85">
        <f t="shared" si="9"/>
        <v>2.4303000000000003</v>
      </c>
      <c r="J54" s="86">
        <f t="shared" si="2"/>
        <v>103819.73855084745</v>
      </c>
      <c r="K54" s="15">
        <f t="shared" si="7"/>
        <v>4.7699999999999854E-2</v>
      </c>
      <c r="L54" s="78">
        <f t="shared" si="8"/>
        <v>2037.6914491525386</v>
      </c>
    </row>
    <row r="55" spans="1:13" s="54" customFormat="1" ht="33.75" x14ac:dyDescent="0.2">
      <c r="A55" s="47" t="s">
        <v>57</v>
      </c>
      <c r="B55" s="48" t="s">
        <v>143</v>
      </c>
      <c r="C55" s="62" t="s">
        <v>144</v>
      </c>
      <c r="D55" s="47" t="s">
        <v>47</v>
      </c>
      <c r="E55" s="49">
        <v>2.2200000000000002</v>
      </c>
      <c r="F55" s="50">
        <f t="shared" si="0"/>
        <v>62929.91891891892</v>
      </c>
      <c r="G55" s="51">
        <v>139704.42000000001</v>
      </c>
      <c r="H55" s="52">
        <f>5.6403-H56-H53</f>
        <v>2.1763000000000003</v>
      </c>
      <c r="I55" s="88">
        <f t="shared" si="9"/>
        <v>2.1763000000000003</v>
      </c>
      <c r="J55" s="89">
        <f t="shared" si="2"/>
        <v>136954.38254324326</v>
      </c>
      <c r="K55" s="53">
        <f t="shared" si="7"/>
        <v>4.369999999999985E-2</v>
      </c>
      <c r="L55" s="79">
        <f t="shared" si="8"/>
        <v>2750.0374567567487</v>
      </c>
    </row>
    <row r="56" spans="1:13" s="54" customFormat="1" ht="33.75" x14ac:dyDescent="0.2">
      <c r="A56" s="47" t="s">
        <v>58</v>
      </c>
      <c r="B56" s="48" t="s">
        <v>316</v>
      </c>
      <c r="C56" s="62" t="s">
        <v>317</v>
      </c>
      <c r="D56" s="47" t="s">
        <v>47</v>
      </c>
      <c r="E56" s="49">
        <v>0.254</v>
      </c>
      <c r="F56" s="50">
        <f t="shared" si="0"/>
        <v>65769.606299212595</v>
      </c>
      <c r="G56" s="51">
        <v>16705.48</v>
      </c>
      <c r="H56" s="52">
        <v>0.254</v>
      </c>
      <c r="I56" s="88">
        <f t="shared" si="9"/>
        <v>0.254</v>
      </c>
      <c r="J56" s="89">
        <f t="shared" si="2"/>
        <v>16705.48</v>
      </c>
      <c r="K56" s="53">
        <f t="shared" si="7"/>
        <v>0</v>
      </c>
      <c r="L56" s="79">
        <f t="shared" si="8"/>
        <v>0</v>
      </c>
    </row>
    <row r="57" spans="1:13" ht="22.5" x14ac:dyDescent="0.2">
      <c r="A57" s="16" t="s">
        <v>59</v>
      </c>
      <c r="B57" s="17" t="s">
        <v>167</v>
      </c>
      <c r="C57" s="61" t="s">
        <v>168</v>
      </c>
      <c r="D57" s="16" t="s">
        <v>55</v>
      </c>
      <c r="E57" s="18">
        <v>1.536</v>
      </c>
      <c r="F57" s="22">
        <f t="shared" si="0"/>
        <v>9639.7591145833339</v>
      </c>
      <c r="G57" s="19">
        <v>14806.67</v>
      </c>
      <c r="H57" s="23">
        <v>1.26</v>
      </c>
      <c r="I57" s="85">
        <f t="shared" si="9"/>
        <v>1.26</v>
      </c>
      <c r="J57" s="86">
        <f t="shared" si="2"/>
        <v>12146.096484375001</v>
      </c>
      <c r="K57" s="15">
        <f t="shared" si="7"/>
        <v>0.27600000000000002</v>
      </c>
      <c r="L57" s="78">
        <f t="shared" si="8"/>
        <v>2660.5735156249993</v>
      </c>
    </row>
    <row r="58" spans="1:13" ht="22.5" x14ac:dyDescent="0.2">
      <c r="A58" s="16" t="s">
        <v>60</v>
      </c>
      <c r="B58" s="17" t="s">
        <v>154</v>
      </c>
      <c r="C58" s="61" t="s">
        <v>318</v>
      </c>
      <c r="D58" s="16" t="s">
        <v>55</v>
      </c>
      <c r="E58" s="18">
        <v>1.536</v>
      </c>
      <c r="F58" s="22">
        <f t="shared" si="0"/>
        <v>7952.389322916667</v>
      </c>
      <c r="G58" s="19">
        <v>12214.87</v>
      </c>
      <c r="H58" s="23">
        <v>1.26</v>
      </c>
      <c r="I58" s="85">
        <f t="shared" si="9"/>
        <v>1.26</v>
      </c>
      <c r="J58" s="86">
        <f t="shared" si="2"/>
        <v>10020.010546875001</v>
      </c>
      <c r="K58" s="15">
        <f t="shared" si="7"/>
        <v>0.27600000000000002</v>
      </c>
      <c r="L58" s="78">
        <f t="shared" si="8"/>
        <v>2194.8594531250001</v>
      </c>
    </row>
    <row r="59" spans="1:13" x14ac:dyDescent="0.2">
      <c r="A59" s="20" t="s">
        <v>319</v>
      </c>
      <c r="B59" s="14"/>
      <c r="C59" s="60"/>
      <c r="D59" s="14"/>
      <c r="E59" s="14"/>
      <c r="F59" s="22"/>
      <c r="G59" s="19"/>
      <c r="H59" s="15"/>
      <c r="I59" s="85">
        <f t="shared" si="9"/>
        <v>0</v>
      </c>
      <c r="J59" s="86">
        <f t="shared" si="2"/>
        <v>0</v>
      </c>
      <c r="K59" s="15">
        <f t="shared" si="7"/>
        <v>0</v>
      </c>
      <c r="L59" s="78">
        <f t="shared" si="8"/>
        <v>0</v>
      </c>
    </row>
    <row r="60" spans="1:13" ht="22.5" x14ac:dyDescent="0.2">
      <c r="A60" s="16" t="s">
        <v>62</v>
      </c>
      <c r="B60" s="17" t="s">
        <v>320</v>
      </c>
      <c r="C60" s="61" t="s">
        <v>321</v>
      </c>
      <c r="D60" s="16" t="s">
        <v>55</v>
      </c>
      <c r="E60" s="18">
        <v>6.54E-2</v>
      </c>
      <c r="F60" s="22">
        <f t="shared" si="0"/>
        <v>31483.333333333336</v>
      </c>
      <c r="G60" s="19">
        <v>2059.0100000000002</v>
      </c>
      <c r="H60" s="23">
        <f>6.45/100</f>
        <v>6.4500000000000002E-2</v>
      </c>
      <c r="I60" s="85">
        <f t="shared" si="9"/>
        <v>6.4500000000000002E-2</v>
      </c>
      <c r="J60" s="86">
        <f t="shared" si="2"/>
        <v>2030.6750000000002</v>
      </c>
      <c r="K60" s="15">
        <f t="shared" si="7"/>
        <v>8.9999999999999802E-4</v>
      </c>
      <c r="L60" s="78">
        <f t="shared" si="8"/>
        <v>28.335000000000036</v>
      </c>
    </row>
    <row r="61" spans="1:13" s="54" customFormat="1" x14ac:dyDescent="0.2">
      <c r="A61" s="47" t="s">
        <v>63</v>
      </c>
      <c r="B61" s="48" t="s">
        <v>97</v>
      </c>
      <c r="C61" s="62" t="s">
        <v>98</v>
      </c>
      <c r="D61" s="47" t="s">
        <v>17</v>
      </c>
      <c r="E61" s="49">
        <v>0.16350000000000001</v>
      </c>
      <c r="F61" s="50">
        <f t="shared" si="0"/>
        <v>4241.7125382262993</v>
      </c>
      <c r="G61" s="51">
        <v>693.52</v>
      </c>
      <c r="H61" s="52">
        <f>E61*H60/E60</f>
        <v>0.16125000000000003</v>
      </c>
      <c r="I61" s="88">
        <f t="shared" si="9"/>
        <v>0.16125000000000003</v>
      </c>
      <c r="J61" s="89">
        <f t="shared" si="2"/>
        <v>683.97614678899095</v>
      </c>
      <c r="K61" s="53">
        <f t="shared" si="7"/>
        <v>2.2499999999999742E-3</v>
      </c>
      <c r="L61" s="79">
        <f t="shared" si="8"/>
        <v>9.5438532110090364</v>
      </c>
    </row>
    <row r="62" spans="1:13" s="54" customFormat="1" x14ac:dyDescent="0.2">
      <c r="A62" s="47" t="s">
        <v>64</v>
      </c>
      <c r="B62" s="48" t="s">
        <v>322</v>
      </c>
      <c r="C62" s="62" t="s">
        <v>323</v>
      </c>
      <c r="D62" s="47" t="s">
        <v>324</v>
      </c>
      <c r="E62" s="49">
        <v>1.4388000000000001</v>
      </c>
      <c r="F62" s="50">
        <f t="shared" si="0"/>
        <v>342.72310258548788</v>
      </c>
      <c r="G62" s="51">
        <v>493.11</v>
      </c>
      <c r="H62" s="52">
        <f>E62*I60/E60</f>
        <v>1.4190000000000003</v>
      </c>
      <c r="I62" s="88">
        <f t="shared" si="9"/>
        <v>1.4190000000000003</v>
      </c>
      <c r="J62" s="89">
        <f t="shared" si="2"/>
        <v>486.3240825688074</v>
      </c>
      <c r="K62" s="53">
        <f t="shared" si="7"/>
        <v>1.9799999999999818E-2</v>
      </c>
      <c r="L62" s="79">
        <f t="shared" si="8"/>
        <v>6.7859174311926154</v>
      </c>
    </row>
    <row r="63" spans="1:13" ht="22.5" x14ac:dyDescent="0.2">
      <c r="A63" s="16" t="s">
        <v>65</v>
      </c>
      <c r="B63" s="17" t="s">
        <v>325</v>
      </c>
      <c r="C63" s="61" t="s">
        <v>326</v>
      </c>
      <c r="D63" s="16" t="s">
        <v>5</v>
      </c>
      <c r="E63" s="18">
        <v>2.5000000000000001E-2</v>
      </c>
      <c r="F63" s="22">
        <f t="shared" si="0"/>
        <v>4322770</v>
      </c>
      <c r="G63" s="19">
        <v>108069.25</v>
      </c>
      <c r="H63" s="23">
        <f>1.89/100</f>
        <v>1.89E-2</v>
      </c>
      <c r="I63" s="85">
        <f t="shared" si="9"/>
        <v>1.89E-2</v>
      </c>
      <c r="J63" s="86">
        <f t="shared" si="2"/>
        <v>81700.353000000003</v>
      </c>
      <c r="K63" s="15">
        <f t="shared" si="7"/>
        <v>6.1000000000000013E-3</v>
      </c>
      <c r="L63" s="78">
        <f t="shared" si="8"/>
        <v>26368.896999999997</v>
      </c>
    </row>
    <row r="64" spans="1:13" s="54" customFormat="1" ht="22.5" x14ac:dyDescent="0.2">
      <c r="A64" s="47" t="s">
        <v>66</v>
      </c>
      <c r="B64" s="48" t="s">
        <v>136</v>
      </c>
      <c r="C64" s="62" t="s">
        <v>137</v>
      </c>
      <c r="D64" s="47" t="s">
        <v>17</v>
      </c>
      <c r="E64" s="49">
        <v>2.5375000000000001</v>
      </c>
      <c r="F64" s="50">
        <f t="shared" si="0"/>
        <v>5921.6354679802953</v>
      </c>
      <c r="G64" s="51">
        <v>15026.15</v>
      </c>
      <c r="H64" s="52">
        <f>1.02*H63*100</f>
        <v>1.9278</v>
      </c>
      <c r="I64" s="88">
        <f t="shared" si="9"/>
        <v>1.9278</v>
      </c>
      <c r="J64" s="89">
        <f t="shared" si="2"/>
        <v>11415.728855172412</v>
      </c>
      <c r="K64" s="53">
        <f t="shared" si="7"/>
        <v>0.60970000000000013</v>
      </c>
      <c r="L64" s="79">
        <f t="shared" si="8"/>
        <v>3610.4211448275873</v>
      </c>
    </row>
    <row r="65" spans="1:12" s="54" customFormat="1" ht="22.5" x14ac:dyDescent="0.2">
      <c r="A65" s="47" t="s">
        <v>67</v>
      </c>
      <c r="B65" s="48" t="s">
        <v>136</v>
      </c>
      <c r="C65" s="62" t="s">
        <v>137</v>
      </c>
      <c r="D65" s="47" t="s">
        <v>17</v>
      </c>
      <c r="E65" s="49">
        <v>2.54</v>
      </c>
      <c r="F65" s="50">
        <f t="shared" si="0"/>
        <v>79.031496062992133</v>
      </c>
      <c r="G65" s="51">
        <v>200.74</v>
      </c>
      <c r="H65" s="52">
        <v>1.9278</v>
      </c>
      <c r="I65" s="88">
        <f t="shared" si="9"/>
        <v>1.9278</v>
      </c>
      <c r="J65" s="89">
        <f t="shared" si="2"/>
        <v>152.35691811023622</v>
      </c>
      <c r="K65" s="53">
        <f t="shared" si="7"/>
        <v>0.61220000000000008</v>
      </c>
      <c r="L65" s="79">
        <f t="shared" si="8"/>
        <v>48.383081889763787</v>
      </c>
    </row>
    <row r="66" spans="1:12" s="54" customFormat="1" ht="22.5" x14ac:dyDescent="0.2">
      <c r="A66" s="47" t="s">
        <v>68</v>
      </c>
      <c r="B66" s="48" t="s">
        <v>138</v>
      </c>
      <c r="C66" s="62" t="s">
        <v>139</v>
      </c>
      <c r="D66" s="47" t="s">
        <v>47</v>
      </c>
      <c r="E66" s="49">
        <v>0.1</v>
      </c>
      <c r="F66" s="50">
        <f t="shared" si="0"/>
        <v>50702.2</v>
      </c>
      <c r="G66" s="51">
        <v>5070.22</v>
      </c>
      <c r="H66" s="52">
        <v>0.1</v>
      </c>
      <c r="I66" s="88">
        <f t="shared" si="9"/>
        <v>0.1</v>
      </c>
      <c r="J66" s="89">
        <f t="shared" si="2"/>
        <v>5070.22</v>
      </c>
      <c r="K66" s="53">
        <f t="shared" si="7"/>
        <v>0</v>
      </c>
      <c r="L66" s="79">
        <f t="shared" si="8"/>
        <v>0</v>
      </c>
    </row>
    <row r="67" spans="1:12" ht="22.5" x14ac:dyDescent="0.2">
      <c r="A67" s="16" t="s">
        <v>69</v>
      </c>
      <c r="B67" s="17" t="s">
        <v>327</v>
      </c>
      <c r="C67" s="61" t="s">
        <v>328</v>
      </c>
      <c r="D67" s="16" t="s">
        <v>3</v>
      </c>
      <c r="E67" s="18">
        <v>0.192</v>
      </c>
      <c r="F67" s="22">
        <f t="shared" si="0"/>
        <v>17248.854166666668</v>
      </c>
      <c r="G67" s="19">
        <v>3311.78</v>
      </c>
      <c r="H67" s="23">
        <v>0.192</v>
      </c>
      <c r="I67" s="85">
        <f t="shared" si="9"/>
        <v>0.192</v>
      </c>
      <c r="J67" s="86">
        <f t="shared" si="2"/>
        <v>3311.78</v>
      </c>
      <c r="K67" s="15">
        <f t="shared" si="7"/>
        <v>0</v>
      </c>
      <c r="L67" s="78">
        <f t="shared" si="8"/>
        <v>0</v>
      </c>
    </row>
    <row r="68" spans="1:12" x14ac:dyDescent="0.2">
      <c r="A68" s="16" t="s">
        <v>70</v>
      </c>
      <c r="B68" s="17" t="s">
        <v>329</v>
      </c>
      <c r="C68" s="61" t="s">
        <v>330</v>
      </c>
      <c r="D68" s="16" t="s">
        <v>47</v>
      </c>
      <c r="E68" s="18">
        <v>-1.44E-4</v>
      </c>
      <c r="F68" s="22">
        <f t="shared" si="0"/>
        <v>101458.33333333333</v>
      </c>
      <c r="G68" s="19">
        <v>-14.61</v>
      </c>
      <c r="H68" s="23">
        <f>E68</f>
        <v>-1.44E-4</v>
      </c>
      <c r="I68" s="85">
        <f t="shared" si="9"/>
        <v>-1.44E-4</v>
      </c>
      <c r="J68" s="86">
        <f t="shared" si="2"/>
        <v>-14.61</v>
      </c>
      <c r="K68" s="15">
        <f t="shared" si="7"/>
        <v>0</v>
      </c>
      <c r="L68" s="78">
        <f t="shared" si="8"/>
        <v>0</v>
      </c>
    </row>
    <row r="69" spans="1:12" ht="22.5" x14ac:dyDescent="0.2">
      <c r="A69" s="16" t="s">
        <v>71</v>
      </c>
      <c r="B69" s="17" t="s">
        <v>331</v>
      </c>
      <c r="C69" s="61" t="s">
        <v>332</v>
      </c>
      <c r="D69" s="16" t="s">
        <v>47</v>
      </c>
      <c r="E69" s="18">
        <v>0.111</v>
      </c>
      <c r="F69" s="22">
        <f t="shared" ref="F69:F132" si="10">G69/E69</f>
        <v>39499.549549549549</v>
      </c>
      <c r="G69" s="19">
        <v>4384.45</v>
      </c>
      <c r="H69" s="23">
        <f>E69</f>
        <v>0.111</v>
      </c>
      <c r="I69" s="85">
        <f t="shared" si="9"/>
        <v>0.111</v>
      </c>
      <c r="J69" s="86">
        <f t="shared" ref="J69:J132" si="11">F69*I69</f>
        <v>4384.45</v>
      </c>
      <c r="K69" s="15">
        <f t="shared" si="7"/>
        <v>0</v>
      </c>
      <c r="L69" s="78">
        <f t="shared" si="8"/>
        <v>0</v>
      </c>
    </row>
    <row r="70" spans="1:12" ht="22.5" x14ac:dyDescent="0.2">
      <c r="A70" s="16" t="s">
        <v>72</v>
      </c>
      <c r="B70" s="17" t="s">
        <v>333</v>
      </c>
      <c r="C70" s="61" t="s">
        <v>334</v>
      </c>
      <c r="D70" s="16" t="s">
        <v>53</v>
      </c>
      <c r="E70" s="18">
        <v>80</v>
      </c>
      <c r="F70" s="22">
        <f t="shared" si="10"/>
        <v>82.759749999999997</v>
      </c>
      <c r="G70" s="19">
        <v>6620.78</v>
      </c>
      <c r="H70" s="23">
        <v>80</v>
      </c>
      <c r="I70" s="85">
        <f t="shared" si="9"/>
        <v>80</v>
      </c>
      <c r="J70" s="86">
        <f t="shared" si="11"/>
        <v>6620.78</v>
      </c>
      <c r="K70" s="15">
        <f t="shared" si="7"/>
        <v>0</v>
      </c>
      <c r="L70" s="78">
        <f t="shared" si="8"/>
        <v>0</v>
      </c>
    </row>
    <row r="71" spans="1:12" x14ac:dyDescent="0.2">
      <c r="A71" s="20" t="s">
        <v>335</v>
      </c>
      <c r="B71" s="14"/>
      <c r="C71" s="60"/>
      <c r="D71" s="14"/>
      <c r="E71" s="14"/>
      <c r="F71" s="22"/>
      <c r="G71" s="19"/>
      <c r="H71" s="15"/>
      <c r="I71" s="85">
        <f t="shared" si="9"/>
        <v>0</v>
      </c>
      <c r="J71" s="86">
        <f t="shared" si="11"/>
        <v>0</v>
      </c>
      <c r="K71" s="15">
        <f t="shared" si="7"/>
        <v>0</v>
      </c>
      <c r="L71" s="78">
        <f t="shared" si="8"/>
        <v>0</v>
      </c>
    </row>
    <row r="72" spans="1:12" ht="33.75" x14ac:dyDescent="0.2">
      <c r="A72" s="16" t="s">
        <v>73</v>
      </c>
      <c r="B72" s="17" t="s">
        <v>336</v>
      </c>
      <c r="C72" s="61" t="s">
        <v>337</v>
      </c>
      <c r="D72" s="16" t="s">
        <v>55</v>
      </c>
      <c r="E72" s="18">
        <v>9.01E-2</v>
      </c>
      <c r="F72" s="22">
        <f t="shared" si="10"/>
        <v>180330.18867924527</v>
      </c>
      <c r="G72" s="19">
        <v>16247.75</v>
      </c>
      <c r="H72" s="23">
        <f>E72</f>
        <v>9.01E-2</v>
      </c>
      <c r="I72" s="85">
        <f t="shared" si="9"/>
        <v>9.01E-2</v>
      </c>
      <c r="J72" s="86">
        <f t="shared" si="11"/>
        <v>16247.749999999998</v>
      </c>
      <c r="K72" s="15">
        <f t="shared" si="7"/>
        <v>0</v>
      </c>
      <c r="L72" s="78">
        <f t="shared" si="8"/>
        <v>0</v>
      </c>
    </row>
    <row r="73" spans="1:12" s="54" customFormat="1" x14ac:dyDescent="0.2">
      <c r="A73" s="47" t="s">
        <v>74</v>
      </c>
      <c r="B73" s="48" t="s">
        <v>338</v>
      </c>
      <c r="C73" s="62" t="s">
        <v>339</v>
      </c>
      <c r="D73" s="47" t="s">
        <v>47</v>
      </c>
      <c r="E73" s="49">
        <v>-3.6039999999999998E-4</v>
      </c>
      <c r="F73" s="50">
        <f t="shared" si="10"/>
        <v>69062.153163152063</v>
      </c>
      <c r="G73" s="51">
        <v>-24.89</v>
      </c>
      <c r="H73" s="52">
        <f t="shared" ref="H73:H74" si="12">E73</f>
        <v>-3.6039999999999998E-4</v>
      </c>
      <c r="I73" s="88">
        <f t="shared" si="9"/>
        <v>-3.6039999999999998E-4</v>
      </c>
      <c r="J73" s="89">
        <f t="shared" si="11"/>
        <v>-24.89</v>
      </c>
      <c r="K73" s="53">
        <f t="shared" si="7"/>
        <v>0</v>
      </c>
      <c r="L73" s="79">
        <f t="shared" si="8"/>
        <v>0</v>
      </c>
    </row>
    <row r="74" spans="1:12" s="54" customFormat="1" ht="33.75" x14ac:dyDescent="0.2">
      <c r="A74" s="47" t="s">
        <v>75</v>
      </c>
      <c r="B74" s="48" t="s">
        <v>340</v>
      </c>
      <c r="C74" s="62" t="s">
        <v>341</v>
      </c>
      <c r="D74" s="47" t="s">
        <v>53</v>
      </c>
      <c r="E74" s="49">
        <v>150</v>
      </c>
      <c r="F74" s="50">
        <f t="shared" si="10"/>
        <v>19.817933333333333</v>
      </c>
      <c r="G74" s="51">
        <v>2972.69</v>
      </c>
      <c r="H74" s="23">
        <f t="shared" si="12"/>
        <v>150</v>
      </c>
      <c r="I74" s="88">
        <f t="shared" si="9"/>
        <v>150</v>
      </c>
      <c r="J74" s="89">
        <f t="shared" si="11"/>
        <v>2972.69</v>
      </c>
      <c r="K74" s="53">
        <f t="shared" si="7"/>
        <v>0</v>
      </c>
      <c r="L74" s="79">
        <f t="shared" si="8"/>
        <v>0</v>
      </c>
    </row>
    <row r="75" spans="1:12" s="31" customFormat="1" x14ac:dyDescent="0.2">
      <c r="A75" s="32" t="s">
        <v>342</v>
      </c>
      <c r="B75" s="33"/>
      <c r="C75" s="63"/>
      <c r="D75" s="33"/>
      <c r="E75" s="33"/>
      <c r="F75" s="28"/>
      <c r="G75" s="29"/>
      <c r="H75" s="30"/>
      <c r="I75" s="90"/>
      <c r="J75" s="91">
        <f t="shared" si="11"/>
        <v>0</v>
      </c>
      <c r="K75" s="30">
        <f t="shared" si="7"/>
        <v>0</v>
      </c>
      <c r="L75" s="29">
        <f t="shared" si="8"/>
        <v>0</v>
      </c>
    </row>
    <row r="76" spans="1:12" s="31" customFormat="1" ht="22.5" x14ac:dyDescent="0.2">
      <c r="A76" s="25" t="s">
        <v>76</v>
      </c>
      <c r="B76" s="26" t="s">
        <v>343</v>
      </c>
      <c r="C76" s="64" t="s">
        <v>344</v>
      </c>
      <c r="D76" s="25" t="s">
        <v>17</v>
      </c>
      <c r="E76" s="27">
        <v>0.06</v>
      </c>
      <c r="F76" s="28">
        <f t="shared" si="10"/>
        <v>15546.833333333332</v>
      </c>
      <c r="G76" s="29">
        <v>932.81</v>
      </c>
      <c r="H76" s="30"/>
      <c r="I76" s="90"/>
      <c r="J76" s="91">
        <f t="shared" si="11"/>
        <v>0</v>
      </c>
      <c r="K76" s="30">
        <f t="shared" si="7"/>
        <v>0.06</v>
      </c>
      <c r="L76" s="29">
        <f t="shared" si="8"/>
        <v>932.81</v>
      </c>
    </row>
    <row r="77" spans="1:12" s="31" customFormat="1" x14ac:dyDescent="0.2">
      <c r="A77" s="25" t="s">
        <v>79</v>
      </c>
      <c r="B77" s="26" t="s">
        <v>345</v>
      </c>
      <c r="C77" s="64" t="s">
        <v>346</v>
      </c>
      <c r="D77" s="25" t="s">
        <v>17</v>
      </c>
      <c r="E77" s="27">
        <v>0.06</v>
      </c>
      <c r="F77" s="28">
        <f t="shared" si="10"/>
        <v>1632</v>
      </c>
      <c r="G77" s="29">
        <v>97.92</v>
      </c>
      <c r="H77" s="30"/>
      <c r="I77" s="90"/>
      <c r="J77" s="91">
        <f t="shared" si="11"/>
        <v>0</v>
      </c>
      <c r="K77" s="30">
        <f t="shared" si="7"/>
        <v>0.06</v>
      </c>
      <c r="L77" s="29">
        <f t="shared" si="8"/>
        <v>97.92</v>
      </c>
    </row>
    <row r="78" spans="1:12" s="31" customFormat="1" x14ac:dyDescent="0.2">
      <c r="A78" s="25" t="s">
        <v>80</v>
      </c>
      <c r="B78" s="26" t="s">
        <v>347</v>
      </c>
      <c r="C78" s="64" t="s">
        <v>348</v>
      </c>
      <c r="D78" s="25" t="s">
        <v>3</v>
      </c>
      <c r="E78" s="27">
        <v>0.192</v>
      </c>
      <c r="F78" s="28">
        <f t="shared" si="10"/>
        <v>36587.447916666664</v>
      </c>
      <c r="G78" s="29">
        <v>7024.79</v>
      </c>
      <c r="H78" s="30"/>
      <c r="I78" s="90"/>
      <c r="J78" s="91">
        <f t="shared" si="11"/>
        <v>0</v>
      </c>
      <c r="K78" s="30">
        <f t="shared" si="7"/>
        <v>0.192</v>
      </c>
      <c r="L78" s="29">
        <f t="shared" si="8"/>
        <v>7024.79</v>
      </c>
    </row>
    <row r="79" spans="1:12" s="31" customFormat="1" ht="33.75" x14ac:dyDescent="0.2">
      <c r="A79" s="25" t="s">
        <v>81</v>
      </c>
      <c r="B79" s="26" t="s">
        <v>349</v>
      </c>
      <c r="C79" s="64" t="s">
        <v>350</v>
      </c>
      <c r="D79" s="25" t="s">
        <v>47</v>
      </c>
      <c r="E79" s="27">
        <v>-1.44E-2</v>
      </c>
      <c r="F79" s="28">
        <f t="shared" si="10"/>
        <v>80211.805555555547</v>
      </c>
      <c r="G79" s="29">
        <v>-1155.05</v>
      </c>
      <c r="H79" s="30"/>
      <c r="I79" s="90"/>
      <c r="J79" s="91">
        <f t="shared" si="11"/>
        <v>0</v>
      </c>
      <c r="K79" s="30">
        <f t="shared" si="7"/>
        <v>-1.44E-2</v>
      </c>
      <c r="L79" s="29">
        <f t="shared" si="8"/>
        <v>-1155.05</v>
      </c>
    </row>
    <row r="80" spans="1:12" s="31" customFormat="1" ht="56.25" x14ac:dyDescent="0.2">
      <c r="A80" s="25" t="s">
        <v>82</v>
      </c>
      <c r="B80" s="26" t="s">
        <v>351</v>
      </c>
      <c r="C80" s="64" t="s">
        <v>352</v>
      </c>
      <c r="D80" s="25" t="s">
        <v>61</v>
      </c>
      <c r="E80" s="27">
        <v>4.3600000000000003</v>
      </c>
      <c r="F80" s="28">
        <f t="shared" si="10"/>
        <v>201.47247706422016</v>
      </c>
      <c r="G80" s="29">
        <v>878.42</v>
      </c>
      <c r="H80" s="30"/>
      <c r="I80" s="90"/>
      <c r="J80" s="91">
        <f t="shared" si="11"/>
        <v>0</v>
      </c>
      <c r="K80" s="30">
        <f t="shared" si="7"/>
        <v>4.3600000000000003</v>
      </c>
      <c r="L80" s="29">
        <f t="shared" si="8"/>
        <v>878.42</v>
      </c>
    </row>
    <row r="81" spans="1:12" s="31" customFormat="1" ht="33.75" x14ac:dyDescent="0.2">
      <c r="A81" s="25" t="s">
        <v>83</v>
      </c>
      <c r="B81" s="26" t="s">
        <v>353</v>
      </c>
      <c r="C81" s="64" t="s">
        <v>354</v>
      </c>
      <c r="D81" s="25" t="s">
        <v>55</v>
      </c>
      <c r="E81" s="27">
        <v>9.7199999999999995E-2</v>
      </c>
      <c r="F81" s="28">
        <f t="shared" si="10"/>
        <v>115370.37037037038</v>
      </c>
      <c r="G81" s="29">
        <v>11214</v>
      </c>
      <c r="H81" s="30"/>
      <c r="I81" s="90"/>
      <c r="J81" s="91">
        <f t="shared" si="11"/>
        <v>0</v>
      </c>
      <c r="K81" s="30">
        <f t="shared" si="7"/>
        <v>9.7199999999999995E-2</v>
      </c>
      <c r="L81" s="29">
        <f t="shared" si="8"/>
        <v>11214</v>
      </c>
    </row>
    <row r="82" spans="1:12" s="31" customFormat="1" ht="22.5" x14ac:dyDescent="0.2">
      <c r="A82" s="25" t="s">
        <v>84</v>
      </c>
      <c r="B82" s="26" t="s">
        <v>355</v>
      </c>
      <c r="C82" s="64" t="s">
        <v>356</v>
      </c>
      <c r="D82" s="25" t="s">
        <v>55</v>
      </c>
      <c r="E82" s="27">
        <v>9.7199999999999995E-2</v>
      </c>
      <c r="F82" s="28">
        <f t="shared" si="10"/>
        <v>14759.156378600823</v>
      </c>
      <c r="G82" s="29">
        <v>1434.59</v>
      </c>
      <c r="H82" s="30"/>
      <c r="I82" s="90"/>
      <c r="J82" s="91">
        <f t="shared" si="11"/>
        <v>0</v>
      </c>
      <c r="K82" s="30">
        <f t="shared" si="7"/>
        <v>9.7199999999999995E-2</v>
      </c>
      <c r="L82" s="29">
        <f t="shared" si="8"/>
        <v>1434.59</v>
      </c>
    </row>
    <row r="83" spans="1:12" s="31" customFormat="1" ht="22.5" x14ac:dyDescent="0.2">
      <c r="A83" s="25" t="s">
        <v>85</v>
      </c>
      <c r="B83" s="26" t="s">
        <v>357</v>
      </c>
      <c r="C83" s="64" t="s">
        <v>358</v>
      </c>
      <c r="D83" s="25" t="s">
        <v>47</v>
      </c>
      <c r="E83" s="27">
        <v>6.3E-3</v>
      </c>
      <c r="F83" s="28">
        <f t="shared" si="10"/>
        <v>126323.80952380953</v>
      </c>
      <c r="G83" s="29">
        <v>795.84</v>
      </c>
      <c r="H83" s="30"/>
      <c r="I83" s="90"/>
      <c r="J83" s="91">
        <f t="shared" si="11"/>
        <v>0</v>
      </c>
      <c r="K83" s="30">
        <f t="shared" si="7"/>
        <v>6.3E-3</v>
      </c>
      <c r="L83" s="29">
        <f t="shared" si="8"/>
        <v>795.84</v>
      </c>
    </row>
    <row r="84" spans="1:12" s="31" customFormat="1" x14ac:dyDescent="0.2">
      <c r="A84" s="32" t="s">
        <v>359</v>
      </c>
      <c r="B84" s="33"/>
      <c r="C84" s="63"/>
      <c r="D84" s="33"/>
      <c r="E84" s="33"/>
      <c r="F84" s="28"/>
      <c r="G84" s="29"/>
      <c r="H84" s="30"/>
      <c r="I84" s="90"/>
      <c r="J84" s="91">
        <f t="shared" si="11"/>
        <v>0</v>
      </c>
      <c r="K84" s="30">
        <f t="shared" si="7"/>
        <v>0</v>
      </c>
      <c r="L84" s="29">
        <f t="shared" si="8"/>
        <v>0</v>
      </c>
    </row>
    <row r="85" spans="1:12" s="31" customFormat="1" x14ac:dyDescent="0.2">
      <c r="A85" s="25" t="s">
        <v>87</v>
      </c>
      <c r="B85" s="26" t="s">
        <v>360</v>
      </c>
      <c r="C85" s="64" t="s">
        <v>361</v>
      </c>
      <c r="D85" s="25" t="s">
        <v>324</v>
      </c>
      <c r="E85" s="27">
        <v>1.1000000000000001</v>
      </c>
      <c r="F85" s="28">
        <f t="shared" si="10"/>
        <v>9196.1999999999989</v>
      </c>
      <c r="G85" s="29">
        <v>10115.82</v>
      </c>
      <c r="H85" s="30"/>
      <c r="I85" s="90"/>
      <c r="J85" s="91">
        <f t="shared" si="11"/>
        <v>0</v>
      </c>
      <c r="K85" s="30">
        <f t="shared" si="7"/>
        <v>1.1000000000000001</v>
      </c>
      <c r="L85" s="29">
        <f t="shared" si="8"/>
        <v>10115.82</v>
      </c>
    </row>
    <row r="86" spans="1:12" s="31" customFormat="1" ht="22.5" x14ac:dyDescent="0.2">
      <c r="A86" s="25" t="s">
        <v>88</v>
      </c>
      <c r="B86" s="26" t="s">
        <v>362</v>
      </c>
      <c r="C86" s="64" t="s">
        <v>363</v>
      </c>
      <c r="D86" s="25" t="s">
        <v>17</v>
      </c>
      <c r="E86" s="27">
        <v>1.1000000000000001</v>
      </c>
      <c r="F86" s="28">
        <f t="shared" si="10"/>
        <v>6451.3727272727274</v>
      </c>
      <c r="G86" s="29">
        <v>7096.51</v>
      </c>
      <c r="H86" s="30"/>
      <c r="I86" s="90"/>
      <c r="J86" s="91">
        <f t="shared" si="11"/>
        <v>0</v>
      </c>
      <c r="K86" s="30">
        <f t="shared" si="7"/>
        <v>1.1000000000000001</v>
      </c>
      <c r="L86" s="29">
        <f t="shared" si="8"/>
        <v>7096.51</v>
      </c>
    </row>
    <row r="87" spans="1:12" s="31" customFormat="1" ht="33.75" x14ac:dyDescent="0.2">
      <c r="A87" s="25" t="s">
        <v>89</v>
      </c>
      <c r="B87" s="26" t="s">
        <v>353</v>
      </c>
      <c r="C87" s="64" t="s">
        <v>354</v>
      </c>
      <c r="D87" s="25" t="s">
        <v>55</v>
      </c>
      <c r="E87" s="27">
        <v>0.09</v>
      </c>
      <c r="F87" s="28">
        <f t="shared" si="10"/>
        <v>115364.55555555555</v>
      </c>
      <c r="G87" s="29">
        <v>10382.81</v>
      </c>
      <c r="H87" s="30"/>
      <c r="I87" s="90"/>
      <c r="J87" s="91">
        <f t="shared" si="11"/>
        <v>0</v>
      </c>
      <c r="K87" s="30">
        <f t="shared" si="7"/>
        <v>0.09</v>
      </c>
      <c r="L87" s="29">
        <f t="shared" si="8"/>
        <v>10382.81</v>
      </c>
    </row>
    <row r="88" spans="1:12" s="31" customFormat="1" ht="22.5" x14ac:dyDescent="0.2">
      <c r="A88" s="25" t="s">
        <v>90</v>
      </c>
      <c r="B88" s="26" t="s">
        <v>364</v>
      </c>
      <c r="C88" s="64" t="s">
        <v>365</v>
      </c>
      <c r="D88" s="25" t="s">
        <v>55</v>
      </c>
      <c r="E88" s="27">
        <v>0.09</v>
      </c>
      <c r="F88" s="28">
        <f t="shared" si="10"/>
        <v>52725.222222222226</v>
      </c>
      <c r="G88" s="29">
        <v>4745.2700000000004</v>
      </c>
      <c r="H88" s="30"/>
      <c r="I88" s="90"/>
      <c r="J88" s="91">
        <f t="shared" si="11"/>
        <v>0</v>
      </c>
      <c r="K88" s="30">
        <f t="shared" si="7"/>
        <v>0.09</v>
      </c>
      <c r="L88" s="29">
        <f t="shared" si="8"/>
        <v>4745.2700000000004</v>
      </c>
    </row>
    <row r="89" spans="1:12" s="31" customFormat="1" x14ac:dyDescent="0.2">
      <c r="A89" s="25" t="s">
        <v>91</v>
      </c>
      <c r="B89" s="26" t="s">
        <v>366</v>
      </c>
      <c r="C89" s="64" t="s">
        <v>367</v>
      </c>
      <c r="D89" s="25" t="s">
        <v>47</v>
      </c>
      <c r="E89" s="27">
        <v>5.6699999999999997E-3</v>
      </c>
      <c r="F89" s="28">
        <f t="shared" si="10"/>
        <v>40957.671957671955</v>
      </c>
      <c r="G89" s="29">
        <v>232.23</v>
      </c>
      <c r="H89" s="30"/>
      <c r="I89" s="90"/>
      <c r="J89" s="91">
        <f t="shared" si="11"/>
        <v>0</v>
      </c>
      <c r="K89" s="30">
        <f t="shared" ref="K89:K152" si="13">E89-H89</f>
        <v>5.6699999999999997E-3</v>
      </c>
      <c r="L89" s="29">
        <f t="shared" ref="L89:L152" si="14">G89-J89</f>
        <v>232.23</v>
      </c>
    </row>
    <row r="90" spans="1:12" x14ac:dyDescent="0.2">
      <c r="A90" s="20" t="s">
        <v>368</v>
      </c>
      <c r="B90" s="14"/>
      <c r="C90" s="60"/>
      <c r="D90" s="14"/>
      <c r="E90" s="14"/>
      <c r="F90" s="22"/>
      <c r="G90" s="19"/>
      <c r="H90" s="15"/>
      <c r="I90" s="85"/>
      <c r="J90" s="86">
        <f t="shared" si="11"/>
        <v>0</v>
      </c>
      <c r="K90" s="15">
        <f t="shared" si="13"/>
        <v>0</v>
      </c>
      <c r="L90" s="19">
        <f t="shared" si="14"/>
        <v>0</v>
      </c>
    </row>
    <row r="91" spans="1:12" x14ac:dyDescent="0.2">
      <c r="A91" s="16" t="s">
        <v>92</v>
      </c>
      <c r="B91" s="17" t="s">
        <v>369</v>
      </c>
      <c r="C91" s="61" t="s">
        <v>370</v>
      </c>
      <c r="D91" s="16" t="s">
        <v>55</v>
      </c>
      <c r="E91" s="18">
        <v>0.53800000000000003</v>
      </c>
      <c r="F91" s="22">
        <f t="shared" si="10"/>
        <v>11653.513011152416</v>
      </c>
      <c r="G91" s="19">
        <v>6269.59</v>
      </c>
      <c r="H91" s="69">
        <f>(2.45*21.51)/100</f>
        <v>0.5269950000000001</v>
      </c>
      <c r="I91" s="85">
        <v>0.52700000000000002</v>
      </c>
      <c r="J91" s="86">
        <f t="shared" si="11"/>
        <v>6141.4013568773235</v>
      </c>
      <c r="K91" s="15">
        <f t="shared" si="13"/>
        <v>1.1004999999999932E-2</v>
      </c>
      <c r="L91" s="19">
        <f t="shared" si="14"/>
        <v>128.18864312267669</v>
      </c>
    </row>
    <row r="92" spans="1:12" s="54" customFormat="1" x14ac:dyDescent="0.2">
      <c r="A92" s="47" t="s">
        <v>93</v>
      </c>
      <c r="B92" s="48" t="s">
        <v>371</v>
      </c>
      <c r="C92" s="62" t="s">
        <v>151</v>
      </c>
      <c r="D92" s="47" t="s">
        <v>17</v>
      </c>
      <c r="E92" s="49">
        <v>2.7437999999999998</v>
      </c>
      <c r="F92" s="50">
        <f t="shared" si="10"/>
        <v>2685.5601720242003</v>
      </c>
      <c r="G92" s="51">
        <v>7368.64</v>
      </c>
      <c r="H92" s="67">
        <f>E92*H91/E91</f>
        <v>2.6876745000000004</v>
      </c>
      <c r="I92" s="88">
        <f t="shared" ref="I92:I127" si="15">H92</f>
        <v>2.6876745000000004</v>
      </c>
      <c r="J92" s="89">
        <f t="shared" si="11"/>
        <v>7217.9115925650576</v>
      </c>
      <c r="K92" s="53">
        <f t="shared" si="13"/>
        <v>5.6125499999999384E-2</v>
      </c>
      <c r="L92" s="51">
        <f t="shared" si="14"/>
        <v>150.72840743494271</v>
      </c>
    </row>
    <row r="93" spans="1:12" x14ac:dyDescent="0.2">
      <c r="A93" s="16" t="s">
        <v>94</v>
      </c>
      <c r="B93" s="17" t="s">
        <v>132</v>
      </c>
      <c r="C93" s="61" t="s">
        <v>133</v>
      </c>
      <c r="D93" s="16" t="s">
        <v>5</v>
      </c>
      <c r="E93" s="18">
        <v>2.7E-2</v>
      </c>
      <c r="F93" s="22">
        <f t="shared" si="10"/>
        <v>217708.88888888891</v>
      </c>
      <c r="G93" s="19">
        <v>5878.14</v>
      </c>
      <c r="H93" s="66">
        <f>(2.45*21.51*0.05)/100</f>
        <v>2.6349750000000009E-2</v>
      </c>
      <c r="I93" s="92">
        <f t="shared" si="15"/>
        <v>2.6349750000000009E-2</v>
      </c>
      <c r="J93" s="86">
        <f t="shared" si="11"/>
        <v>5736.5747950000023</v>
      </c>
      <c r="K93" s="15">
        <f t="shared" si="13"/>
        <v>6.5024999999999111E-4</v>
      </c>
      <c r="L93" s="19">
        <f t="shared" si="14"/>
        <v>141.56520499999806</v>
      </c>
    </row>
    <row r="94" spans="1:12" x14ac:dyDescent="0.2">
      <c r="A94" s="16" t="s">
        <v>95</v>
      </c>
      <c r="B94" s="17" t="s">
        <v>134</v>
      </c>
      <c r="C94" s="61" t="s">
        <v>135</v>
      </c>
      <c r="D94" s="16" t="s">
        <v>17</v>
      </c>
      <c r="E94" s="18">
        <v>2.754</v>
      </c>
      <c r="F94" s="22">
        <f t="shared" si="10"/>
        <v>4569.6005809731305</v>
      </c>
      <c r="G94" s="19">
        <v>12584.68</v>
      </c>
      <c r="H94" s="68">
        <f>H93*1.02*100</f>
        <v>2.6876745000000013</v>
      </c>
      <c r="I94" s="93">
        <v>2.7</v>
      </c>
      <c r="J94" s="86">
        <f t="shared" si="11"/>
        <v>12337.921568627453</v>
      </c>
      <c r="K94" s="15">
        <f t="shared" si="13"/>
        <v>6.6325499999998705E-2</v>
      </c>
      <c r="L94" s="19">
        <f t="shared" si="14"/>
        <v>246.75843137254742</v>
      </c>
    </row>
    <row r="95" spans="1:12" x14ac:dyDescent="0.2">
      <c r="A95" s="16" t="s">
        <v>96</v>
      </c>
      <c r="B95" s="17" t="s">
        <v>372</v>
      </c>
      <c r="C95" s="61" t="s">
        <v>373</v>
      </c>
      <c r="D95" s="16" t="s">
        <v>55</v>
      </c>
      <c r="E95" s="18">
        <v>0.53800000000000003</v>
      </c>
      <c r="F95" s="22">
        <f t="shared" si="10"/>
        <v>82694.702602230478</v>
      </c>
      <c r="G95" s="19">
        <v>44489.75</v>
      </c>
      <c r="H95" s="69">
        <f>H91</f>
        <v>0.5269950000000001</v>
      </c>
      <c r="I95" s="85">
        <f t="shared" si="15"/>
        <v>0.5269950000000001</v>
      </c>
      <c r="J95" s="86">
        <f t="shared" si="11"/>
        <v>43579.694797862459</v>
      </c>
      <c r="K95" s="15">
        <f t="shared" si="13"/>
        <v>1.1004999999999932E-2</v>
      </c>
      <c r="L95" s="19">
        <f t="shared" si="14"/>
        <v>910.05520213754062</v>
      </c>
    </row>
    <row r="96" spans="1:12" s="54" customFormat="1" ht="22.5" x14ac:dyDescent="0.2">
      <c r="A96" s="47" t="s">
        <v>99</v>
      </c>
      <c r="B96" s="48" t="s">
        <v>374</v>
      </c>
      <c r="C96" s="62" t="s">
        <v>375</v>
      </c>
      <c r="D96" s="47" t="s">
        <v>17</v>
      </c>
      <c r="E96" s="49">
        <v>12.4</v>
      </c>
      <c r="F96" s="50">
        <f t="shared" si="10"/>
        <v>5712</v>
      </c>
      <c r="G96" s="51">
        <v>70828.800000000003</v>
      </c>
      <c r="H96" s="70">
        <f>H95*0.23*100</f>
        <v>12.120885000000003</v>
      </c>
      <c r="I96" s="88">
        <v>12.1</v>
      </c>
      <c r="J96" s="89">
        <f t="shared" si="11"/>
        <v>69115.199999999997</v>
      </c>
      <c r="K96" s="53">
        <f t="shared" si="13"/>
        <v>0.27911499999999734</v>
      </c>
      <c r="L96" s="51">
        <f t="shared" si="14"/>
        <v>1713.6000000000058</v>
      </c>
    </row>
    <row r="97" spans="1:12" x14ac:dyDescent="0.2">
      <c r="A97" s="16" t="s">
        <v>100</v>
      </c>
      <c r="B97" s="17" t="s">
        <v>376</v>
      </c>
      <c r="C97" s="61" t="s">
        <v>377</v>
      </c>
      <c r="D97" s="16" t="s">
        <v>47</v>
      </c>
      <c r="E97" s="18">
        <v>0.68</v>
      </c>
      <c r="F97" s="22">
        <f t="shared" si="10"/>
        <v>18625.985294117647</v>
      </c>
      <c r="G97" s="19">
        <v>12665.67</v>
      </c>
      <c r="H97" s="23">
        <v>0.68</v>
      </c>
      <c r="I97" s="85">
        <f t="shared" si="15"/>
        <v>0.68</v>
      </c>
      <c r="J97" s="86">
        <f t="shared" si="11"/>
        <v>12665.67</v>
      </c>
      <c r="K97" s="15">
        <f t="shared" si="13"/>
        <v>0</v>
      </c>
      <c r="L97" s="19">
        <f t="shared" si="14"/>
        <v>0</v>
      </c>
    </row>
    <row r="98" spans="1:12" s="54" customFormat="1" ht="22.5" x14ac:dyDescent="0.2">
      <c r="A98" s="47" t="s">
        <v>101</v>
      </c>
      <c r="B98" s="48" t="s">
        <v>378</v>
      </c>
      <c r="C98" s="62" t="s">
        <v>379</v>
      </c>
      <c r="D98" s="47" t="s">
        <v>47</v>
      </c>
      <c r="E98" s="49">
        <v>0.68</v>
      </c>
      <c r="F98" s="50">
        <f t="shared" si="10"/>
        <v>55229.76470588235</v>
      </c>
      <c r="G98" s="51">
        <v>37556.239999999998</v>
      </c>
      <c r="H98" s="52">
        <v>0.68</v>
      </c>
      <c r="I98" s="88">
        <f t="shared" si="15"/>
        <v>0.68</v>
      </c>
      <c r="J98" s="89">
        <f t="shared" si="11"/>
        <v>37556.239999999998</v>
      </c>
      <c r="K98" s="53">
        <f t="shared" si="13"/>
        <v>0</v>
      </c>
      <c r="L98" s="51">
        <f t="shared" si="14"/>
        <v>0</v>
      </c>
    </row>
    <row r="99" spans="1:12" x14ac:dyDescent="0.2">
      <c r="A99" s="20" t="s">
        <v>380</v>
      </c>
      <c r="B99" s="14"/>
      <c r="C99" s="60"/>
      <c r="D99" s="14"/>
      <c r="E99" s="14"/>
      <c r="F99" s="22"/>
      <c r="G99" s="19"/>
      <c r="H99" s="23"/>
      <c r="I99" s="85">
        <f t="shared" si="15"/>
        <v>0</v>
      </c>
      <c r="J99" s="86">
        <f t="shared" si="11"/>
        <v>0</v>
      </c>
      <c r="K99" s="15">
        <f t="shared" si="13"/>
        <v>0</v>
      </c>
      <c r="L99" s="19">
        <f t="shared" si="14"/>
        <v>0</v>
      </c>
    </row>
    <row r="100" spans="1:12" ht="22.5" x14ac:dyDescent="0.2">
      <c r="A100" s="16" t="s">
        <v>102</v>
      </c>
      <c r="B100" s="17" t="s">
        <v>147</v>
      </c>
      <c r="C100" s="61" t="s">
        <v>148</v>
      </c>
      <c r="D100" s="16" t="s">
        <v>5</v>
      </c>
      <c r="E100" s="18">
        <v>6.4500000000000002E-2</v>
      </c>
      <c r="F100" s="22">
        <f t="shared" si="10"/>
        <v>21447.751937984496</v>
      </c>
      <c r="G100" s="19">
        <v>1383.38</v>
      </c>
      <c r="H100" s="23">
        <v>0</v>
      </c>
      <c r="I100" s="85">
        <v>0</v>
      </c>
      <c r="J100" s="86">
        <f t="shared" si="11"/>
        <v>0</v>
      </c>
      <c r="K100" s="15">
        <f t="shared" si="13"/>
        <v>6.4500000000000002E-2</v>
      </c>
      <c r="L100" s="19">
        <f t="shared" si="14"/>
        <v>1383.38</v>
      </c>
    </row>
    <row r="101" spans="1:12" ht="22.5" x14ac:dyDescent="0.2">
      <c r="A101" s="16" t="s">
        <v>104</v>
      </c>
      <c r="B101" s="17" t="s">
        <v>381</v>
      </c>
      <c r="C101" s="61" t="s">
        <v>382</v>
      </c>
      <c r="D101" s="16" t="s">
        <v>55</v>
      </c>
      <c r="E101" s="18">
        <v>0.1721</v>
      </c>
      <c r="F101" s="22">
        <f t="shared" si="10"/>
        <v>39233.468913422425</v>
      </c>
      <c r="G101" s="19">
        <v>6752.08</v>
      </c>
      <c r="H101" s="66">
        <f>21.51*0.8/100</f>
        <v>0.17208000000000001</v>
      </c>
      <c r="I101" s="85">
        <v>0.1721</v>
      </c>
      <c r="J101" s="86">
        <f t="shared" si="11"/>
        <v>6752.079999999999</v>
      </c>
      <c r="K101" s="15">
        <f t="shared" si="13"/>
        <v>1.9999999999992246E-5</v>
      </c>
      <c r="L101" s="19">
        <f t="shared" si="14"/>
        <v>0</v>
      </c>
    </row>
    <row r="102" spans="1:12" s="54" customFormat="1" ht="22.5" x14ac:dyDescent="0.2">
      <c r="A102" s="47" t="s">
        <v>107</v>
      </c>
      <c r="B102" s="48" t="s">
        <v>383</v>
      </c>
      <c r="C102" s="62" t="s">
        <v>384</v>
      </c>
      <c r="D102" s="47" t="s">
        <v>17</v>
      </c>
      <c r="E102" s="49">
        <v>0.86</v>
      </c>
      <c r="F102" s="50">
        <f t="shared" si="10"/>
        <v>12613.837209302324</v>
      </c>
      <c r="G102" s="51">
        <v>10847.9</v>
      </c>
      <c r="H102" s="52">
        <f>E102</f>
        <v>0.86</v>
      </c>
      <c r="I102" s="88">
        <f>E102</f>
        <v>0.86</v>
      </c>
      <c r="J102" s="89">
        <f t="shared" si="11"/>
        <v>10847.9</v>
      </c>
      <c r="K102" s="15">
        <f t="shared" si="13"/>
        <v>0</v>
      </c>
      <c r="L102" s="51">
        <f t="shared" si="14"/>
        <v>0</v>
      </c>
    </row>
    <row r="103" spans="1:12" x14ac:dyDescent="0.2">
      <c r="A103" s="20" t="s">
        <v>385</v>
      </c>
      <c r="B103" s="14"/>
      <c r="C103" s="60"/>
      <c r="D103" s="14"/>
      <c r="E103" s="14"/>
      <c r="F103" s="22"/>
      <c r="G103" s="19"/>
      <c r="H103" s="15"/>
      <c r="I103" s="85">
        <f t="shared" si="15"/>
        <v>0</v>
      </c>
      <c r="J103" s="86">
        <f t="shared" si="11"/>
        <v>0</v>
      </c>
      <c r="K103" s="15">
        <f t="shared" si="13"/>
        <v>0</v>
      </c>
      <c r="L103" s="19">
        <f t="shared" si="14"/>
        <v>0</v>
      </c>
    </row>
    <row r="104" spans="1:12" ht="33.75" x14ac:dyDescent="0.2">
      <c r="A104" s="16" t="s">
        <v>110</v>
      </c>
      <c r="B104" s="17" t="s">
        <v>235</v>
      </c>
      <c r="C104" s="61" t="s">
        <v>236</v>
      </c>
      <c r="D104" s="16" t="s">
        <v>3</v>
      </c>
      <c r="E104" s="18">
        <v>4.9500000000000002E-2</v>
      </c>
      <c r="F104" s="22">
        <f t="shared" si="10"/>
        <v>12192.525252525251</v>
      </c>
      <c r="G104" s="19">
        <v>603.53</v>
      </c>
      <c r="H104" s="66">
        <f>E104</f>
        <v>4.9500000000000002E-2</v>
      </c>
      <c r="I104" s="85">
        <f t="shared" si="15"/>
        <v>4.9500000000000002E-2</v>
      </c>
      <c r="J104" s="86">
        <f t="shared" si="11"/>
        <v>603.53</v>
      </c>
      <c r="K104" s="15">
        <f t="shared" si="13"/>
        <v>0</v>
      </c>
      <c r="L104" s="19">
        <f t="shared" si="14"/>
        <v>0</v>
      </c>
    </row>
    <row r="105" spans="1:12" s="54" customFormat="1" ht="22.5" x14ac:dyDescent="0.2">
      <c r="A105" s="47" t="s">
        <v>128</v>
      </c>
      <c r="B105" s="48" t="s">
        <v>383</v>
      </c>
      <c r="C105" s="62" t="s">
        <v>384</v>
      </c>
      <c r="D105" s="47" t="s">
        <v>17</v>
      </c>
      <c r="E105" s="49">
        <v>0.15</v>
      </c>
      <c r="F105" s="50">
        <f t="shared" si="10"/>
        <v>12613.733333333334</v>
      </c>
      <c r="G105" s="51">
        <v>1892.06</v>
      </c>
      <c r="H105" s="52">
        <v>0.15</v>
      </c>
      <c r="I105" s="88">
        <f t="shared" si="15"/>
        <v>0.15</v>
      </c>
      <c r="J105" s="89">
        <f t="shared" si="11"/>
        <v>1892.06</v>
      </c>
      <c r="K105" s="53">
        <f t="shared" si="13"/>
        <v>0</v>
      </c>
      <c r="L105" s="51">
        <f t="shared" si="14"/>
        <v>0</v>
      </c>
    </row>
    <row r="106" spans="1:12" s="54" customFormat="1" x14ac:dyDescent="0.2">
      <c r="A106" s="47" t="s">
        <v>155</v>
      </c>
      <c r="B106" s="48" t="s">
        <v>386</v>
      </c>
      <c r="C106" s="62" t="s">
        <v>387</v>
      </c>
      <c r="D106" s="47" t="s">
        <v>388</v>
      </c>
      <c r="E106" s="49">
        <v>20</v>
      </c>
      <c r="F106" s="50">
        <f t="shared" si="10"/>
        <v>697.10900000000004</v>
      </c>
      <c r="G106" s="51">
        <v>13942.18</v>
      </c>
      <c r="H106" s="52">
        <v>20</v>
      </c>
      <c r="I106" s="88">
        <f t="shared" si="15"/>
        <v>20</v>
      </c>
      <c r="J106" s="89">
        <f t="shared" si="11"/>
        <v>13942.18</v>
      </c>
      <c r="K106" s="53">
        <f t="shared" si="13"/>
        <v>0</v>
      </c>
      <c r="L106" s="51">
        <f t="shared" si="14"/>
        <v>0</v>
      </c>
    </row>
    <row r="107" spans="1:12" x14ac:dyDescent="0.2">
      <c r="A107" s="20" t="s">
        <v>389</v>
      </c>
      <c r="B107" s="14"/>
      <c r="C107" s="60"/>
      <c r="D107" s="14"/>
      <c r="E107" s="14"/>
      <c r="F107" s="22"/>
      <c r="G107" s="19"/>
      <c r="H107" s="15"/>
      <c r="I107" s="85">
        <f t="shared" si="15"/>
        <v>0</v>
      </c>
      <c r="J107" s="86">
        <f t="shared" si="11"/>
        <v>0</v>
      </c>
      <c r="K107" s="15">
        <f t="shared" si="13"/>
        <v>0</v>
      </c>
      <c r="L107" s="19">
        <f t="shared" si="14"/>
        <v>0</v>
      </c>
    </row>
    <row r="108" spans="1:12" ht="22.5" x14ac:dyDescent="0.2">
      <c r="A108" s="16" t="s">
        <v>156</v>
      </c>
      <c r="B108" s="17" t="s">
        <v>390</v>
      </c>
      <c r="C108" s="61" t="s">
        <v>391</v>
      </c>
      <c r="D108" s="16" t="s">
        <v>55</v>
      </c>
      <c r="E108" s="18">
        <v>2.9140000000000001</v>
      </c>
      <c r="F108" s="22">
        <f t="shared" si="10"/>
        <v>358257.90322580643</v>
      </c>
      <c r="G108" s="19">
        <v>1043963.53</v>
      </c>
      <c r="H108" s="23">
        <v>2.9140000000000001</v>
      </c>
      <c r="I108" s="85">
        <f t="shared" si="15"/>
        <v>2.9140000000000001</v>
      </c>
      <c r="J108" s="86">
        <f t="shared" si="11"/>
        <v>1043963.53</v>
      </c>
      <c r="K108" s="15">
        <f t="shared" si="13"/>
        <v>0</v>
      </c>
      <c r="L108" s="19">
        <f t="shared" si="14"/>
        <v>0</v>
      </c>
    </row>
    <row r="109" spans="1:12" s="54" customFormat="1" x14ac:dyDescent="0.2">
      <c r="A109" s="47" t="s">
        <v>157</v>
      </c>
      <c r="B109" s="48" t="s">
        <v>392</v>
      </c>
      <c r="C109" s="62" t="s">
        <v>393</v>
      </c>
      <c r="D109" s="47" t="s">
        <v>61</v>
      </c>
      <c r="E109" s="49">
        <v>-36.7164</v>
      </c>
      <c r="F109" s="50">
        <f t="shared" si="10"/>
        <v>73.767308341776427</v>
      </c>
      <c r="G109" s="51">
        <v>-2708.47</v>
      </c>
      <c r="H109" s="52">
        <f>E109</f>
        <v>-36.7164</v>
      </c>
      <c r="I109" s="88">
        <f t="shared" si="15"/>
        <v>-36.7164</v>
      </c>
      <c r="J109" s="89">
        <f t="shared" si="11"/>
        <v>-2708.4700000000003</v>
      </c>
      <c r="K109" s="53">
        <f t="shared" si="13"/>
        <v>0</v>
      </c>
      <c r="L109" s="51">
        <f t="shared" si="14"/>
        <v>0</v>
      </c>
    </row>
    <row r="110" spans="1:12" s="54" customFormat="1" ht="22.5" x14ac:dyDescent="0.2">
      <c r="A110" s="47" t="s">
        <v>158</v>
      </c>
      <c r="B110" s="48" t="s">
        <v>394</v>
      </c>
      <c r="C110" s="62" t="s">
        <v>395</v>
      </c>
      <c r="D110" s="47" t="s">
        <v>47</v>
      </c>
      <c r="E110" s="49">
        <v>6.0479999999999999E-2</v>
      </c>
      <c r="F110" s="50">
        <f t="shared" si="10"/>
        <v>88932.870370370365</v>
      </c>
      <c r="G110" s="51">
        <v>5378.66</v>
      </c>
      <c r="H110" s="52">
        <f>E110</f>
        <v>6.0479999999999999E-2</v>
      </c>
      <c r="I110" s="88">
        <f t="shared" si="15"/>
        <v>6.0479999999999999E-2</v>
      </c>
      <c r="J110" s="89">
        <f t="shared" si="11"/>
        <v>5378.66</v>
      </c>
      <c r="K110" s="53">
        <f t="shared" si="13"/>
        <v>0</v>
      </c>
      <c r="L110" s="51">
        <f t="shared" si="14"/>
        <v>0</v>
      </c>
    </row>
    <row r="111" spans="1:12" ht="33.75" x14ac:dyDescent="0.2">
      <c r="A111" s="16" t="s">
        <v>159</v>
      </c>
      <c r="B111" s="17" t="s">
        <v>396</v>
      </c>
      <c r="C111" s="61" t="s">
        <v>397</v>
      </c>
      <c r="D111" s="16" t="s">
        <v>103</v>
      </c>
      <c r="E111" s="18">
        <v>291.39999999999998</v>
      </c>
      <c r="F111" s="22">
        <f t="shared" si="10"/>
        <v>2420.8801647220316</v>
      </c>
      <c r="G111" s="19">
        <v>705444.48</v>
      </c>
      <c r="H111" s="23">
        <v>291.39999999999998</v>
      </c>
      <c r="I111" s="85">
        <f t="shared" si="15"/>
        <v>291.39999999999998</v>
      </c>
      <c r="J111" s="86">
        <f t="shared" si="11"/>
        <v>705444.48</v>
      </c>
      <c r="K111" s="15">
        <f t="shared" si="13"/>
        <v>0</v>
      </c>
      <c r="L111" s="19">
        <f t="shared" si="14"/>
        <v>0</v>
      </c>
    </row>
    <row r="112" spans="1:12" x14ac:dyDescent="0.2">
      <c r="A112" s="16" t="s">
        <v>160</v>
      </c>
      <c r="B112" s="17" t="s">
        <v>398</v>
      </c>
      <c r="C112" s="61" t="s">
        <v>399</v>
      </c>
      <c r="D112" s="16" t="s">
        <v>53</v>
      </c>
      <c r="E112" s="18">
        <v>100</v>
      </c>
      <c r="F112" s="22">
        <f t="shared" si="10"/>
        <v>56.477799999999995</v>
      </c>
      <c r="G112" s="19">
        <v>5647.78</v>
      </c>
      <c r="H112" s="23">
        <v>100</v>
      </c>
      <c r="I112" s="85">
        <f t="shared" si="15"/>
        <v>100</v>
      </c>
      <c r="J112" s="86">
        <f t="shared" si="11"/>
        <v>5647.78</v>
      </c>
      <c r="K112" s="15">
        <f t="shared" si="13"/>
        <v>0</v>
      </c>
      <c r="L112" s="19">
        <f t="shared" si="14"/>
        <v>0</v>
      </c>
    </row>
    <row r="113" spans="1:12" x14ac:dyDescent="0.2">
      <c r="A113" s="16" t="s">
        <v>161</v>
      </c>
      <c r="B113" s="17" t="s">
        <v>181</v>
      </c>
      <c r="C113" s="61" t="s">
        <v>400</v>
      </c>
      <c r="D113" s="16" t="s">
        <v>182</v>
      </c>
      <c r="E113" s="18">
        <v>37.6</v>
      </c>
      <c r="F113" s="22">
        <f t="shared" si="10"/>
        <v>443.68590425531914</v>
      </c>
      <c r="G113" s="19">
        <v>16682.59</v>
      </c>
      <c r="H113" s="23">
        <v>37.6</v>
      </c>
      <c r="I113" s="85">
        <f t="shared" si="15"/>
        <v>37.6</v>
      </c>
      <c r="J113" s="86">
        <f t="shared" si="11"/>
        <v>16682.59</v>
      </c>
      <c r="K113" s="15">
        <f t="shared" si="13"/>
        <v>0</v>
      </c>
      <c r="L113" s="19">
        <f t="shared" si="14"/>
        <v>0</v>
      </c>
    </row>
    <row r="114" spans="1:12" x14ac:dyDescent="0.2">
      <c r="A114" s="20" t="s">
        <v>401</v>
      </c>
      <c r="B114" s="14"/>
      <c r="C114" s="60"/>
      <c r="D114" s="14"/>
      <c r="E114" s="14"/>
      <c r="F114" s="22"/>
      <c r="G114" s="19"/>
      <c r="H114" s="15"/>
      <c r="I114" s="85">
        <f t="shared" si="15"/>
        <v>0</v>
      </c>
      <c r="J114" s="86">
        <f t="shared" si="11"/>
        <v>0</v>
      </c>
      <c r="K114" s="15">
        <f t="shared" si="13"/>
        <v>0</v>
      </c>
      <c r="L114" s="19">
        <f t="shared" si="14"/>
        <v>0</v>
      </c>
    </row>
    <row r="115" spans="1:12" ht="33.75" x14ac:dyDescent="0.2">
      <c r="A115" s="16" t="s">
        <v>162</v>
      </c>
      <c r="B115" s="17" t="s">
        <v>402</v>
      </c>
      <c r="C115" s="61" t="s">
        <v>403</v>
      </c>
      <c r="D115" s="16" t="s">
        <v>3</v>
      </c>
      <c r="E115" s="18">
        <v>0.26700000000000002</v>
      </c>
      <c r="F115" s="22">
        <f t="shared" si="10"/>
        <v>11209.438202247191</v>
      </c>
      <c r="G115" s="19">
        <v>2992.92</v>
      </c>
      <c r="H115" s="23">
        <v>0.26700000000000002</v>
      </c>
      <c r="I115" s="85">
        <f t="shared" si="15"/>
        <v>0.26700000000000002</v>
      </c>
      <c r="J115" s="86">
        <f t="shared" si="11"/>
        <v>2992.92</v>
      </c>
      <c r="K115" s="15">
        <f t="shared" si="13"/>
        <v>0</v>
      </c>
      <c r="L115" s="19">
        <f t="shared" si="14"/>
        <v>0</v>
      </c>
    </row>
    <row r="116" spans="1:12" s="54" customFormat="1" ht="33.75" x14ac:dyDescent="0.2">
      <c r="A116" s="47" t="s">
        <v>163</v>
      </c>
      <c r="B116" s="48" t="s">
        <v>404</v>
      </c>
      <c r="C116" s="62" t="s">
        <v>405</v>
      </c>
      <c r="D116" s="47" t="s">
        <v>17</v>
      </c>
      <c r="E116" s="49">
        <v>0.21360000000000001</v>
      </c>
      <c r="F116" s="50">
        <f t="shared" si="10"/>
        <v>5858.7078651685397</v>
      </c>
      <c r="G116" s="51">
        <v>1251.42</v>
      </c>
      <c r="H116" s="52">
        <f>E116</f>
        <v>0.21360000000000001</v>
      </c>
      <c r="I116" s="88">
        <f t="shared" si="15"/>
        <v>0.21360000000000001</v>
      </c>
      <c r="J116" s="89">
        <f t="shared" si="11"/>
        <v>1251.42</v>
      </c>
      <c r="K116" s="53">
        <f t="shared" si="13"/>
        <v>0</v>
      </c>
      <c r="L116" s="51">
        <f t="shared" si="14"/>
        <v>0</v>
      </c>
    </row>
    <row r="117" spans="1:12" x14ac:dyDescent="0.2">
      <c r="A117" s="16" t="s">
        <v>164</v>
      </c>
      <c r="B117" s="17" t="s">
        <v>406</v>
      </c>
      <c r="C117" s="61" t="s">
        <v>407</v>
      </c>
      <c r="D117" s="16" t="s">
        <v>3</v>
      </c>
      <c r="E117" s="18">
        <v>0.26700000000000002</v>
      </c>
      <c r="F117" s="22">
        <f t="shared" si="10"/>
        <v>44798.277153558047</v>
      </c>
      <c r="G117" s="19">
        <v>11961.14</v>
      </c>
      <c r="H117" s="23">
        <v>0.26700000000000002</v>
      </c>
      <c r="I117" s="85">
        <f t="shared" si="15"/>
        <v>0.26700000000000002</v>
      </c>
      <c r="J117" s="86">
        <f t="shared" si="11"/>
        <v>11961.14</v>
      </c>
      <c r="K117" s="15">
        <f t="shared" si="13"/>
        <v>0</v>
      </c>
      <c r="L117" s="19">
        <f t="shared" si="14"/>
        <v>0</v>
      </c>
    </row>
    <row r="118" spans="1:12" ht="22.5" x14ac:dyDescent="0.2">
      <c r="A118" s="16" t="s">
        <v>165</v>
      </c>
      <c r="B118" s="17" t="s">
        <v>408</v>
      </c>
      <c r="C118" s="61" t="s">
        <v>409</v>
      </c>
      <c r="D118" s="16" t="s">
        <v>120</v>
      </c>
      <c r="E118" s="18">
        <v>26.7</v>
      </c>
      <c r="F118" s="22">
        <f t="shared" si="10"/>
        <v>526.07565543071155</v>
      </c>
      <c r="G118" s="19">
        <v>14046.22</v>
      </c>
      <c r="H118" s="23">
        <v>26.7</v>
      </c>
      <c r="I118" s="85">
        <f t="shared" si="15"/>
        <v>26.7</v>
      </c>
      <c r="J118" s="86">
        <f t="shared" si="11"/>
        <v>14046.219999999998</v>
      </c>
      <c r="K118" s="15">
        <f t="shared" si="13"/>
        <v>0</v>
      </c>
      <c r="L118" s="19">
        <f t="shared" si="14"/>
        <v>0</v>
      </c>
    </row>
    <row r="119" spans="1:12" ht="22.5" x14ac:dyDescent="0.2">
      <c r="A119" s="16" t="s">
        <v>166</v>
      </c>
      <c r="B119" s="17" t="s">
        <v>333</v>
      </c>
      <c r="C119" s="61" t="s">
        <v>334</v>
      </c>
      <c r="D119" s="16" t="s">
        <v>53</v>
      </c>
      <c r="E119" s="18">
        <v>60</v>
      </c>
      <c r="F119" s="22">
        <f t="shared" si="10"/>
        <v>82.76</v>
      </c>
      <c r="G119" s="19">
        <v>4965.6000000000004</v>
      </c>
      <c r="H119" s="23">
        <v>60</v>
      </c>
      <c r="I119" s="85">
        <f t="shared" si="15"/>
        <v>60</v>
      </c>
      <c r="J119" s="86">
        <f t="shared" si="11"/>
        <v>4965.6000000000004</v>
      </c>
      <c r="K119" s="15">
        <f t="shared" si="13"/>
        <v>0</v>
      </c>
      <c r="L119" s="19">
        <f t="shared" si="14"/>
        <v>0</v>
      </c>
    </row>
    <row r="120" spans="1:12" x14ac:dyDescent="0.2">
      <c r="A120" s="20" t="s">
        <v>410</v>
      </c>
      <c r="B120" s="14"/>
      <c r="C120" s="60"/>
      <c r="D120" s="14"/>
      <c r="E120" s="14"/>
      <c r="F120" s="22"/>
      <c r="G120" s="19"/>
      <c r="H120" s="15"/>
      <c r="I120" s="85">
        <f t="shared" si="15"/>
        <v>0</v>
      </c>
      <c r="J120" s="86">
        <f t="shared" si="11"/>
        <v>0</v>
      </c>
      <c r="K120" s="15">
        <f t="shared" si="13"/>
        <v>0</v>
      </c>
      <c r="L120" s="19">
        <f t="shared" si="14"/>
        <v>0</v>
      </c>
    </row>
    <row r="121" spans="1:12" ht="22.5" x14ac:dyDescent="0.2">
      <c r="A121" s="16" t="s">
        <v>169</v>
      </c>
      <c r="B121" s="17" t="s">
        <v>411</v>
      </c>
      <c r="C121" s="61" t="s">
        <v>412</v>
      </c>
      <c r="D121" s="16" t="s">
        <v>47</v>
      </c>
      <c r="E121" s="18">
        <v>0.15</v>
      </c>
      <c r="F121" s="22">
        <f t="shared" si="10"/>
        <v>130245.73333333334</v>
      </c>
      <c r="G121" s="19">
        <v>19536.86</v>
      </c>
      <c r="H121" s="23">
        <v>0.15</v>
      </c>
      <c r="I121" s="85">
        <f t="shared" si="15"/>
        <v>0.15</v>
      </c>
      <c r="J121" s="86">
        <f t="shared" si="11"/>
        <v>19536.86</v>
      </c>
      <c r="K121" s="15">
        <f t="shared" si="13"/>
        <v>0</v>
      </c>
      <c r="L121" s="19">
        <f t="shared" si="14"/>
        <v>0</v>
      </c>
    </row>
    <row r="122" spans="1:12" s="54" customFormat="1" x14ac:dyDescent="0.2">
      <c r="A122" s="47" t="s">
        <v>170</v>
      </c>
      <c r="B122" s="48" t="s">
        <v>413</v>
      </c>
      <c r="C122" s="62" t="s">
        <v>414</v>
      </c>
      <c r="D122" s="47" t="s">
        <v>53</v>
      </c>
      <c r="E122" s="49">
        <v>1</v>
      </c>
      <c r="F122" s="50">
        <f t="shared" si="10"/>
        <v>269866.7</v>
      </c>
      <c r="G122" s="51">
        <v>269866.7</v>
      </c>
      <c r="H122" s="52">
        <v>1</v>
      </c>
      <c r="I122" s="88">
        <f t="shared" si="15"/>
        <v>1</v>
      </c>
      <c r="J122" s="89">
        <f t="shared" si="11"/>
        <v>269866.7</v>
      </c>
      <c r="K122" s="53">
        <f t="shared" si="13"/>
        <v>0</v>
      </c>
      <c r="L122" s="51">
        <f t="shared" si="14"/>
        <v>0</v>
      </c>
    </row>
    <row r="123" spans="1:12" s="31" customFormat="1" x14ac:dyDescent="0.2">
      <c r="A123" s="32" t="s">
        <v>415</v>
      </c>
      <c r="B123" s="33"/>
      <c r="C123" s="63"/>
      <c r="D123" s="33"/>
      <c r="E123" s="33"/>
      <c r="F123" s="28"/>
      <c r="G123" s="29"/>
      <c r="H123" s="30"/>
      <c r="I123" s="90">
        <f t="shared" si="15"/>
        <v>0</v>
      </c>
      <c r="J123" s="91">
        <f t="shared" si="11"/>
        <v>0</v>
      </c>
      <c r="K123" s="30">
        <f t="shared" si="13"/>
        <v>0</v>
      </c>
      <c r="L123" s="29">
        <f t="shared" si="14"/>
        <v>0</v>
      </c>
    </row>
    <row r="124" spans="1:12" s="31" customFormat="1" ht="22.5" x14ac:dyDescent="0.2">
      <c r="A124" s="25" t="s">
        <v>171</v>
      </c>
      <c r="B124" s="26" t="s">
        <v>262</v>
      </c>
      <c r="C124" s="64" t="s">
        <v>263</v>
      </c>
      <c r="D124" s="25" t="s">
        <v>5</v>
      </c>
      <c r="E124" s="27">
        <v>0.28999999999999998</v>
      </c>
      <c r="F124" s="28">
        <f t="shared" si="10"/>
        <v>121525.86206896552</v>
      </c>
      <c r="G124" s="29">
        <v>35242.5</v>
      </c>
      <c r="H124" s="30">
        <v>0</v>
      </c>
      <c r="I124" s="90">
        <f t="shared" si="15"/>
        <v>0</v>
      </c>
      <c r="J124" s="91">
        <f t="shared" si="11"/>
        <v>0</v>
      </c>
      <c r="K124" s="30">
        <f t="shared" si="13"/>
        <v>0.28999999999999998</v>
      </c>
      <c r="L124" s="29">
        <f t="shared" si="14"/>
        <v>35242.5</v>
      </c>
    </row>
    <row r="125" spans="1:12" s="31" customFormat="1" ht="22.5" x14ac:dyDescent="0.2">
      <c r="A125" s="25" t="s">
        <v>172</v>
      </c>
      <c r="B125" s="26" t="s">
        <v>86</v>
      </c>
      <c r="C125" s="64" t="s">
        <v>119</v>
      </c>
      <c r="D125" s="25" t="s">
        <v>5</v>
      </c>
      <c r="E125" s="27">
        <v>0.25</v>
      </c>
      <c r="F125" s="28">
        <f t="shared" si="10"/>
        <v>53037.440000000002</v>
      </c>
      <c r="G125" s="29">
        <v>13259.36</v>
      </c>
      <c r="H125" s="30">
        <v>0</v>
      </c>
      <c r="I125" s="90">
        <f t="shared" si="15"/>
        <v>0</v>
      </c>
      <c r="J125" s="91">
        <f t="shared" si="11"/>
        <v>0</v>
      </c>
      <c r="K125" s="30">
        <f t="shared" si="13"/>
        <v>0.25</v>
      </c>
      <c r="L125" s="29">
        <f t="shared" si="14"/>
        <v>13259.36</v>
      </c>
    </row>
    <row r="126" spans="1:12" s="31" customFormat="1" x14ac:dyDescent="0.2">
      <c r="A126" s="25" t="s">
        <v>173</v>
      </c>
      <c r="B126" s="26" t="s">
        <v>15</v>
      </c>
      <c r="C126" s="64" t="s">
        <v>16</v>
      </c>
      <c r="D126" s="25" t="s">
        <v>17</v>
      </c>
      <c r="E126" s="27">
        <v>25</v>
      </c>
      <c r="F126" s="28">
        <f t="shared" si="10"/>
        <v>1325.0207999999998</v>
      </c>
      <c r="G126" s="29">
        <v>33125.519999999997</v>
      </c>
      <c r="H126" s="30">
        <v>0</v>
      </c>
      <c r="I126" s="90">
        <f t="shared" si="15"/>
        <v>0</v>
      </c>
      <c r="J126" s="91">
        <f t="shared" si="11"/>
        <v>0</v>
      </c>
      <c r="K126" s="30">
        <f t="shared" si="13"/>
        <v>25</v>
      </c>
      <c r="L126" s="29">
        <f t="shared" si="14"/>
        <v>33125.519999999997</v>
      </c>
    </row>
    <row r="127" spans="1:12" s="31" customFormat="1" ht="22.5" x14ac:dyDescent="0.2">
      <c r="A127" s="25" t="s">
        <v>174</v>
      </c>
      <c r="B127" s="26" t="s">
        <v>149</v>
      </c>
      <c r="C127" s="64" t="s">
        <v>150</v>
      </c>
      <c r="D127" s="25" t="s">
        <v>5</v>
      </c>
      <c r="E127" s="27">
        <v>0.04</v>
      </c>
      <c r="F127" s="28">
        <f t="shared" si="10"/>
        <v>87631.75</v>
      </c>
      <c r="G127" s="29">
        <v>3505.27</v>
      </c>
      <c r="H127" s="30">
        <v>0</v>
      </c>
      <c r="I127" s="90">
        <f t="shared" si="15"/>
        <v>0</v>
      </c>
      <c r="J127" s="91">
        <f t="shared" si="11"/>
        <v>0</v>
      </c>
      <c r="K127" s="30">
        <f t="shared" si="13"/>
        <v>0.04</v>
      </c>
      <c r="L127" s="29">
        <f t="shared" si="14"/>
        <v>3505.27</v>
      </c>
    </row>
    <row r="128" spans="1:12" s="31" customFormat="1" x14ac:dyDescent="0.2">
      <c r="A128" s="32" t="s">
        <v>416</v>
      </c>
      <c r="B128" s="33"/>
      <c r="C128" s="63"/>
      <c r="D128" s="33"/>
      <c r="E128" s="33"/>
      <c r="F128" s="28"/>
      <c r="G128" s="29"/>
      <c r="H128" s="30"/>
      <c r="I128" s="90"/>
      <c r="J128" s="91">
        <f t="shared" si="11"/>
        <v>0</v>
      </c>
      <c r="K128" s="30">
        <f t="shared" si="13"/>
        <v>0</v>
      </c>
      <c r="L128" s="29">
        <f t="shared" si="14"/>
        <v>0</v>
      </c>
    </row>
    <row r="129" spans="1:12" s="31" customFormat="1" ht="22.5" x14ac:dyDescent="0.2">
      <c r="A129" s="25" t="s">
        <v>175</v>
      </c>
      <c r="B129" s="26" t="s">
        <v>417</v>
      </c>
      <c r="C129" s="64" t="s">
        <v>418</v>
      </c>
      <c r="D129" s="25" t="s">
        <v>5</v>
      </c>
      <c r="E129" s="27">
        <v>6.2E-2</v>
      </c>
      <c r="F129" s="28">
        <f t="shared" si="10"/>
        <v>182374.19354838712</v>
      </c>
      <c r="G129" s="29">
        <v>11307.2</v>
      </c>
      <c r="H129" s="30"/>
      <c r="I129" s="90"/>
      <c r="J129" s="91">
        <f t="shared" si="11"/>
        <v>0</v>
      </c>
      <c r="K129" s="30">
        <f t="shared" si="13"/>
        <v>6.2E-2</v>
      </c>
      <c r="L129" s="29">
        <f t="shared" si="14"/>
        <v>11307.2</v>
      </c>
    </row>
    <row r="130" spans="1:12" s="31" customFormat="1" x14ac:dyDescent="0.2">
      <c r="A130" s="25" t="s">
        <v>176</v>
      </c>
      <c r="B130" s="26" t="s">
        <v>371</v>
      </c>
      <c r="C130" s="64" t="s">
        <v>151</v>
      </c>
      <c r="D130" s="25" t="s">
        <v>17</v>
      </c>
      <c r="E130" s="27">
        <v>7.8120000000000003</v>
      </c>
      <c r="F130" s="28">
        <f t="shared" si="10"/>
        <v>2685.5606758832564</v>
      </c>
      <c r="G130" s="29">
        <v>20979.599999999999</v>
      </c>
      <c r="H130" s="30"/>
      <c r="I130" s="90"/>
      <c r="J130" s="91">
        <f t="shared" si="11"/>
        <v>0</v>
      </c>
      <c r="K130" s="30">
        <f t="shared" si="13"/>
        <v>7.8120000000000003</v>
      </c>
      <c r="L130" s="29">
        <f t="shared" si="14"/>
        <v>20979.599999999999</v>
      </c>
    </row>
    <row r="131" spans="1:12" s="31" customFormat="1" ht="33.75" x14ac:dyDescent="0.2">
      <c r="A131" s="25" t="s">
        <v>177</v>
      </c>
      <c r="B131" s="26" t="s">
        <v>419</v>
      </c>
      <c r="C131" s="64" t="s">
        <v>420</v>
      </c>
      <c r="D131" s="25" t="s">
        <v>55</v>
      </c>
      <c r="E131" s="27">
        <v>0.32200000000000001</v>
      </c>
      <c r="F131" s="28">
        <f t="shared" si="10"/>
        <v>24310.745341614907</v>
      </c>
      <c r="G131" s="29">
        <v>7828.06</v>
      </c>
      <c r="H131" s="30"/>
      <c r="I131" s="90"/>
      <c r="J131" s="91">
        <f t="shared" si="11"/>
        <v>0</v>
      </c>
      <c r="K131" s="30">
        <f t="shared" si="13"/>
        <v>0.32200000000000001</v>
      </c>
      <c r="L131" s="29">
        <f t="shared" si="14"/>
        <v>7828.06</v>
      </c>
    </row>
    <row r="132" spans="1:12" s="31" customFormat="1" ht="22.5" x14ac:dyDescent="0.2">
      <c r="A132" s="25" t="s">
        <v>178</v>
      </c>
      <c r="B132" s="26" t="s">
        <v>421</v>
      </c>
      <c r="C132" s="64" t="s">
        <v>422</v>
      </c>
      <c r="D132" s="25" t="s">
        <v>55</v>
      </c>
      <c r="E132" s="27">
        <v>0.32200000000000001</v>
      </c>
      <c r="F132" s="28">
        <f t="shared" si="10"/>
        <v>14851.67701863354</v>
      </c>
      <c r="G132" s="29">
        <v>4782.24</v>
      </c>
      <c r="H132" s="30"/>
      <c r="I132" s="90"/>
      <c r="J132" s="91">
        <f t="shared" si="11"/>
        <v>0</v>
      </c>
      <c r="K132" s="30">
        <f t="shared" si="13"/>
        <v>0.32200000000000001</v>
      </c>
      <c r="L132" s="29">
        <f t="shared" si="14"/>
        <v>4782.24</v>
      </c>
    </row>
    <row r="133" spans="1:12" s="31" customFormat="1" x14ac:dyDescent="0.2">
      <c r="A133" s="25" t="s">
        <v>179</v>
      </c>
      <c r="B133" s="26" t="s">
        <v>423</v>
      </c>
      <c r="C133" s="64" t="s">
        <v>424</v>
      </c>
      <c r="D133" s="25" t="s">
        <v>47</v>
      </c>
      <c r="E133" s="27">
        <v>3.5419999999999998</v>
      </c>
      <c r="F133" s="28">
        <f t="shared" ref="F133:F196" si="16">G133/E133</f>
        <v>3915.4178430265388</v>
      </c>
      <c r="G133" s="29">
        <v>13868.41</v>
      </c>
      <c r="H133" s="30"/>
      <c r="I133" s="90"/>
      <c r="J133" s="91">
        <f t="shared" ref="J133:J196" si="17">F133*I133</f>
        <v>0</v>
      </c>
      <c r="K133" s="30">
        <f t="shared" si="13"/>
        <v>3.5419999999999998</v>
      </c>
      <c r="L133" s="29">
        <f t="shared" si="14"/>
        <v>13868.41</v>
      </c>
    </row>
    <row r="134" spans="1:12" s="31" customFormat="1" x14ac:dyDescent="0.2">
      <c r="A134" s="32" t="s">
        <v>425</v>
      </c>
      <c r="B134" s="33"/>
      <c r="C134" s="63"/>
      <c r="D134" s="33"/>
      <c r="E134" s="33"/>
      <c r="F134" s="28"/>
      <c r="G134" s="29"/>
      <c r="H134" s="30"/>
      <c r="I134" s="90"/>
      <c r="J134" s="91">
        <f t="shared" si="17"/>
        <v>0</v>
      </c>
      <c r="K134" s="30">
        <f t="shared" si="13"/>
        <v>0</v>
      </c>
      <c r="L134" s="29">
        <f t="shared" si="14"/>
        <v>0</v>
      </c>
    </row>
    <row r="135" spans="1:12" s="31" customFormat="1" x14ac:dyDescent="0.2">
      <c r="A135" s="25" t="s">
        <v>180</v>
      </c>
      <c r="B135" s="26" t="s">
        <v>77</v>
      </c>
      <c r="C135" s="64" t="s">
        <v>78</v>
      </c>
      <c r="D135" s="25" t="s">
        <v>17</v>
      </c>
      <c r="E135" s="27">
        <v>1.9</v>
      </c>
      <c r="F135" s="28">
        <f t="shared" si="16"/>
        <v>1322.2</v>
      </c>
      <c r="G135" s="29">
        <v>2512.1799999999998</v>
      </c>
      <c r="H135" s="30"/>
      <c r="I135" s="90">
        <f>H135</f>
        <v>0</v>
      </c>
      <c r="J135" s="91">
        <f t="shared" si="17"/>
        <v>0</v>
      </c>
      <c r="K135" s="30">
        <f t="shared" si="13"/>
        <v>1.9</v>
      </c>
      <c r="L135" s="29">
        <f t="shared" si="14"/>
        <v>2512.1799999999998</v>
      </c>
    </row>
    <row r="136" spans="1:12" s="31" customFormat="1" x14ac:dyDescent="0.2">
      <c r="A136" s="25" t="s">
        <v>183</v>
      </c>
      <c r="B136" s="26" t="s">
        <v>371</v>
      </c>
      <c r="C136" s="64" t="s">
        <v>151</v>
      </c>
      <c r="D136" s="25" t="s">
        <v>17</v>
      </c>
      <c r="E136" s="27">
        <v>1.9</v>
      </c>
      <c r="F136" s="28">
        <f t="shared" si="16"/>
        <v>2685.5421052631577</v>
      </c>
      <c r="G136" s="29">
        <v>5102.53</v>
      </c>
      <c r="H136" s="30"/>
      <c r="I136" s="90">
        <f t="shared" ref="I136:I140" si="18">H136</f>
        <v>0</v>
      </c>
      <c r="J136" s="91">
        <f t="shared" si="17"/>
        <v>0</v>
      </c>
      <c r="K136" s="30">
        <f t="shared" si="13"/>
        <v>1.9</v>
      </c>
      <c r="L136" s="29">
        <f t="shared" si="14"/>
        <v>5102.53</v>
      </c>
    </row>
    <row r="137" spans="1:12" s="31" customFormat="1" x14ac:dyDescent="0.2">
      <c r="A137" s="25" t="s">
        <v>184</v>
      </c>
      <c r="B137" s="26" t="s">
        <v>426</v>
      </c>
      <c r="C137" s="64" t="s">
        <v>427</v>
      </c>
      <c r="D137" s="25" t="s">
        <v>17</v>
      </c>
      <c r="E137" s="27">
        <v>1.1499999999999999</v>
      </c>
      <c r="F137" s="28">
        <f t="shared" si="16"/>
        <v>4146.3130434782615</v>
      </c>
      <c r="G137" s="29">
        <v>4768.26</v>
      </c>
      <c r="H137" s="30"/>
      <c r="I137" s="90">
        <f t="shared" si="18"/>
        <v>0</v>
      </c>
      <c r="J137" s="91">
        <f t="shared" si="17"/>
        <v>0</v>
      </c>
      <c r="K137" s="30">
        <f t="shared" si="13"/>
        <v>1.1499999999999999</v>
      </c>
      <c r="L137" s="29">
        <f t="shared" si="14"/>
        <v>4768.26</v>
      </c>
    </row>
    <row r="138" spans="1:12" s="31" customFormat="1" x14ac:dyDescent="0.2">
      <c r="A138" s="25" t="s">
        <v>186</v>
      </c>
      <c r="B138" s="26" t="s">
        <v>136</v>
      </c>
      <c r="C138" s="64" t="s">
        <v>137</v>
      </c>
      <c r="D138" s="25" t="s">
        <v>17</v>
      </c>
      <c r="E138" s="27">
        <v>1.1672499999999999</v>
      </c>
      <c r="F138" s="28">
        <f t="shared" si="16"/>
        <v>5921.6191904047982</v>
      </c>
      <c r="G138" s="29">
        <v>6912.01</v>
      </c>
      <c r="H138" s="30"/>
      <c r="I138" s="90">
        <f t="shared" si="18"/>
        <v>0</v>
      </c>
      <c r="J138" s="91">
        <f t="shared" si="17"/>
        <v>0</v>
      </c>
      <c r="K138" s="30">
        <f t="shared" si="13"/>
        <v>1.1672499999999999</v>
      </c>
      <c r="L138" s="29">
        <f t="shared" si="14"/>
        <v>6912.01</v>
      </c>
    </row>
    <row r="139" spans="1:12" s="31" customFormat="1" x14ac:dyDescent="0.2">
      <c r="A139" s="25" t="s">
        <v>187</v>
      </c>
      <c r="B139" s="26" t="s">
        <v>136</v>
      </c>
      <c r="C139" s="64" t="s">
        <v>137</v>
      </c>
      <c r="D139" s="25" t="s">
        <v>17</v>
      </c>
      <c r="E139" s="27">
        <v>1.17</v>
      </c>
      <c r="F139" s="28">
        <f t="shared" si="16"/>
        <v>79.017094017094024</v>
      </c>
      <c r="G139" s="29">
        <v>92.45</v>
      </c>
      <c r="H139" s="30"/>
      <c r="I139" s="90">
        <f t="shared" si="18"/>
        <v>0</v>
      </c>
      <c r="J139" s="91">
        <f t="shared" si="17"/>
        <v>0</v>
      </c>
      <c r="K139" s="30">
        <f t="shared" si="13"/>
        <v>1.17</v>
      </c>
      <c r="L139" s="29">
        <f t="shared" si="14"/>
        <v>92.45</v>
      </c>
    </row>
    <row r="140" spans="1:12" s="31" customFormat="1" ht="22.5" x14ac:dyDescent="0.2">
      <c r="A140" s="25" t="s">
        <v>190</v>
      </c>
      <c r="B140" s="26" t="s">
        <v>378</v>
      </c>
      <c r="C140" s="64" t="s">
        <v>379</v>
      </c>
      <c r="D140" s="25" t="s">
        <v>47</v>
      </c>
      <c r="E140" s="27">
        <v>6.9000000000000006E-2</v>
      </c>
      <c r="F140" s="28">
        <f t="shared" si="16"/>
        <v>51138.405797101448</v>
      </c>
      <c r="G140" s="29">
        <v>3528.55</v>
      </c>
      <c r="H140" s="30"/>
      <c r="I140" s="90">
        <f t="shared" si="18"/>
        <v>0</v>
      </c>
      <c r="J140" s="91">
        <f t="shared" si="17"/>
        <v>0</v>
      </c>
      <c r="K140" s="30">
        <f t="shared" si="13"/>
        <v>6.9000000000000006E-2</v>
      </c>
      <c r="L140" s="29">
        <f t="shared" si="14"/>
        <v>3528.55</v>
      </c>
    </row>
    <row r="141" spans="1:12" s="31" customFormat="1" x14ac:dyDescent="0.2">
      <c r="A141" s="32" t="s">
        <v>428</v>
      </c>
      <c r="B141" s="33"/>
      <c r="C141" s="63"/>
      <c r="D141" s="33"/>
      <c r="E141" s="33"/>
      <c r="F141" s="28"/>
      <c r="G141" s="29"/>
      <c r="H141" s="30"/>
      <c r="I141" s="90"/>
      <c r="J141" s="91">
        <f t="shared" si="17"/>
        <v>0</v>
      </c>
      <c r="K141" s="30">
        <f t="shared" si="13"/>
        <v>0</v>
      </c>
      <c r="L141" s="29">
        <f t="shared" si="14"/>
        <v>0</v>
      </c>
    </row>
    <row r="142" spans="1:12" s="31" customFormat="1" ht="22.5" x14ac:dyDescent="0.2">
      <c r="A142" s="25" t="s">
        <v>191</v>
      </c>
      <c r="B142" s="26" t="s">
        <v>417</v>
      </c>
      <c r="C142" s="64" t="s">
        <v>418</v>
      </c>
      <c r="D142" s="25" t="s">
        <v>5</v>
      </c>
      <c r="E142" s="27">
        <v>0.158</v>
      </c>
      <c r="F142" s="28">
        <f t="shared" si="16"/>
        <v>182376.64556962025</v>
      </c>
      <c r="G142" s="29">
        <v>28815.51</v>
      </c>
      <c r="H142" s="30"/>
      <c r="I142" s="90"/>
      <c r="J142" s="91">
        <f t="shared" si="17"/>
        <v>0</v>
      </c>
      <c r="K142" s="30">
        <f t="shared" si="13"/>
        <v>0.158</v>
      </c>
      <c r="L142" s="29">
        <f t="shared" si="14"/>
        <v>28815.51</v>
      </c>
    </row>
    <row r="143" spans="1:12" s="31" customFormat="1" x14ac:dyDescent="0.2">
      <c r="A143" s="25" t="s">
        <v>192</v>
      </c>
      <c r="B143" s="26" t="s">
        <v>371</v>
      </c>
      <c r="C143" s="64" t="s">
        <v>151</v>
      </c>
      <c r="D143" s="25" t="s">
        <v>17</v>
      </c>
      <c r="E143" s="27">
        <v>19.908000000000001</v>
      </c>
      <c r="F143" s="28">
        <f t="shared" si="16"/>
        <v>2685.5575647980709</v>
      </c>
      <c r="G143" s="29">
        <v>53464.08</v>
      </c>
      <c r="H143" s="30"/>
      <c r="I143" s="90"/>
      <c r="J143" s="91">
        <f t="shared" si="17"/>
        <v>0</v>
      </c>
      <c r="K143" s="30">
        <f t="shared" si="13"/>
        <v>19.908000000000001</v>
      </c>
      <c r="L143" s="29">
        <f t="shared" si="14"/>
        <v>53464.08</v>
      </c>
    </row>
    <row r="144" spans="1:12" s="31" customFormat="1" ht="33.75" x14ac:dyDescent="0.2">
      <c r="A144" s="25" t="s">
        <v>193</v>
      </c>
      <c r="B144" s="26" t="s">
        <v>419</v>
      </c>
      <c r="C144" s="64" t="s">
        <v>420</v>
      </c>
      <c r="D144" s="25" t="s">
        <v>55</v>
      </c>
      <c r="E144" s="27">
        <v>0.82</v>
      </c>
      <c r="F144" s="28">
        <f t="shared" si="16"/>
        <v>24310.890243902442</v>
      </c>
      <c r="G144" s="29">
        <v>19934.93</v>
      </c>
      <c r="H144" s="30"/>
      <c r="I144" s="90"/>
      <c r="J144" s="91">
        <f t="shared" si="17"/>
        <v>0</v>
      </c>
      <c r="K144" s="30">
        <f t="shared" si="13"/>
        <v>0.82</v>
      </c>
      <c r="L144" s="29">
        <f t="shared" si="14"/>
        <v>19934.93</v>
      </c>
    </row>
    <row r="145" spans="1:14" s="31" customFormat="1" ht="22.5" x14ac:dyDescent="0.2">
      <c r="A145" s="25" t="s">
        <v>194</v>
      </c>
      <c r="B145" s="26" t="s">
        <v>421</v>
      </c>
      <c r="C145" s="64" t="s">
        <v>429</v>
      </c>
      <c r="D145" s="25" t="s">
        <v>55</v>
      </c>
      <c r="E145" s="27">
        <v>0.82</v>
      </c>
      <c r="F145" s="28">
        <f t="shared" si="16"/>
        <v>14851.036585365855</v>
      </c>
      <c r="G145" s="29">
        <v>12177.85</v>
      </c>
      <c r="H145" s="30"/>
      <c r="I145" s="90"/>
      <c r="J145" s="91">
        <f t="shared" si="17"/>
        <v>0</v>
      </c>
      <c r="K145" s="30">
        <f t="shared" si="13"/>
        <v>0.82</v>
      </c>
      <c r="L145" s="29">
        <f t="shared" si="14"/>
        <v>12177.85</v>
      </c>
    </row>
    <row r="146" spans="1:14" s="31" customFormat="1" x14ac:dyDescent="0.2">
      <c r="A146" s="25" t="s">
        <v>195</v>
      </c>
      <c r="B146" s="26" t="s">
        <v>423</v>
      </c>
      <c r="C146" s="64" t="s">
        <v>424</v>
      </c>
      <c r="D146" s="25" t="s">
        <v>47</v>
      </c>
      <c r="E146" s="27">
        <v>9.02</v>
      </c>
      <c r="F146" s="28">
        <f t="shared" si="16"/>
        <v>3915.4157427937921</v>
      </c>
      <c r="G146" s="29">
        <v>35317.050000000003</v>
      </c>
      <c r="H146" s="30"/>
      <c r="I146" s="90"/>
      <c r="J146" s="91">
        <f t="shared" si="17"/>
        <v>0</v>
      </c>
      <c r="K146" s="30">
        <f t="shared" si="13"/>
        <v>9.02</v>
      </c>
      <c r="L146" s="29">
        <f t="shared" si="14"/>
        <v>35317.050000000003</v>
      </c>
    </row>
    <row r="147" spans="1:14" s="31" customFormat="1" x14ac:dyDescent="0.2">
      <c r="A147" s="32" t="s">
        <v>430</v>
      </c>
      <c r="B147" s="33"/>
      <c r="C147" s="63"/>
      <c r="D147" s="33"/>
      <c r="E147" s="33"/>
      <c r="F147" s="28"/>
      <c r="G147" s="29"/>
      <c r="H147" s="30"/>
      <c r="I147" s="90"/>
      <c r="J147" s="91">
        <f t="shared" si="17"/>
        <v>0</v>
      </c>
      <c r="K147" s="30">
        <f t="shared" si="13"/>
        <v>0</v>
      </c>
      <c r="L147" s="29">
        <f t="shared" si="14"/>
        <v>0</v>
      </c>
    </row>
    <row r="148" spans="1:14" s="31" customFormat="1" x14ac:dyDescent="0.2">
      <c r="A148" s="25" t="s">
        <v>196</v>
      </c>
      <c r="B148" s="26" t="s">
        <v>77</v>
      </c>
      <c r="C148" s="64" t="s">
        <v>78</v>
      </c>
      <c r="D148" s="25" t="s">
        <v>17</v>
      </c>
      <c r="E148" s="27">
        <v>4.7</v>
      </c>
      <c r="F148" s="28">
        <f t="shared" si="16"/>
        <v>1322.4468085106382</v>
      </c>
      <c r="G148" s="29">
        <v>6215.5</v>
      </c>
      <c r="H148" s="30"/>
      <c r="I148" s="90"/>
      <c r="J148" s="91">
        <f t="shared" si="17"/>
        <v>0</v>
      </c>
      <c r="K148" s="30">
        <f t="shared" si="13"/>
        <v>4.7</v>
      </c>
      <c r="L148" s="29">
        <f t="shared" si="14"/>
        <v>6215.5</v>
      </c>
    </row>
    <row r="149" spans="1:14" s="31" customFormat="1" x14ac:dyDescent="0.2">
      <c r="A149" s="25" t="s">
        <v>197</v>
      </c>
      <c r="B149" s="26" t="s">
        <v>371</v>
      </c>
      <c r="C149" s="64" t="s">
        <v>151</v>
      </c>
      <c r="D149" s="25" t="s">
        <v>17</v>
      </c>
      <c r="E149" s="27">
        <v>4.7</v>
      </c>
      <c r="F149" s="28">
        <f t="shared" si="16"/>
        <v>2685.559574468085</v>
      </c>
      <c r="G149" s="29">
        <v>12622.13</v>
      </c>
      <c r="H149" s="30"/>
      <c r="I149" s="90"/>
      <c r="J149" s="91">
        <f t="shared" si="17"/>
        <v>0</v>
      </c>
      <c r="K149" s="30">
        <f t="shared" si="13"/>
        <v>4.7</v>
      </c>
      <c r="L149" s="29">
        <f t="shared" si="14"/>
        <v>12622.13</v>
      </c>
    </row>
    <row r="150" spans="1:14" s="31" customFormat="1" x14ac:dyDescent="0.2">
      <c r="A150" s="25" t="s">
        <v>198</v>
      </c>
      <c r="B150" s="26" t="s">
        <v>426</v>
      </c>
      <c r="C150" s="64" t="s">
        <v>427</v>
      </c>
      <c r="D150" s="25" t="s">
        <v>17</v>
      </c>
      <c r="E150" s="27">
        <v>2.81</v>
      </c>
      <c r="F150" s="28">
        <f t="shared" si="16"/>
        <v>4145.9181494661925</v>
      </c>
      <c r="G150" s="29">
        <v>11650.03</v>
      </c>
      <c r="H150" s="30"/>
      <c r="I150" s="90"/>
      <c r="J150" s="91">
        <f t="shared" si="17"/>
        <v>0</v>
      </c>
      <c r="K150" s="30">
        <f t="shared" si="13"/>
        <v>2.81</v>
      </c>
      <c r="L150" s="29">
        <f t="shared" si="14"/>
        <v>11650.03</v>
      </c>
    </row>
    <row r="151" spans="1:14" s="31" customFormat="1" x14ac:dyDescent="0.2">
      <c r="A151" s="25" t="s">
        <v>199</v>
      </c>
      <c r="B151" s="26" t="s">
        <v>136</v>
      </c>
      <c r="C151" s="64" t="s">
        <v>137</v>
      </c>
      <c r="D151" s="25" t="s">
        <v>17</v>
      </c>
      <c r="E151" s="27">
        <v>2.85</v>
      </c>
      <c r="F151" s="28">
        <f t="shared" si="16"/>
        <v>5921.6421052631576</v>
      </c>
      <c r="G151" s="29">
        <v>16876.68</v>
      </c>
      <c r="H151" s="30"/>
      <c r="I151" s="90"/>
      <c r="J151" s="91">
        <f t="shared" si="17"/>
        <v>0</v>
      </c>
      <c r="K151" s="30">
        <f t="shared" si="13"/>
        <v>2.85</v>
      </c>
      <c r="L151" s="29">
        <f t="shared" si="14"/>
        <v>16876.68</v>
      </c>
    </row>
    <row r="152" spans="1:14" s="31" customFormat="1" x14ac:dyDescent="0.2">
      <c r="A152" s="25" t="s">
        <v>200</v>
      </c>
      <c r="B152" s="26" t="s">
        <v>136</v>
      </c>
      <c r="C152" s="64" t="s">
        <v>137</v>
      </c>
      <c r="D152" s="25" t="s">
        <v>17</v>
      </c>
      <c r="E152" s="27">
        <v>2.85</v>
      </c>
      <c r="F152" s="28">
        <f t="shared" si="16"/>
        <v>79.02456140350877</v>
      </c>
      <c r="G152" s="29">
        <v>225.22</v>
      </c>
      <c r="H152" s="30"/>
      <c r="I152" s="90"/>
      <c r="J152" s="91">
        <f t="shared" si="17"/>
        <v>0</v>
      </c>
      <c r="K152" s="30">
        <f t="shared" si="13"/>
        <v>2.85</v>
      </c>
      <c r="L152" s="29">
        <f t="shared" si="14"/>
        <v>225.22</v>
      </c>
    </row>
    <row r="153" spans="1:14" s="31" customFormat="1" ht="22.5" x14ac:dyDescent="0.2">
      <c r="A153" s="25" t="s">
        <v>201</v>
      </c>
      <c r="B153" s="26" t="s">
        <v>378</v>
      </c>
      <c r="C153" s="64" t="s">
        <v>379</v>
      </c>
      <c r="D153" s="25" t="s">
        <v>47</v>
      </c>
      <c r="E153" s="27">
        <v>0.17399999999999999</v>
      </c>
      <c r="F153" s="28">
        <f t="shared" si="16"/>
        <v>55229.597701149432</v>
      </c>
      <c r="G153" s="29">
        <v>9609.9500000000007</v>
      </c>
      <c r="H153" s="30"/>
      <c r="I153" s="90"/>
      <c r="J153" s="91">
        <f t="shared" si="17"/>
        <v>0</v>
      </c>
      <c r="K153" s="30">
        <f t="shared" ref="K153:K212" si="19">E153-H153</f>
        <v>0.17399999999999999</v>
      </c>
      <c r="L153" s="29">
        <f t="shared" ref="L153:L212" si="20">G153-J153</f>
        <v>9609.9500000000007</v>
      </c>
    </row>
    <row r="154" spans="1:14" s="31" customFormat="1" x14ac:dyDescent="0.2">
      <c r="A154" s="32" t="s">
        <v>431</v>
      </c>
      <c r="B154" s="33"/>
      <c r="C154" s="63"/>
      <c r="D154" s="33"/>
      <c r="E154" s="33"/>
      <c r="F154" s="28"/>
      <c r="G154" s="29"/>
      <c r="H154" s="77"/>
      <c r="I154" s="90"/>
      <c r="J154" s="91">
        <f t="shared" si="17"/>
        <v>0</v>
      </c>
      <c r="K154" s="30">
        <f t="shared" si="19"/>
        <v>0</v>
      </c>
      <c r="L154" s="29">
        <f t="shared" si="20"/>
        <v>0</v>
      </c>
    </row>
    <row r="155" spans="1:14" s="31" customFormat="1" x14ac:dyDescent="0.2">
      <c r="A155" s="25" t="s">
        <v>202</v>
      </c>
      <c r="B155" s="26" t="s">
        <v>432</v>
      </c>
      <c r="C155" s="64" t="s">
        <v>433</v>
      </c>
      <c r="D155" s="25" t="s">
        <v>103</v>
      </c>
      <c r="E155" s="27">
        <v>8.8000000000000007</v>
      </c>
      <c r="F155" s="28">
        <f t="shared" si="16"/>
        <v>1079.2795454545453</v>
      </c>
      <c r="G155" s="29">
        <v>9497.66</v>
      </c>
      <c r="H155" s="77">
        <v>8.8000000000000007</v>
      </c>
      <c r="I155" s="90">
        <v>0</v>
      </c>
      <c r="J155" s="91">
        <f t="shared" si="17"/>
        <v>0</v>
      </c>
      <c r="K155" s="30">
        <f t="shared" si="19"/>
        <v>0</v>
      </c>
      <c r="L155" s="29">
        <f t="shared" si="20"/>
        <v>9497.66</v>
      </c>
    </row>
    <row r="156" spans="1:14" s="31" customFormat="1" x14ac:dyDescent="0.2">
      <c r="A156" s="25" t="s">
        <v>203</v>
      </c>
      <c r="B156" s="26" t="s">
        <v>152</v>
      </c>
      <c r="C156" s="64" t="s">
        <v>153</v>
      </c>
      <c r="D156" s="25" t="s">
        <v>103</v>
      </c>
      <c r="E156" s="27">
        <v>8.8000000000000007</v>
      </c>
      <c r="F156" s="28">
        <f t="shared" si="16"/>
        <v>181.25340909090906</v>
      </c>
      <c r="G156" s="29">
        <v>1595.03</v>
      </c>
      <c r="H156" s="77">
        <v>8.8000000000000007</v>
      </c>
      <c r="I156" s="90">
        <v>0</v>
      </c>
      <c r="J156" s="91">
        <f t="shared" si="17"/>
        <v>0</v>
      </c>
      <c r="K156" s="30">
        <f t="shared" si="19"/>
        <v>0</v>
      </c>
      <c r="L156" s="29">
        <f t="shared" si="20"/>
        <v>1595.03</v>
      </c>
    </row>
    <row r="157" spans="1:14" s="31" customFormat="1" ht="22.5" x14ac:dyDescent="0.2">
      <c r="A157" s="25" t="s">
        <v>204</v>
      </c>
      <c r="B157" s="26" t="s">
        <v>434</v>
      </c>
      <c r="C157" s="64" t="s">
        <v>435</v>
      </c>
      <c r="D157" s="25" t="s">
        <v>55</v>
      </c>
      <c r="E157" s="27">
        <v>8.7999999999999995E-2</v>
      </c>
      <c r="F157" s="28">
        <f t="shared" si="16"/>
        <v>21916.36363636364</v>
      </c>
      <c r="G157" s="29">
        <v>1928.64</v>
      </c>
      <c r="H157" s="77">
        <v>8.7999999999999995E-2</v>
      </c>
      <c r="I157" s="90">
        <v>0</v>
      </c>
      <c r="J157" s="91">
        <f t="shared" si="17"/>
        <v>0</v>
      </c>
      <c r="K157" s="30">
        <f t="shared" si="19"/>
        <v>0</v>
      </c>
      <c r="L157" s="29">
        <f t="shared" si="20"/>
        <v>1928.64</v>
      </c>
      <c r="N157" s="31" t="s">
        <v>518</v>
      </c>
    </row>
    <row r="158" spans="1:14" s="31" customFormat="1" x14ac:dyDescent="0.2">
      <c r="A158" s="25" t="s">
        <v>205</v>
      </c>
      <c r="B158" s="26" t="s">
        <v>436</v>
      </c>
      <c r="C158" s="64" t="s">
        <v>437</v>
      </c>
      <c r="D158" s="25" t="s">
        <v>47</v>
      </c>
      <c r="E158" s="27">
        <v>-4.5760000000000002E-3</v>
      </c>
      <c r="F158" s="28">
        <f t="shared" si="16"/>
        <v>257032.34265734267</v>
      </c>
      <c r="G158" s="29">
        <v>-1176.18</v>
      </c>
      <c r="H158" s="77">
        <f>E158</f>
        <v>-4.5760000000000002E-3</v>
      </c>
      <c r="I158" s="90">
        <v>0</v>
      </c>
      <c r="J158" s="91">
        <f t="shared" si="17"/>
        <v>0</v>
      </c>
      <c r="K158" s="30">
        <f t="shared" si="19"/>
        <v>0</v>
      </c>
      <c r="L158" s="29">
        <f t="shared" si="20"/>
        <v>-1176.18</v>
      </c>
    </row>
    <row r="159" spans="1:14" s="31" customFormat="1" x14ac:dyDescent="0.2">
      <c r="A159" s="25" t="s">
        <v>206</v>
      </c>
      <c r="B159" s="26" t="s">
        <v>438</v>
      </c>
      <c r="C159" s="64" t="s">
        <v>439</v>
      </c>
      <c r="D159" s="25" t="s">
        <v>47</v>
      </c>
      <c r="E159" s="27">
        <v>1.4E-3</v>
      </c>
      <c r="F159" s="28">
        <f t="shared" si="16"/>
        <v>242471.42857142855</v>
      </c>
      <c r="G159" s="29">
        <v>339.46</v>
      </c>
      <c r="H159" s="77">
        <v>1.4E-3</v>
      </c>
      <c r="I159" s="90">
        <v>0</v>
      </c>
      <c r="J159" s="91">
        <f t="shared" si="17"/>
        <v>0</v>
      </c>
      <c r="K159" s="30">
        <f t="shared" si="19"/>
        <v>0</v>
      </c>
      <c r="L159" s="29">
        <f t="shared" si="20"/>
        <v>339.46</v>
      </c>
    </row>
    <row r="160" spans="1:14" s="31" customFormat="1" x14ac:dyDescent="0.2">
      <c r="A160" s="32" t="s">
        <v>440</v>
      </c>
      <c r="B160" s="33"/>
      <c r="C160" s="63"/>
      <c r="D160" s="33"/>
      <c r="E160" s="33"/>
      <c r="F160" s="28"/>
      <c r="G160" s="29"/>
      <c r="H160" s="77"/>
      <c r="I160" s="90">
        <v>0</v>
      </c>
      <c r="J160" s="91">
        <f t="shared" si="17"/>
        <v>0</v>
      </c>
      <c r="K160" s="30">
        <f t="shared" si="19"/>
        <v>0</v>
      </c>
      <c r="L160" s="29">
        <f t="shared" si="20"/>
        <v>0</v>
      </c>
    </row>
    <row r="161" spans="1:12" s="31" customFormat="1" x14ac:dyDescent="0.2">
      <c r="A161" s="25" t="s">
        <v>207</v>
      </c>
      <c r="B161" s="26" t="s">
        <v>432</v>
      </c>
      <c r="C161" s="64" t="s">
        <v>433</v>
      </c>
      <c r="D161" s="25" t="s">
        <v>103</v>
      </c>
      <c r="E161" s="27">
        <v>26.4</v>
      </c>
      <c r="F161" s="28">
        <f t="shared" si="16"/>
        <v>1079.2799242424244</v>
      </c>
      <c r="G161" s="29">
        <v>28492.99</v>
      </c>
      <c r="H161" s="77">
        <v>26.4</v>
      </c>
      <c r="I161" s="90">
        <v>0</v>
      </c>
      <c r="J161" s="91">
        <f t="shared" si="17"/>
        <v>0</v>
      </c>
      <c r="K161" s="30">
        <f t="shared" si="19"/>
        <v>0</v>
      </c>
      <c r="L161" s="29">
        <f t="shared" si="20"/>
        <v>28492.99</v>
      </c>
    </row>
    <row r="162" spans="1:12" s="31" customFormat="1" ht="22.5" x14ac:dyDescent="0.2">
      <c r="A162" s="25" t="s">
        <v>208</v>
      </c>
      <c r="B162" s="26" t="s">
        <v>441</v>
      </c>
      <c r="C162" s="64" t="s">
        <v>442</v>
      </c>
      <c r="D162" s="25" t="s">
        <v>55</v>
      </c>
      <c r="E162" s="27">
        <v>0.26400000000000001</v>
      </c>
      <c r="F162" s="28">
        <f t="shared" si="16"/>
        <v>6445.2272727272721</v>
      </c>
      <c r="G162" s="29">
        <v>1701.54</v>
      </c>
      <c r="H162" s="77">
        <v>0.26400000000000001</v>
      </c>
      <c r="I162" s="90">
        <v>0</v>
      </c>
      <c r="J162" s="91">
        <f t="shared" si="17"/>
        <v>0</v>
      </c>
      <c r="K162" s="30">
        <f t="shared" si="19"/>
        <v>0</v>
      </c>
      <c r="L162" s="29">
        <f t="shared" si="20"/>
        <v>1701.54</v>
      </c>
    </row>
    <row r="163" spans="1:12" s="31" customFormat="1" ht="22.5" x14ac:dyDescent="0.2">
      <c r="A163" s="25" t="s">
        <v>209</v>
      </c>
      <c r="B163" s="26" t="s">
        <v>443</v>
      </c>
      <c r="C163" s="64" t="s">
        <v>444</v>
      </c>
      <c r="D163" s="25" t="s">
        <v>61</v>
      </c>
      <c r="E163" s="27">
        <v>5.3</v>
      </c>
      <c r="F163" s="28">
        <f t="shared" si="16"/>
        <v>123.13962264150943</v>
      </c>
      <c r="G163" s="29">
        <v>652.64</v>
      </c>
      <c r="H163" s="77">
        <v>5.3</v>
      </c>
      <c r="I163" s="90">
        <v>0</v>
      </c>
      <c r="J163" s="91">
        <f t="shared" si="17"/>
        <v>0</v>
      </c>
      <c r="K163" s="30">
        <f t="shared" si="19"/>
        <v>0</v>
      </c>
      <c r="L163" s="29">
        <f t="shared" si="20"/>
        <v>652.64</v>
      </c>
    </row>
    <row r="164" spans="1:12" s="31" customFormat="1" ht="45" x14ac:dyDescent="0.2">
      <c r="A164" s="25" t="s">
        <v>210</v>
      </c>
      <c r="B164" s="26" t="s">
        <v>445</v>
      </c>
      <c r="C164" s="64" t="s">
        <v>446</v>
      </c>
      <c r="D164" s="25" t="s">
        <v>55</v>
      </c>
      <c r="E164" s="27">
        <v>0.26400000000000001</v>
      </c>
      <c r="F164" s="28">
        <f t="shared" si="16"/>
        <v>50349.166666666664</v>
      </c>
      <c r="G164" s="29">
        <v>13292.18</v>
      </c>
      <c r="H164" s="77">
        <v>0.26400000000000001</v>
      </c>
      <c r="I164" s="90">
        <v>0</v>
      </c>
      <c r="J164" s="91">
        <f t="shared" si="17"/>
        <v>0</v>
      </c>
      <c r="K164" s="30">
        <f t="shared" si="19"/>
        <v>0</v>
      </c>
      <c r="L164" s="29">
        <f t="shared" si="20"/>
        <v>13292.18</v>
      </c>
    </row>
    <row r="165" spans="1:12" s="31" customFormat="1" ht="22.5" x14ac:dyDescent="0.2">
      <c r="A165" s="25" t="s">
        <v>211</v>
      </c>
      <c r="B165" s="26" t="s">
        <v>447</v>
      </c>
      <c r="C165" s="64" t="s">
        <v>448</v>
      </c>
      <c r="D165" s="25" t="s">
        <v>55</v>
      </c>
      <c r="E165" s="27">
        <v>-0.26400000000000001</v>
      </c>
      <c r="F165" s="28">
        <f t="shared" si="16"/>
        <v>4840.3409090909081</v>
      </c>
      <c r="G165" s="29">
        <v>-1277.8499999999999</v>
      </c>
      <c r="H165" s="77">
        <f>E165</f>
        <v>-0.26400000000000001</v>
      </c>
      <c r="I165" s="90">
        <v>0</v>
      </c>
      <c r="J165" s="91">
        <f t="shared" si="17"/>
        <v>0</v>
      </c>
      <c r="K165" s="30">
        <f t="shared" si="19"/>
        <v>0</v>
      </c>
      <c r="L165" s="29">
        <f t="shared" si="20"/>
        <v>-1277.8499999999999</v>
      </c>
    </row>
    <row r="166" spans="1:12" s="31" customFormat="1" ht="33.75" x14ac:dyDescent="0.2">
      <c r="A166" s="25" t="s">
        <v>212</v>
      </c>
      <c r="B166" s="26" t="s">
        <v>449</v>
      </c>
      <c r="C166" s="64" t="s">
        <v>450</v>
      </c>
      <c r="D166" s="25" t="s">
        <v>61</v>
      </c>
      <c r="E166" s="27">
        <v>792</v>
      </c>
      <c r="F166" s="28">
        <f t="shared" si="16"/>
        <v>95.88000000000001</v>
      </c>
      <c r="G166" s="29">
        <v>75936.960000000006</v>
      </c>
      <c r="H166" s="77">
        <v>792</v>
      </c>
      <c r="I166" s="90">
        <v>0</v>
      </c>
      <c r="J166" s="91">
        <f t="shared" si="17"/>
        <v>0</v>
      </c>
      <c r="K166" s="30">
        <f t="shared" si="19"/>
        <v>0</v>
      </c>
      <c r="L166" s="29">
        <f t="shared" si="20"/>
        <v>75936.960000000006</v>
      </c>
    </row>
    <row r="167" spans="1:12" s="31" customFormat="1" ht="33.75" x14ac:dyDescent="0.2">
      <c r="A167" s="25" t="s">
        <v>213</v>
      </c>
      <c r="B167" s="26" t="s">
        <v>451</v>
      </c>
      <c r="C167" s="64" t="s">
        <v>452</v>
      </c>
      <c r="D167" s="25" t="s">
        <v>17</v>
      </c>
      <c r="E167" s="27">
        <v>0.39600000000000002</v>
      </c>
      <c r="F167" s="28">
        <f t="shared" si="16"/>
        <v>7489.0404040404037</v>
      </c>
      <c r="G167" s="29">
        <v>2965.66</v>
      </c>
      <c r="H167" s="77">
        <v>0.39600000000000002</v>
      </c>
      <c r="I167" s="90">
        <v>0</v>
      </c>
      <c r="J167" s="91">
        <f t="shared" si="17"/>
        <v>0</v>
      </c>
      <c r="K167" s="30">
        <f t="shared" si="19"/>
        <v>0</v>
      </c>
      <c r="L167" s="29">
        <f t="shared" si="20"/>
        <v>2965.66</v>
      </c>
    </row>
    <row r="168" spans="1:12" s="31" customFormat="1" ht="33.75" x14ac:dyDescent="0.2">
      <c r="A168" s="25" t="s">
        <v>214</v>
      </c>
      <c r="B168" s="26" t="s">
        <v>453</v>
      </c>
      <c r="C168" s="64" t="s">
        <v>454</v>
      </c>
      <c r="D168" s="25" t="s">
        <v>55</v>
      </c>
      <c r="E168" s="27">
        <v>0.26400000000000001</v>
      </c>
      <c r="F168" s="28">
        <f t="shared" si="16"/>
        <v>20380.189393939392</v>
      </c>
      <c r="G168" s="29">
        <v>5380.37</v>
      </c>
      <c r="H168" s="77">
        <v>0.26400000000000001</v>
      </c>
      <c r="I168" s="90">
        <v>0</v>
      </c>
      <c r="J168" s="91">
        <f t="shared" si="17"/>
        <v>0</v>
      </c>
      <c r="K168" s="30">
        <f t="shared" si="19"/>
        <v>0</v>
      </c>
      <c r="L168" s="29">
        <f t="shared" si="20"/>
        <v>5380.37</v>
      </c>
    </row>
    <row r="169" spans="1:12" s="31" customFormat="1" ht="33.75" x14ac:dyDescent="0.2">
      <c r="A169" s="25" t="s">
        <v>215</v>
      </c>
      <c r="B169" s="26" t="s">
        <v>455</v>
      </c>
      <c r="C169" s="64" t="s">
        <v>456</v>
      </c>
      <c r="D169" s="25" t="s">
        <v>388</v>
      </c>
      <c r="E169" s="27">
        <v>3.2</v>
      </c>
      <c r="F169" s="28">
        <f t="shared" si="16"/>
        <v>111.128125</v>
      </c>
      <c r="G169" s="29">
        <v>355.61</v>
      </c>
      <c r="H169" s="77">
        <v>3.2</v>
      </c>
      <c r="I169" s="90">
        <v>0</v>
      </c>
      <c r="J169" s="91">
        <f t="shared" si="17"/>
        <v>0</v>
      </c>
      <c r="K169" s="30">
        <f t="shared" si="19"/>
        <v>0</v>
      </c>
      <c r="L169" s="29">
        <f t="shared" si="20"/>
        <v>355.61</v>
      </c>
    </row>
    <row r="170" spans="1:12" s="31" customFormat="1" x14ac:dyDescent="0.2">
      <c r="A170" s="32" t="s">
        <v>457</v>
      </c>
      <c r="B170" s="33"/>
      <c r="C170" s="63"/>
      <c r="D170" s="33"/>
      <c r="E170" s="33"/>
      <c r="F170" s="28"/>
      <c r="G170" s="29"/>
      <c r="H170" s="30"/>
      <c r="I170" s="90"/>
      <c r="J170" s="91">
        <f t="shared" si="17"/>
        <v>0</v>
      </c>
      <c r="K170" s="30">
        <f t="shared" si="19"/>
        <v>0</v>
      </c>
      <c r="L170" s="80">
        <f t="shared" si="20"/>
        <v>0</v>
      </c>
    </row>
    <row r="171" spans="1:12" s="31" customFormat="1" x14ac:dyDescent="0.2">
      <c r="A171" s="25" t="s">
        <v>216</v>
      </c>
      <c r="B171" s="26" t="s">
        <v>432</v>
      </c>
      <c r="C171" s="64" t="s">
        <v>433</v>
      </c>
      <c r="D171" s="25" t="s">
        <v>103</v>
      </c>
      <c r="E171" s="27">
        <v>77</v>
      </c>
      <c r="F171" s="28">
        <f t="shared" si="16"/>
        <v>1079.2725974025975</v>
      </c>
      <c r="G171" s="29">
        <v>83103.990000000005</v>
      </c>
      <c r="H171" s="30"/>
      <c r="I171" s="90"/>
      <c r="J171" s="91">
        <f t="shared" si="17"/>
        <v>0</v>
      </c>
      <c r="K171" s="30">
        <f t="shared" si="19"/>
        <v>77</v>
      </c>
      <c r="L171" s="80">
        <f t="shared" si="20"/>
        <v>83103.990000000005</v>
      </c>
    </row>
    <row r="172" spans="1:12" s="31" customFormat="1" x14ac:dyDescent="0.2">
      <c r="A172" s="25" t="s">
        <v>217</v>
      </c>
      <c r="B172" s="26" t="s">
        <v>152</v>
      </c>
      <c r="C172" s="64" t="s">
        <v>153</v>
      </c>
      <c r="D172" s="25" t="s">
        <v>103</v>
      </c>
      <c r="E172" s="27">
        <v>77</v>
      </c>
      <c r="F172" s="28">
        <f t="shared" si="16"/>
        <v>181.19922077922078</v>
      </c>
      <c r="G172" s="29">
        <v>13952.34</v>
      </c>
      <c r="H172" s="30"/>
      <c r="I172" s="90"/>
      <c r="J172" s="91">
        <f t="shared" si="17"/>
        <v>0</v>
      </c>
      <c r="K172" s="30">
        <f t="shared" si="19"/>
        <v>77</v>
      </c>
      <c r="L172" s="80">
        <f t="shared" si="20"/>
        <v>13952.34</v>
      </c>
    </row>
    <row r="173" spans="1:12" s="31" customFormat="1" ht="22.5" x14ac:dyDescent="0.2">
      <c r="A173" s="25" t="s">
        <v>218</v>
      </c>
      <c r="B173" s="26" t="s">
        <v>434</v>
      </c>
      <c r="C173" s="64" t="s">
        <v>435</v>
      </c>
      <c r="D173" s="25" t="s">
        <v>55</v>
      </c>
      <c r="E173" s="27">
        <v>0.77</v>
      </c>
      <c r="F173" s="28">
        <f t="shared" si="16"/>
        <v>21920.987012987011</v>
      </c>
      <c r="G173" s="29">
        <v>16879.16</v>
      </c>
      <c r="H173" s="30"/>
      <c r="I173" s="90"/>
      <c r="J173" s="91">
        <f t="shared" si="17"/>
        <v>0</v>
      </c>
      <c r="K173" s="30">
        <f t="shared" si="19"/>
        <v>0.77</v>
      </c>
      <c r="L173" s="80">
        <f t="shared" si="20"/>
        <v>16879.16</v>
      </c>
    </row>
    <row r="174" spans="1:12" s="31" customFormat="1" x14ac:dyDescent="0.2">
      <c r="A174" s="25" t="s">
        <v>219</v>
      </c>
      <c r="B174" s="26" t="s">
        <v>436</v>
      </c>
      <c r="C174" s="64" t="s">
        <v>437</v>
      </c>
      <c r="D174" s="25" t="s">
        <v>47</v>
      </c>
      <c r="E174" s="27">
        <v>-4.0039999999999999E-2</v>
      </c>
      <c r="F174" s="28">
        <f t="shared" si="16"/>
        <v>257039.96003996002</v>
      </c>
      <c r="G174" s="29">
        <v>-10291.879999999999</v>
      </c>
      <c r="H174" s="30"/>
      <c r="I174" s="90"/>
      <c r="J174" s="91">
        <f t="shared" si="17"/>
        <v>0</v>
      </c>
      <c r="K174" s="30">
        <f t="shared" si="19"/>
        <v>-4.0039999999999999E-2</v>
      </c>
      <c r="L174" s="80">
        <f t="shared" si="20"/>
        <v>-10291.879999999999</v>
      </c>
    </row>
    <row r="175" spans="1:12" s="31" customFormat="1" x14ac:dyDescent="0.2">
      <c r="A175" s="25" t="s">
        <v>220</v>
      </c>
      <c r="B175" s="26" t="s">
        <v>438</v>
      </c>
      <c r="C175" s="64" t="s">
        <v>439</v>
      </c>
      <c r="D175" s="25" t="s">
        <v>47</v>
      </c>
      <c r="E175" s="27">
        <v>1.9300000000000001E-2</v>
      </c>
      <c r="F175" s="28">
        <f t="shared" si="16"/>
        <v>242495.85492227977</v>
      </c>
      <c r="G175" s="29">
        <v>4680.17</v>
      </c>
      <c r="H175" s="30"/>
      <c r="I175" s="90"/>
      <c r="J175" s="91">
        <f t="shared" si="17"/>
        <v>0</v>
      </c>
      <c r="K175" s="30">
        <f t="shared" si="19"/>
        <v>1.9300000000000001E-2</v>
      </c>
      <c r="L175" s="80">
        <f t="shared" si="20"/>
        <v>4680.17</v>
      </c>
    </row>
    <row r="176" spans="1:12" x14ac:dyDescent="0.2">
      <c r="A176" s="20" t="s">
        <v>458</v>
      </c>
      <c r="B176" s="14"/>
      <c r="C176" s="60"/>
      <c r="D176" s="14"/>
      <c r="E176" s="14"/>
      <c r="F176" s="22"/>
      <c r="G176" s="19"/>
      <c r="H176" s="15"/>
      <c r="I176" s="85"/>
      <c r="J176" s="86">
        <f t="shared" si="17"/>
        <v>0</v>
      </c>
      <c r="K176" s="15">
        <f t="shared" si="19"/>
        <v>0</v>
      </c>
      <c r="L176" s="78">
        <f t="shared" si="20"/>
        <v>0</v>
      </c>
    </row>
    <row r="177" spans="1:12" x14ac:dyDescent="0.2">
      <c r="A177" s="16" t="s">
        <v>221</v>
      </c>
      <c r="B177" s="17" t="s">
        <v>432</v>
      </c>
      <c r="C177" s="61" t="s">
        <v>433</v>
      </c>
      <c r="D177" s="16" t="s">
        <v>103</v>
      </c>
      <c r="E177" s="18">
        <v>56.7</v>
      </c>
      <c r="F177" s="22">
        <f t="shared" si="16"/>
        <v>1079.2768959435625</v>
      </c>
      <c r="G177" s="19">
        <v>61195</v>
      </c>
      <c r="H177" s="23">
        <v>56.7</v>
      </c>
      <c r="I177" s="85">
        <f>H177</f>
        <v>56.7</v>
      </c>
      <c r="J177" s="86">
        <f t="shared" si="17"/>
        <v>61195</v>
      </c>
      <c r="K177" s="15">
        <f t="shared" si="19"/>
        <v>0</v>
      </c>
      <c r="L177" s="78">
        <f t="shared" si="20"/>
        <v>0</v>
      </c>
    </row>
    <row r="178" spans="1:12" x14ac:dyDescent="0.2">
      <c r="A178" s="16" t="s">
        <v>222</v>
      </c>
      <c r="B178" s="17" t="s">
        <v>459</v>
      </c>
      <c r="C178" s="61" t="s">
        <v>460</v>
      </c>
      <c r="D178" s="16" t="s">
        <v>55</v>
      </c>
      <c r="E178" s="18">
        <v>0.624</v>
      </c>
      <c r="F178" s="22">
        <f t="shared" si="16"/>
        <v>17042.884615384617</v>
      </c>
      <c r="G178" s="19">
        <v>10634.76</v>
      </c>
      <c r="H178" s="23">
        <v>0.624</v>
      </c>
      <c r="I178" s="85">
        <f t="shared" ref="I178:I212" si="21">H178</f>
        <v>0.624</v>
      </c>
      <c r="J178" s="86">
        <f t="shared" si="17"/>
        <v>10634.76</v>
      </c>
      <c r="K178" s="15">
        <f t="shared" si="19"/>
        <v>0</v>
      </c>
      <c r="L178" s="78">
        <f t="shared" si="20"/>
        <v>0</v>
      </c>
    </row>
    <row r="179" spans="1:12" x14ac:dyDescent="0.2">
      <c r="A179" s="16" t="s">
        <v>223</v>
      </c>
      <c r="B179" s="17" t="s">
        <v>461</v>
      </c>
      <c r="C179" s="61" t="s">
        <v>462</v>
      </c>
      <c r="D179" s="16" t="s">
        <v>103</v>
      </c>
      <c r="E179" s="18">
        <v>-68.64</v>
      </c>
      <c r="F179" s="22">
        <f t="shared" si="16"/>
        <v>50.59222027972028</v>
      </c>
      <c r="G179" s="19">
        <v>-3472.65</v>
      </c>
      <c r="H179" s="23">
        <f>E179</f>
        <v>-68.64</v>
      </c>
      <c r="I179" s="85">
        <f t="shared" si="21"/>
        <v>-68.64</v>
      </c>
      <c r="J179" s="86">
        <f t="shared" si="17"/>
        <v>-3472.65</v>
      </c>
      <c r="K179" s="15">
        <f t="shared" si="19"/>
        <v>0</v>
      </c>
      <c r="L179" s="78">
        <f t="shared" si="20"/>
        <v>0</v>
      </c>
    </row>
    <row r="180" spans="1:12" x14ac:dyDescent="0.2">
      <c r="A180" s="16" t="s">
        <v>224</v>
      </c>
      <c r="B180" s="17" t="s">
        <v>463</v>
      </c>
      <c r="C180" s="61" t="s">
        <v>464</v>
      </c>
      <c r="D180" s="16" t="s">
        <v>324</v>
      </c>
      <c r="E180" s="18">
        <v>6.24</v>
      </c>
      <c r="F180" s="22">
        <f t="shared" si="16"/>
        <v>224.40064102564102</v>
      </c>
      <c r="G180" s="19">
        <v>1400.26</v>
      </c>
      <c r="H180" s="23">
        <v>6.24</v>
      </c>
      <c r="I180" s="85">
        <f t="shared" si="21"/>
        <v>6.24</v>
      </c>
      <c r="J180" s="86">
        <f t="shared" si="17"/>
        <v>1400.26</v>
      </c>
      <c r="K180" s="15">
        <f t="shared" si="19"/>
        <v>0</v>
      </c>
      <c r="L180" s="78">
        <f t="shared" si="20"/>
        <v>0</v>
      </c>
    </row>
    <row r="181" spans="1:12" ht="22.5" x14ac:dyDescent="0.2">
      <c r="A181" s="16" t="s">
        <v>225</v>
      </c>
      <c r="B181" s="17" t="s">
        <v>465</v>
      </c>
      <c r="C181" s="61" t="s">
        <v>466</v>
      </c>
      <c r="D181" s="16" t="s">
        <v>55</v>
      </c>
      <c r="E181" s="18">
        <v>0.56699999999999995</v>
      </c>
      <c r="F181" s="22">
        <f t="shared" si="16"/>
        <v>69022.275132275128</v>
      </c>
      <c r="G181" s="19">
        <v>39135.629999999997</v>
      </c>
      <c r="H181" s="23">
        <v>0.56699999999999995</v>
      </c>
      <c r="I181" s="85">
        <f t="shared" si="21"/>
        <v>0.56699999999999995</v>
      </c>
      <c r="J181" s="86">
        <f t="shared" si="17"/>
        <v>39135.629999999997</v>
      </c>
      <c r="K181" s="15">
        <f t="shared" si="19"/>
        <v>0</v>
      </c>
      <c r="L181" s="78">
        <f t="shared" si="20"/>
        <v>0</v>
      </c>
    </row>
    <row r="182" spans="1:12" ht="22.5" x14ac:dyDescent="0.2">
      <c r="A182" s="16" t="s">
        <v>226</v>
      </c>
      <c r="B182" s="17" t="s">
        <v>467</v>
      </c>
      <c r="C182" s="61" t="s">
        <v>468</v>
      </c>
      <c r="D182" s="16" t="s">
        <v>55</v>
      </c>
      <c r="E182" s="18">
        <v>0.56699999999999995</v>
      </c>
      <c r="F182" s="22">
        <f t="shared" si="16"/>
        <v>54176.860670194008</v>
      </c>
      <c r="G182" s="19">
        <v>30718.28</v>
      </c>
      <c r="H182" s="23">
        <v>0.56699999999999995</v>
      </c>
      <c r="I182" s="85">
        <f t="shared" si="21"/>
        <v>0.56699999999999995</v>
      </c>
      <c r="J182" s="86">
        <f t="shared" si="17"/>
        <v>30718.28</v>
      </c>
      <c r="K182" s="15">
        <f t="shared" si="19"/>
        <v>0</v>
      </c>
      <c r="L182" s="78">
        <f t="shared" si="20"/>
        <v>0</v>
      </c>
    </row>
    <row r="183" spans="1:12" x14ac:dyDescent="0.2">
      <c r="A183" s="16" t="s">
        <v>227</v>
      </c>
      <c r="B183" s="17" t="s">
        <v>469</v>
      </c>
      <c r="C183" s="61" t="s">
        <v>470</v>
      </c>
      <c r="D183" s="16" t="s">
        <v>17</v>
      </c>
      <c r="E183" s="18">
        <v>6</v>
      </c>
      <c r="F183" s="22">
        <f t="shared" si="16"/>
        <v>7400.956666666666</v>
      </c>
      <c r="G183" s="19">
        <v>44405.74</v>
      </c>
      <c r="H183" s="23">
        <v>6</v>
      </c>
      <c r="I183" s="85">
        <f t="shared" si="21"/>
        <v>6</v>
      </c>
      <c r="J183" s="86">
        <f t="shared" si="17"/>
        <v>44405.74</v>
      </c>
      <c r="K183" s="15">
        <f t="shared" si="19"/>
        <v>0</v>
      </c>
      <c r="L183" s="78">
        <f t="shared" si="20"/>
        <v>0</v>
      </c>
    </row>
    <row r="184" spans="1:12" x14ac:dyDescent="0.2">
      <c r="A184" s="16" t="s">
        <v>228</v>
      </c>
      <c r="B184" s="17" t="s">
        <v>471</v>
      </c>
      <c r="C184" s="61" t="s">
        <v>472</v>
      </c>
      <c r="D184" s="16" t="s">
        <v>55</v>
      </c>
      <c r="E184" s="18">
        <v>0.56999999999999995</v>
      </c>
      <c r="F184" s="22">
        <f t="shared" si="16"/>
        <v>104675.38596491229</v>
      </c>
      <c r="G184" s="19">
        <v>59664.97</v>
      </c>
      <c r="H184" s="23">
        <v>0.56999999999999995</v>
      </c>
      <c r="I184" s="85">
        <f t="shared" si="21"/>
        <v>0.56999999999999995</v>
      </c>
      <c r="J184" s="86">
        <f t="shared" si="17"/>
        <v>59664.97</v>
      </c>
      <c r="K184" s="15">
        <f t="shared" si="19"/>
        <v>0</v>
      </c>
      <c r="L184" s="78">
        <f t="shared" si="20"/>
        <v>0</v>
      </c>
    </row>
    <row r="185" spans="1:12" ht="22.5" x14ac:dyDescent="0.2">
      <c r="A185" s="16" t="s">
        <v>229</v>
      </c>
      <c r="B185" s="17" t="s">
        <v>473</v>
      </c>
      <c r="C185" s="61" t="s">
        <v>474</v>
      </c>
      <c r="D185" s="16" t="s">
        <v>103</v>
      </c>
      <c r="E185" s="18">
        <v>-65.55</v>
      </c>
      <c r="F185" s="22">
        <f t="shared" si="16"/>
        <v>100.93882532418002</v>
      </c>
      <c r="G185" s="19">
        <v>-6616.54</v>
      </c>
      <c r="H185" s="23">
        <f>E185</f>
        <v>-65.55</v>
      </c>
      <c r="I185" s="85">
        <f t="shared" si="21"/>
        <v>-65.55</v>
      </c>
      <c r="J185" s="86">
        <f t="shared" si="17"/>
        <v>-6616.54</v>
      </c>
      <c r="K185" s="15">
        <f t="shared" si="19"/>
        <v>0</v>
      </c>
      <c r="L185" s="78">
        <f t="shared" si="20"/>
        <v>0</v>
      </c>
    </row>
    <row r="186" spans="1:12" x14ac:dyDescent="0.2">
      <c r="A186" s="16" t="s">
        <v>230</v>
      </c>
      <c r="B186" s="17" t="s">
        <v>322</v>
      </c>
      <c r="C186" s="61" t="s">
        <v>323</v>
      </c>
      <c r="D186" s="16" t="s">
        <v>324</v>
      </c>
      <c r="E186" s="18">
        <v>6.5549999999999997</v>
      </c>
      <c r="F186" s="22">
        <f t="shared" si="16"/>
        <v>342.72006102212055</v>
      </c>
      <c r="G186" s="19">
        <v>2246.5300000000002</v>
      </c>
      <c r="H186" s="23">
        <f>E186</f>
        <v>6.5549999999999997</v>
      </c>
      <c r="I186" s="85">
        <f t="shared" si="21"/>
        <v>6.5549999999999997</v>
      </c>
      <c r="J186" s="86">
        <f t="shared" si="17"/>
        <v>2246.5300000000002</v>
      </c>
      <c r="K186" s="15">
        <f t="shared" si="19"/>
        <v>0</v>
      </c>
      <c r="L186" s="78">
        <f t="shared" si="20"/>
        <v>0</v>
      </c>
    </row>
    <row r="187" spans="1:12" ht="22.5" x14ac:dyDescent="0.2">
      <c r="A187" s="16" t="s">
        <v>231</v>
      </c>
      <c r="B187" s="17" t="s">
        <v>475</v>
      </c>
      <c r="C187" s="61" t="s">
        <v>476</v>
      </c>
      <c r="D187" s="16" t="s">
        <v>55</v>
      </c>
      <c r="E187" s="18">
        <v>0.56999999999999995</v>
      </c>
      <c r="F187" s="22">
        <f t="shared" si="16"/>
        <v>38132.789473684214</v>
      </c>
      <c r="G187" s="19">
        <v>21735.69</v>
      </c>
      <c r="H187" s="23">
        <v>0.56999999999999995</v>
      </c>
      <c r="I187" s="85">
        <f t="shared" si="21"/>
        <v>0.56999999999999995</v>
      </c>
      <c r="J187" s="86">
        <f t="shared" si="17"/>
        <v>21735.69</v>
      </c>
      <c r="K187" s="15">
        <f t="shared" si="19"/>
        <v>0</v>
      </c>
      <c r="L187" s="78">
        <f t="shared" si="20"/>
        <v>0</v>
      </c>
    </row>
    <row r="188" spans="1:12" ht="33.75" x14ac:dyDescent="0.2">
      <c r="A188" s="16" t="s">
        <v>232</v>
      </c>
      <c r="B188" s="17" t="s">
        <v>477</v>
      </c>
      <c r="C188" s="61" t="s">
        <v>478</v>
      </c>
      <c r="D188" s="16" t="s">
        <v>55</v>
      </c>
      <c r="E188" s="18">
        <v>0.56999999999999995</v>
      </c>
      <c r="F188" s="22">
        <f t="shared" si="16"/>
        <v>49073.666666666672</v>
      </c>
      <c r="G188" s="19">
        <v>27971.99</v>
      </c>
      <c r="H188" s="23">
        <v>0.56999999999999995</v>
      </c>
      <c r="I188" s="85">
        <f t="shared" si="21"/>
        <v>0.56999999999999995</v>
      </c>
      <c r="J188" s="86">
        <f t="shared" si="17"/>
        <v>27971.99</v>
      </c>
      <c r="K188" s="15">
        <f t="shared" si="19"/>
        <v>0</v>
      </c>
      <c r="L188" s="78">
        <f t="shared" si="20"/>
        <v>0</v>
      </c>
    </row>
    <row r="189" spans="1:12" x14ac:dyDescent="0.2">
      <c r="A189" s="16" t="s">
        <v>233</v>
      </c>
      <c r="B189" s="17" t="s">
        <v>479</v>
      </c>
      <c r="C189" s="61" t="s">
        <v>480</v>
      </c>
      <c r="D189" s="16" t="s">
        <v>17</v>
      </c>
      <c r="E189" s="18">
        <v>3</v>
      </c>
      <c r="F189" s="22">
        <f t="shared" si="16"/>
        <v>4896</v>
      </c>
      <c r="G189" s="19">
        <v>14688</v>
      </c>
      <c r="H189" s="23">
        <f>E189</f>
        <v>3</v>
      </c>
      <c r="I189" s="85">
        <f t="shared" si="21"/>
        <v>3</v>
      </c>
      <c r="J189" s="86">
        <f t="shared" si="17"/>
        <v>14688</v>
      </c>
      <c r="K189" s="15">
        <f t="shared" si="19"/>
        <v>0</v>
      </c>
      <c r="L189" s="78">
        <f t="shared" si="20"/>
        <v>0</v>
      </c>
    </row>
    <row r="190" spans="1:12" x14ac:dyDescent="0.2">
      <c r="A190" s="16" t="s">
        <v>234</v>
      </c>
      <c r="B190" s="17" t="s">
        <v>376</v>
      </c>
      <c r="C190" s="61" t="s">
        <v>377</v>
      </c>
      <c r="D190" s="16" t="s">
        <v>47</v>
      </c>
      <c r="E190" s="18">
        <v>0.113</v>
      </c>
      <c r="F190" s="22">
        <f t="shared" si="16"/>
        <v>18628.938053097347</v>
      </c>
      <c r="G190" s="19">
        <v>2105.0700000000002</v>
      </c>
      <c r="H190" s="23">
        <v>0.113</v>
      </c>
      <c r="I190" s="85">
        <f t="shared" si="21"/>
        <v>0.113</v>
      </c>
      <c r="J190" s="86">
        <f t="shared" si="17"/>
        <v>2105.0700000000002</v>
      </c>
      <c r="K190" s="15">
        <f t="shared" si="19"/>
        <v>0</v>
      </c>
      <c r="L190" s="78">
        <f t="shared" si="20"/>
        <v>0</v>
      </c>
    </row>
    <row r="191" spans="1:12" ht="22.5" x14ac:dyDescent="0.2">
      <c r="A191" s="16" t="s">
        <v>237</v>
      </c>
      <c r="B191" s="17" t="s">
        <v>481</v>
      </c>
      <c r="C191" s="61" t="s">
        <v>482</v>
      </c>
      <c r="D191" s="16" t="s">
        <v>103</v>
      </c>
      <c r="E191" s="18">
        <v>57</v>
      </c>
      <c r="F191" s="22">
        <f t="shared" si="16"/>
        <v>114.72964912280702</v>
      </c>
      <c r="G191" s="19">
        <v>6539.59</v>
      </c>
      <c r="H191" s="23">
        <v>57</v>
      </c>
      <c r="I191" s="85">
        <f t="shared" si="21"/>
        <v>57</v>
      </c>
      <c r="J191" s="86">
        <f t="shared" si="17"/>
        <v>6539.59</v>
      </c>
      <c r="K191" s="15">
        <f t="shared" si="19"/>
        <v>0</v>
      </c>
      <c r="L191" s="78">
        <f t="shared" si="20"/>
        <v>0</v>
      </c>
    </row>
    <row r="192" spans="1:12" ht="33.75" x14ac:dyDescent="0.2">
      <c r="A192" s="16" t="s">
        <v>238</v>
      </c>
      <c r="B192" s="17" t="s">
        <v>483</v>
      </c>
      <c r="C192" s="61" t="s">
        <v>484</v>
      </c>
      <c r="D192" s="16" t="s">
        <v>55</v>
      </c>
      <c r="E192" s="18">
        <v>0.56999999999999995</v>
      </c>
      <c r="F192" s="22">
        <f t="shared" si="16"/>
        <v>4562.1403508771937</v>
      </c>
      <c r="G192" s="19">
        <v>2600.42</v>
      </c>
      <c r="H192" s="23">
        <v>0.56999999999999995</v>
      </c>
      <c r="I192" s="85">
        <f t="shared" si="21"/>
        <v>0.56999999999999995</v>
      </c>
      <c r="J192" s="86">
        <f t="shared" si="17"/>
        <v>2600.42</v>
      </c>
      <c r="K192" s="15">
        <f t="shared" si="19"/>
        <v>0</v>
      </c>
      <c r="L192" s="78">
        <f t="shared" si="20"/>
        <v>0</v>
      </c>
    </row>
    <row r="193" spans="1:12" x14ac:dyDescent="0.2">
      <c r="A193" s="16" t="s">
        <v>239</v>
      </c>
      <c r="B193" s="17" t="s">
        <v>485</v>
      </c>
      <c r="C193" s="61" t="s">
        <v>486</v>
      </c>
      <c r="D193" s="16" t="s">
        <v>47</v>
      </c>
      <c r="E193" s="18">
        <v>-2.5649999999999999E-2</v>
      </c>
      <c r="F193" s="22">
        <f t="shared" si="16"/>
        <v>16320.077972709552</v>
      </c>
      <c r="G193" s="19">
        <v>-418.61</v>
      </c>
      <c r="H193" s="23">
        <f>E193</f>
        <v>-2.5649999999999999E-2</v>
      </c>
      <c r="I193" s="85">
        <f t="shared" si="21"/>
        <v>-2.5649999999999999E-2</v>
      </c>
      <c r="J193" s="86">
        <f t="shared" si="17"/>
        <v>-418.61</v>
      </c>
      <c r="K193" s="15">
        <f t="shared" si="19"/>
        <v>0</v>
      </c>
      <c r="L193" s="78">
        <f t="shared" si="20"/>
        <v>0</v>
      </c>
    </row>
    <row r="194" spans="1:12" ht="45" x14ac:dyDescent="0.2">
      <c r="A194" s="16" t="s">
        <v>240</v>
      </c>
      <c r="B194" s="17" t="s">
        <v>487</v>
      </c>
      <c r="C194" s="61" t="s">
        <v>488</v>
      </c>
      <c r="D194" s="16" t="s">
        <v>388</v>
      </c>
      <c r="E194" s="18">
        <v>20</v>
      </c>
      <c r="F194" s="22">
        <f t="shared" si="16"/>
        <v>68.870500000000007</v>
      </c>
      <c r="G194" s="19">
        <v>1377.41</v>
      </c>
      <c r="H194" s="23">
        <v>20</v>
      </c>
      <c r="I194" s="85">
        <f t="shared" si="21"/>
        <v>20</v>
      </c>
      <c r="J194" s="86">
        <f t="shared" si="17"/>
        <v>1377.41</v>
      </c>
      <c r="K194" s="15">
        <f t="shared" si="19"/>
        <v>0</v>
      </c>
      <c r="L194" s="78">
        <f t="shared" si="20"/>
        <v>0</v>
      </c>
    </row>
    <row r="195" spans="1:12" ht="22.5" x14ac:dyDescent="0.2">
      <c r="A195" s="16" t="s">
        <v>241</v>
      </c>
      <c r="B195" s="17" t="s">
        <v>489</v>
      </c>
      <c r="C195" s="61" t="s">
        <v>490</v>
      </c>
      <c r="D195" s="16" t="s">
        <v>55</v>
      </c>
      <c r="E195" s="18">
        <v>0.68</v>
      </c>
      <c r="F195" s="22">
        <f t="shared" si="16"/>
        <v>22912.926470588234</v>
      </c>
      <c r="G195" s="19">
        <v>15580.79</v>
      </c>
      <c r="H195" s="23">
        <v>0.68</v>
      </c>
      <c r="I195" s="85">
        <f t="shared" si="21"/>
        <v>0.68</v>
      </c>
      <c r="J195" s="86">
        <f>F195*I195</f>
        <v>15580.79</v>
      </c>
      <c r="K195" s="15">
        <f t="shared" si="19"/>
        <v>0</v>
      </c>
      <c r="L195" s="78">
        <f t="shared" si="20"/>
        <v>0</v>
      </c>
    </row>
    <row r="196" spans="1:12" ht="56.25" x14ac:dyDescent="0.2">
      <c r="A196" s="16" t="s">
        <v>242</v>
      </c>
      <c r="B196" s="17" t="s">
        <v>491</v>
      </c>
      <c r="C196" s="61" t="s">
        <v>492</v>
      </c>
      <c r="D196" s="16" t="s">
        <v>103</v>
      </c>
      <c r="E196" s="18">
        <v>68</v>
      </c>
      <c r="F196" s="22">
        <f t="shared" si="16"/>
        <v>201.55205882352942</v>
      </c>
      <c r="G196" s="19">
        <v>13705.54</v>
      </c>
      <c r="H196" s="23">
        <v>68</v>
      </c>
      <c r="I196" s="85">
        <f t="shared" si="21"/>
        <v>68</v>
      </c>
      <c r="J196" s="86">
        <f t="shared" si="17"/>
        <v>13705.54</v>
      </c>
      <c r="K196" s="15">
        <f t="shared" si="19"/>
        <v>0</v>
      </c>
      <c r="L196" s="78">
        <f t="shared" si="20"/>
        <v>0</v>
      </c>
    </row>
    <row r="197" spans="1:12" ht="56.25" x14ac:dyDescent="0.2">
      <c r="A197" s="16" t="s">
        <v>243</v>
      </c>
      <c r="B197" s="17" t="s">
        <v>493</v>
      </c>
      <c r="C197" s="61" t="s">
        <v>494</v>
      </c>
      <c r="D197" s="16" t="s">
        <v>103</v>
      </c>
      <c r="E197" s="18">
        <v>68</v>
      </c>
      <c r="F197" s="22">
        <f t="shared" ref="F197:F212" si="22">G197/E197</f>
        <v>203.51044117647058</v>
      </c>
      <c r="G197" s="19">
        <v>13838.71</v>
      </c>
      <c r="H197" s="23">
        <v>68</v>
      </c>
      <c r="I197" s="85">
        <f t="shared" si="21"/>
        <v>68</v>
      </c>
      <c r="J197" s="86">
        <f t="shared" ref="J197:J212" si="23">F197*I197</f>
        <v>13838.71</v>
      </c>
      <c r="K197" s="15">
        <f t="shared" si="19"/>
        <v>0</v>
      </c>
      <c r="L197" s="78">
        <f t="shared" si="20"/>
        <v>0</v>
      </c>
    </row>
    <row r="198" spans="1:12" x14ac:dyDescent="0.2">
      <c r="A198" s="20" t="s">
        <v>495</v>
      </c>
      <c r="B198" s="14"/>
      <c r="C198" s="60"/>
      <c r="D198" s="14"/>
      <c r="E198" s="14"/>
      <c r="F198" s="22"/>
      <c r="G198" s="19"/>
      <c r="H198" s="15"/>
      <c r="I198" s="85">
        <f t="shared" si="21"/>
        <v>0</v>
      </c>
      <c r="J198" s="86">
        <f t="shared" si="23"/>
        <v>0</v>
      </c>
      <c r="K198" s="15">
        <f t="shared" si="19"/>
        <v>0</v>
      </c>
      <c r="L198" s="78">
        <f t="shared" si="20"/>
        <v>0</v>
      </c>
    </row>
    <row r="199" spans="1:12" x14ac:dyDescent="0.2">
      <c r="A199" s="20" t="s">
        <v>496</v>
      </c>
      <c r="B199" s="14"/>
      <c r="C199" s="60"/>
      <c r="D199" s="14"/>
      <c r="E199" s="14"/>
      <c r="F199" s="22"/>
      <c r="G199" s="19"/>
      <c r="H199" s="15"/>
      <c r="I199" s="85">
        <f t="shared" si="21"/>
        <v>0</v>
      </c>
      <c r="J199" s="86">
        <f t="shared" si="23"/>
        <v>0</v>
      </c>
      <c r="K199" s="15">
        <f t="shared" si="19"/>
        <v>0</v>
      </c>
      <c r="L199" s="78">
        <f t="shared" si="20"/>
        <v>0</v>
      </c>
    </row>
    <row r="200" spans="1:12" ht="33.75" x14ac:dyDescent="0.2">
      <c r="A200" s="16" t="s">
        <v>244</v>
      </c>
      <c r="B200" s="17" t="s">
        <v>497</v>
      </c>
      <c r="C200" s="61" t="s">
        <v>498</v>
      </c>
      <c r="D200" s="16" t="s">
        <v>3</v>
      </c>
      <c r="E200" s="18">
        <v>0.17799999999999999</v>
      </c>
      <c r="F200" s="22">
        <f t="shared" si="22"/>
        <v>102585.00000000001</v>
      </c>
      <c r="G200" s="19">
        <v>18260.13</v>
      </c>
      <c r="H200" s="23">
        <v>0.17799999999999999</v>
      </c>
      <c r="I200" s="85">
        <f t="shared" si="21"/>
        <v>0.17799999999999999</v>
      </c>
      <c r="J200" s="86">
        <f t="shared" si="23"/>
        <v>18260.13</v>
      </c>
      <c r="K200" s="15">
        <f t="shared" si="19"/>
        <v>0</v>
      </c>
      <c r="L200" s="78">
        <f t="shared" si="20"/>
        <v>0</v>
      </c>
    </row>
    <row r="201" spans="1:12" x14ac:dyDescent="0.2">
      <c r="A201" s="16" t="s">
        <v>245</v>
      </c>
      <c r="B201" s="17" t="s">
        <v>97</v>
      </c>
      <c r="C201" s="61" t="s">
        <v>98</v>
      </c>
      <c r="D201" s="16" t="s">
        <v>17</v>
      </c>
      <c r="E201" s="18">
        <v>-9.078E-2</v>
      </c>
      <c r="F201" s="22">
        <f t="shared" si="22"/>
        <v>4241.7933465521037</v>
      </c>
      <c r="G201" s="19">
        <v>-385.07</v>
      </c>
      <c r="H201" s="23">
        <f>E201</f>
        <v>-9.078E-2</v>
      </c>
      <c r="I201" s="85">
        <f t="shared" si="21"/>
        <v>-9.078E-2</v>
      </c>
      <c r="J201" s="86">
        <f t="shared" si="23"/>
        <v>-385.07</v>
      </c>
      <c r="K201" s="15">
        <f t="shared" si="19"/>
        <v>0</v>
      </c>
      <c r="L201" s="78">
        <f t="shared" si="20"/>
        <v>0</v>
      </c>
    </row>
    <row r="202" spans="1:12" x14ac:dyDescent="0.2">
      <c r="A202" s="16" t="s">
        <v>246</v>
      </c>
      <c r="B202" s="17" t="s">
        <v>499</v>
      </c>
      <c r="C202" s="61" t="s">
        <v>500</v>
      </c>
      <c r="D202" s="16" t="s">
        <v>47</v>
      </c>
      <c r="E202" s="18">
        <v>-3.56E-2</v>
      </c>
      <c r="F202" s="22">
        <f t="shared" si="22"/>
        <v>91392.134831460673</v>
      </c>
      <c r="G202" s="19">
        <v>-3253.56</v>
      </c>
      <c r="H202" s="23">
        <f t="shared" ref="H202:H203" si="24">E202</f>
        <v>-3.56E-2</v>
      </c>
      <c r="I202" s="85">
        <f t="shared" si="21"/>
        <v>-3.56E-2</v>
      </c>
      <c r="J202" s="86">
        <f t="shared" si="23"/>
        <v>-3253.56</v>
      </c>
      <c r="K202" s="15">
        <f t="shared" si="19"/>
        <v>0</v>
      </c>
      <c r="L202" s="78">
        <f t="shared" si="20"/>
        <v>0</v>
      </c>
    </row>
    <row r="203" spans="1:12" ht="22.5" x14ac:dyDescent="0.2">
      <c r="A203" s="16" t="s">
        <v>247</v>
      </c>
      <c r="B203" s="17" t="s">
        <v>501</v>
      </c>
      <c r="C203" s="61" t="s">
        <v>502</v>
      </c>
      <c r="D203" s="16" t="s">
        <v>61</v>
      </c>
      <c r="E203" s="18">
        <v>-1.1926000000000001</v>
      </c>
      <c r="F203" s="22">
        <f t="shared" si="22"/>
        <v>608.5443568673486</v>
      </c>
      <c r="G203" s="19">
        <v>-725.75</v>
      </c>
      <c r="H203" s="23">
        <f t="shared" si="24"/>
        <v>-1.1926000000000001</v>
      </c>
      <c r="I203" s="85">
        <f t="shared" si="21"/>
        <v>-1.1926000000000001</v>
      </c>
      <c r="J203" s="86">
        <f t="shared" si="23"/>
        <v>-725.75</v>
      </c>
      <c r="K203" s="15">
        <f t="shared" si="19"/>
        <v>0</v>
      </c>
      <c r="L203" s="78">
        <f t="shared" si="20"/>
        <v>0</v>
      </c>
    </row>
    <row r="204" spans="1:12" x14ac:dyDescent="0.2">
      <c r="A204" s="16" t="s">
        <v>248</v>
      </c>
      <c r="B204" s="17" t="s">
        <v>394</v>
      </c>
      <c r="C204" s="61" t="s">
        <v>395</v>
      </c>
      <c r="D204" s="16" t="s">
        <v>47</v>
      </c>
      <c r="E204" s="18">
        <v>8.6599999999999996E-2</v>
      </c>
      <c r="F204" s="22">
        <f t="shared" si="22"/>
        <v>88932.678983833714</v>
      </c>
      <c r="G204" s="19">
        <v>7701.57</v>
      </c>
      <c r="H204" s="23">
        <v>8.6599999999999996E-2</v>
      </c>
      <c r="I204" s="85">
        <f t="shared" si="21"/>
        <v>8.6599999999999996E-2</v>
      </c>
      <c r="J204" s="86">
        <f t="shared" si="23"/>
        <v>7701.57</v>
      </c>
      <c r="K204" s="15">
        <f t="shared" si="19"/>
        <v>0</v>
      </c>
      <c r="L204" s="78">
        <f t="shared" si="20"/>
        <v>0</v>
      </c>
    </row>
    <row r="205" spans="1:12" ht="22.5" x14ac:dyDescent="0.2">
      <c r="A205" s="16" t="s">
        <v>249</v>
      </c>
      <c r="B205" s="17" t="s">
        <v>503</v>
      </c>
      <c r="C205" s="61" t="s">
        <v>504</v>
      </c>
      <c r="D205" s="16" t="s">
        <v>17</v>
      </c>
      <c r="E205" s="18">
        <v>0.5</v>
      </c>
      <c r="F205" s="22">
        <f t="shared" si="22"/>
        <v>12962.16</v>
      </c>
      <c r="G205" s="19">
        <v>6481.08</v>
      </c>
      <c r="H205" s="23">
        <v>0.5</v>
      </c>
      <c r="I205" s="85">
        <f t="shared" si="21"/>
        <v>0.5</v>
      </c>
      <c r="J205" s="86">
        <f t="shared" si="23"/>
        <v>6481.08</v>
      </c>
      <c r="K205" s="15">
        <f t="shared" si="19"/>
        <v>0</v>
      </c>
      <c r="L205" s="78">
        <f t="shared" si="20"/>
        <v>0</v>
      </c>
    </row>
    <row r="206" spans="1:12" ht="45" x14ac:dyDescent="0.2">
      <c r="A206" s="16" t="s">
        <v>250</v>
      </c>
      <c r="B206" s="17" t="s">
        <v>505</v>
      </c>
      <c r="C206" s="61" t="s">
        <v>506</v>
      </c>
      <c r="D206" s="16" t="s">
        <v>103</v>
      </c>
      <c r="E206" s="18">
        <v>41.201999999999998</v>
      </c>
      <c r="F206" s="22">
        <f t="shared" si="22"/>
        <v>313.50711130527645</v>
      </c>
      <c r="G206" s="19">
        <v>12917.12</v>
      </c>
      <c r="H206" s="23">
        <f>E206</f>
        <v>41.201999999999998</v>
      </c>
      <c r="I206" s="85">
        <f>E206</f>
        <v>41.201999999999998</v>
      </c>
      <c r="J206" s="86">
        <f t="shared" si="23"/>
        <v>12917.119999999999</v>
      </c>
      <c r="K206" s="15">
        <f t="shared" si="19"/>
        <v>0</v>
      </c>
      <c r="L206" s="78">
        <f t="shared" si="20"/>
        <v>0</v>
      </c>
    </row>
    <row r="207" spans="1:12" ht="56.25" x14ac:dyDescent="0.2">
      <c r="A207" s="16" t="s">
        <v>251</v>
      </c>
      <c r="B207" s="17" t="s">
        <v>351</v>
      </c>
      <c r="C207" s="61" t="s">
        <v>352</v>
      </c>
      <c r="D207" s="16" t="s">
        <v>61</v>
      </c>
      <c r="E207" s="18">
        <v>4.2510000000000003</v>
      </c>
      <c r="F207" s="22">
        <f t="shared" si="22"/>
        <v>201.47494707127734</v>
      </c>
      <c r="G207" s="19">
        <v>856.47</v>
      </c>
      <c r="H207" s="23">
        <f>E207</f>
        <v>4.2510000000000003</v>
      </c>
      <c r="I207" s="85">
        <f t="shared" si="21"/>
        <v>4.2510000000000003</v>
      </c>
      <c r="J207" s="86">
        <f t="shared" si="23"/>
        <v>856.47</v>
      </c>
      <c r="K207" s="15">
        <f t="shared" si="19"/>
        <v>0</v>
      </c>
      <c r="L207" s="78">
        <f t="shared" si="20"/>
        <v>0</v>
      </c>
    </row>
    <row r="208" spans="1:12" x14ac:dyDescent="0.2">
      <c r="A208" s="20" t="s">
        <v>507</v>
      </c>
      <c r="B208" s="14"/>
      <c r="C208" s="60"/>
      <c r="D208" s="14"/>
      <c r="E208" s="14"/>
      <c r="F208" s="22"/>
      <c r="G208" s="19"/>
      <c r="H208" s="15"/>
      <c r="I208" s="85">
        <f t="shared" si="21"/>
        <v>0</v>
      </c>
      <c r="J208" s="86">
        <f t="shared" si="23"/>
        <v>0</v>
      </c>
      <c r="K208" s="15">
        <f t="shared" si="19"/>
        <v>0</v>
      </c>
      <c r="L208" s="78">
        <f t="shared" si="20"/>
        <v>0</v>
      </c>
    </row>
    <row r="209" spans="1:14" ht="22.5" x14ac:dyDescent="0.2">
      <c r="A209" s="16" t="s">
        <v>252</v>
      </c>
      <c r="B209" s="17" t="s">
        <v>336</v>
      </c>
      <c r="C209" s="61" t="s">
        <v>508</v>
      </c>
      <c r="D209" s="16" t="s">
        <v>55</v>
      </c>
      <c r="E209" s="18">
        <v>0.10199999999999999</v>
      </c>
      <c r="F209" s="22">
        <f t="shared" si="22"/>
        <v>180320.68627450982</v>
      </c>
      <c r="G209" s="19">
        <v>18392.71</v>
      </c>
      <c r="H209" s="23">
        <v>0.10199999999999999</v>
      </c>
      <c r="I209" s="85">
        <f t="shared" si="21"/>
        <v>0.10199999999999999</v>
      </c>
      <c r="J209" s="86">
        <f t="shared" si="23"/>
        <v>18392.71</v>
      </c>
      <c r="K209" s="15">
        <f t="shared" si="19"/>
        <v>0</v>
      </c>
      <c r="L209" s="78">
        <f t="shared" si="20"/>
        <v>0</v>
      </c>
    </row>
    <row r="210" spans="1:14" x14ac:dyDescent="0.2">
      <c r="A210" s="16" t="s">
        <v>253</v>
      </c>
      <c r="B210" s="17" t="s">
        <v>338</v>
      </c>
      <c r="C210" s="61" t="s">
        <v>339</v>
      </c>
      <c r="D210" s="16" t="s">
        <v>47</v>
      </c>
      <c r="E210" s="18">
        <v>-4.08E-4</v>
      </c>
      <c r="F210" s="22">
        <f t="shared" si="22"/>
        <v>69191.176470588238</v>
      </c>
      <c r="G210" s="19">
        <v>-28.23</v>
      </c>
      <c r="H210" s="23">
        <f>E210</f>
        <v>-4.08E-4</v>
      </c>
      <c r="I210" s="85">
        <f t="shared" si="21"/>
        <v>-4.08E-4</v>
      </c>
      <c r="J210" s="86">
        <f t="shared" si="23"/>
        <v>-28.23</v>
      </c>
      <c r="K210" s="15">
        <f t="shared" si="19"/>
        <v>0</v>
      </c>
      <c r="L210" s="78">
        <f t="shared" si="20"/>
        <v>0</v>
      </c>
    </row>
    <row r="211" spans="1:14" ht="33.75" x14ac:dyDescent="0.2">
      <c r="A211" s="16" t="s">
        <v>254</v>
      </c>
      <c r="B211" s="17" t="s">
        <v>340</v>
      </c>
      <c r="C211" s="61" t="s">
        <v>509</v>
      </c>
      <c r="D211" s="16" t="s">
        <v>53</v>
      </c>
      <c r="E211" s="18">
        <v>288</v>
      </c>
      <c r="F211" s="22">
        <f t="shared" si="22"/>
        <v>19.818333333333335</v>
      </c>
      <c r="G211" s="19">
        <v>5707.68</v>
      </c>
      <c r="H211" s="23">
        <v>288</v>
      </c>
      <c r="I211" s="85">
        <f t="shared" si="21"/>
        <v>288</v>
      </c>
      <c r="J211" s="86">
        <f t="shared" si="23"/>
        <v>5707.68</v>
      </c>
      <c r="K211" s="15">
        <f t="shared" si="19"/>
        <v>0</v>
      </c>
      <c r="L211" s="78">
        <f t="shared" si="20"/>
        <v>0</v>
      </c>
    </row>
    <row r="212" spans="1:14" ht="22.5" x14ac:dyDescent="0.2">
      <c r="A212" s="16" t="s">
        <v>255</v>
      </c>
      <c r="B212" s="17" t="s">
        <v>333</v>
      </c>
      <c r="C212" s="61" t="s">
        <v>334</v>
      </c>
      <c r="D212" s="16" t="s">
        <v>53</v>
      </c>
      <c r="E212" s="18">
        <v>45</v>
      </c>
      <c r="F212" s="22">
        <f t="shared" si="22"/>
        <v>82.760444444444445</v>
      </c>
      <c r="G212" s="19">
        <v>3724.22</v>
      </c>
      <c r="H212" s="23">
        <v>45</v>
      </c>
      <c r="I212" s="85">
        <f t="shared" si="21"/>
        <v>45</v>
      </c>
      <c r="J212" s="86">
        <f t="shared" si="23"/>
        <v>3724.2200000000003</v>
      </c>
      <c r="K212" s="15">
        <f t="shared" si="19"/>
        <v>0</v>
      </c>
      <c r="L212" s="78">
        <f t="shared" si="20"/>
        <v>0</v>
      </c>
      <c r="N212" s="81" t="s">
        <v>520</v>
      </c>
    </row>
    <row r="213" spans="1:14" x14ac:dyDescent="0.2">
      <c r="A213" s="10"/>
      <c r="F213" s="7" t="s">
        <v>111</v>
      </c>
      <c r="G213" s="8">
        <f>SUM(G4:G212)</f>
        <v>4505948.67</v>
      </c>
      <c r="J213" s="8">
        <f>SUM(J4:J212)</f>
        <v>3752325.7201166856</v>
      </c>
      <c r="L213" s="8">
        <f>SUM(L4:L212)</f>
        <v>753622.94988331432</v>
      </c>
      <c r="N213" s="8">
        <v>181744</v>
      </c>
    </row>
    <row r="214" spans="1:14" x14ac:dyDescent="0.2">
      <c r="A214" s="10"/>
      <c r="B214" s="13"/>
      <c r="D214" s="13"/>
      <c r="F214" s="2" t="s">
        <v>112</v>
      </c>
      <c r="G214" s="2">
        <f>G213*0.082+G213</f>
        <v>4875436.4609399997</v>
      </c>
      <c r="J214" s="2">
        <f>J213*0.082+J213</f>
        <v>4060016.4291662537</v>
      </c>
      <c r="L214" s="2">
        <f>L213*0.082+L213</f>
        <v>815420.03177374613</v>
      </c>
      <c r="N214" s="2">
        <f>N213*0.082+N213</f>
        <v>196647.008</v>
      </c>
    </row>
    <row r="215" spans="1:14" x14ac:dyDescent="0.2">
      <c r="F215" s="2" t="s">
        <v>113</v>
      </c>
      <c r="G215" s="2">
        <f>G214*0.024+G214</f>
        <v>4992446.93600256</v>
      </c>
      <c r="J215" s="2">
        <f>J214*0.024+J214</f>
        <v>4157456.8234662437</v>
      </c>
      <c r="L215" s="2">
        <f>L214*0.024+L214</f>
        <v>834990.11253631604</v>
      </c>
      <c r="N215" s="2">
        <f>N214*0.024+N214</f>
        <v>201366.536192</v>
      </c>
    </row>
    <row r="216" spans="1:14" x14ac:dyDescent="0.2">
      <c r="F216" s="2" t="s">
        <v>114</v>
      </c>
      <c r="G216" s="2">
        <f>G215*1.05136042</f>
        <v>5248861.1074633645</v>
      </c>
      <c r="J216" s="2">
        <f>J215*1.05136042</f>
        <v>4370985.5520513356</v>
      </c>
      <c r="L216" s="2">
        <f>L215*1.05136042</f>
        <v>877875.55541202845</v>
      </c>
      <c r="N216" s="2">
        <f>N215*1.05136042</f>
        <v>211708.80606476631</v>
      </c>
    </row>
    <row r="217" spans="1:14" x14ac:dyDescent="0.2">
      <c r="F217" s="2" t="s">
        <v>115</v>
      </c>
      <c r="G217" s="2">
        <f>G216*0.2</f>
        <v>1049772.221492673</v>
      </c>
      <c r="J217" s="2">
        <f>J216*0.2</f>
        <v>874197.11041026714</v>
      </c>
      <c r="L217" s="2">
        <f>L216*0.2</f>
        <v>175575.1110824057</v>
      </c>
      <c r="N217" s="2">
        <f>N216*0.2</f>
        <v>42341.761212953264</v>
      </c>
    </row>
    <row r="218" spans="1:14" ht="15.75" x14ac:dyDescent="0.25">
      <c r="F218" s="3" t="s">
        <v>116</v>
      </c>
      <c r="G218" s="3">
        <f>G216+G217</f>
        <v>6298633.3289560378</v>
      </c>
      <c r="H218" s="12"/>
      <c r="I218" s="12"/>
      <c r="J218" s="82">
        <f>J216+J217</f>
        <v>5245182.6624616031</v>
      </c>
      <c r="L218" s="3">
        <f>L216+L217</f>
        <v>1053450.6664944342</v>
      </c>
      <c r="N218" s="3">
        <f>N216+N217</f>
        <v>254050.56727771956</v>
      </c>
    </row>
    <row r="228" spans="8:8" x14ac:dyDescent="0.2">
      <c r="H228" s="11">
        <f>J218</f>
        <v>5245182.6624616031</v>
      </c>
    </row>
    <row r="229" spans="8:8" x14ac:dyDescent="0.2">
      <c r="H229" s="11">
        <f>мазутопровод!J12</f>
        <v>2160473.3085587299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мазутопровод</vt:lpstr>
      <vt:lpstr>АС3</vt:lpstr>
      <vt:lpstr>АС3!Заголовки_для_печати</vt:lpstr>
      <vt:lpstr>мазутопровод!Заголовки_для_печати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2024-01-26T17:01:24Z</dcterms:modified>
</cp:coreProperties>
</file>